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https://actewagl.sharepoint.com/teams/GN26/Shared Documents/Access Arrangement Proposal June 2025/GN26 AAP FINAL DOCUMENTS/FINAL RIN RESPONSE/RIN Attachments_Public/"/>
    </mc:Choice>
  </mc:AlternateContent>
  <xr:revisionPtr revIDLastSave="3" documentId="13_ncr:1_{64632ECE-8FA9-4FBB-AD0F-0F7631672CCA}" xr6:coauthVersionLast="47" xr6:coauthVersionMax="47" xr10:uidLastSave="{477060A9-A57B-430A-963D-2415214CB381}"/>
  <bookViews>
    <workbookView xWindow="-28920" yWindow="-120" windowWidth="29040" windowHeight="15840" tabRatio="742" activeTab="2" xr2:uid="{00000000-000D-0000-FFFF-FFFF00000000}"/>
  </bookViews>
  <sheets>
    <sheet name="Instructions" sheetId="1" r:id="rId1"/>
    <sheet name="CONTENTS" sheetId="2" r:id="rId2"/>
    <sheet name="Business &amp; other details" sheetId="3" r:id="rId3"/>
    <sheet name="E1. Expenditure Summary" sheetId="4" r:id="rId4"/>
    <sheet name="E2. Mains Repex" sheetId="5" r:id="rId5"/>
    <sheet name="E3. Mains Augex" sheetId="6" r:id="rId6"/>
    <sheet name="E4. Meter replacement" sheetId="7" r:id="rId7"/>
    <sheet name="E5. Connections (gas)" sheetId="8" r:id="rId8"/>
    <sheet name="E6. Telemetry" sheetId="9" r:id="rId9"/>
    <sheet name="E10. Overheads" sheetId="10" r:id="rId10"/>
    <sheet name="E12. ICT" sheetId="11" r:id="rId11"/>
    <sheet name="E13. Other capex" sheetId="12" r:id="rId12"/>
    <sheet name="E17. Step changes" sheetId="13" r:id="rId13"/>
    <sheet name="E20. Opex" sheetId="14" r:id="rId14"/>
    <sheet name="E21. ARS" sheetId="15" r:id="rId15"/>
    <sheet name="E25. Escalators" sheetId="16" r:id="rId16"/>
    <sheet name="N1. Demand" sheetId="17" r:id="rId17"/>
    <sheet name="N2. Network characteristics" sheetId="18" r:id="rId18"/>
    <sheet name="S1. Cust. no.-by type" sheetId="19" r:id="rId19"/>
    <sheet name="S1.2 Cust. no.-by tariff" sheetId="20" r:id="rId20"/>
    <sheet name="S10. Supply Quality" sheetId="21" r:id="rId21"/>
    <sheet name="S11. Network reliability" sheetId="22" r:id="rId22"/>
    <sheet name="F3. Revenue" sheetId="23" r:id="rId23"/>
    <sheet name="Additional disclosures" sheetId="24" r:id="rId24"/>
    <sheet name="AER CF" sheetId="25" state="veryHidden" r:id="rId25"/>
    <sheet name="AER NRs" sheetId="26" state="veryHidden" r:id="rId26"/>
    <sheet name="AER lookups" sheetId="27" state="veryHidden" r:id="rId27"/>
    <sheet name="AER ETL" sheetId="28" state="veryHidden" r:id="rId28"/>
  </sheets>
  <definedNames>
    <definedName name="ARR">'AER lookups'!$C$36</definedName>
    <definedName name="ARR_Fmt2">'AER lookups'!$D$36</definedName>
    <definedName name="CA">'AER lookups'!$C$37</definedName>
    <definedName name="CA_Fmt2">'AER lookups'!$D$37</definedName>
    <definedName name="Calendar">'AER lookups'!$C$52:$C$121</definedName>
    <definedName name="CESS">'AER lookups'!$C$38</definedName>
    <definedName name="CESS_Fmt2">'AER lookups'!$D$38</definedName>
    <definedName name="CPI">'AER lookups'!$C$39</definedName>
    <definedName name="CPI_Fmt2">'AER lookups'!$D$39</definedName>
    <definedName name="CRCP_final_year">'AER ETL'!$C$48</definedName>
    <definedName name="CRCP_start_year">'AER ETL'!$C$45</definedName>
    <definedName name="CRCP_y1">'AER lookups'!$G$52</definedName>
    <definedName name="CRCP_y10">'AER lookups'!$G$61</definedName>
    <definedName name="CRCP_y11">'AER lookups'!$G$62</definedName>
    <definedName name="CRCP_y12">'AER lookups'!$G$63</definedName>
    <definedName name="CRCP_y13">'AER lookups'!$G$64</definedName>
    <definedName name="CRCP_y14">'AER lookups'!$G$65</definedName>
    <definedName name="CRCP_y15">'AER lookups'!$G$66</definedName>
    <definedName name="CRCP_y16">'AER lookups'!$G$67</definedName>
    <definedName name="CRCP_y2">'AER lookups'!$G$53</definedName>
    <definedName name="CRCP_y3">'AER lookups'!$G$54</definedName>
    <definedName name="CRCP_y4">'AER lookups'!$G$55</definedName>
    <definedName name="CRCP_y5">'AER lookups'!$G$56</definedName>
    <definedName name="CRCP_y6">'AER lookups'!$G$57</definedName>
    <definedName name="CRCP_y7">'AER lookups'!$G$58</definedName>
    <definedName name="CRCP_y8">'AER lookups'!$G$59</definedName>
    <definedName name="CRCP_y9">'AER lookups'!$G$60</definedName>
    <definedName name="dms_020303_01_UOM">'AER NRs'!$C$86:$C$92</definedName>
    <definedName name="dms_020501_01_UOM">'AER NRs'!$D$86:$D$98</definedName>
    <definedName name="dms_020501_02_UOM">'AER NRs'!$E$86:$E$94</definedName>
    <definedName name="dms_020501_03_UOM">'AER NRs'!$F$86:$F$95</definedName>
    <definedName name="dms_020501_04_UOM">'AER NRs'!$G$86:$G$94</definedName>
    <definedName name="dms_020603_01_UOM">'AER NRs'!$C$112:$C$116</definedName>
    <definedName name="dms_020701_01_Rows">'AER NRs'!$J$86:$J$91</definedName>
    <definedName name="dms_020701_01_UOM">'AER NRs'!$H$86:$H$91</definedName>
    <definedName name="dms_020701_02_UOM">'AER NRs'!$I$86:$I$91</definedName>
    <definedName name="dms_0306_Year">'AER ETL'!$C$87</definedName>
    <definedName name="dms_030601_01_UOM">'AER NRs'!$C$120:$C$123</definedName>
    <definedName name="dms_030601_02_UOM">'AER NRs'!$D$120:$D$123</definedName>
    <definedName name="dms_030605_UOM">'AER NRs'!$C$162:$C$175</definedName>
    <definedName name="dms_03060703_UOM">'AER NRs'!$D$162:$D$166</definedName>
    <definedName name="dms_030701_01_UOM">'AER NRs'!$E$120:$E$122</definedName>
    <definedName name="dms_030702_01_UOM">'AER NRs'!$F$120:$F$133</definedName>
    <definedName name="dms_030703_01_UOM">'AER NRs'!$G$120</definedName>
    <definedName name="dms_040102_01_UOM">'AER NRs'!$K$86:$K$89</definedName>
    <definedName name="dms_040102_04_UOM">'AER NRs'!$L$86:$L$89</definedName>
    <definedName name="dms_0502_Inst_Year">'AER ETL'!$C$66</definedName>
    <definedName name="dms_060101_Rows">'AER NRs'!$C$197</definedName>
    <definedName name="dms_060101_StartDateTxt">'AER NRs'!$E$197</definedName>
    <definedName name="dms_060101_StartDateVal">'AER ETL'!$C$108</definedName>
    <definedName name="dms_060102_Rows">'AER NRs'!$D$197</definedName>
    <definedName name="dms_0603_FeederList">'AER NRs'!$D$214:$H$214</definedName>
    <definedName name="dms_060301_Avg_Duration_Sustained_Int_Row">'AER NRs'!$D$193</definedName>
    <definedName name="dms_060301_checkvalue">'AER ETL'!$C$91</definedName>
    <definedName name="dms_060301_CustNo_Affected_Row">'AER NRs'!$C$193</definedName>
    <definedName name="dms_060301_Effect_unplanned_SAIDI_Row">'AER NRs'!$E$193</definedName>
    <definedName name="dms_060301_Effect_unplanned_SAIFI_Row">'AER NRs'!$F$193</definedName>
    <definedName name="dms_060301_LastRow">'AER ETL'!$C$93</definedName>
    <definedName name="dms_060301_MaxRows">'AER ETL'!$C$94</definedName>
    <definedName name="dms_060701_ARR_MaxRows">'AER ETL'!$C$101</definedName>
    <definedName name="dms_060701_Feeder_Header_Lvl4">'AER NRs'!$D$209:$O$209</definedName>
    <definedName name="dms_060701_MaxCols">'AER ETL'!$C$104</definedName>
    <definedName name="dms_060701_MaxRows">'AER ETL'!$C$102</definedName>
    <definedName name="dms_060701_OffsetRows">'AER ETL'!$C$105</definedName>
    <definedName name="dms_060701_Reset_MaxRows">'AER ETL'!$C$100</definedName>
    <definedName name="dms_060701_Rows">'AER NRs'!$D$211:$O$211</definedName>
    <definedName name="dms_060701_StartDateTxt">'AER ETL'!$C$107</definedName>
    <definedName name="dms_060701_StartDateVal">'AER ETL'!$C$108</definedName>
    <definedName name="dms_0608_LastRow">'AER ETL'!$C$113</definedName>
    <definedName name="dms_0608_OffsetRows">'AER ETL'!$C$112</definedName>
    <definedName name="dms_060801_01_Rows">'AER NRs'!$C$201</definedName>
    <definedName name="dms_060801_02_Rows">'AER NRs'!$D$201</definedName>
    <definedName name="dms_060801_03_Rows">'AER NRs'!$E$201</definedName>
    <definedName name="dms_060801_04_Rows">'AER NRs'!$F$201</definedName>
    <definedName name="dms_060801_MaxRows">'AER ETL'!$C$114</definedName>
    <definedName name="dms_070904_01_Rows">'AER NRs'!$D$204:$E$204</definedName>
    <definedName name="dms_070904_Start_Year">'AER ETL'!$C$117</definedName>
    <definedName name="dms_663">'AER ETL'!$C$95</definedName>
    <definedName name="dms_663_List">'AER lookups'!$O$16:$O$29</definedName>
    <definedName name="dms_ABN">'Business &amp; other details'!$AL$17</definedName>
    <definedName name="dms_ABN_List">'AER lookups'!$D$16:$D$29</definedName>
    <definedName name="dms_Addr1">'Business &amp; other details'!$AL$22</definedName>
    <definedName name="dms_Addr1_List">'AER lookups'!$Q$16:$Q$29</definedName>
    <definedName name="dms_Addr2">'Business &amp; other details'!$AL$23</definedName>
    <definedName name="dms_Addr2_List">'AER lookups'!$R$16:$R$29</definedName>
    <definedName name="dms_Amendment_Text">'Business &amp; other details'!$AL$71</definedName>
    <definedName name="dms_AmendmentReason">'AER ETL'!$C$16</definedName>
    <definedName name="dms_ARR">'AER ETL'!$C$75</definedName>
    <definedName name="dms_BaseStepTrend">'E20. Opex'!$D$9</definedName>
    <definedName name="dms_BaseYear_Choice">'E20. Opex'!$D$11</definedName>
    <definedName name="dms_BaseYear_List">'E20. Opex'!$D$17:$F$17</definedName>
    <definedName name="dms_BaseYear_List_CY">'E20. Opex'!$D$6:$G$6</definedName>
    <definedName name="dms_Beg">'AER NRs'!$C$178</definedName>
    <definedName name="dms_CA">'AER ETL'!$C$74</definedName>
    <definedName name="dms_Cal_Year_B4_CRY">'AER ETL'!$C$30</definedName>
    <definedName name="dms_CBD_flag">'AER lookups'!$AA$16:$AA$29</definedName>
    <definedName name="dms_CBD_flag_NSP">'AER ETL'!$C$122</definedName>
    <definedName name="dms_CF_3.6.1">'AER CF'!$F$7:$F$9</definedName>
    <definedName name="dms_CF_3.6.5">'AER CF'!$G$7:$G$9</definedName>
    <definedName name="dms_CF_3.6.6.1">'AER CF'!$H$7:$H$9</definedName>
    <definedName name="dms_CF_3.6.6.2">'AER CF'!$I$7:$I$9</definedName>
    <definedName name="dms_CF_3.6.6.3">'AER CF'!$J$7:$J$9</definedName>
    <definedName name="dms_CF_3.6.7.1">'AER CF'!$K$7:$K$9</definedName>
    <definedName name="dms_CF_3.6.7.2">'AER CF'!$L$7:$L$9</definedName>
    <definedName name="dms_CF_3.6.7.3">'AER CF'!$M$7:$M$9</definedName>
    <definedName name="dms_CF_3.6.7.4">'AER CF'!$N$7:$N$9</definedName>
    <definedName name="dms_CF_3.6.8">'AER CF'!$O$7:$O$9</definedName>
    <definedName name="dms_CF_4.1">'AER CF'!$P$7:$P$9</definedName>
    <definedName name="dms_CF_4.4.1">'AER CF'!$V$7:$V$9</definedName>
    <definedName name="dms_CF_6.8">'AER CF'!$Q$7:$Q$9</definedName>
    <definedName name="dms_CF_7.12">'AER CF'!$R$7:$R$9</definedName>
    <definedName name="dms_CF_8.1_A">'AER CF'!$S$7:$S$9</definedName>
    <definedName name="dms_CF_8.1_B">'AER CF'!$T$7:$T$9</definedName>
    <definedName name="dms_CF_8.1_Neg">'AER CF'!$U$7:$U$9</definedName>
    <definedName name="dms_CF_F10">'AER CF'!$Y$7:$Y$9</definedName>
    <definedName name="dms_CF_TradingName">'AER CF'!$B$7:$B$9</definedName>
    <definedName name="dms_Classification">'AER ETL'!$C$26</definedName>
    <definedName name="dms_Confid_status_List">'AER NRs'!$D$6:$D$8</definedName>
    <definedName name="dms_ContactEmail">'Business &amp; other details'!$AL$33</definedName>
    <definedName name="dms_ContactEmail2">'Business &amp; other details'!$BQ$33</definedName>
    <definedName name="dms_ContactName1">'Business &amp; other details'!$AL$31</definedName>
    <definedName name="dms_ContactName2">'Business &amp; other details'!$BQ$31</definedName>
    <definedName name="dms_ContactPh1">'Business &amp; other details'!$AL$32</definedName>
    <definedName name="dms_ContactPh2">'Business &amp; other details'!$BQ$32</definedName>
    <definedName name="dms_CRCP_FinalYear_Result">'AER ETL'!$C$48</definedName>
    <definedName name="dms_CRCP_start_row">'AER ETL'!$C$41</definedName>
    <definedName name="dms_CRCPlength_List">'AER lookups'!$L$16:$L$29</definedName>
    <definedName name="dms_CRCPlength_Num">'AER ETL'!$C$70</definedName>
    <definedName name="dms_CRY_RYE">'AER ETL'!$C$54</definedName>
    <definedName name="dms_CRY_start_row">'AER ETL'!$C$39</definedName>
    <definedName name="dms_CRY_start_year">'AER ETL'!$C$38</definedName>
    <definedName name="dms_DataQuality">'AER ETL'!$C$20</definedName>
    <definedName name="dms_DataQuality_List">'AER NRs'!$C$6:$C$9</definedName>
    <definedName name="dms_Defined_Names_Used">'AER ETL'!$C$3</definedName>
    <definedName name="dms_DeterminationRef">'AER ETL'!$C$120</definedName>
    <definedName name="dms_DeterminationRef_List">'AER lookups'!$P$16:$P$29</definedName>
    <definedName name="dms_DISCARD">'AER ETL'!$C$129</definedName>
    <definedName name="dms_DNSP_020301_ProjectTrigger">'AER NRs'!$E$34:$E$40</definedName>
    <definedName name="dms_DNSP_020301_ProjectType">'AER NRs'!$D$34:$D$37</definedName>
    <definedName name="dms_DNSP_020301_SubstationType">'AER NRs'!$C$34:$C$37</definedName>
    <definedName name="dms_DNSP_020302_ProjectTrigger">'AER NRs'!$G$34:$G$41</definedName>
    <definedName name="dms_DNSP_020302_ProjectType">'AER NRs'!$F$34:$F$46</definedName>
    <definedName name="dms_dollar_nom_UOM">'AER ETL'!$C$25</definedName>
    <definedName name="dms_DollarReal">'AER ETL'!$C$32</definedName>
    <definedName name="dms_DollarReal_Prev">'AER ETL'!$C$33</definedName>
    <definedName name="dms_DollarReal_year">'AER ETL'!$C$52</definedName>
    <definedName name="dms_DQ_1">'AER ETL'!$C$14</definedName>
    <definedName name="dms_DQ_2">'AER ETL'!$C$15</definedName>
    <definedName name="dms_E010101_CC_Rows">'E1. Expenditure Summary'!$B$22</definedName>
    <definedName name="dms_E010101_CC_Values">'E1. Expenditure Summary'!$C$22:$I$22</definedName>
    <definedName name="dms_E010101_Rows">'E1. Expenditure Summary'!$B$13:$B$21</definedName>
    <definedName name="dms_E010101_Values">'E1. Expenditure Summary'!$C$13:$I$21</definedName>
    <definedName name="dms_E010102_CC_Rows">'E1. Expenditure Summary'!$C$51:$I$51</definedName>
    <definedName name="dms_E010102_CC_Values">'E1. Expenditure Summary'!$C$51:$I$51</definedName>
    <definedName name="dms_E010102_Rows">'E1. Expenditure Summary'!$B$26:$B$50</definedName>
    <definedName name="dms_E010102_Values">'E1. Expenditure Summary'!$C$26:$I$50</definedName>
    <definedName name="dms_E010201_Rows">'E1. Expenditure Summary'!$B$60:$B$67</definedName>
    <definedName name="dms_E010201_Values">'E1. Expenditure Summary'!$C$60:$I$67</definedName>
    <definedName name="dms_E010202_Rows">'E1. Expenditure Summary'!$B$71:$B$95</definedName>
    <definedName name="dms_E010202_Values">'E1. Expenditure Summary'!$C$71:$I$95</definedName>
    <definedName name="dms_E010301_Rows">'E1. Expenditure Summary'!$B$104:$B$112</definedName>
    <definedName name="dms_E010301_Values">'E1. Expenditure Summary'!$C$104:$I$112</definedName>
    <definedName name="dms_E010302_Rows">'E1. Expenditure Summary'!$B$119:$B$142</definedName>
    <definedName name="dms_E010302_Values">'E1. Expenditure Summary'!$C$119:$I$142</definedName>
    <definedName name="dms_E010401_CC_Rows">'E1. Expenditure Summary'!$B$158</definedName>
    <definedName name="dms_E010401_CC_Values">'E1. Expenditure Summary'!$C$158:$I$158</definedName>
    <definedName name="dms_E010401_Rows">'E1. Expenditure Summary'!$B$151:$B$157</definedName>
    <definedName name="dms_E010401_Values">'E1. Expenditure Summary'!$C$151:$I$157</definedName>
    <definedName name="dms_E010402_CC_Rows">'E1. Expenditure Summary'!$B$188</definedName>
    <definedName name="dms_E010402_CC_Values">'E1. Expenditure Summary'!$C$188:$I$188</definedName>
    <definedName name="dms_E010402_Rows">'E1. Expenditure Summary'!$B$166:$B$187</definedName>
    <definedName name="dms_E010402_Values">'E1. Expenditure Summary'!$C$166:$I$187</definedName>
    <definedName name="dms_E0201_ProjectNames">'E2. Mains Repex'!$B$67:$B$117</definedName>
    <definedName name="dms_E020101_A_Values">'E2. Mains Repex'!$D$67:$J$117</definedName>
    <definedName name="dms_E020101_B_Values">'E2. Mains Repex'!$D$124:$J$174</definedName>
    <definedName name="dms_E020101_C_Values">'E2. Mains Repex'!$D$181:$J$231</definedName>
    <definedName name="dms_E020101_D_Values">'E2. Mains Repex'!$D$238:$J$288</definedName>
    <definedName name="dms_E020101_E2_Rows">'E2. Mains Repex'!$B$295:$B$295</definedName>
    <definedName name="dms_E020101_E2_Values">'E2. Mains Repex'!$D$295:$J$295</definedName>
    <definedName name="dms_E020101_F_Values">'E2. Mains Repex'!$D$302:$J$352</definedName>
    <definedName name="dms_E020102_A_Values">'E2. Mains Repex'!$D$362:$J$363</definedName>
    <definedName name="dms_E020102_B_Values">'E2. Mains Repex'!$D$366:$J$367</definedName>
    <definedName name="dms_E020102_C_Values">'E2. Mains Repex'!$D$370:$J$371</definedName>
    <definedName name="dms_E020102_D_Values">'E2. Mains Repex'!$D$374:$J$375</definedName>
    <definedName name="dms_E020102_E_Values">'E2. Mains Repex'!$D$378:$J$379</definedName>
    <definedName name="dms_E020102_F_Values">'E2. Mains Repex'!$D$382:$J$383</definedName>
    <definedName name="dms_E020102_Rows">'E2. Mains Repex'!$B$362:$B$363</definedName>
    <definedName name="dms_E020201_A_Values">'E2. Mains Repex'!$D$395:$J$445</definedName>
    <definedName name="dms_E020201_B_Values">'E2. Mains Repex'!$D$449:$J$499</definedName>
    <definedName name="dms_E020201_C_Values">'E2. Mains Repex'!$D$503:$J$553</definedName>
    <definedName name="dms_E020201_D_Values">'E2. Mains Repex'!$D$557:$J$607</definedName>
    <definedName name="dms_E020201_E_Values">'E2. Mains Repex'!$D$611:$J$661</definedName>
    <definedName name="dms_E020201_F_Values">'E2. Mains Repex'!$D$665:$J$715</definedName>
    <definedName name="dms_E020202_A_Values">'E2. Mains Repex'!$D$724:$J$725</definedName>
    <definedName name="dms_E020202_B_Values">'E2. Mains Repex'!$D$728:$J$729</definedName>
    <definedName name="dms_E020202_C_Values">'E2. Mains Repex'!$D$732:$J$733</definedName>
    <definedName name="dms_E020202_D_Values">'E2. Mains Repex'!$D$736:$J$737</definedName>
    <definedName name="dms_E020202_E_Values">'E2. Mains Repex'!$D$740:$J$741</definedName>
    <definedName name="dms_E020202_F_Values">'E2. Mains Repex'!$D$744:$J$745</definedName>
    <definedName name="dms_E020202_Rows">'E2. Mains Repex'!$B$724:$B$725</definedName>
    <definedName name="dms_E020202_UOM">'AER NRs'!$E$162:$E$163</definedName>
    <definedName name="dms_E0301_ProjectNames">'E3. Mains Augex'!$B$66:$B$116</definedName>
    <definedName name="dms_E030101_A_Values">'E3. Mains Augex'!$C$66:$I$116</definedName>
    <definedName name="dms_E030101_B_Values">'E3. Mains Augex'!$C$123:$I$173</definedName>
    <definedName name="dms_E030101_C_Values">'E3. Mains Augex'!$C$180:$I$230</definedName>
    <definedName name="dms_E030101_D_Values">'E3. Mains Augex'!$C$237:$I$287</definedName>
    <definedName name="dms_E030101_E2_Rows">'E3. Mains Augex'!$B$294:$B$294</definedName>
    <definedName name="dms_E030101_E2_Values">'E3. Mains Augex'!$C$294:$I$294</definedName>
    <definedName name="dms_E030101_F_Values">'E3. Mains Augex'!$C$301:$I$351</definedName>
    <definedName name="dms_E030201_A_Values">'E3. Mains Augex'!$C$361:$I$411</definedName>
    <definedName name="dms_E030201_B_Values">'E3. Mains Augex'!$C$418:$I$468</definedName>
    <definedName name="dms_E030201_C_Values">'E3. Mains Augex'!$C$475:$I$525</definedName>
    <definedName name="dms_E030201_D_Values">'E3. Mains Augex'!$C$532:$I$582</definedName>
    <definedName name="dms_E030201_E_Values">'E3. Mains Augex'!$C$589:$I$639</definedName>
    <definedName name="dms_E030201_F_Values">'E3. Mains Augex'!$C$646:$I$696</definedName>
    <definedName name="dms_E04_Rows">'E4. Meter replacement'!$B$13:$B$15</definedName>
    <definedName name="dms_E040101_A_Values">'E4. Meter replacement'!$C$13:$I$15</definedName>
    <definedName name="dms_E040101_B_Values">'E4. Meter replacement'!$C$18:$I$20</definedName>
    <definedName name="dms_E040101_C_Values">'E4. Meter replacement'!$C$23:$I$25</definedName>
    <definedName name="dms_E040101_D_Values">'E4. Meter replacement'!$C$28:$I$30</definedName>
    <definedName name="dms_E040101_E_Values">'E4. Meter replacement'!$C$33:$I$35</definedName>
    <definedName name="dms_E040101_F_Values">'E4. Meter replacement'!$C$38:$I$40</definedName>
    <definedName name="dms_E040102_A_Values">'E4. Meter replacement'!$C$49:$I$51</definedName>
    <definedName name="dms_E040102_B_Values">'E4. Meter replacement'!$C$54:$I$56</definedName>
    <definedName name="dms_E040102_C_Values">'E4. Meter replacement'!$C$59:$I$61</definedName>
    <definedName name="dms_E040102_D_Values">'E4. Meter replacement'!$C$64:$I$66</definedName>
    <definedName name="dms_E040102_E_Values">'E4. Meter replacement'!$C$69:$I$71</definedName>
    <definedName name="dms_E040102_F_Values">'E4. Meter replacement'!$C$74:$I$76</definedName>
    <definedName name="dms_E040103_A_Values">'E4. Meter replacement'!$C$85:$I$87</definedName>
    <definedName name="dms_E040103_B_Values">'E4. Meter replacement'!$C$90:$I$92</definedName>
    <definedName name="dms_E040103_C_Values">'E4. Meter replacement'!$C$95:$I$97</definedName>
    <definedName name="dms_E040103_D_Values">'E4. Meter replacement'!$C$100:$I$102</definedName>
    <definedName name="dms_E040103_E_Values">'E4. Meter replacement'!$C$105:$I$107</definedName>
    <definedName name="dms_E040103_F_Values">'E4. Meter replacement'!$C$110:$I$112</definedName>
    <definedName name="dms_E040104_A_Values">'E4. Meter replacement'!$C$121:$I$123</definedName>
    <definedName name="dms_E040104_B_Values">'E4. Meter replacement'!$C$126:$I$128</definedName>
    <definedName name="dms_E040104_C_Values">'E4. Meter replacement'!$C$131:$I$133</definedName>
    <definedName name="dms_E040104_D_Values">'E4. Meter replacement'!$C$136:$I$138</definedName>
    <definedName name="dms_E040104_E_Values">'E4. Meter replacement'!$C$141:$I$143</definedName>
    <definedName name="dms_E040104_F_Values">'E4. Meter replacement'!$C$146:$I$148</definedName>
    <definedName name="dms_E040201_Values">'E4. Meter replacement'!$C$158:$I$160</definedName>
    <definedName name="dms_E040202_A_Values">'E4. Meter replacement'!$C$169:$I$171</definedName>
    <definedName name="dms_E040202_B_Values">'E4. Meter replacement'!$C$174:$I$176</definedName>
    <definedName name="dms_E040203_Values">'E4. Meter replacement'!$C$185:$I$187</definedName>
    <definedName name="dms_E040204_Values">'E4. Meter replacement'!$C$195:$I$197</definedName>
    <definedName name="dms_E040205_Values">'E4. Meter replacement'!$C$205:$I$207</definedName>
    <definedName name="dms_E05_Rows">'E5. Connections (gas)'!$B$14:$B$16</definedName>
    <definedName name="dms_E050101_A_i_Values">'E5. Connections (gas)'!$D$14:$J$16</definedName>
    <definedName name="dms_E050101_A_ii_Values">'E5. Connections (gas)'!$D$19:$J$21</definedName>
    <definedName name="dms_E050101_A_iii_Values">'E5. Connections (gas)'!$D$24:$J$26</definedName>
    <definedName name="dms_E050101_A_iv_Values">'E5. Connections (gas)'!$D$29:$J$31</definedName>
    <definedName name="dms_E050101_A_v_Values">'E5. Connections (gas)'!$D$34:$J$36</definedName>
    <definedName name="dms_E050101_A_vi_Values">'E5. Connections (gas)'!$D$39:$J$41</definedName>
    <definedName name="dms_E050101_B_i_Values">'E5. Connections (gas)'!$D$50:$J$52</definedName>
    <definedName name="dms_E050101_B_ii_Values">'E5. Connections (gas)'!$D$55:$J$57</definedName>
    <definedName name="dms_E050101_B_iii_Values">'E5. Connections (gas)'!$D$60:$J$62</definedName>
    <definedName name="dms_E050101_B_iv_Values">'E5. Connections (gas)'!$D$65:$J$67</definedName>
    <definedName name="dms_E050101_B_v_Values">'E5. Connections (gas)'!$D$70:$J$72</definedName>
    <definedName name="dms_E050101_B_vI_Values">'E5. Connections (gas)'!$D$75:$J$77</definedName>
    <definedName name="dms_E050101_C_i_Values">'E5. Connections (gas)'!$D$86:$J$88</definedName>
    <definedName name="dms_E050101_C_ii_Values">'E5. Connections (gas)'!$D$91:$J$93</definedName>
    <definedName name="dms_E050101_C_iii_Values">'E5. Connections (gas)'!$D$96:$J$98</definedName>
    <definedName name="dms_E050101_C_iv_Values">'E5. Connections (gas)'!$D$101:$J$103</definedName>
    <definedName name="dms_E050101_C_v_Values">'E5. Connections (gas)'!$D$106:$J$108</definedName>
    <definedName name="dms_E050101_C_vI_Values">'E5. Connections (gas)'!$D$111:$J$113</definedName>
    <definedName name="dms_E050101_D_i_Values">'E5. Connections (gas)'!$D$122:$J$124</definedName>
    <definedName name="dms_E050101_D_ii_Values">'E5. Connections (gas)'!$D$127:$J$129</definedName>
    <definedName name="dms_E050101_D_iii_Values">'E5. Connections (gas)'!$D$132:$J$134</definedName>
    <definedName name="dms_E050101_D_iv_Values">'E5. Connections (gas)'!$D$137:$J$139</definedName>
    <definedName name="dms_E050101_D_v_Values">'E5. Connections (gas)'!$D$142:$J$144</definedName>
    <definedName name="dms_E050101_D_vI_Values">'E5. Connections (gas)'!$D$147:$J$149</definedName>
    <definedName name="dms_E050101_E_i_Values">'E5. Connections (gas)'!$D$158:$J$160</definedName>
    <definedName name="dms_E050101_E_ii_Values">'E5. Connections (gas)'!$D$163:$J$165</definedName>
    <definedName name="dms_E050101_E_iii_Values">'E5. Connections (gas)'!$D$168:$J$170</definedName>
    <definedName name="dms_E050101_E_iv_Values">'E5. Connections (gas)'!$D$173:$J$175</definedName>
    <definedName name="dms_E050101_E_v_Values">'E5. Connections (gas)'!$D$178:$J$180</definedName>
    <definedName name="dms_E050101_E_vI_Values">'E5. Connections (gas)'!$D$183:$J$185</definedName>
    <definedName name="dms_E050101_F_i_Values">'E5. Connections (gas)'!$D$194:$J$196</definedName>
    <definedName name="dms_E050101_F_ii_Values">'E5. Connections (gas)'!$D$199:$J$201</definedName>
    <definedName name="dms_E050101_F_iii_Values">'E5. Connections (gas)'!$D$204:$J$206</definedName>
    <definedName name="dms_E050101_F_iv_Values">'E5. Connections (gas)'!$D$209:$J$211</definedName>
    <definedName name="dms_E050101_F_v_Values">'E5. Connections (gas)'!$D$214:$J$216</definedName>
    <definedName name="dms_E050101_F_vI_Values">'E5. Connections (gas)'!$D$219:$J$221</definedName>
    <definedName name="dms_E050201_A_Values">'E5. Connections (gas)'!$D$232:$J$234</definedName>
    <definedName name="dms_E050201_B_Values">'E5. Connections (gas)'!$D$236:$J$238</definedName>
    <definedName name="dms_E050201_C_Values">'E5. Connections (gas)'!$D$240:$J$242</definedName>
    <definedName name="dms_E050201_D_Values">'E5. Connections (gas)'!$D$244:$J$246</definedName>
    <definedName name="dms_E050201_E_Values">'E5. Connections (gas)'!$D$248:$J$250</definedName>
    <definedName name="dms_E050201_F_Values">'E5. Connections (gas)'!$D$252:$J$254</definedName>
    <definedName name="dms_E050201_UOM">'AER NRs'!$O$86:$O$88</definedName>
    <definedName name="dms_E050202_UOM">'AER NRs'!$P$86:$P$88</definedName>
    <definedName name="dms_E0503_Rows">'E5. Connections (gas)'!$B$264:$B$269</definedName>
    <definedName name="dms_E050301_Values">'E5. Connections (gas)'!$D$264:$J$269</definedName>
    <definedName name="dms_E050302_A_Values">'E5. Connections (gas)'!$D$277:$J$279</definedName>
    <definedName name="dms_E050302_B_Values">'E5. Connections (gas)'!$D$281:$J$283</definedName>
    <definedName name="dms_E050302_C_Values">'E5. Connections (gas)'!$D$285:$J$287</definedName>
    <definedName name="dms_E050302_D_Values">'E5. Connections (gas)'!$D$289:$J$291</definedName>
    <definedName name="dms_E050302_E_Values">'E5. Connections (gas)'!$D$293:$J$295</definedName>
    <definedName name="dms_E050302_F_Values">'E5. Connections (gas)'!$D$297:$J$299</definedName>
    <definedName name="dms_E0504_Rows">'E5. Connections (gas)'!$B$308:$B$313</definedName>
    <definedName name="dms_E050401_Values">'E5. Connections (gas)'!$D$308:$J$313</definedName>
    <definedName name="dms_E050402_Values">'E5. Connections (gas)'!$D$320:$J$325</definedName>
    <definedName name="dms_E0605_ProjectNames">'E6. Telemetry'!$B$32:$B$47</definedName>
    <definedName name="dms_E060501_A_Values">'E6. Telemetry'!$C$32:$I$47</definedName>
    <definedName name="dms_E060501_B_Values">'E6. Telemetry'!$C$51:$I$66</definedName>
    <definedName name="dms_E060501_C_Values">'E6. Telemetry'!$C$70:$I$85</definedName>
    <definedName name="dms_E060501_D_Values">'E6. Telemetry'!$C$89:$I$104</definedName>
    <definedName name="dms_E060501_E2_Rows">'E6. Telemetry'!$B$108:$B$108</definedName>
    <definedName name="dms_E060501_E2_Values">'E6. Telemetry'!$C$108:$I$108</definedName>
    <definedName name="dms_E060501_F_Values">'E6. Telemetry'!$C$112:$I$127</definedName>
    <definedName name="dms_E060502_01_Rows">'E6. Telemetry'!$B$138:$B$139</definedName>
    <definedName name="dms_E060502_01_Values">'E6. Telemetry'!$C$138:$I$139</definedName>
    <definedName name="dms_E060502_02_Rows">'E6. Telemetry'!$B$142:$B$143</definedName>
    <definedName name="dms_E060502_02_Values">'E6. Telemetry'!$C$142:$I$143</definedName>
    <definedName name="dms_E10_01_Rows">'E10. Overheads'!$B$12</definedName>
    <definedName name="dms_E10_02_Rows">'E10. Overheads'!$B$13</definedName>
    <definedName name="dms_E100101_01_Values">'E10. Overheads'!$C$12:$I$12</definedName>
    <definedName name="dms_E100101_02_Values">'E10. Overheads'!$C$13:$I$13</definedName>
    <definedName name="dms_E100102_01_Values">'E10. Overheads'!$C$16:$I$16</definedName>
    <definedName name="dms_E100102_02_Values">'E10. Overheads'!$C$17:$I$17</definedName>
    <definedName name="dms_E100201_01_Values">'E10. Overheads'!$C$27:$I$27</definedName>
    <definedName name="dms_E100201_02_Values">'E10. Overheads'!$C$28:$I$28</definedName>
    <definedName name="dms_E100202_01_Values">'E10. Overheads'!$C$31:$I$31</definedName>
    <definedName name="dms_E100202_02_Values">'E10. Overheads'!$C$32:$I$32</definedName>
    <definedName name="dms_E12_ProjectNames">'E12. ICT'!$B$29:$B$44</definedName>
    <definedName name="dms_E12_Projects_01">'E12. ICT'!$B$8</definedName>
    <definedName name="dms_E12_Projects_02">'E12. ICT'!$B$9</definedName>
    <definedName name="dms_E12_Projects_03">'E12. ICT'!$B$10</definedName>
    <definedName name="dms_E12_Projects_04">'E12. ICT'!$B$11</definedName>
    <definedName name="dms_E12_Projects_05">'E12. ICT'!$B$12</definedName>
    <definedName name="dms_E12_Projects_06">'E12. ICT'!$B$13</definedName>
    <definedName name="dms_E12_Projects_07">'E12. ICT'!$B$14</definedName>
    <definedName name="dms_E12_Projects_08">'E12. ICT'!$B$15</definedName>
    <definedName name="dms_E12_Projects_09">'E12. ICT'!$B$16</definedName>
    <definedName name="dms_E12_Projects_10">'E12. ICT'!$B$17</definedName>
    <definedName name="dms_E12_Projects_11">'E12. ICT'!$B$18</definedName>
    <definedName name="dms_E12_Projects_12">'E12. ICT'!$B$19</definedName>
    <definedName name="dms_E12_Projects_13">'E12. ICT'!$B$20</definedName>
    <definedName name="dms_E12_Projects_14">'E12. ICT'!$B$21</definedName>
    <definedName name="dms_E12_Projects_15">'E12. ICT'!$B$22</definedName>
    <definedName name="dms_E1201_A_Values">'E12. ICT'!$C$29:$I$44</definedName>
    <definedName name="dms_E1201_B_Values">'E12. ICT'!$C$48:$I$63</definedName>
    <definedName name="dms_E1201_C_Values">'E12. ICT'!$C$67:$I$82</definedName>
    <definedName name="dms_E1201_D_Values">'E12. ICT'!$C$86:$I$101</definedName>
    <definedName name="dms_E1201_E2_Rows">'E12. ICT'!$B$105:$B$105</definedName>
    <definedName name="dms_E1201_E2_Values">'E12. ICT'!$C$105:$I$105</definedName>
    <definedName name="dms_E1201_F_Values">'E12. ICT'!$C$109:$I$124</definedName>
    <definedName name="dms_E120201_Rows">'E12. ICT'!$B$135:$B$136</definedName>
    <definedName name="dms_E120201_Values">'E12. ICT'!$C$135:$I$136</definedName>
    <definedName name="dms_E120202_Rows">'E12. ICT'!$B$139:$B$140</definedName>
    <definedName name="dms_E120202_Values">'E12. ICT'!$C$139:$I$140</definedName>
    <definedName name="dms_E13_ProjectNames">'E13. Other capex'!$B$29:$B$44</definedName>
    <definedName name="dms_E13_Projects_01">'E13. Other capex'!$B$8</definedName>
    <definedName name="dms_E13_Projects_02">'E13. Other capex'!$B$9</definedName>
    <definedName name="dms_E13_Projects_03">'E13. Other capex'!$B$10</definedName>
    <definedName name="dms_E13_Projects_04">'E13. Other capex'!$B$11</definedName>
    <definedName name="dms_E13_Projects_05">'E13. Other capex'!$B$12</definedName>
    <definedName name="dms_E13_Projects_06">'E13. Other capex'!$B$13</definedName>
    <definedName name="dms_E13_Projects_07">'E13. Other capex'!$B$14</definedName>
    <definedName name="dms_E13_Projects_08">'E13. Other capex'!$B$15</definedName>
    <definedName name="dms_E13_Projects_09">'E13. Other capex'!$B$16</definedName>
    <definedName name="dms_E13_Projects_10">'E13. Other capex'!$B$17</definedName>
    <definedName name="dms_E13_Projects_11">'E13. Other capex'!$B$18</definedName>
    <definedName name="dms_E13_Projects_12">'E13. Other capex'!$B$19</definedName>
    <definedName name="dms_E13_Projects_13">'E13. Other capex'!$B$20</definedName>
    <definedName name="dms_E13_Projects_14">'E13. Other capex'!$B$21</definedName>
    <definedName name="dms_E13_Projects_15">'E13. Other capex'!$B$22</definedName>
    <definedName name="dms_E1301_A_Values">'E13. Other capex'!$C$29:$I$44</definedName>
    <definedName name="dms_E1301_B_Values">'E13. Other capex'!$C$48:$I$63</definedName>
    <definedName name="dms_E1301_C_Values">'E13. Other capex'!$C$67:$I$82</definedName>
    <definedName name="dms_E1301_D_Values">'E13. Other capex'!$C$86:$I$101</definedName>
    <definedName name="dms_E1301_E2_Rows">'E13. Other capex'!$B$105:$B$105</definedName>
    <definedName name="dms_E1301_E2_Values">'E13. Other capex'!$C$105:$I$105</definedName>
    <definedName name="dms_E1301_F_Values">'E13. Other capex'!$C$109:$I$124</definedName>
    <definedName name="dms_E170101_Rows">'E17. Step changes'!$B$12:$B$21</definedName>
    <definedName name="dms_E170101_Values">'E17. Step changes'!$D$12:$J$21</definedName>
    <definedName name="dms_E170102_Rows">'E17. Step changes'!$B$28:$B$37</definedName>
    <definedName name="dms_E170102_Values">'E17. Step changes'!$D$28:$J$37</definedName>
    <definedName name="dms_E170201_Rows">'E17. Step changes'!$B$46:$B$70</definedName>
    <definedName name="dms_E170201_Values">'E17. Step changes'!$D$46:$J$70</definedName>
    <definedName name="dms_E2_Projects_01">'E2. Mains Repex'!$B$9</definedName>
    <definedName name="dms_E2_Projects_02">'E2. Mains Repex'!$B$10</definedName>
    <definedName name="dms_E2_Projects_03">'E2. Mains Repex'!$B$11</definedName>
    <definedName name="dms_E2_Projects_04">'E2. Mains Repex'!$B$12</definedName>
    <definedName name="dms_E2_Projects_05">'E2. Mains Repex'!$B$13</definedName>
    <definedName name="dms_E2_Projects_06">'E2. Mains Repex'!$B$14</definedName>
    <definedName name="dms_E2_Projects_07">'E2. Mains Repex'!$B$15</definedName>
    <definedName name="dms_E2_Projects_08">'E2. Mains Repex'!$B$16</definedName>
    <definedName name="dms_E2_Projects_09">'E2. Mains Repex'!$B$17</definedName>
    <definedName name="dms_E2_Projects_10">'E2. Mains Repex'!$B$18</definedName>
    <definedName name="dms_E2_Projects_11">'E2. Mains Repex'!$B$19</definedName>
    <definedName name="dms_E2_Projects_12">'E2. Mains Repex'!$B$20</definedName>
    <definedName name="dms_E2_Projects_13">'E2. Mains Repex'!$B$21</definedName>
    <definedName name="dms_E2_Projects_14">'E2. Mains Repex'!$B$22</definedName>
    <definedName name="dms_E2_Projects_15">'E2. Mains Repex'!$B$23</definedName>
    <definedName name="dms_E2_Projects_16">'E2. Mains Repex'!$B$24</definedName>
    <definedName name="dms_E2_Projects_17">'E2. Mains Repex'!$B$25</definedName>
    <definedName name="dms_E2_Projects_18">'E2. Mains Repex'!$B$26</definedName>
    <definedName name="dms_E2_Projects_19">'E2. Mains Repex'!$B$27</definedName>
    <definedName name="dms_E2_Projects_20">'E2. Mains Repex'!$B$28</definedName>
    <definedName name="dms_E2_Projects_21">'E2. Mains Repex'!$B$29</definedName>
    <definedName name="dms_E2_Projects_22">'E2. Mains Repex'!$B$30</definedName>
    <definedName name="dms_E2_Projects_23">'E2. Mains Repex'!$B$31</definedName>
    <definedName name="dms_E2_Projects_24">'E2. Mains Repex'!$B$32</definedName>
    <definedName name="dms_E2_Projects_25">'E2. Mains Repex'!$B$33</definedName>
    <definedName name="dms_E2_Projects_26">'E2. Mains Repex'!$B$34</definedName>
    <definedName name="dms_E2_Projects_27">'E2. Mains Repex'!$B$35</definedName>
    <definedName name="dms_E2_Projects_28">'E2. Mains Repex'!$B$36</definedName>
    <definedName name="dms_E2_Projects_29">'E2. Mains Repex'!$B$37</definedName>
    <definedName name="dms_E2_Projects_30">'E2. Mains Repex'!$B$38</definedName>
    <definedName name="dms_E2_Projects_31">'E2. Mains Repex'!$B$39</definedName>
    <definedName name="dms_E2_Projects_32">'E2. Mains Repex'!$B$40</definedName>
    <definedName name="dms_E2_Projects_33">'E2. Mains Repex'!$B$41</definedName>
    <definedName name="dms_E2_Projects_34">'E2. Mains Repex'!$B$42</definedName>
    <definedName name="dms_E2_Projects_35">'E2. Mains Repex'!$B$43</definedName>
    <definedName name="dms_E2_Projects_36">'E2. Mains Repex'!$B$44</definedName>
    <definedName name="dms_E2_Projects_37">'E2. Mains Repex'!$B$45</definedName>
    <definedName name="dms_E2_Projects_38">'E2. Mains Repex'!$B$46</definedName>
    <definedName name="dms_E2_Projects_39">'E2. Mains Repex'!$B$47</definedName>
    <definedName name="dms_E2_Projects_40">'E2. Mains Repex'!$B$48</definedName>
    <definedName name="dms_E2_Projects_41">'E2. Mains Repex'!$B$49</definedName>
    <definedName name="dms_E2_Projects_42">'E2. Mains Repex'!$B$50</definedName>
    <definedName name="dms_E2_Projects_43">'E2. Mains Repex'!$B$51</definedName>
    <definedName name="dms_E2_Projects_44">'E2. Mains Repex'!$B$52</definedName>
    <definedName name="dms_E2_Projects_45">'E2. Mains Repex'!$B$53</definedName>
    <definedName name="dms_E2_Projects_46">'E2. Mains Repex'!$B$54</definedName>
    <definedName name="dms_E2_Projects_47">'E2. Mains Repex'!$B$55</definedName>
    <definedName name="dms_E2_Projects_48">'E2. Mains Repex'!$B$56</definedName>
    <definedName name="dms_E2_Projects_49">'E2. Mains Repex'!$B$57</definedName>
    <definedName name="dms_E2_Projects_50">'E2. Mains Repex'!$B$58</definedName>
    <definedName name="dms_E20_flag">'E20. Opex'!$D$9</definedName>
    <definedName name="dms_E200101_Actual_Values">'E20. Opex'!$C$18:$E$24</definedName>
    <definedName name="dms_E200101_Fcast_Values">'E20. Opex'!$F$18:$L$24</definedName>
    <definedName name="dms_E200101_Rows">'E20. Opex'!$B$18:$B$24</definedName>
    <definedName name="dms_E200102_Actual_Values">'E20. Opex'!$C$30:$E$36</definedName>
    <definedName name="dms_E200102_Fcast_Values">'E20. Opex'!$F$30:$L$36</definedName>
    <definedName name="dms_E200102_Rows">'E20. Opex'!$B$30:$B$36</definedName>
    <definedName name="dms_E200201_Rows">'E20. Opex'!$B$45:$B$52</definedName>
    <definedName name="dms_E200201_Values">'E20. Opex'!$F$45:$L$52</definedName>
    <definedName name="dms_E200202_Rows">'E20. Opex'!$B$59:$B$83</definedName>
    <definedName name="dms_E200202_Values">'E20. Opex'!$F$59:$L$83</definedName>
    <definedName name="dms_E200301_Values">'E20. Opex'!$F$93:$L$100</definedName>
    <definedName name="dms_E200302_Values">'E20. Opex'!$F$107:$L$131</definedName>
    <definedName name="dms_E2101_Rows">'E21. ARS'!$B$11:$B$25</definedName>
    <definedName name="dms_E2101_Values">'E21. ARS'!$C$11:$I$25</definedName>
    <definedName name="dms_E2103_Values">'E21. ARS'!$C$34:$I$48</definedName>
    <definedName name="dms_E250101_Rows">'E25. Escalators'!$B$11:$B$16</definedName>
    <definedName name="dms_E250101_Values">'E25. Escalators'!$C$11:$I$16</definedName>
    <definedName name="dms_E250102_Rows">'E25. Escalators'!$B$18:$B$23</definedName>
    <definedName name="dms_E250102_Values">'E25. Escalators'!$C$18:$I$23</definedName>
    <definedName name="dms_E3_Projects_01">'E3. Mains Augex'!$B$9</definedName>
    <definedName name="dms_E3_Projects_02">'E3. Mains Augex'!$B$10</definedName>
    <definedName name="dms_E3_Projects_03">'E3. Mains Augex'!$B$11</definedName>
    <definedName name="dms_E3_Projects_04">'E3. Mains Augex'!$B$12</definedName>
    <definedName name="dms_E3_Projects_05">'E3. Mains Augex'!$B$13</definedName>
    <definedName name="dms_E3_Projects_06">'E3. Mains Augex'!$B$14</definedName>
    <definedName name="dms_E3_Projects_07">'E3. Mains Augex'!$B$15</definedName>
    <definedName name="dms_E3_Projects_08">'E3. Mains Augex'!$B$16</definedName>
    <definedName name="dms_E3_Projects_09">'E3. Mains Augex'!$B$17</definedName>
    <definedName name="dms_E3_Projects_10">'E3. Mains Augex'!$B$18</definedName>
    <definedName name="dms_E3_Projects_11">'E3. Mains Augex'!$B$19</definedName>
    <definedName name="dms_E3_Projects_12">'E3. Mains Augex'!$B$20</definedName>
    <definedName name="dms_E3_Projects_13">'E3. Mains Augex'!$B$21</definedName>
    <definedName name="dms_E3_Projects_14">'E3. Mains Augex'!$B$22</definedName>
    <definedName name="dms_E3_Projects_15">'E3. Mains Augex'!$B$23</definedName>
    <definedName name="dms_E3_Projects_16">'E3. Mains Augex'!$B$24</definedName>
    <definedName name="dms_E3_Projects_17">'E3. Mains Augex'!$B$25</definedName>
    <definedName name="dms_E3_Projects_18">'E3. Mains Augex'!$B$26</definedName>
    <definedName name="dms_E3_Projects_19">'E3. Mains Augex'!$B$27</definedName>
    <definedName name="dms_E3_Projects_20">'E3. Mains Augex'!$B$28</definedName>
    <definedName name="dms_E3_Projects_21">'E3. Mains Augex'!$B$29</definedName>
    <definedName name="dms_E3_Projects_22">'E3. Mains Augex'!$B$30</definedName>
    <definedName name="dms_E3_Projects_23">'E3. Mains Augex'!$B$31</definedName>
    <definedName name="dms_E3_Projects_24">'E3. Mains Augex'!$B$32</definedName>
    <definedName name="dms_E3_Projects_25">'E3. Mains Augex'!$B$33</definedName>
    <definedName name="dms_E3_Projects_26">'E3. Mains Augex'!$B$34</definedName>
    <definedName name="dms_E3_Projects_27">'E3. Mains Augex'!$B$35</definedName>
    <definedName name="dms_E3_Projects_28">'E3. Mains Augex'!$B$36</definedName>
    <definedName name="dms_E3_Projects_29">'E3. Mains Augex'!$B$37</definedName>
    <definedName name="dms_E3_Projects_30">'E3. Mains Augex'!$B$38</definedName>
    <definedName name="dms_E3_Projects_31">'E3. Mains Augex'!$B$39</definedName>
    <definedName name="dms_E3_Projects_32">'E3. Mains Augex'!$B$40</definedName>
    <definedName name="dms_E3_Projects_33">'E3. Mains Augex'!$B$41</definedName>
    <definedName name="dms_E3_Projects_34">'E3. Mains Augex'!$B$42</definedName>
    <definedName name="dms_E3_Projects_35">'E3. Mains Augex'!$B$43</definedName>
    <definedName name="dms_E3_Projects_36">'E3. Mains Augex'!$B$44</definedName>
    <definedName name="dms_E3_Projects_37">'E3. Mains Augex'!$B$45</definedName>
    <definedName name="dms_E3_Projects_38">'E3. Mains Augex'!$B$46</definedName>
    <definedName name="dms_E3_Projects_39">'E3. Mains Augex'!$B$47</definedName>
    <definedName name="dms_E3_Projects_40">'E3. Mains Augex'!$B$48</definedName>
    <definedName name="dms_E3_Projects_41">'E3. Mains Augex'!$B$49</definedName>
    <definedName name="dms_E3_Projects_42">'E3. Mains Augex'!$B$50</definedName>
    <definedName name="dms_E3_Projects_43">'E3. Mains Augex'!$B$51</definedName>
    <definedName name="dms_E3_Projects_44">'E3. Mains Augex'!$B$52</definedName>
    <definedName name="dms_E3_Projects_45">'E3. Mains Augex'!$B$53</definedName>
    <definedName name="dms_E3_Projects_46">'E3. Mains Augex'!$B$54</definedName>
    <definedName name="dms_E3_Projects_47">'E3. Mains Augex'!$B$55</definedName>
    <definedName name="dms_E3_Projects_48">'E3. Mains Augex'!$B$56</definedName>
    <definedName name="dms_E3_Projects_49">'E3. Mains Augex'!$B$57</definedName>
    <definedName name="dms_E3_Projects_50">'E3. Mains Augex'!$B$58</definedName>
    <definedName name="dms_E65_Projects_01">'E6. Telemetry'!$B$10</definedName>
    <definedName name="dms_E65_Projects_02">'E6. Telemetry'!$B$11</definedName>
    <definedName name="dms_E65_Projects_03">'E6. Telemetry'!$B$12</definedName>
    <definedName name="dms_E65_Projects_04">'E6. Telemetry'!$B$13</definedName>
    <definedName name="dms_E65_Projects_05">'E6. Telemetry'!$B$14</definedName>
    <definedName name="dms_E65_Projects_06">'E6. Telemetry'!$B$15</definedName>
    <definedName name="dms_E65_Projects_07">'E6. Telemetry'!$B$16</definedName>
    <definedName name="dms_E65_Projects_08">'E6. Telemetry'!$B$17</definedName>
    <definedName name="dms_E65_Projects_09">'E6. Telemetry'!$B$18</definedName>
    <definedName name="dms_E65_Projects_10">'E6. Telemetry'!$B$19</definedName>
    <definedName name="dms_E65_Projects_11">'E6. Telemetry'!$B$20</definedName>
    <definedName name="dms_E65_Projects_12">'E6. Telemetry'!$B$21</definedName>
    <definedName name="dms_E65_Projects_13">'E6. Telemetry'!$B$22</definedName>
    <definedName name="dms_E65_Projects_14">'E6. Telemetry'!$B$23</definedName>
    <definedName name="dms_E65_Projects_15">'E6. Telemetry'!$B$24</definedName>
    <definedName name="dms_EB">'AER ETL'!$C$73</definedName>
    <definedName name="dms_EB_RAB_PIT">'AER NRs'!$C$154:$C$159</definedName>
    <definedName name="dms_End">'AER NRs'!$E$178</definedName>
    <definedName name="dms_F030101_Rows">'F3. Revenue'!$B$12:$B$86</definedName>
    <definedName name="dms_F030101_Values">'F3. Revenue'!$C$12:$I$86</definedName>
    <definedName name="dms_F030102_Rows">'F3. Revenue'!$B$93:$B$112</definedName>
    <definedName name="dms_F030102_Values">'F3. Revenue'!$C$93:$I$112</definedName>
    <definedName name="dms_F030103_Rows">'F3. Revenue'!$B$118:$B$137</definedName>
    <definedName name="dms_F030103_Values">'F3. Revenue'!$C$118:$I$137</definedName>
    <definedName name="dms_F0302_Rows">'F3. Revenue'!$B$144:$B$163</definedName>
    <definedName name="dms_F0302_Values">'F3. Revenue'!$C$144:$I$163</definedName>
    <definedName name="dms_F0303_Rows">'F3. Revenue'!$B$171:$B$176</definedName>
    <definedName name="dms_F0303_Values">'F3. Revenue'!$C$171:$I$176</definedName>
    <definedName name="dms_F0304_Rows">'F3. Revenue'!$B$184:$B$189</definedName>
    <definedName name="dms_F0304_Values">'F3. Revenue'!$C$184:$I$189</definedName>
    <definedName name="dms_F0305_Rows">'F3. Revenue'!$B$197</definedName>
    <definedName name="dms_F0305_Values">'F3. Revenue'!$C$197:$I$197</definedName>
    <definedName name="dms_FeederName_1">'AER lookups'!$AF$16:$AF$29</definedName>
    <definedName name="dms_FeederName_2">'AER lookups'!$AG$16:$AG$29</definedName>
    <definedName name="dms_FeederName_3">'AER lookups'!$AH$16:$AH$29</definedName>
    <definedName name="dms_FeederName_4">'AER lookups'!$AI$16:$AI$29</definedName>
    <definedName name="dms_FeederName_5">'AER lookups'!$AJ$16:$AJ$29</definedName>
    <definedName name="dms_FeederType_5_flag">'AER lookups'!$AE$16:$AE$29</definedName>
    <definedName name="dms_FifthFeeder_flag_NSP">'AER ETL'!$C$126</definedName>
    <definedName name="dms_FormControl">'AER ETL'!$C$35</definedName>
    <definedName name="dms_FormControl_Choices">'AER NRs'!$D$14:$D$17</definedName>
    <definedName name="dms_FormControl_List">'AER lookups'!$I$16:$I$29</definedName>
    <definedName name="dms_FRCP_start_row">'AER ETL'!$C$40</definedName>
    <definedName name="dms_FRCP_y1">'AER lookups'!$H$52</definedName>
    <definedName name="dms_FRCPlength_List">'AER lookups'!$M$16:$M$29</definedName>
    <definedName name="dms_FRCPlength_Num">'AER ETL'!$C$71</definedName>
    <definedName name="dms_Header_Span">'AER ETL'!$C$61</definedName>
    <definedName name="dms_Jurisdiction">'AER ETL'!$C$27</definedName>
    <definedName name="dms_JurisdictionList">'AER lookups'!$F$16:$F$29</definedName>
    <definedName name="dms_LeapYear_Result">'AER ETL'!$C$99</definedName>
    <definedName name="dms_LongRural_flag">'AER lookups'!$AD$16:$AD$29</definedName>
    <definedName name="dms_LongRural_flag_NSP">'AER ETL'!$C$125</definedName>
    <definedName name="dms_Mid">'AER NRs'!$D$178</definedName>
    <definedName name="dms_Model">'AER ETL'!$C$12</definedName>
    <definedName name="dms_Model_List">'AER lookups'!$B$36:$B$47</definedName>
    <definedName name="dms_Model_Name_Format1">'AER lookups'!$C$36:$C$47</definedName>
    <definedName name="dms_Model_Span">'AER ETL'!$C$57</definedName>
    <definedName name="dms_Model_Span_List">'AER lookups'!$E$36:$E$47</definedName>
    <definedName name="dms_Multi_RYE_flag">'AER ETL'!$C$136</definedName>
    <definedName name="dms_MultiYear_ABC_RIN">'AER ETL'!$C$83</definedName>
    <definedName name="dms_MultiYear_FinalYear_Result">'AER ETL'!$C$81</definedName>
    <definedName name="dms_MultiYear_Flag">'AER ETL'!$C$64</definedName>
    <definedName name="dms_MultiYear_ResponseFlag">'AER ETL'!$C$63</definedName>
    <definedName name="dms_N0101_Rows">'N1. Demand'!$B$11:$B$13</definedName>
    <definedName name="dms_N0101_Values">'N1. Demand'!$C$11:$I$13</definedName>
    <definedName name="dms_N0102_Rows">'N1. Demand'!$B$22:$B$96</definedName>
    <definedName name="dms_N0102_Values">'N1. Demand'!$C$22:$I$96</definedName>
    <definedName name="dms_N020101_Rows">'N2. Network characteristics'!$C$12:$C$23</definedName>
    <definedName name="dms_N020101_Values">'N2. Network characteristics'!$D$12:$J$23</definedName>
    <definedName name="dms_N020102_Values">'N2. Network characteristics'!$D$25:$J$36</definedName>
    <definedName name="dms_N020103_Values">'N2. Network characteristics'!$D$38:$J$49</definedName>
    <definedName name="dms_N020104_Rows">'N2. Network characteristics'!$C$51:$C$52</definedName>
    <definedName name="dms_N020104_Values">'N2. Network characteristics'!$D$51:$J$52</definedName>
    <definedName name="dms_N020201_Rows">'N2. Network characteristics'!$C$61:$C$63</definedName>
    <definedName name="dms_N020201_Values">'N2. Network characteristics'!$D$61:$J$63</definedName>
    <definedName name="dms_N0205_AssetType">'AER NRs'!$N$34:$N$44</definedName>
    <definedName name="dms_PAddr1">'Business &amp; other details'!$BQ$22</definedName>
    <definedName name="dms_PAddr1_List">'AER lookups'!$V$16:$V$29</definedName>
    <definedName name="dms_PAddr2">'Business &amp; other details'!$BQ$23</definedName>
    <definedName name="dms_PAddr2_List">'AER lookups'!$W$16:$W$29</definedName>
    <definedName name="dms_Partial">'AER ETL'!$C$132</definedName>
    <definedName name="dms_PostCode">'Business &amp; other details'!$AX$25</definedName>
    <definedName name="dms_PostCode_List">'AER lookups'!$U$16:$U$29</definedName>
    <definedName name="dms_PPostCode">'Business &amp; other details'!$CC$25</definedName>
    <definedName name="dms_PPostCode_List">'AER lookups'!$Z$16:$Z$29</definedName>
    <definedName name="dms_PRCP_start_row">'AER ETL'!$C$42</definedName>
    <definedName name="dms_PRCPlength_List">'AER lookups'!$N$16:$N$29</definedName>
    <definedName name="dms_PRCPlength_Num">'AER ETL'!$C$69</definedName>
    <definedName name="dms_Previous_DollarReal_year">'AER ETL'!$C$53</definedName>
    <definedName name="dms_PState">'Business &amp; other details'!$BQ$25</definedName>
    <definedName name="dms_PState_List">'AER lookups'!$Y$16:$Y$29</definedName>
    <definedName name="dms_PSuburb">'Business &amp; other details'!$BQ$24</definedName>
    <definedName name="dms_PSuburb_List">'AER lookups'!$X$16:$X$29</definedName>
    <definedName name="dms_PTRM_RAB_PIT">'AER NRs'!$C$181:$C$185</definedName>
    <definedName name="dms_PTRM_TAB_PIT">'AER NRs'!$D$181:$D$184</definedName>
    <definedName name="dms_Public_Lighting">'AER ETL'!$C$121</definedName>
    <definedName name="dms_Public_Lighting_List">'AER lookups'!$AK$16:$AK$29</definedName>
    <definedName name="dms_Reason_Interruption">'AER NRs'!$I$34:$I$49</definedName>
    <definedName name="dms_Reset_final_year">'AER ETL'!$C$50</definedName>
    <definedName name="dms_Reset_RYE">'AER ETL'!$C$55</definedName>
    <definedName name="dms_Reset_Span">'AER ETL'!$C$59</definedName>
    <definedName name="dms_RPT">'AER ETL'!$C$24</definedName>
    <definedName name="dms_RPT_List">'AER lookups'!$J$16:$J$29</definedName>
    <definedName name="dms_RPTMonth">'AER ETL'!$C$31</definedName>
    <definedName name="dms_RPTMonth_List">'AER lookups'!$K$16:$K$29</definedName>
    <definedName name="dms_RYE">'AER ETL'!$C$23</definedName>
    <definedName name="dms_RYE_01">'AER ETL'!$C$138</definedName>
    <definedName name="dms_RYE_02">'AER ETL'!$C$139</definedName>
    <definedName name="dms_RYE_03">'AER ETL'!$C$140</definedName>
    <definedName name="dms_RYE_04">'AER ETL'!$C$141</definedName>
    <definedName name="dms_RYE_05">'AER ETL'!$C$142</definedName>
    <definedName name="dms_RYE_06">'AER ETL'!$C$143</definedName>
    <definedName name="dms_RYE_07">'AER ETL'!$C$144</definedName>
    <definedName name="dms_RYE_08">'AER ETL'!$C$145</definedName>
    <definedName name="dms_RYE_09">'AER ETL'!$C$146</definedName>
    <definedName name="dms_RYE_result">'AER ETL'!$C$58</definedName>
    <definedName name="dms_RYE_start_row">'AER ETL'!$C$43</definedName>
    <definedName name="dms_S0101_Rows">'S1. Cust. no.-by type'!$B$11:$B$14</definedName>
    <definedName name="dms_S010101_Values">'S1. Cust. no.-by type'!$C$11:$I$14</definedName>
    <definedName name="dms_S010102_Values">'S1. Cust. no.-by type'!$C$16:$I$19</definedName>
    <definedName name="dms_S010103_Values">'S1. Cust. no.-by type'!$C$21:$I$24</definedName>
    <definedName name="dms_S0102_Rows">'S1.2 Cust. no.-by tariff'!$B$11:$B$85</definedName>
    <definedName name="dms_S010201_Values">'S1.2 Cust. no.-by tariff'!$C$11:$I$85</definedName>
    <definedName name="dms_S010202_Values">'S1.2 Cust. no.-by tariff'!$C$92:$I$166</definedName>
    <definedName name="dms_S010203_Values">'S1.2 Cust. no.-by tariff'!$C$173:$I$247</definedName>
    <definedName name="dms_S010204_Values">'S1.2 Cust. no.-by tariff'!$C$254:$I$328</definedName>
    <definedName name="dms_S0103_Rows">'S1. Cust. no.-by type'!$B$32:$B$35</definedName>
    <definedName name="dms_S010301_Values">'S1. Cust. no.-by type'!$C$32:$I$35</definedName>
    <definedName name="dms_S010302_Values">'S1. Cust. no.-by type'!$C$37:$I$40</definedName>
    <definedName name="dms_S010303_Values">'S1. Cust. no.-by type'!$C$42:$I$45</definedName>
    <definedName name="dms_S0104_Rows">'S1. Cust. no.-by type'!$B$52:$B$53</definedName>
    <definedName name="dms_S010401_Values">'S1. Cust. no.-by type'!$C$52:$I$53</definedName>
    <definedName name="dms_S010402_Values">'S1. Cust. no.-by type'!$C$55:$I$56</definedName>
    <definedName name="dms_S010403_Values">'S1. Cust. no.-by type'!$C$58:$I$59</definedName>
    <definedName name="dms_S0105_Rows">'S1. Cust. no.-by type'!$B$66:$B$67</definedName>
    <definedName name="dms_S010501_Values">'S1. Cust. no.-by type'!$C$66:$I$67</definedName>
    <definedName name="dms_S010502_Values">'S1. Cust. no.-by type'!$C$69:$I$70</definedName>
    <definedName name="dms_S010503_Values">'S1. Cust. no.-by type'!$C$72:$I$73</definedName>
    <definedName name="dms_S100101_Rows">'S10. Supply Quality'!$B$10:$B$14</definedName>
    <definedName name="dms_S100101_Values">'S10. Supply Quality'!$C$10:$I$14</definedName>
    <definedName name="dms_S1101_Rows">'S11. Network reliability'!$B$11:$B$13</definedName>
    <definedName name="dms_S110101_Values">'S11. Network reliability'!$C$11:$I$13</definedName>
    <definedName name="dms_S110102_Values">'S11. Network reliability'!$C$18:$I$20</definedName>
    <definedName name="dms_S1103_Rows">'S11. Network reliability'!$B$28:$B$37</definedName>
    <definedName name="dms_S1103_Values">'S11. Network reliability'!$C$28:$I$37</definedName>
    <definedName name="dms_S140101_UOM">'AER NRs'!$M$86:$M$89</definedName>
    <definedName name="dms_S140201_UOM">'AER NRs'!$N$86:$N$88</definedName>
    <definedName name="dms_Sector">'AER ETL'!$C$21</definedName>
    <definedName name="dms_Sector_List">'AER lookups'!$G$16:$G$29</definedName>
    <definedName name="dms_Segment">'AER ETL'!$C$22</definedName>
    <definedName name="dms_Segment_List">'AER lookups'!$H$16:$H$29</definedName>
    <definedName name="dms_Selected_Quality">'Business &amp; other details'!$AL$67</definedName>
    <definedName name="dms_Selected_Source">'Business &amp; other details'!$AL$65</definedName>
    <definedName name="dms_Selected_Status">'Business &amp; other details'!$AL$69</definedName>
    <definedName name="dms_ShortRural_flag">'AER lookups'!$AC$16:$AC$29</definedName>
    <definedName name="dms_ShortRural_flag_NSP">'AER ETL'!$C$124</definedName>
    <definedName name="dms_SingleYear_FinalYear_Result">'AER ETL'!$C$77</definedName>
    <definedName name="dms_SingleYear_Model">'AER ETL'!$C$73:$C$75</definedName>
    <definedName name="dms_SingleYearModel">'AER ETL'!$C$76</definedName>
    <definedName name="dms_Source">'AER ETL'!$C$13</definedName>
    <definedName name="dms_SourceList">'AER NRs'!$C$14:$C$29</definedName>
    <definedName name="dms_Specified_FinalYear">'AER ETL'!$C$65</definedName>
    <definedName name="dms_Specified_RYE">'AER ETL'!$C$56</definedName>
    <definedName name="dms_SpecifiedYear_final_year">'AER ETL'!$C$51</definedName>
    <definedName name="dms_SpecifiedYear_Span">'AER ETL'!$C$60</definedName>
    <definedName name="dms_start_year">'AER ETL'!$C$37</definedName>
    <definedName name="dms_State">'Business &amp; other details'!$AL$25</definedName>
    <definedName name="dms_State_List">'AER lookups'!$T$16:$T$29</definedName>
    <definedName name="dms_STPIS_Exclusion_List">'AER NRs'!$H$34:$H$43</definedName>
    <definedName name="dms_SubmissionDate">'AER ETL'!$C$17</definedName>
    <definedName name="dms_Suburb">'Business &amp; other details'!$AL$24</definedName>
    <definedName name="dms_Suburb_List">'AER lookups'!$S$16:$S$29</definedName>
    <definedName name="dms_TemplateNumber">'AER lookups'!$D$9</definedName>
    <definedName name="dms_TNSP_0203_ProjectTrigger">'AER NRs'!$G$67:$G$74</definedName>
    <definedName name="dms_TNSP_0203_SubstationType">'AER NRs'!$C$67:$C$70</definedName>
    <definedName name="dms_TNSP_020301_ProjectTrigger">'AER NRs'!$E$67:$E$74</definedName>
    <definedName name="dms_TNSP_020301_ProjectType">'AER NRs'!$D$67:$D$70</definedName>
    <definedName name="dms_TNSP_020302_ProjectType">'AER NRs'!$F$67:$F$79</definedName>
    <definedName name="dms_Today">'AER lookups'!$A$15</definedName>
    <definedName name="dms_TradingName">'Business &amp; other details'!$AL$16</definedName>
    <definedName name="dms_TradingName_List">'AER lookups'!$B$16:$B$29</definedName>
    <definedName name="dms_TradingNameFull">'AER ETL'!$C$9</definedName>
    <definedName name="dms_TradingNameFull_List">'AER lookups'!$C$16:$C$29</definedName>
    <definedName name="dms_Typed_Submission_Date">'Business &amp; other details'!$AL$73</definedName>
    <definedName name="dms_UID">'AER ETL'!$C$11</definedName>
    <definedName name="dms_UniqueID" localSheetId="27">'AER ETL'!$C$11</definedName>
    <definedName name="dms_UniqueID_List">'AER lookups'!$E$16:$E$29</definedName>
    <definedName name="dms_Urban_flag">'AER lookups'!$AB$16:$AB$29</definedName>
    <definedName name="dms_Urban_flag_NSP">'AER ETL'!$C$123</definedName>
    <definedName name="dms_Worksheet_List">'AER lookups'!$D$36:$D$47</definedName>
    <definedName name="DMS_Xfactor">'AER NRs'!$E$181</definedName>
    <definedName name="dms_y1">'AER lookups'!$E$91</definedName>
    <definedName name="dms_y10">'AER lookups'!$E$100</definedName>
    <definedName name="dms_y11">'AER lookups'!$E$101</definedName>
    <definedName name="dms_y12">'AER lookups'!$E$102</definedName>
    <definedName name="dms_y13">'AER lookups'!$E$103</definedName>
    <definedName name="dms_y14">'AER lookups'!$E$104</definedName>
    <definedName name="dms_y15">'AER lookups'!$E$105</definedName>
    <definedName name="dms_y16">'AER lookups'!$E$106</definedName>
    <definedName name="dms_y2">'AER lookups'!$E$92</definedName>
    <definedName name="dms_y26">'AER lookups'!$E$116</definedName>
    <definedName name="dms_y27">'AER lookups'!$E$117</definedName>
    <definedName name="dms_y28">'AER lookups'!$E$118</definedName>
    <definedName name="dms_y3">'AER lookups'!$E$93</definedName>
    <definedName name="dms_y4">'AER lookups'!$E$94</definedName>
    <definedName name="dms_y5">'AER lookups'!$E$95</definedName>
    <definedName name="dms_y6">'AER lookups'!$E$96</definedName>
    <definedName name="dms_y7">'AER lookups'!$E$97</definedName>
    <definedName name="dms_y8">'AER lookups'!$E$98</definedName>
    <definedName name="dms_y9">'AER lookups'!$E$99</definedName>
    <definedName name="EB">'AER lookups'!$C$40</definedName>
    <definedName name="EB_Fmt2">'AER lookups'!$D$40</definedName>
    <definedName name="Financial">'AER lookups'!$B$52:$B$121</definedName>
    <definedName name="FRCP_final_year">'AER ETL'!$C$47</definedName>
    <definedName name="FRCP_start_year">'AER ETL'!$C$44</definedName>
    <definedName name="FRCP_y1">'Business &amp; other details'!$AL$41</definedName>
    <definedName name="FRCP_y10">'AER lookups'!$I$61</definedName>
    <definedName name="FRCP_y11">'AER lookups'!$I$62</definedName>
    <definedName name="FRCP_y12">'AER lookups'!$I$63</definedName>
    <definedName name="FRCP_y13">'AER lookups'!$I$64</definedName>
    <definedName name="FRCP_y14">'AER lookups'!$I$65</definedName>
    <definedName name="FRCP_y2">'AER lookups'!$I$53</definedName>
    <definedName name="FRCP_y3">'AER lookups'!$I$54</definedName>
    <definedName name="FRCP_y4">'AER lookups'!$I$55</definedName>
    <definedName name="FRCP_y5">'AER lookups'!$I$56</definedName>
    <definedName name="FRCP_y6">'AER lookups'!$I$57</definedName>
    <definedName name="FRCP_y7">'AER lookups'!$I$58</definedName>
    <definedName name="FRCP_y8">'AER lookups'!$I$59</definedName>
    <definedName name="FRCP_y9">'AER lookups'!$I$60</definedName>
    <definedName name="FRY">'Business &amp; other details'!$AL$57</definedName>
    <definedName name="JurisdictionList">'AER CF'!$C$7:$C$9</definedName>
    <definedName name="PRCP_final_year">'AER ETL'!$C$49</definedName>
    <definedName name="PRCP_start_year">'AER ETL'!$C$46</definedName>
    <definedName name="PRCP_y1">'AER lookups'!$E$52</definedName>
    <definedName name="PRCP_y10">'AER lookups'!$E$61</definedName>
    <definedName name="PRCP_y11">'AER lookups'!$E$62</definedName>
    <definedName name="PRCP_y12">'AER lookups'!$E$63</definedName>
    <definedName name="PRCP_y13">'AER lookups'!$E$64</definedName>
    <definedName name="PRCP_y14">'AER lookups'!$E$65</definedName>
    <definedName name="PRCP_y15">'AER lookups'!$E$66</definedName>
    <definedName name="PRCP_y16">'AER lookups'!$E$67</definedName>
    <definedName name="PRCP_y2">'AER lookups'!$E$53</definedName>
    <definedName name="PRCP_y3">'AER lookups'!$E$54</definedName>
    <definedName name="PRCP_y4">'AER lookups'!$E$55</definedName>
    <definedName name="PRCP_y5">'AER lookups'!$E$56</definedName>
    <definedName name="PRCP_y6">'AER lookups'!$E$57</definedName>
    <definedName name="PRCP_y7">'AER lookups'!$E$58</definedName>
    <definedName name="PRCP_y8">'AER lookups'!$E$59</definedName>
    <definedName name="PRCP_y9">'AER lookups'!$E$60</definedName>
    <definedName name="Pricing">'AER lookups'!$C$42</definedName>
    <definedName name="Pricing_Fmt2">'AER lookups'!$D$42</definedName>
    <definedName name="_xlnm.Print_Area" localSheetId="1">CONTENTS!$B$1:$E$38</definedName>
    <definedName name="PTRM">'AER lookups'!$C$44</definedName>
    <definedName name="PTRM_Fmt2">'AER lookups'!$D$44</definedName>
    <definedName name="Reset">'AER lookups'!$C$45</definedName>
    <definedName name="Reset_Fmt2">'AER lookups'!$D$45</definedName>
    <definedName name="RFM">'AER lookups'!$C$46</definedName>
    <definedName name="RFM_Fmt2">'AER lookups'!$D$46</definedName>
    <definedName name="Sector">'AER CF'!$D$7:$D$9</definedName>
    <definedName name="Segment">'AER CF'!$E$7:$E$9</definedName>
    <definedName name="WACC">'AER lookups'!$C$47</definedName>
    <definedName name="WACC_Fmt2">'AER lookups'!$D$47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6" i="28" l="1"/>
  <c r="C104" i="28"/>
  <c r="C125" i="28"/>
  <c r="C124" i="28"/>
  <c r="C123" i="28"/>
  <c r="C122" i="28"/>
  <c r="C121" i="28"/>
  <c r="C120" i="28"/>
  <c r="C114" i="28"/>
  <c r="C113" i="28"/>
  <c r="C111" i="28"/>
  <c r="C105" i="28"/>
  <c r="C100" i="28"/>
  <c r="C102" i="28"/>
  <c r="C99" i="28"/>
  <c r="C101" i="28"/>
  <c r="C98" i="28"/>
  <c r="C95" i="28"/>
  <c r="C94" i="28"/>
  <c r="C93" i="28"/>
  <c r="C91" i="28"/>
  <c r="C92" i="28"/>
  <c r="C90" i="28"/>
  <c r="C83" i="28"/>
  <c r="C75" i="28"/>
  <c r="C74" i="28"/>
  <c r="C76" i="28"/>
  <c r="C73" i="28"/>
  <c r="C71" i="28"/>
  <c r="C70" i="28"/>
  <c r="C69" i="28"/>
  <c r="C64" i="28"/>
  <c r="C60" i="28"/>
  <c r="C57" i="28"/>
  <c r="C56" i="28"/>
  <c r="C54" i="28"/>
  <c r="C51" i="28"/>
  <c r="C37" i="28"/>
  <c r="C35" i="28"/>
  <c r="C31" i="28"/>
  <c r="C30" i="28"/>
  <c r="C29" i="28"/>
  <c r="C27" i="28"/>
  <c r="C24" i="28"/>
  <c r="C22" i="28"/>
  <c r="C87" i="28"/>
  <c r="C21" i="28"/>
  <c r="C17" i="28"/>
  <c r="C16" i="28"/>
  <c r="C11" i="28"/>
  <c r="C10" i="28"/>
  <c r="C9" i="28"/>
  <c r="H52" i="27"/>
  <c r="D40" i="27"/>
  <c r="D37" i="27"/>
  <c r="D36" i="27"/>
  <c r="AL29" i="27"/>
  <c r="AL28" i="27"/>
  <c r="AL27" i="27"/>
  <c r="AL26" i="27"/>
  <c r="AL25" i="27"/>
  <c r="AL24" i="27"/>
  <c r="AL23" i="27"/>
  <c r="AL22" i="27"/>
  <c r="AL21" i="27"/>
  <c r="AL20" i="27"/>
  <c r="AL19" i="27"/>
  <c r="AL18" i="27"/>
  <c r="AL17" i="27"/>
  <c r="AL16" i="27"/>
  <c r="G214" i="26"/>
  <c r="F214" i="26"/>
  <c r="E214" i="26"/>
  <c r="D214" i="26"/>
  <c r="M209" i="26"/>
  <c r="L209" i="26"/>
  <c r="K209" i="26"/>
  <c r="J209" i="26"/>
  <c r="I209" i="26"/>
  <c r="H209" i="26"/>
  <c r="G209" i="26"/>
  <c r="F209" i="26"/>
  <c r="E209" i="26"/>
  <c r="D209" i="26"/>
  <c r="V2" i="26"/>
  <c r="U5" i="25"/>
  <c r="I190" i="23"/>
  <c r="H190" i="23"/>
  <c r="G190" i="23"/>
  <c r="F190" i="23"/>
  <c r="E190" i="23"/>
  <c r="D190" i="23"/>
  <c r="C190" i="23"/>
  <c r="C197" i="23"/>
  <c r="I177" i="23"/>
  <c r="I197" i="23"/>
  <c r="H177" i="23"/>
  <c r="H197" i="23"/>
  <c r="G177" i="23"/>
  <c r="F177" i="23"/>
  <c r="E177" i="23"/>
  <c r="D177" i="23"/>
  <c r="C177" i="23"/>
  <c r="I164" i="23"/>
  <c r="H164" i="23"/>
  <c r="G164" i="23"/>
  <c r="F164" i="23"/>
  <c r="E164" i="23"/>
  <c r="D164" i="23"/>
  <c r="C164" i="23"/>
  <c r="I87" i="23"/>
  <c r="H87" i="23"/>
  <c r="G87" i="23"/>
  <c r="F87" i="23"/>
  <c r="E87" i="23"/>
  <c r="D87" i="23"/>
  <c r="C87" i="23"/>
  <c r="B86" i="23"/>
  <c r="B85" i="23"/>
  <c r="B84" i="23"/>
  <c r="B83" i="23"/>
  <c r="B82" i="23"/>
  <c r="B81" i="23"/>
  <c r="B80" i="23"/>
  <c r="B79" i="23"/>
  <c r="B78" i="23"/>
  <c r="B77" i="23"/>
  <c r="B76" i="23"/>
  <c r="B75" i="23"/>
  <c r="B74" i="23"/>
  <c r="B73" i="23"/>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1" i="23"/>
  <c r="I38" i="22"/>
  <c r="H38" i="22"/>
  <c r="G38" i="22"/>
  <c r="F38" i="22"/>
  <c r="E38" i="22"/>
  <c r="D38" i="22"/>
  <c r="C38" i="22"/>
  <c r="B1" i="22"/>
  <c r="B1" i="21"/>
  <c r="I329" i="20"/>
  <c r="H329" i="20"/>
  <c r="G329" i="20"/>
  <c r="F329" i="20"/>
  <c r="E329" i="20"/>
  <c r="D329" i="20"/>
  <c r="C329" i="20"/>
  <c r="I248" i="20"/>
  <c r="H248" i="20"/>
  <c r="G248" i="20"/>
  <c r="F248" i="20"/>
  <c r="E248" i="20"/>
  <c r="D248" i="20"/>
  <c r="C248" i="20"/>
  <c r="I167" i="20"/>
  <c r="H167" i="20"/>
  <c r="G167" i="20"/>
  <c r="F167" i="20"/>
  <c r="E167" i="20"/>
  <c r="D167" i="20"/>
  <c r="C167" i="20"/>
  <c r="I86" i="20"/>
  <c r="H86" i="20"/>
  <c r="G86" i="20"/>
  <c r="F86" i="20"/>
  <c r="E86" i="20"/>
  <c r="D86" i="20"/>
  <c r="C86" i="20"/>
  <c r="B1" i="20"/>
  <c r="B1" i="19"/>
  <c r="J64" i="18"/>
  <c r="I64" i="18"/>
  <c r="H64" i="18"/>
  <c r="G64" i="18"/>
  <c r="F64" i="18"/>
  <c r="E64" i="18"/>
  <c r="D64" i="18"/>
  <c r="J53" i="18"/>
  <c r="I53" i="18"/>
  <c r="H53" i="18"/>
  <c r="G53" i="18"/>
  <c r="F53" i="18"/>
  <c r="E53" i="18"/>
  <c r="D53" i="18"/>
  <c r="B1" i="18"/>
  <c r="I97" i="17"/>
  <c r="H97" i="17"/>
  <c r="G97" i="17"/>
  <c r="F97" i="17"/>
  <c r="E97" i="17"/>
  <c r="D97" i="17"/>
  <c r="C97" i="17"/>
  <c r="I14" i="17"/>
  <c r="H14" i="17"/>
  <c r="G14" i="17"/>
  <c r="F14" i="17"/>
  <c r="E14" i="17"/>
  <c r="D14" i="17"/>
  <c r="C14" i="17"/>
  <c r="B1" i="17"/>
  <c r="B1" i="16"/>
  <c r="I49" i="15"/>
  <c r="H49" i="15"/>
  <c r="G49" i="15"/>
  <c r="F49" i="15"/>
  <c r="E49" i="15"/>
  <c r="D49" i="15"/>
  <c r="C49" i="15"/>
  <c r="I26" i="15"/>
  <c r="H26" i="15"/>
  <c r="G26" i="15"/>
  <c r="F26" i="15"/>
  <c r="E26" i="15"/>
  <c r="D26" i="15"/>
  <c r="C26" i="15"/>
  <c r="B1" i="15"/>
  <c r="L132" i="14"/>
  <c r="K132" i="14"/>
  <c r="J132" i="14"/>
  <c r="I132" i="14"/>
  <c r="H132" i="14"/>
  <c r="G132" i="14"/>
  <c r="F132" i="14"/>
  <c r="L101" i="14"/>
  <c r="K101" i="14"/>
  <c r="J101" i="14"/>
  <c r="I101" i="14"/>
  <c r="H101" i="14"/>
  <c r="G101" i="14"/>
  <c r="F101" i="14"/>
  <c r="L84" i="14"/>
  <c r="K84" i="14"/>
  <c r="J84" i="14"/>
  <c r="I84" i="14"/>
  <c r="H84" i="14"/>
  <c r="G84" i="14"/>
  <c r="F84" i="14"/>
  <c r="L53" i="14"/>
  <c r="K53" i="14"/>
  <c r="J53" i="14"/>
  <c r="I53" i="14"/>
  <c r="H53" i="14"/>
  <c r="G53" i="14"/>
  <c r="F53" i="14"/>
  <c r="H24" i="14"/>
  <c r="B9" i="14"/>
  <c r="B1" i="14"/>
  <c r="J71" i="13"/>
  <c r="L24" i="14"/>
  <c r="I71" i="13"/>
  <c r="K24" i="14"/>
  <c r="H71" i="13"/>
  <c r="J24" i="14"/>
  <c r="G71" i="13"/>
  <c r="I24" i="14"/>
  <c r="F71" i="13"/>
  <c r="E71" i="13"/>
  <c r="G24" i="14"/>
  <c r="D71" i="13"/>
  <c r="F24" i="14"/>
  <c r="J38" i="13"/>
  <c r="I38" i="13"/>
  <c r="H38" i="13"/>
  <c r="G38" i="13"/>
  <c r="F38" i="13"/>
  <c r="E38" i="13"/>
  <c r="D38" i="13"/>
  <c r="J22" i="13"/>
  <c r="I22" i="13"/>
  <c r="H22" i="13"/>
  <c r="G22" i="13"/>
  <c r="F22" i="13"/>
  <c r="E22" i="13"/>
  <c r="D22" i="13"/>
  <c r="B1" i="13"/>
  <c r="I125" i="12"/>
  <c r="H125" i="12"/>
  <c r="G125" i="12"/>
  <c r="F125" i="12"/>
  <c r="E125" i="12"/>
  <c r="D125" i="12"/>
  <c r="C125" i="12"/>
  <c r="I106" i="12"/>
  <c r="H106" i="12"/>
  <c r="G106" i="12"/>
  <c r="F106" i="12"/>
  <c r="E106" i="12"/>
  <c r="D106" i="12"/>
  <c r="C106" i="12"/>
  <c r="I102" i="12"/>
  <c r="H102" i="12"/>
  <c r="G102" i="12"/>
  <c r="F102" i="12"/>
  <c r="E102" i="12"/>
  <c r="D102" i="12"/>
  <c r="C102" i="12"/>
  <c r="I83" i="12"/>
  <c r="H83" i="12"/>
  <c r="G83" i="12"/>
  <c r="F83" i="12"/>
  <c r="E83" i="12"/>
  <c r="D83" i="12"/>
  <c r="C83" i="12"/>
  <c r="I64" i="12"/>
  <c r="H64" i="12"/>
  <c r="G64" i="12"/>
  <c r="F64" i="12"/>
  <c r="E64" i="12"/>
  <c r="D64" i="12"/>
  <c r="C64" i="12"/>
  <c r="I45" i="12"/>
  <c r="H45" i="12"/>
  <c r="G45" i="12"/>
  <c r="F45" i="12"/>
  <c r="E45" i="12"/>
  <c r="D45" i="12"/>
  <c r="C45" i="12"/>
  <c r="B2" i="12"/>
  <c r="B1" i="12"/>
  <c r="I125" i="11"/>
  <c r="H125" i="11"/>
  <c r="G125" i="11"/>
  <c r="F125" i="11"/>
  <c r="E125" i="11"/>
  <c r="D125" i="11"/>
  <c r="C125" i="11"/>
  <c r="I106" i="11"/>
  <c r="H106" i="11"/>
  <c r="G106" i="11"/>
  <c r="F106" i="11"/>
  <c r="E106" i="11"/>
  <c r="D106" i="11"/>
  <c r="C106" i="11"/>
  <c r="I102" i="11"/>
  <c r="H102" i="11"/>
  <c r="G102" i="11"/>
  <c r="F102" i="11"/>
  <c r="E102" i="11"/>
  <c r="D102" i="11"/>
  <c r="C102" i="11"/>
  <c r="I83" i="11"/>
  <c r="H83" i="11"/>
  <c r="G83" i="11"/>
  <c r="F83" i="11"/>
  <c r="E83" i="11"/>
  <c r="D83" i="11"/>
  <c r="C83" i="11"/>
  <c r="I64" i="11"/>
  <c r="H64" i="11"/>
  <c r="G64" i="11"/>
  <c r="F64" i="11"/>
  <c r="E64" i="11"/>
  <c r="D64" i="11"/>
  <c r="C64" i="11"/>
  <c r="I45" i="11"/>
  <c r="H45" i="11"/>
  <c r="G45" i="11"/>
  <c r="F45" i="11"/>
  <c r="E45" i="11"/>
  <c r="D45" i="11"/>
  <c r="C45" i="11"/>
  <c r="B1" i="11"/>
  <c r="I33" i="10"/>
  <c r="H33" i="10"/>
  <c r="G33" i="10"/>
  <c r="F33" i="10"/>
  <c r="E33" i="10"/>
  <c r="D33" i="10"/>
  <c r="C33" i="10"/>
  <c r="I29" i="10"/>
  <c r="H29" i="10"/>
  <c r="G29" i="10"/>
  <c r="F29" i="10"/>
  <c r="E29" i="10"/>
  <c r="D29" i="10"/>
  <c r="C29" i="10"/>
  <c r="I18" i="10"/>
  <c r="H18" i="10"/>
  <c r="G18" i="10"/>
  <c r="F18" i="10"/>
  <c r="E18" i="10"/>
  <c r="D18" i="10"/>
  <c r="C18" i="10"/>
  <c r="I14" i="10"/>
  <c r="H14" i="10"/>
  <c r="G14" i="10"/>
  <c r="F14" i="10"/>
  <c r="E14" i="10"/>
  <c r="D14" i="10"/>
  <c r="C14" i="10"/>
  <c r="B1" i="10"/>
  <c r="I128" i="9"/>
  <c r="H128" i="9"/>
  <c r="G128" i="9"/>
  <c r="F128" i="9"/>
  <c r="E128" i="9"/>
  <c r="D128" i="9"/>
  <c r="C128" i="9"/>
  <c r="I109" i="9"/>
  <c r="H109" i="9"/>
  <c r="G109" i="9"/>
  <c r="F109" i="9"/>
  <c r="E109" i="9"/>
  <c r="D109" i="9"/>
  <c r="C109" i="9"/>
  <c r="I105" i="9"/>
  <c r="H105" i="9"/>
  <c r="G105" i="9"/>
  <c r="F105" i="9"/>
  <c r="E105" i="9"/>
  <c r="D105" i="9"/>
  <c r="C105" i="9"/>
  <c r="I86" i="9"/>
  <c r="H86" i="9"/>
  <c r="G86" i="9"/>
  <c r="F86" i="9"/>
  <c r="E86" i="9"/>
  <c r="D86" i="9"/>
  <c r="C86" i="9"/>
  <c r="I67" i="9"/>
  <c r="H67" i="9"/>
  <c r="G67" i="9"/>
  <c r="F67" i="9"/>
  <c r="E67" i="9"/>
  <c r="D67" i="9"/>
  <c r="C67" i="9"/>
  <c r="I48" i="9"/>
  <c r="H48" i="9"/>
  <c r="G48" i="9"/>
  <c r="F48" i="9"/>
  <c r="E48" i="9"/>
  <c r="D48" i="9"/>
  <c r="C48" i="9"/>
  <c r="B1" i="9"/>
  <c r="J326" i="8"/>
  <c r="I326" i="8"/>
  <c r="H326" i="8"/>
  <c r="G326" i="8"/>
  <c r="F326" i="8"/>
  <c r="E326" i="8"/>
  <c r="D326" i="8"/>
  <c r="J314" i="8"/>
  <c r="I314" i="8"/>
  <c r="H314" i="8"/>
  <c r="G314" i="8"/>
  <c r="F314" i="8"/>
  <c r="E314" i="8"/>
  <c r="D314" i="8"/>
  <c r="J270" i="8"/>
  <c r="I270" i="8"/>
  <c r="H270" i="8"/>
  <c r="G270" i="8"/>
  <c r="F270" i="8"/>
  <c r="E270" i="8"/>
  <c r="D270" i="8"/>
  <c r="I223" i="8"/>
  <c r="H223" i="8"/>
  <c r="J222" i="8"/>
  <c r="I222" i="8"/>
  <c r="H222" i="8"/>
  <c r="G222" i="8"/>
  <c r="F222" i="8"/>
  <c r="E222" i="8"/>
  <c r="D222" i="8"/>
  <c r="J217" i="8"/>
  <c r="J223" i="8"/>
  <c r="I217" i="8"/>
  <c r="H217" i="8"/>
  <c r="G217" i="8"/>
  <c r="G223" i="8"/>
  <c r="F217" i="8"/>
  <c r="F223" i="8"/>
  <c r="E217" i="8"/>
  <c r="E223" i="8"/>
  <c r="D217" i="8"/>
  <c r="J212" i="8"/>
  <c r="I212" i="8"/>
  <c r="H212" i="8"/>
  <c r="G212" i="8"/>
  <c r="F212" i="8"/>
  <c r="E212" i="8"/>
  <c r="D212" i="8"/>
  <c r="D223" i="8"/>
  <c r="J207" i="8"/>
  <c r="I207" i="8"/>
  <c r="H207" i="8"/>
  <c r="G207" i="8"/>
  <c r="F207" i="8"/>
  <c r="E207" i="8"/>
  <c r="D207" i="8"/>
  <c r="J202" i="8"/>
  <c r="I202" i="8"/>
  <c r="H202" i="8"/>
  <c r="G202" i="8"/>
  <c r="F202" i="8"/>
  <c r="E202" i="8"/>
  <c r="D202" i="8"/>
  <c r="J197" i="8"/>
  <c r="I197" i="8"/>
  <c r="H197" i="8"/>
  <c r="G197" i="8"/>
  <c r="F197" i="8"/>
  <c r="E197" i="8"/>
  <c r="D197" i="8"/>
  <c r="J186" i="8"/>
  <c r="I186" i="8"/>
  <c r="H186" i="8"/>
  <c r="G186" i="8"/>
  <c r="F186" i="8"/>
  <c r="E186" i="8"/>
  <c r="D186" i="8"/>
  <c r="J181" i="8"/>
  <c r="I181" i="8"/>
  <c r="H181" i="8"/>
  <c r="G181" i="8"/>
  <c r="F181" i="8"/>
  <c r="F187" i="8"/>
  <c r="E181" i="8"/>
  <c r="E187" i="8"/>
  <c r="D181" i="8"/>
  <c r="D187" i="8"/>
  <c r="J176" i="8"/>
  <c r="J187" i="8"/>
  <c r="I176" i="8"/>
  <c r="I187" i="8"/>
  <c r="H176" i="8"/>
  <c r="G176" i="8"/>
  <c r="F176" i="8"/>
  <c r="E176" i="8"/>
  <c r="D176" i="8"/>
  <c r="J171" i="8"/>
  <c r="I171" i="8"/>
  <c r="H171" i="8"/>
  <c r="G171" i="8"/>
  <c r="F171" i="8"/>
  <c r="E171" i="8"/>
  <c r="D171" i="8"/>
  <c r="J166" i="8"/>
  <c r="I166" i="8"/>
  <c r="H166" i="8"/>
  <c r="G166" i="8"/>
  <c r="F166" i="8"/>
  <c r="E166" i="8"/>
  <c r="D166" i="8"/>
  <c r="J161" i="8"/>
  <c r="I161" i="8"/>
  <c r="H161" i="8"/>
  <c r="G161" i="8"/>
  <c r="F161" i="8"/>
  <c r="E161" i="8"/>
  <c r="D161" i="8"/>
  <c r="I151" i="8"/>
  <c r="J150" i="8"/>
  <c r="I150" i="8"/>
  <c r="H150" i="8"/>
  <c r="G150" i="8"/>
  <c r="F150" i="8"/>
  <c r="E150" i="8"/>
  <c r="D150" i="8"/>
  <c r="J145" i="8"/>
  <c r="I145" i="8"/>
  <c r="H145" i="8"/>
  <c r="G145" i="8"/>
  <c r="F145" i="8"/>
  <c r="E145" i="8"/>
  <c r="D145" i="8"/>
  <c r="D151" i="8"/>
  <c r="J140" i="8"/>
  <c r="J151" i="8"/>
  <c r="I140" i="8"/>
  <c r="H140" i="8"/>
  <c r="G140" i="8"/>
  <c r="F140" i="8"/>
  <c r="E140" i="8"/>
  <c r="D140" i="8"/>
  <c r="J135" i="8"/>
  <c r="I135" i="8"/>
  <c r="H135" i="8"/>
  <c r="G135" i="8"/>
  <c r="F135" i="8"/>
  <c r="E135" i="8"/>
  <c r="D135" i="8"/>
  <c r="J130" i="8"/>
  <c r="I130" i="8"/>
  <c r="H130" i="8"/>
  <c r="G130" i="8"/>
  <c r="F130" i="8"/>
  <c r="E130" i="8"/>
  <c r="D130" i="8"/>
  <c r="J125" i="8"/>
  <c r="I125" i="8"/>
  <c r="H125" i="8"/>
  <c r="G125" i="8"/>
  <c r="F125" i="8"/>
  <c r="E125" i="8"/>
  <c r="D125" i="8"/>
  <c r="J114" i="8"/>
  <c r="I114" i="8"/>
  <c r="H114" i="8"/>
  <c r="G114" i="8"/>
  <c r="F114" i="8"/>
  <c r="E114" i="8"/>
  <c r="D114" i="8"/>
  <c r="J109" i="8"/>
  <c r="J115" i="8"/>
  <c r="I109" i="8"/>
  <c r="I115" i="8"/>
  <c r="H109" i="8"/>
  <c r="H115" i="8"/>
  <c r="G109" i="8"/>
  <c r="F109" i="8"/>
  <c r="E109" i="8"/>
  <c r="D109" i="8"/>
  <c r="J104" i="8"/>
  <c r="I104" i="8"/>
  <c r="H104" i="8"/>
  <c r="G104" i="8"/>
  <c r="F104" i="8"/>
  <c r="E104" i="8"/>
  <c r="D104" i="8"/>
  <c r="D115" i="8"/>
  <c r="J99" i="8"/>
  <c r="I99" i="8"/>
  <c r="H99" i="8"/>
  <c r="G99" i="8"/>
  <c r="F99" i="8"/>
  <c r="E99" i="8"/>
  <c r="D99" i="8"/>
  <c r="J94" i="8"/>
  <c r="I94" i="8"/>
  <c r="H94" i="8"/>
  <c r="G94" i="8"/>
  <c r="G115" i="8"/>
  <c r="F94" i="8"/>
  <c r="E94" i="8"/>
  <c r="D94" i="8"/>
  <c r="J89" i="8"/>
  <c r="I89" i="8"/>
  <c r="H89" i="8"/>
  <c r="G89" i="8"/>
  <c r="F89" i="8"/>
  <c r="E89" i="8"/>
  <c r="D89" i="8"/>
  <c r="J78" i="8"/>
  <c r="I78" i="8"/>
  <c r="H78" i="8"/>
  <c r="G78" i="8"/>
  <c r="F78" i="8"/>
  <c r="E78" i="8"/>
  <c r="D78" i="8"/>
  <c r="J73" i="8"/>
  <c r="J79" i="8"/>
  <c r="I73" i="8"/>
  <c r="I79" i="8"/>
  <c r="H73" i="8"/>
  <c r="G73" i="8"/>
  <c r="F73" i="8"/>
  <c r="E73" i="8"/>
  <c r="D73" i="8"/>
  <c r="J68" i="8"/>
  <c r="I68" i="8"/>
  <c r="H68" i="8"/>
  <c r="G68" i="8"/>
  <c r="F68" i="8"/>
  <c r="E68" i="8"/>
  <c r="D68" i="8"/>
  <c r="D79" i="8"/>
  <c r="J63" i="8"/>
  <c r="I63" i="8"/>
  <c r="H63" i="8"/>
  <c r="G63" i="8"/>
  <c r="F63" i="8"/>
  <c r="E63" i="8"/>
  <c r="D63" i="8"/>
  <c r="J58" i="8"/>
  <c r="I58" i="8"/>
  <c r="H58" i="8"/>
  <c r="H79" i="8"/>
  <c r="G58" i="8"/>
  <c r="G79" i="8"/>
  <c r="F58" i="8"/>
  <c r="E58" i="8"/>
  <c r="D58" i="8"/>
  <c r="J53" i="8"/>
  <c r="I53" i="8"/>
  <c r="H53" i="8"/>
  <c r="G53" i="8"/>
  <c r="F53" i="8"/>
  <c r="E53" i="8"/>
  <c r="D53" i="8"/>
  <c r="J42" i="8"/>
  <c r="I42" i="8"/>
  <c r="H42" i="8"/>
  <c r="G42" i="8"/>
  <c r="F42" i="8"/>
  <c r="E42" i="8"/>
  <c r="D42" i="8"/>
  <c r="J37" i="8"/>
  <c r="I37" i="8"/>
  <c r="H37" i="8"/>
  <c r="G37" i="8"/>
  <c r="F37" i="8"/>
  <c r="E37" i="8"/>
  <c r="E43" i="8"/>
  <c r="D37" i="8"/>
  <c r="D43" i="8"/>
  <c r="J32" i="8"/>
  <c r="J43" i="8"/>
  <c r="I32" i="8"/>
  <c r="I43" i="8"/>
  <c r="H32" i="8"/>
  <c r="G32" i="8"/>
  <c r="F32" i="8"/>
  <c r="E32" i="8"/>
  <c r="D32" i="8"/>
  <c r="J27" i="8"/>
  <c r="I27" i="8"/>
  <c r="H27" i="8"/>
  <c r="G27" i="8"/>
  <c r="F27" i="8"/>
  <c r="E27" i="8"/>
  <c r="D27" i="8"/>
  <c r="J22" i="8"/>
  <c r="I22" i="8"/>
  <c r="H22" i="8"/>
  <c r="G22" i="8"/>
  <c r="F22" i="8"/>
  <c r="E22" i="8"/>
  <c r="D22" i="8"/>
  <c r="J17" i="8"/>
  <c r="I17" i="8"/>
  <c r="H17" i="8"/>
  <c r="G17" i="8"/>
  <c r="F17" i="8"/>
  <c r="E17" i="8"/>
  <c r="D17" i="8"/>
  <c r="B2" i="8"/>
  <c r="B1" i="8"/>
  <c r="I208" i="7"/>
  <c r="H208" i="7"/>
  <c r="G208" i="7"/>
  <c r="F208" i="7"/>
  <c r="E208" i="7"/>
  <c r="D208" i="7"/>
  <c r="C208" i="7"/>
  <c r="I198" i="7"/>
  <c r="H198" i="7"/>
  <c r="G198" i="7"/>
  <c r="F198" i="7"/>
  <c r="E198" i="7"/>
  <c r="D198" i="7"/>
  <c r="C198" i="7"/>
  <c r="I188" i="7"/>
  <c r="H188" i="7"/>
  <c r="G188" i="7"/>
  <c r="F188" i="7"/>
  <c r="E188" i="7"/>
  <c r="D188" i="7"/>
  <c r="C188" i="7"/>
  <c r="G178" i="7"/>
  <c r="I177" i="7"/>
  <c r="H177" i="7"/>
  <c r="G177" i="7"/>
  <c r="F177" i="7"/>
  <c r="F178" i="7"/>
  <c r="E177" i="7"/>
  <c r="E178" i="7"/>
  <c r="D177" i="7"/>
  <c r="C177" i="7"/>
  <c r="C178" i="7"/>
  <c r="I172" i="7"/>
  <c r="I178" i="7"/>
  <c r="H172" i="7"/>
  <c r="H178" i="7"/>
  <c r="G172" i="7"/>
  <c r="F172" i="7"/>
  <c r="E172" i="7"/>
  <c r="D172" i="7"/>
  <c r="D178" i="7"/>
  <c r="C172" i="7"/>
  <c r="I161" i="7"/>
  <c r="H161" i="7"/>
  <c r="G161" i="7"/>
  <c r="F161" i="7"/>
  <c r="E161" i="7"/>
  <c r="D161" i="7"/>
  <c r="C161" i="7"/>
  <c r="I149" i="7"/>
  <c r="H149" i="7"/>
  <c r="G149" i="7"/>
  <c r="F149" i="7"/>
  <c r="E149" i="7"/>
  <c r="D149" i="7"/>
  <c r="C149" i="7"/>
  <c r="I144" i="7"/>
  <c r="H144" i="7"/>
  <c r="G144" i="7"/>
  <c r="F144" i="7"/>
  <c r="E144" i="7"/>
  <c r="D144" i="7"/>
  <c r="C144" i="7"/>
  <c r="I139" i="7"/>
  <c r="H139" i="7"/>
  <c r="G139" i="7"/>
  <c r="F139" i="7"/>
  <c r="E139" i="7"/>
  <c r="D139" i="7"/>
  <c r="C139" i="7"/>
  <c r="I134" i="7"/>
  <c r="H134" i="7"/>
  <c r="G134" i="7"/>
  <c r="F134" i="7"/>
  <c r="E134" i="7"/>
  <c r="D134" i="7"/>
  <c r="D150" i="7"/>
  <c r="C134" i="7"/>
  <c r="C150" i="7"/>
  <c r="I129" i="7"/>
  <c r="H129" i="7"/>
  <c r="G129" i="7"/>
  <c r="F129" i="7"/>
  <c r="E129" i="7"/>
  <c r="D129" i="7"/>
  <c r="C129" i="7"/>
  <c r="I124" i="7"/>
  <c r="H124" i="7"/>
  <c r="G124" i="7"/>
  <c r="F124" i="7"/>
  <c r="E124" i="7"/>
  <c r="E150" i="7"/>
  <c r="D124" i="7"/>
  <c r="C124" i="7"/>
  <c r="I113" i="7"/>
  <c r="H113" i="7"/>
  <c r="G113" i="7"/>
  <c r="F113" i="7"/>
  <c r="E113" i="7"/>
  <c r="D113" i="7"/>
  <c r="C113" i="7"/>
  <c r="I108" i="7"/>
  <c r="H108" i="7"/>
  <c r="G108" i="7"/>
  <c r="F108" i="7"/>
  <c r="E108" i="7"/>
  <c r="D108" i="7"/>
  <c r="C108" i="7"/>
  <c r="I103" i="7"/>
  <c r="I114" i="7"/>
  <c r="H103" i="7"/>
  <c r="G103" i="7"/>
  <c r="F103" i="7"/>
  <c r="E103" i="7"/>
  <c r="D103" i="7"/>
  <c r="C103" i="7"/>
  <c r="I98" i="7"/>
  <c r="H98" i="7"/>
  <c r="G98" i="7"/>
  <c r="F98" i="7"/>
  <c r="E98" i="7"/>
  <c r="D98" i="7"/>
  <c r="C98" i="7"/>
  <c r="I93" i="7"/>
  <c r="H93" i="7"/>
  <c r="G93" i="7"/>
  <c r="F93" i="7"/>
  <c r="E93" i="7"/>
  <c r="D93" i="7"/>
  <c r="C93" i="7"/>
  <c r="I88" i="7"/>
  <c r="H88" i="7"/>
  <c r="H114" i="7"/>
  <c r="G88" i="7"/>
  <c r="F88" i="7"/>
  <c r="E88" i="7"/>
  <c r="E114" i="7"/>
  <c r="D88" i="7"/>
  <c r="C88" i="7"/>
  <c r="I78" i="7"/>
  <c r="E78" i="7"/>
  <c r="I77" i="7"/>
  <c r="H77" i="7"/>
  <c r="G77" i="7"/>
  <c r="F77" i="7"/>
  <c r="E77" i="7"/>
  <c r="D77" i="7"/>
  <c r="C77" i="7"/>
  <c r="I72" i="7"/>
  <c r="H72" i="7"/>
  <c r="H78" i="7"/>
  <c r="G72" i="7"/>
  <c r="G78" i="7"/>
  <c r="F72" i="7"/>
  <c r="E72" i="7"/>
  <c r="D72" i="7"/>
  <c r="C72" i="7"/>
  <c r="I67" i="7"/>
  <c r="H67" i="7"/>
  <c r="G67" i="7"/>
  <c r="F67" i="7"/>
  <c r="E67" i="7"/>
  <c r="D67" i="7"/>
  <c r="C67" i="7"/>
  <c r="I62" i="7"/>
  <c r="H62" i="7"/>
  <c r="G62" i="7"/>
  <c r="F62" i="7"/>
  <c r="E62" i="7"/>
  <c r="D62" i="7"/>
  <c r="C62" i="7"/>
  <c r="I57" i="7"/>
  <c r="H57" i="7"/>
  <c r="G57" i="7"/>
  <c r="F57" i="7"/>
  <c r="F78" i="7"/>
  <c r="E57" i="7"/>
  <c r="D57" i="7"/>
  <c r="C57" i="7"/>
  <c r="I52" i="7"/>
  <c r="H52" i="7"/>
  <c r="G52" i="7"/>
  <c r="F52" i="7"/>
  <c r="E52" i="7"/>
  <c r="D52" i="7"/>
  <c r="C52" i="7"/>
  <c r="F42" i="7"/>
  <c r="I41" i="7"/>
  <c r="H41" i="7"/>
  <c r="G41" i="7"/>
  <c r="F41" i="7"/>
  <c r="E41" i="7"/>
  <c r="D41" i="7"/>
  <c r="C41" i="7"/>
  <c r="I36" i="7"/>
  <c r="H36" i="7"/>
  <c r="H42" i="7"/>
  <c r="G36" i="7"/>
  <c r="F36" i="7"/>
  <c r="E36" i="7"/>
  <c r="D36" i="7"/>
  <c r="C36" i="7"/>
  <c r="I31" i="7"/>
  <c r="H31" i="7"/>
  <c r="G31" i="7"/>
  <c r="F31" i="7"/>
  <c r="E31" i="7"/>
  <c r="E42" i="7"/>
  <c r="D31" i="7"/>
  <c r="C31" i="7"/>
  <c r="I26" i="7"/>
  <c r="H26" i="7"/>
  <c r="G26" i="7"/>
  <c r="F26" i="7"/>
  <c r="E26" i="7"/>
  <c r="D26" i="7"/>
  <c r="C26" i="7"/>
  <c r="I21" i="7"/>
  <c r="H21" i="7"/>
  <c r="G21" i="7"/>
  <c r="G42" i="7"/>
  <c r="F21" i="7"/>
  <c r="E21" i="7"/>
  <c r="D21" i="7"/>
  <c r="D42" i="7"/>
  <c r="C21" i="7"/>
  <c r="I16" i="7"/>
  <c r="H16" i="7"/>
  <c r="G16" i="7"/>
  <c r="F16" i="7"/>
  <c r="E16" i="7"/>
  <c r="D16" i="7"/>
  <c r="C16" i="7"/>
  <c r="B1" i="7"/>
  <c r="I697" i="6"/>
  <c r="H697" i="6"/>
  <c r="G697" i="6"/>
  <c r="F697" i="6"/>
  <c r="E697" i="6"/>
  <c r="D697" i="6"/>
  <c r="C697" i="6"/>
  <c r="I640" i="6"/>
  <c r="H640" i="6"/>
  <c r="G640" i="6"/>
  <c r="F640" i="6"/>
  <c r="E640" i="6"/>
  <c r="D640" i="6"/>
  <c r="C640" i="6"/>
  <c r="I583" i="6"/>
  <c r="H583" i="6"/>
  <c r="G583" i="6"/>
  <c r="F583" i="6"/>
  <c r="E583" i="6"/>
  <c r="D583" i="6"/>
  <c r="C583" i="6"/>
  <c r="I526" i="6"/>
  <c r="H526" i="6"/>
  <c r="G526" i="6"/>
  <c r="F526" i="6"/>
  <c r="E526" i="6"/>
  <c r="D526" i="6"/>
  <c r="C526" i="6"/>
  <c r="I469" i="6"/>
  <c r="H469" i="6"/>
  <c r="G469" i="6"/>
  <c r="F469" i="6"/>
  <c r="E469" i="6"/>
  <c r="D469" i="6"/>
  <c r="C469" i="6"/>
  <c r="I412" i="6"/>
  <c r="H412" i="6"/>
  <c r="G412" i="6"/>
  <c r="F412" i="6"/>
  <c r="E412" i="6"/>
  <c r="D412" i="6"/>
  <c r="C412" i="6"/>
  <c r="I352" i="6"/>
  <c r="H352" i="6"/>
  <c r="G352" i="6"/>
  <c r="F352" i="6"/>
  <c r="E352" i="6"/>
  <c r="D352" i="6"/>
  <c r="C352" i="6"/>
  <c r="I295" i="6"/>
  <c r="H295" i="6"/>
  <c r="G295" i="6"/>
  <c r="F295" i="6"/>
  <c r="E295" i="6"/>
  <c r="D295" i="6"/>
  <c r="C295" i="6"/>
  <c r="I288" i="6"/>
  <c r="H288" i="6"/>
  <c r="G288" i="6"/>
  <c r="F288" i="6"/>
  <c r="E288" i="6"/>
  <c r="D288" i="6"/>
  <c r="C288" i="6"/>
  <c r="I231" i="6"/>
  <c r="H231" i="6"/>
  <c r="G231" i="6"/>
  <c r="F231" i="6"/>
  <c r="E231" i="6"/>
  <c r="D231" i="6"/>
  <c r="C231" i="6"/>
  <c r="I174" i="6"/>
  <c r="H174" i="6"/>
  <c r="G174" i="6"/>
  <c r="F174" i="6"/>
  <c r="E174" i="6"/>
  <c r="D174" i="6"/>
  <c r="C174" i="6"/>
  <c r="I117" i="6"/>
  <c r="H117" i="6"/>
  <c r="G117" i="6"/>
  <c r="F117" i="6"/>
  <c r="E117" i="6"/>
  <c r="D117" i="6"/>
  <c r="C117" i="6"/>
  <c r="B1" i="6"/>
  <c r="J746" i="5"/>
  <c r="I746" i="5"/>
  <c r="H746" i="5"/>
  <c r="G746" i="5"/>
  <c r="F746" i="5"/>
  <c r="E746" i="5"/>
  <c r="D746" i="5"/>
  <c r="J742" i="5"/>
  <c r="I742" i="5"/>
  <c r="H742" i="5"/>
  <c r="G742" i="5"/>
  <c r="F742" i="5"/>
  <c r="E742" i="5"/>
  <c r="D742" i="5"/>
  <c r="J738" i="5"/>
  <c r="I738" i="5"/>
  <c r="H738" i="5"/>
  <c r="G738" i="5"/>
  <c r="F738" i="5"/>
  <c r="E738" i="5"/>
  <c r="D738" i="5"/>
  <c r="J734" i="5"/>
  <c r="I734" i="5"/>
  <c r="H734" i="5"/>
  <c r="G734" i="5"/>
  <c r="F734" i="5"/>
  <c r="E734" i="5"/>
  <c r="D734" i="5"/>
  <c r="J730" i="5"/>
  <c r="I730" i="5"/>
  <c r="H730" i="5"/>
  <c r="G730" i="5"/>
  <c r="F730" i="5"/>
  <c r="E730" i="5"/>
  <c r="D730" i="5"/>
  <c r="J726" i="5"/>
  <c r="I726" i="5"/>
  <c r="H726" i="5"/>
  <c r="G726" i="5"/>
  <c r="F726" i="5"/>
  <c r="E726" i="5"/>
  <c r="D726" i="5"/>
  <c r="J716" i="5"/>
  <c r="I716" i="5"/>
  <c r="H716" i="5"/>
  <c r="G716" i="5"/>
  <c r="F716" i="5"/>
  <c r="E716" i="5"/>
  <c r="D716" i="5"/>
  <c r="J662" i="5"/>
  <c r="I662" i="5"/>
  <c r="H662" i="5"/>
  <c r="G662" i="5"/>
  <c r="F662" i="5"/>
  <c r="E662" i="5"/>
  <c r="D662" i="5"/>
  <c r="J608" i="5"/>
  <c r="I608" i="5"/>
  <c r="H608" i="5"/>
  <c r="G608" i="5"/>
  <c r="F608" i="5"/>
  <c r="E608" i="5"/>
  <c r="D608" i="5"/>
  <c r="J554" i="5"/>
  <c r="I554" i="5"/>
  <c r="H554" i="5"/>
  <c r="G554" i="5"/>
  <c r="F554" i="5"/>
  <c r="E554" i="5"/>
  <c r="D554" i="5"/>
  <c r="J500" i="5"/>
  <c r="I500" i="5"/>
  <c r="H500" i="5"/>
  <c r="G500" i="5"/>
  <c r="F500" i="5"/>
  <c r="E500" i="5"/>
  <c r="D500" i="5"/>
  <c r="J446" i="5"/>
  <c r="I446" i="5"/>
  <c r="H446" i="5"/>
  <c r="G446" i="5"/>
  <c r="F446" i="5"/>
  <c r="E446" i="5"/>
  <c r="D446" i="5"/>
  <c r="H385" i="5"/>
  <c r="F385" i="5"/>
  <c r="J384" i="5"/>
  <c r="I384" i="5"/>
  <c r="H384" i="5"/>
  <c r="G384" i="5"/>
  <c r="F384" i="5"/>
  <c r="E384" i="5"/>
  <c r="D384" i="5"/>
  <c r="J380" i="5"/>
  <c r="I380" i="5"/>
  <c r="H380" i="5"/>
  <c r="G380" i="5"/>
  <c r="G385" i="5"/>
  <c r="F380" i="5"/>
  <c r="E380" i="5"/>
  <c r="D380" i="5"/>
  <c r="J376" i="5"/>
  <c r="I376" i="5"/>
  <c r="H376" i="5"/>
  <c r="G376" i="5"/>
  <c r="F376" i="5"/>
  <c r="E376" i="5"/>
  <c r="E385" i="5"/>
  <c r="D376" i="5"/>
  <c r="J372" i="5"/>
  <c r="I372" i="5"/>
  <c r="H372" i="5"/>
  <c r="G372" i="5"/>
  <c r="F372" i="5"/>
  <c r="E372" i="5"/>
  <c r="D372" i="5"/>
  <c r="J368" i="5"/>
  <c r="I368" i="5"/>
  <c r="H368" i="5"/>
  <c r="G368" i="5"/>
  <c r="F368" i="5"/>
  <c r="E368" i="5"/>
  <c r="D368" i="5"/>
  <c r="J364" i="5"/>
  <c r="I364" i="5"/>
  <c r="H364" i="5"/>
  <c r="G364" i="5"/>
  <c r="F364" i="5"/>
  <c r="E364" i="5"/>
  <c r="D364" i="5"/>
  <c r="J353" i="5"/>
  <c r="I353" i="5"/>
  <c r="H353" i="5"/>
  <c r="G353" i="5"/>
  <c r="F353" i="5"/>
  <c r="E353" i="5"/>
  <c r="D353" i="5"/>
  <c r="J296" i="5"/>
  <c r="I296" i="5"/>
  <c r="H296" i="5"/>
  <c r="G296" i="5"/>
  <c r="F296" i="5"/>
  <c r="E296" i="5"/>
  <c r="D296" i="5"/>
  <c r="J289" i="5"/>
  <c r="I289" i="5"/>
  <c r="H289" i="5"/>
  <c r="G289" i="5"/>
  <c r="F289" i="5"/>
  <c r="E289" i="5"/>
  <c r="D289" i="5"/>
  <c r="J232" i="5"/>
  <c r="I232" i="5"/>
  <c r="H232" i="5"/>
  <c r="G232" i="5"/>
  <c r="F232" i="5"/>
  <c r="E232" i="5"/>
  <c r="D232" i="5"/>
  <c r="J175" i="5"/>
  <c r="I175" i="5"/>
  <c r="H175" i="5"/>
  <c r="G175" i="5"/>
  <c r="F175" i="5"/>
  <c r="E175" i="5"/>
  <c r="D175" i="5"/>
  <c r="J118" i="5"/>
  <c r="I118" i="5"/>
  <c r="H118" i="5"/>
  <c r="G118" i="5"/>
  <c r="F118" i="5"/>
  <c r="E118" i="5"/>
  <c r="D118" i="5"/>
  <c r="B1" i="5"/>
  <c r="I189" i="4"/>
  <c r="H189" i="4"/>
  <c r="G189" i="4"/>
  <c r="F189" i="4"/>
  <c r="E189" i="4"/>
  <c r="D189" i="4"/>
  <c r="C189" i="4"/>
  <c r="I159" i="4"/>
  <c r="H159" i="4"/>
  <c r="G159" i="4"/>
  <c r="F159" i="4"/>
  <c r="E159" i="4"/>
  <c r="D159" i="4"/>
  <c r="C159" i="4"/>
  <c r="I143" i="4"/>
  <c r="H143" i="4"/>
  <c r="G143" i="4"/>
  <c r="F143" i="4"/>
  <c r="E143" i="4"/>
  <c r="D143" i="4"/>
  <c r="C143" i="4"/>
  <c r="I113" i="4"/>
  <c r="H113" i="4"/>
  <c r="G113" i="4"/>
  <c r="F113" i="4"/>
  <c r="E113" i="4"/>
  <c r="D113" i="4"/>
  <c r="C113" i="4"/>
  <c r="I96" i="4"/>
  <c r="H96" i="4"/>
  <c r="G96" i="4"/>
  <c r="F96" i="4"/>
  <c r="E96" i="4"/>
  <c r="D96" i="4"/>
  <c r="C96" i="4"/>
  <c r="B95" i="4"/>
  <c r="B94" i="4"/>
  <c r="B93" i="4"/>
  <c r="B92" i="4"/>
  <c r="B91" i="4"/>
  <c r="B90" i="4"/>
  <c r="B89" i="4"/>
  <c r="B88" i="4"/>
  <c r="B87" i="4"/>
  <c r="B86" i="4"/>
  <c r="B85" i="4"/>
  <c r="B84" i="4"/>
  <c r="B83" i="4"/>
  <c r="B82" i="4"/>
  <c r="B81" i="4"/>
  <c r="B80" i="4"/>
  <c r="B79" i="4"/>
  <c r="B78" i="4"/>
  <c r="B77" i="4"/>
  <c r="B76" i="4"/>
  <c r="B75" i="4"/>
  <c r="B74" i="4"/>
  <c r="B73" i="4"/>
  <c r="B72" i="4"/>
  <c r="B71" i="4"/>
  <c r="I68" i="4"/>
  <c r="H68" i="4"/>
  <c r="G68" i="4"/>
  <c r="F68" i="4"/>
  <c r="E68" i="4"/>
  <c r="D68" i="4"/>
  <c r="C68" i="4"/>
  <c r="B67" i="4"/>
  <c r="B66" i="4"/>
  <c r="B65" i="4"/>
  <c r="B64" i="4"/>
  <c r="B63" i="4"/>
  <c r="B62" i="4"/>
  <c r="B61" i="4"/>
  <c r="B60" i="4"/>
  <c r="I52" i="4"/>
  <c r="H52" i="4"/>
  <c r="G52" i="4"/>
  <c r="F52" i="4"/>
  <c r="E52" i="4"/>
  <c r="D52" i="4"/>
  <c r="C52" i="4"/>
  <c r="I23" i="4"/>
  <c r="H23" i="4"/>
  <c r="G23" i="4"/>
  <c r="F23" i="4"/>
  <c r="E23" i="4"/>
  <c r="D23" i="4"/>
  <c r="C23" i="4"/>
  <c r="B1" i="4"/>
  <c r="BV43" i="3"/>
  <c r="AL23" i="3"/>
  <c r="AL17" i="3"/>
  <c r="V1" i="3"/>
  <c r="B2" i="2"/>
  <c r="B1" i="2"/>
  <c r="B4" i="1"/>
  <c r="B3" i="1"/>
  <c r="B2" i="1"/>
  <c r="F115" i="8"/>
  <c r="B2" i="19"/>
  <c r="B2" i="16"/>
  <c r="B2" i="10"/>
  <c r="B2" i="23"/>
  <c r="B2" i="11"/>
  <c r="B2" i="7"/>
  <c r="B2" i="17"/>
  <c r="B2" i="4"/>
  <c r="B2" i="9"/>
  <c r="B2" i="5"/>
  <c r="V2" i="3"/>
  <c r="B2" i="15"/>
  <c r="B2" i="14"/>
  <c r="B2" i="18"/>
  <c r="B2" i="13"/>
  <c r="D197" i="23"/>
  <c r="E79" i="8"/>
  <c r="B2" i="20"/>
  <c r="F197" i="23"/>
  <c r="C42" i="7"/>
  <c r="F79" i="8"/>
  <c r="E115" i="8"/>
  <c r="E151" i="8"/>
  <c r="G187" i="8"/>
  <c r="G197" i="23"/>
  <c r="G150" i="7"/>
  <c r="H150" i="7"/>
  <c r="I150" i="7"/>
  <c r="B2" i="21"/>
  <c r="G114" i="7"/>
  <c r="C84" i="28"/>
  <c r="C66" i="28"/>
  <c r="B2" i="6"/>
  <c r="F43" i="8"/>
  <c r="B2" i="22"/>
  <c r="G43" i="8"/>
  <c r="F150" i="7"/>
  <c r="F114" i="7"/>
  <c r="E197" i="23"/>
  <c r="V2" i="27"/>
  <c r="C65" i="28"/>
  <c r="H187" i="8"/>
  <c r="D385" i="5"/>
  <c r="H151" i="8"/>
  <c r="C77" i="28"/>
  <c r="C78" i="7"/>
  <c r="F151" i="8"/>
  <c r="H43" i="8"/>
  <c r="I385" i="5"/>
  <c r="D78" i="7"/>
  <c r="G151" i="8"/>
  <c r="J385" i="5"/>
  <c r="I42" i="7"/>
  <c r="C114" i="7"/>
  <c r="D114" i="7"/>
  <c r="C80" i="28"/>
  <c r="C103" i="28"/>
  <c r="C40" i="28"/>
  <c r="AL63" i="3"/>
  <c r="C43" i="28" l="1"/>
  <c r="C42" i="28"/>
  <c r="C41" i="28"/>
  <c r="C50" i="28"/>
  <c r="I69" i="27"/>
  <c r="I65" i="27"/>
  <c r="I53" i="27"/>
  <c r="I61" i="27"/>
  <c r="I71" i="27"/>
  <c r="I57" i="27"/>
  <c r="I60" i="27"/>
  <c r="C47" i="28"/>
  <c r="I55" i="27"/>
  <c r="I56" i="27"/>
  <c r="I62" i="27"/>
  <c r="I66" i="27"/>
  <c r="I76" i="27"/>
  <c r="I58" i="27"/>
  <c r="I59" i="27"/>
  <c r="I74" i="27"/>
  <c r="C44" i="28"/>
  <c r="I54" i="27"/>
  <c r="I75" i="27"/>
  <c r="I70" i="27"/>
  <c r="I73" i="27"/>
  <c r="I72" i="27"/>
  <c r="I68" i="27"/>
  <c r="I64" i="27"/>
  <c r="I63" i="27"/>
  <c r="I52" i="27"/>
  <c r="I67" i="27"/>
  <c r="AU43" i="3" l="1"/>
  <c r="BD43" i="3"/>
  <c r="BD41" i="3"/>
  <c r="BD42" i="3"/>
  <c r="AU42" i="3"/>
  <c r="AL43" i="3"/>
  <c r="BV41" i="3"/>
  <c r="BM41" i="3"/>
  <c r="BM42" i="3"/>
  <c r="AL42" i="3"/>
  <c r="BV42" i="3"/>
  <c r="AU41" i="3"/>
  <c r="BM43" i="3"/>
  <c r="C81" i="28"/>
  <c r="C55" i="28"/>
  <c r="E63" i="27"/>
  <c r="E57" i="27"/>
  <c r="E54" i="27"/>
  <c r="G66" i="27"/>
  <c r="E64" i="27"/>
  <c r="E67" i="27"/>
  <c r="G54" i="27"/>
  <c r="G61" i="27"/>
  <c r="G58" i="27"/>
  <c r="G64" i="27"/>
  <c r="E62" i="27"/>
  <c r="E58" i="27"/>
  <c r="E61" i="27"/>
  <c r="C45" i="28"/>
  <c r="G53" i="27"/>
  <c r="E65" i="27"/>
  <c r="G55" i="27"/>
  <c r="E60" i="27"/>
  <c r="G67" i="27"/>
  <c r="E66" i="27"/>
  <c r="C46" i="28"/>
  <c r="G57" i="27"/>
  <c r="E53" i="27"/>
  <c r="E56" i="27"/>
  <c r="G60" i="27"/>
  <c r="G52" i="27"/>
  <c r="G59" i="27"/>
  <c r="G65" i="27"/>
  <c r="E52" i="27"/>
  <c r="G63" i="27"/>
  <c r="G62" i="27"/>
  <c r="C49" i="28"/>
  <c r="E55" i="27"/>
  <c r="G56" i="27"/>
  <c r="C48" i="28"/>
  <c r="E59" i="27"/>
  <c r="BD52" i="3" l="1"/>
  <c r="C52" i="28"/>
  <c r="C32" i="28" s="1"/>
  <c r="BV47" i="3"/>
  <c r="BM51" i="3"/>
  <c r="C107" i="28"/>
  <c r="C53" i="28"/>
  <c r="AL49" i="3"/>
  <c r="AU49" i="3"/>
  <c r="AL51" i="3"/>
  <c r="BM49" i="3"/>
  <c r="BD48" i="3"/>
  <c r="C92" i="14"/>
  <c r="C44" i="14"/>
  <c r="C17" i="14"/>
  <c r="C106" i="14"/>
  <c r="AL47" i="3"/>
  <c r="C58" i="14"/>
  <c r="C29" i="14"/>
  <c r="BM48" i="3"/>
  <c r="BV51" i="3"/>
  <c r="AU51" i="3"/>
  <c r="AL48" i="3"/>
  <c r="BV53" i="3"/>
  <c r="BM52" i="3"/>
  <c r="C38" i="28"/>
  <c r="BM47" i="3"/>
  <c r="BM53" i="3"/>
  <c r="AU47" i="3"/>
  <c r="D29" i="14"/>
  <c r="D17" i="14"/>
  <c r="D106" i="14"/>
  <c r="D58" i="14"/>
  <c r="D92" i="14"/>
  <c r="D44" i="14"/>
  <c r="BV52" i="3"/>
  <c r="AU52" i="3"/>
  <c r="AL53" i="3"/>
  <c r="BD49" i="3"/>
  <c r="AU48" i="3"/>
  <c r="BV48" i="3"/>
  <c r="E58" i="14"/>
  <c r="E17" i="14"/>
  <c r="E92" i="14"/>
  <c r="E44" i="14"/>
  <c r="E106" i="14"/>
  <c r="E29" i="14"/>
  <c r="BD47" i="3"/>
  <c r="BD53" i="3"/>
  <c r="BV49" i="3"/>
  <c r="BD51" i="3"/>
  <c r="C117" i="28"/>
  <c r="AL52" i="3"/>
  <c r="AU53" i="3"/>
  <c r="C59" i="28"/>
  <c r="C58" i="28"/>
  <c r="C23" i="28" s="1"/>
  <c r="C39" i="28"/>
  <c r="E197" i="26" l="1"/>
  <c r="C108" i="28"/>
  <c r="C135" i="9"/>
  <c r="C195" i="23"/>
  <c r="D83" i="8"/>
  <c r="D179" i="5"/>
  <c r="D44" i="13"/>
  <c r="C132" i="11"/>
  <c r="D11" i="8"/>
  <c r="D47" i="8"/>
  <c r="D122" i="5"/>
  <c r="C105" i="14"/>
  <c r="C91" i="14"/>
  <c r="C64" i="6"/>
  <c r="D119" i="8"/>
  <c r="C10" i="7"/>
  <c r="C149" i="4"/>
  <c r="C57" i="14"/>
  <c r="C26" i="12"/>
  <c r="C121" i="6"/>
  <c r="D293" i="5"/>
  <c r="D26" i="13"/>
  <c r="C16" i="14"/>
  <c r="C28" i="14"/>
  <c r="C9" i="10"/>
  <c r="C142" i="23"/>
  <c r="C292" i="6"/>
  <c r="C24" i="10"/>
  <c r="D229" i="8"/>
  <c r="C102" i="4"/>
  <c r="C164" i="4"/>
  <c r="D306" i="8"/>
  <c r="C299" i="6"/>
  <c r="C11" i="4"/>
  <c r="C117" i="4"/>
  <c r="C116" i="23"/>
  <c r="D359" i="5"/>
  <c r="D64" i="5"/>
  <c r="C30" i="9"/>
  <c r="C32" i="15"/>
  <c r="C118" i="7"/>
  <c r="D300" i="5"/>
  <c r="C91" i="23"/>
  <c r="C169" i="23"/>
  <c r="C43" i="14"/>
  <c r="C10" i="23"/>
  <c r="C46" i="7"/>
  <c r="C182" i="23"/>
  <c r="C235" i="6"/>
  <c r="C178" i="6"/>
  <c r="D10" i="13"/>
  <c r="C58" i="4"/>
  <c r="D191" i="8"/>
  <c r="C82" i="7"/>
  <c r="D155" i="8"/>
  <c r="C27" i="11"/>
  <c r="D236" i="5"/>
  <c r="E104" i="27"/>
  <c r="E93" i="27"/>
  <c r="E92" i="27"/>
  <c r="E91" i="27"/>
  <c r="E101" i="27"/>
  <c r="E94" i="27"/>
  <c r="E105" i="27"/>
  <c r="E96" i="27"/>
  <c r="E100" i="27"/>
  <c r="E103" i="27"/>
  <c r="E106" i="27"/>
  <c r="E98" i="27"/>
  <c r="E102" i="27"/>
  <c r="E99" i="27"/>
  <c r="E97" i="27"/>
  <c r="E95" i="27"/>
  <c r="H60" i="18" l="1"/>
  <c r="J29" i="14"/>
  <c r="H294" i="5"/>
  <c r="G645" i="6"/>
  <c r="G170" i="23"/>
  <c r="G27" i="12"/>
  <c r="H307" i="8"/>
  <c r="H11" i="13"/>
  <c r="G196" i="23"/>
  <c r="H180" i="5"/>
  <c r="G172" i="20"/>
  <c r="G17" i="22"/>
  <c r="G47" i="7"/>
  <c r="G10" i="20"/>
  <c r="G9" i="21"/>
  <c r="H10" i="18"/>
  <c r="H263" i="8"/>
  <c r="G293" i="6"/>
  <c r="H27" i="13"/>
  <c r="G64" i="19"/>
  <c r="H301" i="5"/>
  <c r="G12" i="4"/>
  <c r="G360" i="6"/>
  <c r="G474" i="6"/>
  <c r="G183" i="23"/>
  <c r="H120" i="8"/>
  <c r="G10" i="22"/>
  <c r="G119" i="7"/>
  <c r="G21" i="17"/>
  <c r="G11" i="23"/>
  <c r="G236" i="6"/>
  <c r="H45" i="13"/>
  <c r="H84" i="8"/>
  <c r="G30" i="19"/>
  <c r="G83" i="7"/>
  <c r="G10" i="15"/>
  <c r="G65" i="6"/>
  <c r="J58" i="14"/>
  <c r="H48" i="8"/>
  <c r="G28" i="11"/>
  <c r="H393" i="5"/>
  <c r="G194" i="7"/>
  <c r="G122" i="6"/>
  <c r="G588" i="6"/>
  <c r="J106" i="14"/>
  <c r="G59" i="4"/>
  <c r="G253" i="20"/>
  <c r="G92" i="23"/>
  <c r="G179" i="6"/>
  <c r="H65" i="5"/>
  <c r="G117" i="23"/>
  <c r="H237" i="5"/>
  <c r="H192" i="8"/>
  <c r="G10" i="17"/>
  <c r="G91" i="20"/>
  <c r="G50" i="19"/>
  <c r="G9" i="16"/>
  <c r="G300" i="6"/>
  <c r="G143" i="23"/>
  <c r="H722" i="5"/>
  <c r="G10" i="10"/>
  <c r="G9" i="19"/>
  <c r="G27" i="22"/>
  <c r="J17" i="14"/>
  <c r="H12" i="8"/>
  <c r="J92" i="14"/>
  <c r="G157" i="7"/>
  <c r="G531" i="6"/>
  <c r="H123" i="5"/>
  <c r="G184" i="7"/>
  <c r="H360" i="5"/>
  <c r="J44" i="14"/>
  <c r="G150" i="4"/>
  <c r="G167" i="7"/>
  <c r="G204" i="7"/>
  <c r="G11" i="7"/>
  <c r="H156" i="8"/>
  <c r="H275" i="8"/>
  <c r="G417" i="6"/>
  <c r="G33" i="15"/>
  <c r="H319" i="8"/>
  <c r="G136" i="9"/>
  <c r="H230" i="8"/>
  <c r="G25" i="10"/>
  <c r="G31" i="9"/>
  <c r="G118" i="4"/>
  <c r="G103" i="4"/>
  <c r="G133" i="11"/>
  <c r="G165" i="4"/>
  <c r="I170" i="23"/>
  <c r="I27" i="12"/>
  <c r="I133" i="11"/>
  <c r="J180" i="5"/>
  <c r="I64" i="19"/>
  <c r="L17" i="14"/>
  <c r="J393" i="5"/>
  <c r="I9" i="16"/>
  <c r="I27" i="22"/>
  <c r="I91" i="20"/>
  <c r="I12" i="4"/>
  <c r="J10" i="18"/>
  <c r="I588" i="6"/>
  <c r="I50" i="19"/>
  <c r="J360" i="5"/>
  <c r="I25" i="10"/>
  <c r="I28" i="11"/>
  <c r="J192" i="8"/>
  <c r="J65" i="5"/>
  <c r="J722" i="5"/>
  <c r="J294" i="5"/>
  <c r="I184" i="7"/>
  <c r="J156" i="8"/>
  <c r="I531" i="6"/>
  <c r="I21" i="17"/>
  <c r="I183" i="23"/>
  <c r="I204" i="7"/>
  <c r="I10" i="20"/>
  <c r="I10" i="22"/>
  <c r="J12" i="8"/>
  <c r="I143" i="23"/>
  <c r="L58" i="14"/>
  <c r="I11" i="23"/>
  <c r="I47" i="7"/>
  <c r="I179" i="6"/>
  <c r="I17" i="22"/>
  <c r="I150" i="4"/>
  <c r="I11" i="7"/>
  <c r="J237" i="5"/>
  <c r="I10" i="10"/>
  <c r="I196" i="23"/>
  <c r="J230" i="8"/>
  <c r="J123" i="5"/>
  <c r="I172" i="20"/>
  <c r="I103" i="4"/>
  <c r="I167" i="7"/>
  <c r="I10" i="17"/>
  <c r="I122" i="6"/>
  <c r="L106" i="14"/>
  <c r="I157" i="7"/>
  <c r="L92" i="14"/>
  <c r="I293" i="6"/>
  <c r="I9" i="19"/>
  <c r="J60" i="18"/>
  <c r="I33" i="15"/>
  <c r="J48" i="8"/>
  <c r="I645" i="6"/>
  <c r="L44" i="14"/>
  <c r="I65" i="6"/>
  <c r="J11" i="13"/>
  <c r="J120" i="8"/>
  <c r="J275" i="8"/>
  <c r="J301" i="5"/>
  <c r="I118" i="4"/>
  <c r="I119" i="7"/>
  <c r="I83" i="7"/>
  <c r="J84" i="8"/>
  <c r="L29" i="14"/>
  <c r="I59" i="4"/>
  <c r="J263" i="8"/>
  <c r="J45" i="13"/>
  <c r="I194" i="7"/>
  <c r="I92" i="23"/>
  <c r="I9" i="21"/>
  <c r="J307" i="8"/>
  <c r="I236" i="6"/>
  <c r="I300" i="6"/>
  <c r="I253" i="20"/>
  <c r="J27" i="13"/>
  <c r="I117" i="23"/>
  <c r="I165" i="4"/>
  <c r="I474" i="6"/>
  <c r="I30" i="19"/>
  <c r="J319" i="8"/>
  <c r="I31" i="9"/>
  <c r="I10" i="15"/>
  <c r="I136" i="9"/>
  <c r="I360" i="6"/>
  <c r="I417" i="6"/>
  <c r="H9" i="21"/>
  <c r="H117" i="23"/>
  <c r="I319" i="8"/>
  <c r="H119" i="7"/>
  <c r="H33" i="15"/>
  <c r="I11" i="13"/>
  <c r="H183" i="23"/>
  <c r="H10" i="20"/>
  <c r="H10" i="10"/>
  <c r="K106" i="14"/>
  <c r="I393" i="5"/>
  <c r="I120" i="8"/>
  <c r="H184" i="7"/>
  <c r="H27" i="12"/>
  <c r="I307" i="8"/>
  <c r="K58" i="14"/>
  <c r="H11" i="23"/>
  <c r="H165" i="4"/>
  <c r="K17" i="14"/>
  <c r="H253" i="20"/>
  <c r="I722" i="5"/>
  <c r="H83" i="7"/>
  <c r="H170" i="23"/>
  <c r="I156" i="8"/>
  <c r="H531" i="6"/>
  <c r="H136" i="9"/>
  <c r="H10" i="17"/>
  <c r="H474" i="6"/>
  <c r="H360" i="6"/>
  <c r="H91" i="20"/>
  <c r="I48" i="8"/>
  <c r="H300" i="6"/>
  <c r="H10" i="15"/>
  <c r="H293" i="6"/>
  <c r="H150" i="4"/>
  <c r="H25" i="10"/>
  <c r="H30" i="19"/>
  <c r="H417" i="6"/>
  <c r="H204" i="7"/>
  <c r="H167" i="7"/>
  <c r="H122" i="6"/>
  <c r="I263" i="8"/>
  <c r="H65" i="6"/>
  <c r="H118" i="4"/>
  <c r="H31" i="9"/>
  <c r="H11" i="7"/>
  <c r="I230" i="8"/>
  <c r="H17" i="22"/>
  <c r="I294" i="5"/>
  <c r="I10" i="18"/>
  <c r="H50" i="19"/>
  <c r="I60" i="18"/>
  <c r="I192" i="8"/>
  <c r="H143" i="23"/>
  <c r="K44" i="14"/>
  <c r="H133" i="11"/>
  <c r="H196" i="23"/>
  <c r="H157" i="7"/>
  <c r="H47" i="7"/>
  <c r="K92" i="14"/>
  <c r="I45" i="13"/>
  <c r="H28" i="11"/>
  <c r="H179" i="6"/>
  <c r="I84" i="8"/>
  <c r="H10" i="22"/>
  <c r="I27" i="13"/>
  <c r="H194" i="7"/>
  <c r="I123" i="5"/>
  <c r="I301" i="5"/>
  <c r="H27" i="22"/>
  <c r="H588" i="6"/>
  <c r="H59" i="4"/>
  <c r="H236" i="6"/>
  <c r="I360" i="5"/>
  <c r="H9" i="19"/>
  <c r="H172" i="20"/>
  <c r="H21" i="17"/>
  <c r="K29" i="14"/>
  <c r="H64" i="19"/>
  <c r="I275" i="8"/>
  <c r="H12" i="4"/>
  <c r="H645" i="6"/>
  <c r="I180" i="5"/>
  <c r="H103" i="4"/>
  <c r="H9" i="16"/>
  <c r="I12" i="8"/>
  <c r="I237" i="5"/>
  <c r="I65" i="5"/>
  <c r="H92" i="23"/>
  <c r="F30" i="19"/>
  <c r="F9" i="21"/>
  <c r="F117" i="23"/>
  <c r="G319" i="8"/>
  <c r="G48" i="8"/>
  <c r="F157" i="7"/>
  <c r="I58" i="14"/>
  <c r="G84" i="8"/>
  <c r="F196" i="23"/>
  <c r="G123" i="5"/>
  <c r="F167" i="7"/>
  <c r="F10" i="20"/>
  <c r="I29" i="14"/>
  <c r="I92" i="14"/>
  <c r="G237" i="5"/>
  <c r="I106" i="14"/>
  <c r="F64" i="19"/>
  <c r="F293" i="6"/>
  <c r="F165" i="4"/>
  <c r="G45" i="13"/>
  <c r="F417" i="6"/>
  <c r="G294" i="5"/>
  <c r="F645" i="6"/>
  <c r="F10" i="22"/>
  <c r="F27" i="12"/>
  <c r="F119" i="7"/>
  <c r="F65" i="6"/>
  <c r="F11" i="7"/>
  <c r="F11" i="23"/>
  <c r="F10" i="10"/>
  <c r="G60" i="18"/>
  <c r="F83" i="7"/>
  <c r="G263" i="8"/>
  <c r="G307" i="8"/>
  <c r="F136" i="9"/>
  <c r="F179" i="6"/>
  <c r="F10" i="17"/>
  <c r="F33" i="15"/>
  <c r="F300" i="6"/>
  <c r="F588" i="6"/>
  <c r="G192" i="8"/>
  <c r="F59" i="4"/>
  <c r="F9" i="16"/>
  <c r="F28" i="11"/>
  <c r="G65" i="5"/>
  <c r="G10" i="18"/>
  <c r="F92" i="23"/>
  <c r="G27" i="13"/>
  <c r="F31" i="9"/>
  <c r="F236" i="6"/>
  <c r="F531" i="6"/>
  <c r="F118" i="4"/>
  <c r="I44" i="14"/>
  <c r="F91" i="20"/>
  <c r="G156" i="8"/>
  <c r="F17" i="22"/>
  <c r="F253" i="20"/>
  <c r="G180" i="5"/>
  <c r="F194" i="7"/>
  <c r="F103" i="4"/>
  <c r="F133" i="11"/>
  <c r="G230" i="8"/>
  <c r="G120" i="8"/>
  <c r="F12" i="4"/>
  <c r="F170" i="23"/>
  <c r="F21" i="17"/>
  <c r="F27" i="22"/>
  <c r="G301" i="5"/>
  <c r="F47" i="7"/>
  <c r="F474" i="6"/>
  <c r="F143" i="23"/>
  <c r="F50" i="19"/>
  <c r="G275" i="8"/>
  <c r="F25" i="10"/>
  <c r="G360" i="5"/>
  <c r="F204" i="7"/>
  <c r="G393" i="5"/>
  <c r="F9" i="19"/>
  <c r="F183" i="23"/>
  <c r="F122" i="6"/>
  <c r="G12" i="8"/>
  <c r="G722" i="5"/>
  <c r="F360" i="6"/>
  <c r="I17" i="14"/>
  <c r="G11" i="13"/>
  <c r="F184" i="7"/>
  <c r="F150" i="4"/>
  <c r="F172" i="20"/>
  <c r="F10" i="15"/>
  <c r="C17" i="22"/>
  <c r="C196" i="23"/>
  <c r="C92" i="23"/>
  <c r="D393" i="5"/>
  <c r="C33" i="15"/>
  <c r="C474" i="6"/>
  <c r="C9" i="16"/>
  <c r="C10" i="22"/>
  <c r="C136" i="9"/>
  <c r="C27" i="22"/>
  <c r="C236" i="6"/>
  <c r="C65" i="6"/>
  <c r="C157" i="7"/>
  <c r="C150" i="4"/>
  <c r="C59" i="4"/>
  <c r="D294" i="5"/>
  <c r="D120" i="8"/>
  <c r="C167" i="7"/>
  <c r="D192" i="8"/>
  <c r="C9" i="21"/>
  <c r="C300" i="6"/>
  <c r="D156" i="8"/>
  <c r="C12" i="4"/>
  <c r="C91" i="20"/>
  <c r="D11" i="13"/>
  <c r="D65" i="5"/>
  <c r="D12" i="8"/>
  <c r="C11" i="7"/>
  <c r="C119" i="7"/>
  <c r="C133" i="11"/>
  <c r="C28" i="11"/>
  <c r="C172" i="20"/>
  <c r="C31" i="9"/>
  <c r="D230" i="8"/>
  <c r="C183" i="23"/>
  <c r="C253" i="20"/>
  <c r="C184" i="7"/>
  <c r="C143" i="23"/>
  <c r="C61" i="28"/>
  <c r="C11" i="23"/>
  <c r="C588" i="6"/>
  <c r="F106" i="14"/>
  <c r="C417" i="6"/>
  <c r="D84" i="8"/>
  <c r="C10" i="20"/>
  <c r="F92" i="14"/>
  <c r="C170" i="23"/>
  <c r="C27" i="12"/>
  <c r="C117" i="23"/>
  <c r="C50" i="19"/>
  <c r="C103" i="4"/>
  <c r="D722" i="5"/>
  <c r="C30" i="19"/>
  <c r="F44" i="14"/>
  <c r="F29" i="14"/>
  <c r="D180" i="5"/>
  <c r="D123" i="5"/>
  <c r="C194" i="7"/>
  <c r="C10" i="10"/>
  <c r="C9" i="19"/>
  <c r="D301" i="5"/>
  <c r="D60" i="18"/>
  <c r="D45" i="13"/>
  <c r="C122" i="6"/>
  <c r="F17" i="14"/>
  <c r="C64" i="19"/>
  <c r="C118" i="4"/>
  <c r="C165" i="4"/>
  <c r="C531" i="6"/>
  <c r="F58" i="14"/>
  <c r="C204" i="7"/>
  <c r="C645" i="6"/>
  <c r="D48" i="8"/>
  <c r="C21" i="17"/>
  <c r="D307" i="8"/>
  <c r="D263" i="8"/>
  <c r="C10" i="17"/>
  <c r="D27" i="13"/>
  <c r="D10" i="18"/>
  <c r="D237" i="5"/>
  <c r="C25" i="10"/>
  <c r="C83" i="7"/>
  <c r="D319" i="8"/>
  <c r="C293" i="6"/>
  <c r="C47" i="7"/>
  <c r="C10" i="15"/>
  <c r="C360" i="6"/>
  <c r="C179" i="6"/>
  <c r="D275" i="8"/>
  <c r="D360" i="5"/>
  <c r="E123" i="5"/>
  <c r="D47" i="7"/>
  <c r="D30" i="19"/>
  <c r="D9" i="21"/>
  <c r="D17" i="22"/>
  <c r="E45" i="13"/>
  <c r="G106" i="14"/>
  <c r="E263" i="8"/>
  <c r="G58" i="14"/>
  <c r="D50" i="19"/>
  <c r="D103" i="4"/>
  <c r="D92" i="23"/>
  <c r="D59" i="4"/>
  <c r="E294" i="5"/>
  <c r="D645" i="6"/>
  <c r="D9" i="16"/>
  <c r="D143" i="23"/>
  <c r="E156" i="8"/>
  <c r="E360" i="5"/>
  <c r="D65" i="6"/>
  <c r="D196" i="23"/>
  <c r="D91" i="20"/>
  <c r="E11" i="13"/>
  <c r="E65" i="5"/>
  <c r="D300" i="6"/>
  <c r="G44" i="14"/>
  <c r="E319" i="8"/>
  <c r="D117" i="23"/>
  <c r="D12" i="4"/>
  <c r="D25" i="10"/>
  <c r="D31" i="9"/>
  <c r="E230" i="8"/>
  <c r="D183" i="23"/>
  <c r="D27" i="22"/>
  <c r="E10" i="18"/>
  <c r="D167" i="7"/>
  <c r="E192" i="8"/>
  <c r="D253" i="20"/>
  <c r="G92" i="14"/>
  <c r="D28" i="11"/>
  <c r="D417" i="6"/>
  <c r="E84" i="8"/>
  <c r="D10" i="20"/>
  <c r="G29" i="14"/>
  <c r="D184" i="7"/>
  <c r="D11" i="7"/>
  <c r="E12" i="8"/>
  <c r="D9" i="19"/>
  <c r="D588" i="6"/>
  <c r="D531" i="6"/>
  <c r="D204" i="7"/>
  <c r="E275" i="8"/>
  <c r="D10" i="22"/>
  <c r="D136" i="9"/>
  <c r="E180" i="5"/>
  <c r="D179" i="6"/>
  <c r="E120" i="8"/>
  <c r="D27" i="12"/>
  <c r="D21" i="17"/>
  <c r="D10" i="15"/>
  <c r="D10" i="17"/>
  <c r="D360" i="6"/>
  <c r="D122" i="6"/>
  <c r="E307" i="8"/>
  <c r="D133" i="11"/>
  <c r="E722" i="5"/>
  <c r="E60" i="18"/>
  <c r="D165" i="4"/>
  <c r="D157" i="7"/>
  <c r="D11" i="23"/>
  <c r="D83" i="7"/>
  <c r="D293" i="6"/>
  <c r="D236" i="6"/>
  <c r="E27" i="13"/>
  <c r="E301" i="5"/>
  <c r="D170" i="23"/>
  <c r="G17" i="14"/>
  <c r="D10" i="10"/>
  <c r="D194" i="7"/>
  <c r="D150" i="4"/>
  <c r="D172" i="20"/>
  <c r="D474" i="6"/>
  <c r="D64" i="19"/>
  <c r="D118" i="4"/>
  <c r="E393" i="5"/>
  <c r="E48" i="8"/>
  <c r="D33" i="15"/>
  <c r="D119" i="7"/>
  <c r="E237" i="5"/>
  <c r="E47" i="7"/>
  <c r="E30" i="19"/>
  <c r="E64" i="19"/>
  <c r="F11" i="13"/>
  <c r="F294" i="5"/>
  <c r="E59" i="4"/>
  <c r="E118" i="4"/>
  <c r="E300" i="6"/>
  <c r="E172" i="20"/>
  <c r="E165" i="4"/>
  <c r="F319" i="8"/>
  <c r="F263" i="8"/>
  <c r="F722" i="5"/>
  <c r="E531" i="6"/>
  <c r="E12" i="4"/>
  <c r="F307" i="8"/>
  <c r="F156" i="8"/>
  <c r="E253" i="20"/>
  <c r="E11" i="23"/>
  <c r="E133" i="11"/>
  <c r="E92" i="23"/>
  <c r="E360" i="6"/>
  <c r="E27" i="22"/>
  <c r="E122" i="6"/>
  <c r="E9" i="16"/>
  <c r="E136" i="9"/>
  <c r="F230" i="8"/>
  <c r="E10" i="20"/>
  <c r="H29" i="14"/>
  <c r="F10" i="18"/>
  <c r="E10" i="10"/>
  <c r="E27" i="12"/>
  <c r="F12" i="8"/>
  <c r="E9" i="19"/>
  <c r="E103" i="4"/>
  <c r="H17" i="14"/>
  <c r="F237" i="5"/>
  <c r="F84" i="8"/>
  <c r="F60" i="18"/>
  <c r="F275" i="8"/>
  <c r="H92" i="14"/>
  <c r="E167" i="7"/>
  <c r="F48" i="8"/>
  <c r="E157" i="7"/>
  <c r="H58" i="14"/>
  <c r="E50" i="19"/>
  <c r="E31" i="9"/>
  <c r="E474" i="6"/>
  <c r="E183" i="23"/>
  <c r="E117" i="23"/>
  <c r="E10" i="22"/>
  <c r="E150" i="4"/>
  <c r="F180" i="5"/>
  <c r="F65" i="5"/>
  <c r="E170" i="23"/>
  <c r="E293" i="6"/>
  <c r="E645" i="6"/>
  <c r="F360" i="5"/>
  <c r="E33" i="15"/>
  <c r="H44" i="14"/>
  <c r="F301" i="5"/>
  <c r="E65" i="6"/>
  <c r="E10" i="15"/>
  <c r="H106" i="14"/>
  <c r="E236" i="6"/>
  <c r="E83" i="7"/>
  <c r="F393" i="5"/>
  <c r="E194" i="7"/>
  <c r="E184" i="7"/>
  <c r="E143" i="23"/>
  <c r="E196" i="23"/>
  <c r="E25" i="10"/>
  <c r="E10" i="17"/>
  <c r="E179" i="6"/>
  <c r="E21" i="17"/>
  <c r="E91" i="20"/>
  <c r="E9" i="21"/>
  <c r="F45" i="13"/>
  <c r="F192" i="8"/>
  <c r="E588" i="6"/>
  <c r="E28" i="11"/>
  <c r="E417" i="6"/>
  <c r="F27" i="13"/>
  <c r="E204" i="7"/>
  <c r="F120" i="8"/>
  <c r="E11" i="7"/>
  <c r="E119" i="7"/>
  <c r="E17" i="22"/>
  <c r="F123" i="5"/>
  <c r="C137" i="11"/>
  <c r="C141" i="11" s="1"/>
  <c r="C140" i="9"/>
  <c r="C144" i="9" s="1"/>
  <c r="F140" i="9" l="1"/>
  <c r="F144" i="9" s="1"/>
  <c r="E140" i="9"/>
  <c r="E144" i="9" s="1"/>
  <c r="F137" i="11"/>
  <c r="F141" i="11" s="1"/>
  <c r="I140" i="9"/>
  <c r="I144" i="9" s="1"/>
  <c r="G137" i="11"/>
  <c r="G141" i="11"/>
  <c r="D140" i="9"/>
  <c r="D144" i="9" s="1"/>
  <c r="D137" i="11"/>
  <c r="D141" i="11"/>
  <c r="H140" i="9"/>
  <c r="H144" i="9"/>
  <c r="I137" i="11"/>
  <c r="I141" i="11" s="1"/>
  <c r="E137" i="11"/>
  <c r="E141" i="11" s="1"/>
  <c r="B3" i="4"/>
  <c r="B3" i="22"/>
  <c r="B3" i="19"/>
  <c r="B3" i="9"/>
  <c r="B3" i="6"/>
  <c r="B3" i="10"/>
  <c r="B3" i="15"/>
  <c r="B3" i="5"/>
  <c r="B3" i="23"/>
  <c r="B3" i="14"/>
  <c r="B3" i="12"/>
  <c r="B3" i="16"/>
  <c r="B3" i="21"/>
  <c r="B3" i="17"/>
  <c r="B3" i="13"/>
  <c r="B3" i="11"/>
  <c r="B3" i="8"/>
  <c r="B3" i="7"/>
  <c r="B3" i="20"/>
  <c r="B3" i="2"/>
  <c r="V3" i="3"/>
  <c r="B3" i="18"/>
  <c r="H137" i="11"/>
  <c r="H141" i="11" s="1"/>
  <c r="G140" i="9"/>
  <c r="G14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Hogan, Susan</author>
  </authors>
  <commentList>
    <comment ref="AL28" authorId="0" shapeId="0" xr:uid="{00000000-0006-0000-1A00-000001000000}">
      <text>
        <r>
          <rPr>
            <b/>
            <sz val="9"/>
            <color rgb="FF000000"/>
            <rFont val="Tahoma"/>
            <family val="2"/>
          </rPr>
          <t xml:space="preserve">20161017: </t>
        </r>
        <r>
          <rPr>
            <sz val="9"/>
            <color rgb="FF000000"/>
            <rFont val="Tahoma"/>
            <family val="2"/>
          </rPr>
          <t xml:space="preserve">Updated ABN and contact person </t>
        </r>
      </text>
    </comment>
    <comment ref="H52" authorId="0" shapeId="0" xr:uid="{00000000-0006-0000-1A00-000002000000}">
      <text>
        <r>
          <rPr>
            <b/>
            <sz val="9"/>
            <color rgb="FF000000"/>
            <rFont val="Tahoma"/>
            <family val="2"/>
          </rPr>
          <t>Hogan, Susan:</t>
        </r>
        <r>
          <rPr>
            <sz val="9"/>
            <color rgb="FF000000"/>
            <rFont val="Tahoma"/>
            <family val="2"/>
          </rPr>
          <t xml:space="preserve">
This is populated from FRCP_y1 which is selected by the business on the cover sheet.</t>
        </r>
      </text>
    </comment>
  </commentList>
</comments>
</file>

<file path=xl/sharedStrings.xml><?xml version="1.0" encoding="utf-8"?>
<sst xmlns="http://schemas.openxmlformats.org/spreadsheetml/2006/main" count="3212" uniqueCount="1449">
  <si>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</si>
  <si>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</si>
  <si>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</si>
  <si>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</si>
  <si>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i/>
        <sz val="15"/>
        <color rgb="FF000000"/>
        <rFont val="Arial"/>
        <family val="2"/>
      </rPr>
      <t>confidential</t>
    </r>
    <r>
      <rPr>
        <sz val="15"/>
        <color rgb="FF000000"/>
        <rFont val="Arial"/>
        <family val="2"/>
      </rPr>
      <t xml:space="preserve"> workbook and
where confidential information has been 
removed in the </t>
    </r>
    <r>
      <rPr>
        <b/>
        <i/>
        <sz val="15"/>
        <color rgb="FF000000"/>
        <rFont val="Arial"/>
        <family val="2"/>
      </rPr>
      <t xml:space="preserve">public </t>
    </r>
    <r>
      <rPr>
        <sz val="15"/>
        <color rgb="FF000000"/>
        <rFont val="Arial"/>
        <family val="2"/>
      </rPr>
      <t xml:space="preserve">workbook. 
</t>
    </r>
  </si>
  <si>
    <r>
      <t xml:space="preserve">-Do this by selecting the cell or cells that contain confidential information and then run the </t>
    </r>
    <r>
      <rPr>
        <i/>
        <sz val="12"/>
        <color rgb="FF000000"/>
        <rFont val="Arial"/>
        <family val="2"/>
      </rPr>
      <t xml:space="preserve">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NON-CONFIDENTIAL</t>
    </r>
    <r>
      <rPr>
        <sz val="12"/>
        <color rgb="FF000000"/>
        <rFont val="Arial"/>
        <family val="2"/>
      </rPr>
      <t xml:space="preserve"> macro.</t>
    </r>
  </si>
  <si>
    <t>PROTECTED (SOCI) INFORMATION</t>
  </si>
  <si>
    <r>
      <t xml:space="preserve">
Please use the macro at the top of each 
worksheet to identify information in the 
</t>
    </r>
    <r>
      <rPr>
        <b/>
        <sz val="15"/>
        <color rgb="FF000000"/>
        <rFont val="Arial"/>
        <family val="2"/>
      </rPr>
      <t>confidential</t>
    </r>
    <r>
      <rPr>
        <sz val="15"/>
        <color rgb="FF000000"/>
        <rFont val="Arial"/>
        <family val="2"/>
      </rPr>
      <t xml:space="preserve"> workbook that is </t>
    </r>
    <r>
      <rPr>
        <b/>
        <sz val="15"/>
        <color rgb="FF000000"/>
        <rFont val="Arial"/>
        <family val="2"/>
      </rPr>
      <t>protected 
information</t>
    </r>
    <r>
      <rPr>
        <sz val="15"/>
        <color rgb="FF000000"/>
        <rFont val="Arial"/>
        <family val="2"/>
      </rPr>
      <t xml:space="preserve"> under the SOCI Act. All 
information marked </t>
    </r>
    <r>
      <rPr>
        <i/>
        <sz val="15"/>
        <color rgb="FF000000"/>
        <rFont val="Arial"/>
        <family val="2"/>
      </rPr>
      <t xml:space="preserve">Protected (SOCI) </t>
    </r>
    <r>
      <rPr>
        <sz val="15"/>
        <color rgb="FF000000"/>
        <rFont val="Arial"/>
        <family val="2"/>
      </rPr>
      <t xml:space="preserve">is also 
deemed to be </t>
    </r>
    <r>
      <rPr>
        <b/>
        <sz val="15"/>
        <color rgb="FF000000"/>
        <rFont val="Arial"/>
        <family val="2"/>
      </rPr>
      <t>confidential</t>
    </r>
    <r>
      <rPr>
        <sz val="15"/>
        <color rgb="FF000000"/>
        <rFont val="Arial"/>
        <family val="2"/>
      </rPr>
      <t xml:space="preserve"> information.</t>
    </r>
  </si>
  <si>
    <r>
      <t xml:space="preserve">-Do this by selecting the cell or cells that contain protected information and then run the </t>
    </r>
    <r>
      <rPr>
        <i/>
        <sz val="12"/>
        <color rgb="FF000000"/>
        <rFont val="Arial"/>
        <family val="2"/>
      </rPr>
      <t xml:space="preserve">PROTECTED (SOCI) </t>
    </r>
    <r>
      <rPr>
        <sz val="12"/>
        <color rgb="FF000000"/>
        <rFont val="Arial"/>
        <family val="2"/>
      </rPr>
      <t>macro. This will format the cells a specific colour that is identified by the AER's database which in turn marks that information as protected..
-To reverse this, select the cell or cells and run the</t>
    </r>
    <r>
      <rPr>
        <i/>
        <sz val="12"/>
        <color rgb="FF000000"/>
        <rFont val="Arial"/>
        <family val="2"/>
      </rPr>
      <t xml:space="preserve"> NON-PROTECTED</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</si>
  <si>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</si>
  <si>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redacted or aggregated.
Use the drop down box on the </t>
    </r>
    <r>
      <rPr>
        <i/>
        <sz val="12"/>
        <color rgb="FF000000"/>
        <rFont val="Arial"/>
        <family val="2"/>
      </rPr>
      <t>Business and other details</t>
    </r>
    <r>
      <rPr>
        <sz val="12"/>
        <color rgb="FF000000"/>
        <rFont val="Arial"/>
        <family val="2"/>
      </rPr>
      <t xml:space="preserve"> worksheet to identify the file as either confidential or public. </t>
    </r>
  </si>
  <si>
    <t>ORDER OF MAGNITUDE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</si>
  <si>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xml:space="preserve">: that is 1000 is to be entered as '1000'. </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</si>
  <si>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</si>
  <si>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</si>
  <si>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</si>
  <si>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</si>
  <si>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</si>
  <si>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PLEASE DO NOT ENTER TEXT into cells that are to contain numbers 
</t>
    </r>
    <r>
      <rPr>
        <b/>
        <sz val="12"/>
        <color rgb="FFFF0000"/>
        <rFont val="Arial"/>
        <family val="2"/>
      </rPr>
      <t>(including 'numbers stored as text')</t>
    </r>
  </si>
  <si>
    <t>CONTENTS</t>
  </si>
  <si>
    <t>TEMPLATE DATE</t>
  </si>
  <si>
    <t>FEBRUARY 2024</t>
  </si>
  <si>
    <t>SUBMISSION</t>
  </si>
  <si>
    <t>Business &amp; other details</t>
  </si>
  <si>
    <t>EXPENDITURE</t>
  </si>
  <si>
    <t>E1. Expenditure Summary</t>
  </si>
  <si>
    <t>E2. Mains Repex</t>
  </si>
  <si>
    <t>E3. Mains Augex</t>
  </si>
  <si>
    <t>E4. Meter replacement</t>
  </si>
  <si>
    <t>E5. New Connections</t>
  </si>
  <si>
    <t>E6. Non-network</t>
  </si>
  <si>
    <t>E10. Overheads</t>
  </si>
  <si>
    <t>E12. ICT</t>
  </si>
  <si>
    <t>E13. Other capex</t>
  </si>
  <si>
    <t>E17. Step changes</t>
  </si>
  <si>
    <t>E20. Opex</t>
  </si>
  <si>
    <t>E21. ARS</t>
  </si>
  <si>
    <t>E25. Escalators</t>
  </si>
  <si>
    <t>NETWORK</t>
  </si>
  <si>
    <t>N1. Demand</t>
  </si>
  <si>
    <t>N2. Network characteristcs</t>
  </si>
  <si>
    <t>SERVICE</t>
  </si>
  <si>
    <t>S1. Customer numbers - by customer type</t>
  </si>
  <si>
    <t>S1.2. Customer numbers - by tariff</t>
  </si>
  <si>
    <t>S10. Supply Quality</t>
  </si>
  <si>
    <t>S11. Network reliability</t>
  </si>
  <si>
    <t>FINANCIAL</t>
  </si>
  <si>
    <t>F3. Revenue</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</si>
  <si>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</si>
  <si>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</si>
  <si>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</si>
  <si>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</si>
  <si>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</si>
  <si>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</si>
  <si>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</si>
  <si>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</si>
  <si>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Evoenergy Gas</t>
  </si>
  <si>
    <t>ACN/ABN</t>
  </si>
  <si>
    <t>Business Address</t>
  </si>
  <si>
    <t>Postal Address</t>
  </si>
  <si>
    <t>Address 1</t>
  </si>
  <si>
    <t>Address 2</t>
  </si>
  <si>
    <t>Suburb</t>
  </si>
  <si>
    <t>State</t>
  </si>
  <si>
    <t>NSW</t>
  </si>
  <si>
    <t>Post code</t>
  </si>
  <si>
    <t>`</t>
  </si>
  <si>
    <t>Contact Names</t>
  </si>
  <si>
    <t>Name</t>
  </si>
  <si>
    <t>Phone</t>
  </si>
  <si>
    <t>Email</t>
  </si>
  <si>
    <t>REGULATORY CONTROL PERIODS</t>
  </si>
  <si>
    <t>Forthcoming period</t>
  </si>
  <si>
    <t>2026-27</t>
  </si>
  <si>
    <t>RESETS</t>
  </si>
  <si>
    <t>Current period</t>
  </si>
  <si>
    <t>Previous period</t>
  </si>
  <si>
    <t>Commencing year</t>
  </si>
  <si>
    <t>2025-26</t>
  </si>
  <si>
    <t>ANNUAL RINS</t>
  </si>
  <si>
    <t>Final year</t>
  </si>
  <si>
    <t>2029-30</t>
  </si>
  <si>
    <t>SUBMISSION DETAILS</t>
  </si>
  <si>
    <t>RIN type</t>
  </si>
  <si>
    <t>Source</t>
  </si>
  <si>
    <t>Regulatory proposal</t>
  </si>
  <si>
    <t>THIS FILE</t>
  </si>
  <si>
    <t>Data Quality</t>
  </si>
  <si>
    <t>Consolidated</t>
  </si>
  <si>
    <t>Confidentiality Status</t>
  </si>
  <si>
    <t>Public</t>
  </si>
  <si>
    <t>Amendment Reason</t>
  </si>
  <si>
    <t>.</t>
  </si>
  <si>
    <t>Submission Date</t>
  </si>
  <si>
    <t>Please enter date this file submitted to AER</t>
  </si>
  <si>
    <t>E1. EXPENDITURE SUMMARY</t>
  </si>
  <si>
    <t>FINAL RIN TEMPLATE - FEBRUARY 2024</t>
  </si>
  <si>
    <t>E1.1 - CAPEX</t>
  </si>
  <si>
    <t>E1.1.1 - REFERENCE SERVICES</t>
  </si>
  <si>
    <t>Connections (gas)</t>
  </si>
  <si>
    <t>Mains replacement</t>
  </si>
  <si>
    <t>Mains augmentation</t>
  </si>
  <si>
    <t>Telemetry</t>
  </si>
  <si>
    <t>Meter replacement</t>
  </si>
  <si>
    <t>ICT</t>
  </si>
  <si>
    <t>Capitalised network overheads</t>
  </si>
  <si>
    <t>Capitalised corporate overheads</t>
  </si>
  <si>
    <t>Other capex</t>
  </si>
  <si>
    <r>
      <t xml:space="preserve">Capital contributions </t>
    </r>
    <r>
      <rPr>
        <i/>
        <sz val="10"/>
        <color rgb="FF808080"/>
        <rFont val="Arial"/>
        <family val="2"/>
      </rPr>
      <t>included in the above</t>
    </r>
  </si>
  <si>
    <r>
      <t xml:space="preserve">Total </t>
    </r>
    <r>
      <rPr>
        <i/>
        <sz val="10"/>
        <color rgb="FF404040"/>
        <rFont val="Calibri"/>
        <family val="2"/>
      </rPr>
      <t>(less capital contributions)</t>
    </r>
  </si>
  <si>
    <t>E1.1.2 - NON-REFERENCE SERVICES</t>
  </si>
  <si>
    <t>Capital contributions included in the above</t>
  </si>
  <si>
    <t>Total</t>
  </si>
  <si>
    <t>E1.2 - OPEX</t>
  </si>
  <si>
    <t>E1.2.1 - REFERENCE SERVICES</t>
  </si>
  <si>
    <r>
      <rPr>
        <b/>
        <sz val="11"/>
        <color rgb="FF000000"/>
        <rFont val="Calibri"/>
        <family val="2"/>
      </rPr>
      <t>Total</t>
    </r>
    <r>
      <rPr>
        <b/>
        <sz val="9"/>
        <color rgb="FF595959"/>
        <rFont val="Calibri"/>
        <family val="2"/>
      </rPr>
      <t/>
    </r>
  </si>
  <si>
    <t>E1.2.2 - NON-REFERENCE SERVICES</t>
  </si>
  <si>
    <t>E1.3 - CAPCONS</t>
  </si>
  <si>
    <t>E1.3.1 - REFERENCE SERVICES</t>
  </si>
  <si>
    <t>E1.3.2 - NON-REFERENCE SERVICES</t>
  </si>
  <si>
    <t>E1.4 - CAPITALISED OVERHEADS</t>
  </si>
  <si>
    <t>E1.4.1 - REFERENCE SERVICES</t>
  </si>
  <si>
    <r>
      <rPr>
        <sz val="10"/>
        <color rgb="FF000000"/>
        <rFont val="Arial"/>
        <family val="2"/>
      </rPr>
      <t>Capital contributions</t>
    </r>
    <r>
      <rPr>
        <i/>
        <sz val="10"/>
        <color rgb="FF000000"/>
        <rFont val="Arial"/>
        <family val="2"/>
      </rPr>
      <t xml:space="preserve"> </t>
    </r>
    <r>
      <rPr>
        <i/>
        <sz val="10"/>
        <color rgb="FF808080"/>
        <rFont val="Arial"/>
        <family val="2"/>
      </rPr>
      <t>included in the above</t>
    </r>
  </si>
  <si>
    <t>E1.4.2 - NON-REFERENCE SERVICES</t>
  </si>
  <si>
    <t>E2. MAINS REPLACEMENT</t>
  </si>
  <si>
    <t>Please list all projects or categories here:</t>
  </si>
  <si>
    <t>Canberra Primary Mains Mechanical Protection</t>
  </si>
  <si>
    <t>Project 2</t>
  </si>
  <si>
    <t>Project 3</t>
  </si>
  <si>
    <t>Project 4</t>
  </si>
  <si>
    <t>Project 5</t>
  </si>
  <si>
    <t>Project 6</t>
  </si>
  <si>
    <t>Project 7</t>
  </si>
  <si>
    <t>E2.1 - CAPEX</t>
  </si>
  <si>
    <t>E2.1.1 - PROACTIVE - BY PROJECT</t>
  </si>
  <si>
    <t>A. DIRECT INTERNAL LABOUR EXPENDITURE</t>
  </si>
  <si>
    <t>Other projects or categories with expenditure of less than $500,000</t>
  </si>
  <si>
    <t>B. DIRECT CONTRACTOR EXPENDITURE</t>
  </si>
  <si>
    <t>C. DIRECT MATERIAL EXPENDITURE</t>
  </si>
  <si>
    <t>D. OTHER DIRECT EXPENDITURE</t>
  </si>
  <si>
    <t>E. RELATED PARTY MARGIN EXPENDITURE</t>
  </si>
  <si>
    <r>
      <t xml:space="preserve">F. CAPITAL CONTRIBUTIONS </t>
    </r>
    <r>
      <rPr>
        <b/>
        <i/>
        <sz val="10"/>
        <color rgb="FF595959"/>
        <rFont val="Arial"/>
        <family val="2"/>
      </rPr>
      <t>included in the above</t>
    </r>
  </si>
  <si>
    <t>E2.1.2 - REACTIVE - BY CONNECTION TYPE</t>
  </si>
  <si>
    <t>Mains</t>
  </si>
  <si>
    <t>Services</t>
  </si>
  <si>
    <t>TOTAL</t>
  </si>
  <si>
    <t>E2.2 - VOLUMES</t>
  </si>
  <si>
    <t>E2.2.1 - PROACTIVE - BY CONNECTION TYPE - BY PROJECT</t>
  </si>
  <si>
    <t>LENGTH</t>
  </si>
  <si>
    <t>0s, metres</t>
  </si>
  <si>
    <t>A. LOW PRESSURE TO HIGH PRESSURE</t>
  </si>
  <si>
    <t>Aggregate of other projects or categories with total expenditure of less than $500,000</t>
  </si>
  <si>
    <t>B. LOW PRESSURE TO MEDIUM PRESSURE</t>
  </si>
  <si>
    <t>C. LOW PRESSURE TO LOW PRESSURE</t>
  </si>
  <si>
    <t>D. MEDIUM PRESSURE TO MEDIUM PRESSURE</t>
  </si>
  <si>
    <t>E. MEDIUM PRESSURE TO HIGH PRESSURE</t>
  </si>
  <si>
    <t>F. HIGH PRESSURE TO HIGH PRESSURE</t>
  </si>
  <si>
    <t>E2.2.2 - REACTIVE - BY CONNECTION TYPE</t>
  </si>
  <si>
    <t>VOLUMES</t>
  </si>
  <si>
    <t>0s</t>
  </si>
  <si>
    <t>Length of mains replaced</t>
  </si>
  <si>
    <t>Number of services replaced</t>
  </si>
  <si>
    <t>E3. MAINS AUGMENTATION</t>
  </si>
  <si>
    <t>n/a</t>
  </si>
  <si>
    <t>E3.1 - CAPEX BY PROJECT</t>
  </si>
  <si>
    <t>E3.2 - VOLUMES - BY PRESSURE TYPE - BY PROJECT</t>
  </si>
  <si>
    <t>A. LOW PRESSURE TO LOW PRESSURE</t>
  </si>
  <si>
    <t>00</t>
  </si>
  <si>
    <t>C. LOW PRESSURE TO HIGH PRESSURE</t>
  </si>
  <si>
    <t>E4. METER (GAS) REPLACEMENT</t>
  </si>
  <si>
    <t>E4.1 - CAPEX</t>
  </si>
  <si>
    <t>E4.1.1 - NEW METERS ACQUIRED</t>
  </si>
  <si>
    <t>Residential</t>
  </si>
  <si>
    <t>Industrial and Commercial</t>
  </si>
  <si>
    <t>Other</t>
  </si>
  <si>
    <t>E4.1.2 - METER (GAS) REFURBISHMENT</t>
  </si>
  <si>
    <t>E4.1.3 - METER (GAS) INSTALLATION</t>
  </si>
  <si>
    <t>E4.1.4 - OTHER METER (GAS) REPLACEMENT CAPEX</t>
  </si>
  <si>
    <t>E4.2 - VOLUMES</t>
  </si>
  <si>
    <t>E4.2.1 - NUMBER OF NEW METERS ACQUIRED</t>
  </si>
  <si>
    <t>Industrial and commercial</t>
  </si>
  <si>
    <t>Other meters</t>
  </si>
  <si>
    <t>E4.2.2 - NUMBER OF METERS REFURBISHED</t>
  </si>
  <si>
    <t>A. REFURBISHABLE METERS REMOVED</t>
  </si>
  <si>
    <t>B. METERS DECOMMISSIONED</t>
  </si>
  <si>
    <t>E4.2.3 - NUMBER OF METERS INSTALLED</t>
  </si>
  <si>
    <t>E4.2.4 - NUMBER OF METERS REMOVED / DECOMMISSIONED</t>
  </si>
  <si>
    <t>E4.2.5 - OTHER METER (GAS) REPLACEMENT VOLUMES</t>
  </si>
  <si>
    <t>E5. CONNECTIONS (GAS)</t>
  </si>
  <si>
    <t>E5.1 - EXPENDITURE</t>
  </si>
  <si>
    <t>E5.1.1 - CAPEX - BY CONNECTION TYPE</t>
  </si>
  <si>
    <t>(i)  ELECTRICITY TO GAS</t>
  </si>
  <si>
    <t>Distribution mains</t>
  </si>
  <si>
    <t>Inlet service pipes</t>
  </si>
  <si>
    <t>Meters (gas)</t>
  </si>
  <si>
    <t>(ii)  NEW HOMES</t>
  </si>
  <si>
    <t>(iii)  NEW MEDIUM DENSITY / HIGH RISE</t>
  </si>
  <si>
    <t>(iv)  INDUSTRIAL &amp; COMMERCIAL TARIFF</t>
  </si>
  <si>
    <t>(v)  INDUSTRIAL &amp; COMMERCIAL CONTRACT</t>
  </si>
  <si>
    <t>(vi)  GAS SUPPLIERS</t>
  </si>
  <si>
    <t>E5.2 - UNIT RATES</t>
  </si>
  <si>
    <t>E5.2.1 - UNIT RATES - PER CONNECTION - BY CONNECTION TYPE</t>
  </si>
  <si>
    <t>RATES PER CONNECTION</t>
  </si>
  <si>
    <t>Units</t>
  </si>
  <si>
    <t>A. ELECTRICITY TO GAS</t>
  </si>
  <si>
    <t>per metre per connection</t>
  </si>
  <si>
    <t>per service per connection</t>
  </si>
  <si>
    <t>number per connection</t>
  </si>
  <si>
    <t>B. NEW HOMES</t>
  </si>
  <si>
    <t>C. NEW MEDIUM DENSITY / HIGH RISE</t>
  </si>
  <si>
    <t>D. INDUSTRIAL &amp; COMMERCIAL TARIFF</t>
  </si>
  <si>
    <t>E. INDUSTRIAL &amp; COMMERCIAL CONTRACT</t>
  </si>
  <si>
    <t>F. GAS SUPPLIERS</t>
  </si>
  <si>
    <t>E5.3 - VOLUMES</t>
  </si>
  <si>
    <t>E5.3.1 - NUMBER OF NEW CONNECTIONS</t>
  </si>
  <si>
    <t>Electricity to gas</t>
  </si>
  <si>
    <t>New homes</t>
  </si>
  <si>
    <t>New medium density / high rise</t>
  </si>
  <si>
    <t>Industrial and commercial tariff</t>
  </si>
  <si>
    <t>Industrial and commercial contract</t>
  </si>
  <si>
    <t>Gas suppliers</t>
  </si>
  <si>
    <t>E5.3.2 - VOLUMES - PER CONNECTION - BY CONNECTION TYPE</t>
  </si>
  <si>
    <t>metres per connection</t>
  </si>
  <si>
    <t>E5.4 -  CAPITAL CONTRIBUTIONS</t>
  </si>
  <si>
    <t>E5.4.1 - VALUE OF CAPITAL CONTRIBUTIONS - BY CONNECTION TYPE</t>
  </si>
  <si>
    <t>VALUE</t>
  </si>
  <si>
    <t>Industrial &amp; commercial tariff</t>
  </si>
  <si>
    <t>Industrial &amp; commercial contract</t>
  </si>
  <si>
    <t>E5.4.2 - NUMBER OF CAPITAL CONTRIBUTIONS - BY CONNECTION TYPE</t>
  </si>
  <si>
    <t>0's</t>
  </si>
  <si>
    <t>E6. NON-NETWORK EXPENDITURE</t>
  </si>
  <si>
    <t>E6.5 - TELEMETRY</t>
  </si>
  <si>
    <t>E6.5.1 - CAPEX - BY PROJECT</t>
  </si>
  <si>
    <t>Project 1</t>
  </si>
  <si>
    <t>Project 8</t>
  </si>
  <si>
    <t>Project 9</t>
  </si>
  <si>
    <t>E6.5.2 - EXPENDITURE BY PURPOSE</t>
  </si>
  <si>
    <t>OPEX</t>
  </si>
  <si>
    <t>Recurrent expenditure</t>
  </si>
  <si>
    <t>Non-recurrent expenditure</t>
  </si>
  <si>
    <t>CAPEX</t>
  </si>
  <si>
    <t>E10. OVERHEADS EXPENDITURE</t>
  </si>
  <si>
    <t>E10.1 - NETWORK</t>
  </si>
  <si>
    <t>E10.1.1 - OPEX</t>
  </si>
  <si>
    <t>Reference services</t>
  </si>
  <si>
    <t>Non-reference services</t>
  </si>
  <si>
    <t>E10.1.2 - CAPEX</t>
  </si>
  <si>
    <t>E10.2 - CORPORATE</t>
  </si>
  <si>
    <t>E10.2.1 - OPEX</t>
  </si>
  <si>
    <t>E10.2.2 - CAPEX</t>
  </si>
  <si>
    <t>E12. INFORMATION AND COMMUNICATION TECHNOLOGY</t>
  </si>
  <si>
    <t>E12.1 - CAPEX - BY PROJECT</t>
  </si>
  <si>
    <t>E12.2 - EXPENDITURE BY PURPOSE</t>
  </si>
  <si>
    <t>E13. OTHER CAPITAL EXPENDITURE</t>
  </si>
  <si>
    <t>Phillip PRS E&amp;I Compliance Upgrade</t>
  </si>
  <si>
    <t>Watson TRS E&amp;I Compliance Upgrade</t>
  </si>
  <si>
    <t>Bungendore POTS - Facilities Obsolescence</t>
  </si>
  <si>
    <t>Hume PME Pigging Facilities</t>
  </si>
  <si>
    <t>E13.1 - CAPEX - BY PROJECT</t>
  </si>
  <si>
    <t>E17. STEP CHANGES</t>
  </si>
  <si>
    <t>E17.1 - STEP CHANGES FOR REFERENCE SERVICES</t>
  </si>
  <si>
    <t>E17.1.1 - FORECAST OPEX</t>
  </si>
  <si>
    <t>Step change</t>
  </si>
  <si>
    <t>Description</t>
  </si>
  <si>
    <t>E17.1.2 - FORECAST CAPEX</t>
  </si>
  <si>
    <t>E17.2 - CATEGORY SPECIFIC FORECASTS</t>
  </si>
  <si>
    <t>Category desription</t>
  </si>
  <si>
    <t>Unaccounted for gas</t>
  </si>
  <si>
    <t>Debt raising costs</t>
  </si>
  <si>
    <t>E20. OPERATING EXPENDITURE</t>
  </si>
  <si>
    <t>IMPORTANT!</t>
  </si>
  <si>
    <t>Yes</t>
  </si>
  <si>
    <t>Yes /  No</t>
  </si>
  <si>
    <t>Please nominate the base year</t>
  </si>
  <si>
    <t>2023-24</t>
  </si>
  <si>
    <t>2015-16</t>
  </si>
  <si>
    <t>2016-17</t>
  </si>
  <si>
    <t>2017-18</t>
  </si>
  <si>
    <t>2018-19</t>
  </si>
  <si>
    <t>2019-20</t>
  </si>
  <si>
    <t>E20.1 - OPEX - BY DRIVER</t>
  </si>
  <si>
    <t xml:space="preserve">E20.1.1 - REFERENCE SERVICES  </t>
  </si>
  <si>
    <t>Base year total opex, excluding category specific</t>
  </si>
  <si>
    <t>Increment from base year to final year</t>
  </si>
  <si>
    <t>Price growth</t>
  </si>
  <si>
    <t>Output growth</t>
  </si>
  <si>
    <t>Productivity growth</t>
  </si>
  <si>
    <t>Step changes</t>
  </si>
  <si>
    <t>Category specific</t>
  </si>
  <si>
    <t xml:space="preserve">E20.1.2 - NON-REFERENCE SERVICES  </t>
  </si>
  <si>
    <t>E20.2 - OPEX - BY CATEGORY</t>
  </si>
  <si>
    <t>E20.2.1 - REFERENCE SERVICES</t>
  </si>
  <si>
    <t>repairs and maintenance</t>
  </si>
  <si>
    <t>marketing and retail incentives</t>
  </si>
  <si>
    <t>debt raising</t>
  </si>
  <si>
    <t>equity raising</t>
  </si>
  <si>
    <t>unaccounted for gas</t>
  </si>
  <si>
    <t>jurisdictional charges</t>
  </si>
  <si>
    <t>GSL payments</t>
  </si>
  <si>
    <t>other opex</t>
  </si>
  <si>
    <t>E20.2.2 - NON-REFERENCE SERVICES</t>
  </si>
  <si>
    <t>E20.3 - OPEX - BY CATEGORY - RELATED PARTY MARGIN EXPENDITURE</t>
  </si>
  <si>
    <t>20.3.1 - REFERENCE SERVICES</t>
  </si>
  <si>
    <t>20.3.2 - NON-REFERENCE SERVICES</t>
  </si>
  <si>
    <t>E21. ANCILLARY REFERENCE SERVICES</t>
  </si>
  <si>
    <t>E21.1 - VOLUMES</t>
  </si>
  <si>
    <t>NUMBER OF SERVICES</t>
  </si>
  <si>
    <t>Hourly rate (non-standard retailer-initiated requests and queries)</t>
  </si>
  <si>
    <t>Special meter read</t>
  </si>
  <si>
    <t>Temporary disconnection &lt;=25m3/hr (per meter)</t>
  </si>
  <si>
    <t>Temporary disconnection &gt;25m3/hr (per meter)</t>
  </si>
  <si>
    <t>Reconnection &lt;=25m3/hr (per meter)</t>
  </si>
  <si>
    <t>Reconnection &gt;25m3/hr (per meter)</t>
  </si>
  <si>
    <t>Decommissioning and meter removal &lt;25m3/hr)</t>
  </si>
  <si>
    <t>Decommissioning and meter removal &gt;25m3/hr)</t>
  </si>
  <si>
    <t>Basic permanent disconnection</t>
  </si>
  <si>
    <t>Basic (urgent) permanent disconnection</t>
  </si>
  <si>
    <t>Wasted visit temporary disconnection</t>
  </si>
  <si>
    <t>Wasted visit reconnection</t>
  </si>
  <si>
    <t>Wasted visit basic permanent disconnection</t>
  </si>
  <si>
    <t>Wasted visit urgent basic permanent disconnection</t>
  </si>
  <si>
    <t>Wasted visit special meter read</t>
  </si>
  <si>
    <t>E21.2 - omitted</t>
  </si>
  <si>
    <t>E21.3 - EXPENDITURE</t>
  </si>
  <si>
    <t>E25. ESCALATORS</t>
  </si>
  <si>
    <t>E25.1 - FORECAST CAPEX AND OPEX PRICE CHANGES</t>
  </si>
  <si>
    <t>Price changes (% YoY real)</t>
  </si>
  <si>
    <t>E25.1.1 - OPEX</t>
  </si>
  <si>
    <t>Real WPI EGWWS ACT</t>
  </si>
  <si>
    <t>1.3098%</t>
  </si>
  <si>
    <t>0.3483%</t>
  </si>
  <si>
    <t>0.9518%</t>
  </si>
  <si>
    <t>0.9301%</t>
  </si>
  <si>
    <t>1.0795%</t>
  </si>
  <si>
    <t>1.1987%</t>
  </si>
  <si>
    <t>1.2893%</t>
  </si>
  <si>
    <t>E25.1.2 - CAPEX</t>
  </si>
  <si>
    <t>N1. DEMAND</t>
  </si>
  <si>
    <t>N1.1 - DEMAND - BY CUSTOMER (GAS) TYPE</t>
  </si>
  <si>
    <t>VOLUME</t>
  </si>
  <si>
    <t>GJ</t>
  </si>
  <si>
    <t>Commercial</t>
  </si>
  <si>
    <t>Industrial</t>
  </si>
  <si>
    <t>N1.2 - DEMAND - BY TARIFF</t>
  </si>
  <si>
    <t>Tariff</t>
  </si>
  <si>
    <t>Volume Individual</t>
  </si>
  <si>
    <t>Volume Boundary</t>
  </si>
  <si>
    <t>Demand Capacity</t>
  </si>
  <si>
    <t>Demand Throughput</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</si>
  <si>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</si>
  <si>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</si>
  <si>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</si>
  <si>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</si>
  <si>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</si>
  <si>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</si>
  <si>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</si>
  <si>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</si>
  <si>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</si>
  <si>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</si>
  <si>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</si>
  <si>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</si>
  <si>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</si>
  <si>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</si>
  <si>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</si>
  <si>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N2.1.2 - MEDIUM PRESSURE</t>
  </si>
  <si>
    <t>N2.1.3 - HIGH PRESSURE</t>
  </si>
  <si>
    <t>N2.1.4 - TRANSMISSION</t>
  </si>
  <si>
    <t>N2.2 - CITY GATES / REGULATORS</t>
  </si>
  <si>
    <t xml:space="preserve"> 0's</t>
  </si>
  <si>
    <t>City Gate</t>
  </si>
  <si>
    <t>Field Regulator</t>
  </si>
  <si>
    <t>District Regulator</t>
  </si>
  <si>
    <t>S1. CUSTOMER NUMBERS</t>
  </si>
  <si>
    <t xml:space="preserve">S1.1 - CUSTOMER NUMBERS - BY CUSTOMER (GAS) TYPE </t>
  </si>
  <si>
    <t>NUMBER OF CUSTOMERS</t>
  </si>
  <si>
    <t>A. RESIDENTIAL</t>
  </si>
  <si>
    <t>Customer numbers - beginning of year</t>
  </si>
  <si>
    <t>Customer numbers - end of year</t>
  </si>
  <si>
    <t>Total customer connections</t>
  </si>
  <si>
    <t>Total customer disconnections</t>
  </si>
  <si>
    <t>B. COMMERCIAL</t>
  </si>
  <si>
    <t>C. INDUSTRIAL</t>
  </si>
  <si>
    <t>S1.3 - CUSTOMER DISCONNECTIONS - BY CUSTOMER (GAS) TYPE</t>
  </si>
  <si>
    <t>Disconnection - meter not removed</t>
  </si>
  <si>
    <t>Disconnection - meter removed</t>
  </si>
  <si>
    <t>Disconnection - other</t>
  </si>
  <si>
    <t>Abolishment</t>
  </si>
  <si>
    <t>S1.4 - CONNECTION ACTIVITIES - BY CUSTOMER (GAS) TYPE</t>
  </si>
  <si>
    <t>NUMBER OF CONNECTIONS</t>
  </si>
  <si>
    <t>New connections (no previous supply)</t>
  </si>
  <si>
    <t>Reconnections (previous supply at the connection point)</t>
  </si>
  <si>
    <t>S1.5 - DORMANT CONNECTIONS - BY CUSTOMER (GAS) TYPE</t>
  </si>
  <si>
    <t>NUMBER OF DORMANT CONNECTIONS</t>
  </si>
  <si>
    <t>Dormant connection &lt;= 12 months</t>
  </si>
  <si>
    <t>Dormant connection &gt; 12 months</t>
  </si>
  <si>
    <t>S1.2 - CUSTOMER NUMBERS - BY TARIFF</t>
  </si>
  <si>
    <t>S1.2.1 - CUSTOMER NUMBERS - BEGINNING OF YEAR</t>
  </si>
  <si>
    <t>S1.2.2 - CUSTOMER NUMBERS - END OF YEAR</t>
  </si>
  <si>
    <t>S1.2.3 - TOTAL CUSTOMER CONNECTIONS</t>
  </si>
  <si>
    <t>S1.2.4 - TOTAL CUSTOMER DISCONNECTIONS</t>
  </si>
  <si>
    <t>S10. SUPPLY QUALITY</t>
  </si>
  <si>
    <t>S10.1 - PRESSURE FAULTS</t>
  </si>
  <si>
    <t>NUMBER OF EVENTS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</si>
  <si>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</si>
  <si>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</si>
  <si>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</si>
  <si>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</si>
  <si>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</si>
  <si>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</si>
  <si>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</si>
  <si>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</si>
  <si>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</si>
  <si>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</si>
  <si>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interruption</t>
  </si>
  <si>
    <t>S11.1.2 - UNPLANNED</t>
  </si>
  <si>
    <t>S11.3 - UNACCOUNTED FOR GAS - TRANSMISSION AND DISTRIBUTION</t>
  </si>
  <si>
    <t>Place of loss</t>
  </si>
  <si>
    <t>Network</t>
  </si>
  <si>
    <t>F3. REVENUE</t>
  </si>
  <si>
    <t>F3.1 - REFERENCE SERVICES</t>
  </si>
  <si>
    <t>F3.1.1 -  REVENUE - BY TARIFF</t>
  </si>
  <si>
    <t>REVENUE</t>
  </si>
  <si>
    <t>F3.1.2 - STAND ALONE COST PER UNIT - BY TARIFF CLASS</t>
  </si>
  <si>
    <t>STAND ALONE COST PER UNIT</t>
  </si>
  <si>
    <t>Tariff Class</t>
  </si>
  <si>
    <t>Volume</t>
  </si>
  <si>
    <t>Demand</t>
  </si>
  <si>
    <t>F3.1.3 -  AVOIDABLE COST PER UNIT - BY TARIFF CLASS</t>
  </si>
  <si>
    <t>AVOIDABLE COST PER UNIT</t>
  </si>
  <si>
    <t>F3.2 - ANCILLARY REFERENCE SERVICES</t>
  </si>
  <si>
    <t>Service Name</t>
  </si>
  <si>
    <t>F3.3 - REBATEABLE SERVICES</t>
  </si>
  <si>
    <t>F3.4 - NON-REFERENCE SERVICES</t>
  </si>
  <si>
    <t>F3.5 - TOTAL REVENUE</t>
  </si>
  <si>
    <t>AER CONDITIONAL FORMATTING</t>
  </si>
  <si>
    <t>CELLS FLAGED "Y" and greyed out will be greyed out in the worksheets.</t>
  </si>
  <si>
    <t>CONDITIONAL FORMATTING MAP</t>
  </si>
  <si>
    <t>=INDEX(dms_CF_3.6.1, MATCH(dms_TradingName,dms_CF_TradingName))="Y"</t>
  </si>
  <si>
    <t>=INDEX(dms_CF_3.6.5, MATCH(dms_TradingName,dms_CF_TradingName))="Y"</t>
  </si>
  <si>
    <t>=INDEX(dms_CF_3.6.6.1, MATCH(dms_TradingName,dms_CF_TradingName))="Y"</t>
  </si>
  <si>
    <t>=INDEX(dms_CF_3.6.6.2, MATCH(dms_TradingName,dms_CF_TradingName))="Y"</t>
  </si>
  <si>
    <t>=INDEX(dms_CF_3.6.6.3, MATCH(dms_TradingName,dms_CF_TradingName))="Y"</t>
  </si>
  <si>
    <t>=INDEX(dms_CF_3.6.7.1, MATCH(dms_TradingName,dms_CF_TradingName))="Y"</t>
  </si>
  <si>
    <t>=INDEX(dms_CF_3.6.7.2, MATCH(dms_TradingName,dms_CF_TradingName))="Y"</t>
  </si>
  <si>
    <t>=INDEX(dms_CF_3.6.7.3, MATCH(dms_TradingName,dms_CF_TradingName))="Y"</t>
  </si>
  <si>
    <t>=INDEX(dms_CF_3.6.7.4, MATCH(dms_TradingName,dms_CF_TradingName))="Y"</t>
  </si>
  <si>
    <t>=INDEX(dms_CF_3.6.8, MATCH(dms_TradingName,dms_CF_TradingName))="Y"</t>
  </si>
  <si>
    <t>=INDEX(dms_CF_4.1, MATCH(dms_TradingName,dms_CF_TradingName))="Y"</t>
  </si>
  <si>
    <t>=INDEX(dms_CF_6.8, MATCH(dms_TradingName,dms_CF_TradingName))="Y"</t>
  </si>
  <si>
    <t>=INDEX(dms_CF_7.12, MATCH(dms_TradingName,dms_CF_TradingName))="Y"</t>
  </si>
  <si>
    <t>=INDEX(dms_CF_8.1_A, MATCH(dms_TradingName,dms_CF_TradingName))="Y"</t>
  </si>
  <si>
    <t>=INDEX(dms_CF_8.1_B, MATCH(dms_TradingName,dms_CF_TradingName))="Y"</t>
  </si>
  <si>
    <t>=INDEX(dms_CF_4.4.1_Neg, MATCH(dms_TradingName,dms_CF_TradingName))="Y"</t>
  </si>
  <si>
    <t>=INDEX(dms_CF_F10, MATCH(dms_TradingName,dms_CF_TradingName))="Y"</t>
  </si>
  <si>
    <t>dms_CF_TradingName</t>
  </si>
  <si>
    <t>JurisdictionList</t>
  </si>
  <si>
    <t>Sector</t>
  </si>
  <si>
    <t>Segment</t>
  </si>
  <si>
    <t>dms_CF_3.6.1</t>
  </si>
  <si>
    <t>dms_CF_3.6.5</t>
  </si>
  <si>
    <t>dms_CF_3.6.6.1</t>
  </si>
  <si>
    <t>dms_CF_3.6.6.2</t>
  </si>
  <si>
    <t>dms_CF_3.6.6.3</t>
  </si>
  <si>
    <t>dms_CF_3.6.7.1</t>
  </si>
  <si>
    <t>dms_CF_3.6.7.2</t>
  </si>
  <si>
    <t>dms_CF_3.6.7.3</t>
  </si>
  <si>
    <t>dms_CF_3.6.7.4</t>
  </si>
  <si>
    <t>dms_CF_3.6.8</t>
  </si>
  <si>
    <t>dms_CF_4.1</t>
  </si>
  <si>
    <t>dms_CF_6.8 (set from dms_MAIFI_flag)</t>
  </si>
  <si>
    <t>dms_CF_7.12</t>
  </si>
  <si>
    <t>dms_CF_8.1_A  (and 8.4)</t>
  </si>
  <si>
    <t>dms_CF_8.1_B  (and 8.4)</t>
  </si>
  <si>
    <t>dms_CF_8.1_Neg  (and 8.4)</t>
  </si>
  <si>
    <t>dms_CF_4.4.1</t>
  </si>
  <si>
    <t>dms_CF_MAIFI_flag (set from dms_MAIFI_flag)</t>
  </si>
  <si>
    <t>9.5 TUOS (set from Jurisdiction)</t>
  </si>
  <si>
    <t>dms_CF_F10</t>
  </si>
  <si>
    <t>Amadeus</t>
  </si>
  <si>
    <t>NT</t>
  </si>
  <si>
    <t>Gas</t>
  </si>
  <si>
    <t>Transmission</t>
  </si>
  <si>
    <t>-</t>
  </si>
  <si>
    <t>APA GasNet</t>
  </si>
  <si>
    <t>Vic</t>
  </si>
  <si>
    <t>Confidential</t>
  </si>
  <si>
    <t>Amended</t>
  </si>
  <si>
    <t>Worksheet 6.2 STPIS reliability</t>
  </si>
  <si>
    <t>Formula</t>
  </si>
  <si>
    <t>Applied to:</t>
  </si>
  <si>
    <t>=INDEX(dms_CBD_flag,MATCH(dms_TradingName,dms_TradingName_List))="NO"</t>
  </si>
  <si>
    <t>$D$11,$D$17,$D$23,$D$33,$D$39,$D$45,$D$55,$D$61,$D$67,$D$77,$D$83,$D$89</t>
  </si>
  <si>
    <t>=INDEX(dms_Urban_flag,MATCH(dms_TradingName,dms_TradingName_List))="NO"</t>
  </si>
  <si>
    <t>$D$12,$D$18,$D$24,$D$56,$D$62,$D$78,$D$68,$D$84</t>
  </si>
  <si>
    <t>=INDEX(dms_ShortRural_flag,MATCH(dms_TradingName,dms_TradingName_List))="NO"</t>
  </si>
  <si>
    <t>$D$13,$D$19,$D$25,$D$57,$D$63,$D$69,$D$79,$D$85</t>
  </si>
  <si>
    <t>=INDEX(dms_LongRural_flag,MATCH(dms_TradingName,dms_TradingName_List))="NO"</t>
  </si>
  <si>
    <t>$D$14,$D$20,$D$26,$D$58,$D$64,$D$65,$D$70,$D$71,$D$80,$D$86</t>
  </si>
  <si>
    <t>=INDEX(dms_FeederType_5_flag,MATCH(dms_TradingName,dms_TradingName_List))="NO"</t>
  </si>
  <si>
    <t>$D$87,$D$81,$D$71,$D$65,$D$59,$D$49,$D$43,$D$37,$D$21,$D$15</t>
  </si>
  <si>
    <t>=dms_MAIFI_Flag="No"</t>
  </si>
  <si>
    <t>$D$55:$D$72</t>
  </si>
  <si>
    <t>=(INDEX(dms_Model_Span,MATCH(dms_Model,dms_Model_List))&gt;1)</t>
  </si>
  <si>
    <t>=(INDEX(dms_Model_Span,MATCH(dms_Model,dms_Model_List))=1)</t>
  </si>
  <si>
    <t>STYLES IN USE</t>
  </si>
  <si>
    <t>HEADING ONE</t>
  </si>
  <si>
    <t>dms_1</t>
  </si>
  <si>
    <t>HEADING TWO</t>
  </si>
  <si>
    <t>dms_2</t>
  </si>
  <si>
    <t>HEADING THREE</t>
  </si>
  <si>
    <t>dms_3</t>
  </si>
  <si>
    <t>HEADING FOUR</t>
  </si>
  <si>
    <t>dms_4</t>
  </si>
  <si>
    <t>HEADING FIVE</t>
  </si>
  <si>
    <t>dms_5</t>
  </si>
  <si>
    <t>dms_NUM</t>
  </si>
  <si>
    <t>dms_NUM%</t>
  </si>
  <si>
    <t>dms_NUM3d</t>
  </si>
  <si>
    <t>Text description</t>
  </si>
  <si>
    <t>dms_Row_Locked</t>
  </si>
  <si>
    <t>dms_Row1</t>
  </si>
  <si>
    <t>dms_Row2</t>
  </si>
  <si>
    <t>dms_T1</t>
  </si>
  <si>
    <t>dms_T2</t>
  </si>
  <si>
    <t>EXPENSES</t>
  </si>
  <si>
    <t>dms_BH</t>
  </si>
  <si>
    <t>dms_BY1</t>
  </si>
  <si>
    <t>dms_BY2</t>
  </si>
  <si>
    <t>dms_GH</t>
  </si>
  <si>
    <t>dms_GY1</t>
  </si>
  <si>
    <t>dms_GY2</t>
  </si>
  <si>
    <t>AER NAMED RANGES</t>
  </si>
  <si>
    <t>DROP DOWN SELECTORS USED IN WORKBOOKS</t>
  </si>
  <si>
    <t>COVER SHEET</t>
  </si>
  <si>
    <t>dms_DataQuality_List</t>
  </si>
  <si>
    <t>dms_Confid_status_List</t>
  </si>
  <si>
    <t>-- select --</t>
  </si>
  <si>
    <t>Actual</t>
  </si>
  <si>
    <t>Estimate</t>
  </si>
  <si>
    <t>For all files either AER or business needs to be able to specify the type of submission</t>
  </si>
  <si>
    <t>For PTRM &amp; RFM templates we must provide a choice in case they change their form of control - otherwise it is drawn from the business specific lookup table above.</t>
  </si>
  <si>
    <t>dms_SourceList</t>
  </si>
  <si>
    <t>dms_FormControl_Choices</t>
  </si>
  <si>
    <t>Revenue cap</t>
  </si>
  <si>
    <t>After appeal</t>
  </si>
  <si>
    <t>Revenue yield</t>
  </si>
  <si>
    <t>Draft decision</t>
  </si>
  <si>
    <t>Tariff cap</t>
  </si>
  <si>
    <t>Final decision</t>
  </si>
  <si>
    <t>Weighted average price cap</t>
  </si>
  <si>
    <t>PTRM update 1</t>
  </si>
  <si>
    <t>PTRM update 2</t>
  </si>
  <si>
    <t>PTRM update 3</t>
  </si>
  <si>
    <t>PTRM update 4</t>
  </si>
  <si>
    <t>PTRM update 5</t>
  </si>
  <si>
    <t>PTRM update 6</t>
  </si>
  <si>
    <t>PTRM update 7</t>
  </si>
  <si>
    <t>Reallocated</t>
  </si>
  <si>
    <t>Recast</t>
  </si>
  <si>
    <t>Reporting</t>
  </si>
  <si>
    <t>Revised regulatory proposal</t>
  </si>
  <si>
    <t>This is used to create an image to insert on 6.3 STPIS sheet - not for dropdown lists.</t>
  </si>
  <si>
    <t>GAS</t>
  </si>
  <si>
    <t>CA &amp; RESET RINS 
DNSP</t>
  </si>
  <si>
    <t>dms_DNSP_020301_SubstationType</t>
  </si>
  <si>
    <t>dms_DNSP_020301_ProjectType</t>
  </si>
  <si>
    <t>dms_DNSP_020301_ProjectTrigger</t>
  </si>
  <si>
    <t>dms_DNSP_020302_ProjectType</t>
  </si>
  <si>
    <t>dms_DNSP_020302_ProjectTrigger</t>
  </si>
  <si>
    <t>dms_STPIS_Exclusion_List</t>
  </si>
  <si>
    <t>dms_Reason_Interruption</t>
  </si>
  <si>
    <t>dms_Reason_Interruption_Detailed</t>
  </si>
  <si>
    <t>Reason for interruption</t>
  </si>
  <si>
    <t>dms_N0205_AssetType</t>
  </si>
  <si>
    <t>Subtransmission substation</t>
  </si>
  <si>
    <t>New substation establishment</t>
  </si>
  <si>
    <t>Demand growth</t>
  </si>
  <si>
    <t>New line on new route - single circuit</t>
  </si>
  <si>
    <t>Weather</t>
  </si>
  <si>
    <t>Animal</t>
  </si>
  <si>
    <t>Animal impact</t>
  </si>
  <si>
    <t>Zone substation</t>
  </si>
  <si>
    <t>Substation upgrade - capacity</t>
  </si>
  <si>
    <t xml:space="preserve"> Voltage issues</t>
  </si>
  <si>
    <t>New line on new route - dual circuit</t>
  </si>
  <si>
    <t>Equipment failure</t>
  </si>
  <si>
    <t>Asset failure</t>
  </si>
  <si>
    <t>Animal nesting/burrowing, etc and other</t>
  </si>
  <si>
    <t>Switching station</t>
  </si>
  <si>
    <t>Substation upgrade - voltage</t>
  </si>
  <si>
    <t xml:space="preserve"> Reactive power issue</t>
  </si>
  <si>
    <t>New line on new route - other</t>
  </si>
  <si>
    <t>Operational error</t>
  </si>
  <si>
    <t xml:space="preserve"> Fault level issues</t>
  </si>
  <si>
    <t>Line rebuild over existing route - single circuit</t>
  </si>
  <si>
    <t>Vegetation</t>
  </si>
  <si>
    <t>Overloads</t>
  </si>
  <si>
    <t>LV</t>
  </si>
  <si>
    <t xml:space="preserve"> Safety</t>
  </si>
  <si>
    <t>Line rebuild over existing route - dual circuit</t>
  </si>
  <si>
    <t xml:space="preserve"> Net market benefit</t>
  </si>
  <si>
    <t>Animals</t>
  </si>
  <si>
    <t>Planned</t>
  </si>
  <si>
    <t>Distribution substation</t>
  </si>
  <si>
    <t xml:space="preserve"> Environment</t>
  </si>
  <si>
    <t>Reconductor - Single circuit</t>
  </si>
  <si>
    <t>Third party impacts</t>
  </si>
  <si>
    <t>Network business</t>
  </si>
  <si>
    <t>HV</t>
  </si>
  <si>
    <t xml:space="preserve"> Other</t>
  </si>
  <si>
    <t>Reconductor - Dual circuit</t>
  </si>
  <si>
    <t>Transmission failure</t>
  </si>
  <si>
    <t>Third party</t>
  </si>
  <si>
    <t>Reconductor - Other</t>
  </si>
  <si>
    <t>Load shedding</t>
  </si>
  <si>
    <t>Unknown</t>
  </si>
  <si>
    <t>Subtransmission</t>
  </si>
  <si>
    <t>Line upgrade - raising/retensoring</t>
  </si>
  <si>
    <t>Inter-distributor connection failure</t>
  </si>
  <si>
    <t>insert description of 'other'</t>
  </si>
  <si>
    <t>Line upgrade - voltage upgrade</t>
  </si>
  <si>
    <t>Network error</t>
  </si>
  <si>
    <t>Line upgrade - capacity</t>
  </si>
  <si>
    <t>2 - STPIS Exclusion (3.3)(a)</t>
  </si>
  <si>
    <t>Switching and protection error</t>
  </si>
  <si>
    <t>String spare circuit</t>
  </si>
  <si>
    <t>3 - STPIS Exclusion (3.3)(a)</t>
  </si>
  <si>
    <t>Fire</t>
  </si>
  <si>
    <t>4 - STPIS Exclusion (3.3)(a)</t>
  </si>
  <si>
    <t>5 - STPIS Exclusion (3.3)(a)</t>
  </si>
  <si>
    <t>Dig-in</t>
  </si>
  <si>
    <t>6 - STPIS Exclusion (3.3)(a)</t>
  </si>
  <si>
    <t>Unauthorised access</t>
  </si>
  <si>
    <t>7 - STPIS Exclusion (3.3)(a)</t>
  </si>
  <si>
    <t>Vehicle impact</t>
  </si>
  <si>
    <t>Blow-in/Fall-in - NSP responsibility</t>
  </si>
  <si>
    <t>Grow-in - NSP responsibility</t>
  </si>
  <si>
    <t>Blow-in/Fall-in - Other responsible party</t>
  </si>
  <si>
    <t>Grow-in - Other responsible party</t>
  </si>
  <si>
    <t xml:space="preserve">CA &amp; RESET RINS 
TNSP </t>
  </si>
  <si>
    <t>dms_TNSP_0203_SubstationType</t>
  </si>
  <si>
    <t>dms_TNSP_020301_ProjectType</t>
  </si>
  <si>
    <t>dms_TNSP_020301_ProjectTrigger</t>
  </si>
  <si>
    <t>dms_TNSP_020302_ProjectType</t>
  </si>
  <si>
    <t>dms_TNSP_0203_ProjectTrigger</t>
  </si>
  <si>
    <t>Terminal station</t>
  </si>
  <si>
    <t>Capacity upgrade</t>
  </si>
  <si>
    <t>Transmission substation</t>
  </si>
  <si>
    <t>Voltage upgrade</t>
  </si>
  <si>
    <t>Net market benefit</t>
  </si>
  <si>
    <t>NAMED RANGES USED IN ETL PROCESS</t>
  </si>
  <si>
    <t>GAS ARR &amp; RESET</t>
  </si>
  <si>
    <t>CA &amp; RESET RINS 
DNSP ONLY</t>
  </si>
  <si>
    <t>dms_020303_01_UOM</t>
  </si>
  <si>
    <t>dms_020501_01_UOM</t>
  </si>
  <si>
    <t>dms_020501_02_UOM</t>
  </si>
  <si>
    <t>dms_020501_03_UOM</t>
  </si>
  <si>
    <t>dms_020501_04_UOM</t>
  </si>
  <si>
    <t>dms_020701_01_UOM</t>
  </si>
  <si>
    <t>dms_020701_02_UOM</t>
  </si>
  <si>
    <t>dms_020701_01_Rows</t>
  </si>
  <si>
    <t>dms_040102_01_UOM</t>
  </si>
  <si>
    <t>dms_040102_04_UOM</t>
  </si>
  <si>
    <t>dms_S140101_UOM</t>
  </si>
  <si>
    <t>dms_S140201_UOM</t>
  </si>
  <si>
    <t>dms_E050201_UOM</t>
  </si>
  <si>
    <t>dms_E050202_UOM</t>
  </si>
  <si>
    <t>Circuit line length in km</t>
  </si>
  <si>
    <t>km</t>
  </si>
  <si>
    <t>Route line length within zone</t>
  </si>
  <si>
    <t>days</t>
  </si>
  <si>
    <t>number</t>
  </si>
  <si>
    <t>number per km</t>
  </si>
  <si>
    <t>Number of maintenance spans</t>
  </si>
  <si>
    <t>MVA added</t>
  </si>
  <si>
    <t>Total length of maintenance spans</t>
  </si>
  <si>
    <t>$0s</t>
  </si>
  <si>
    <t>Length of vegetation corridors</t>
  </si>
  <si>
    <t>Number</t>
  </si>
  <si>
    <t>total spend $0s</t>
  </si>
  <si>
    <t>Average number of trees per maintenance span</t>
  </si>
  <si>
    <t>net circuit km added</t>
  </si>
  <si>
    <t>years</t>
  </si>
  <si>
    <t>Average frequency of cutting cycle</t>
  </si>
  <si>
    <t>CA &amp; RESET RINS 
TNSP ONLY</t>
  </si>
  <si>
    <t>metres</t>
  </si>
  <si>
    <t>CA &amp; RESET RINS 
DNSP &amp; TNSP</t>
  </si>
  <si>
    <t>dms_020603_01_UOM</t>
  </si>
  <si>
    <t>(per cent)</t>
  </si>
  <si>
    <r>
      <t xml:space="preserve">EB &amp; RESET RINS 
</t>
    </r>
    <r>
      <rPr>
        <sz val="26"/>
        <color rgb="FFFF0000"/>
        <rFont val="Calibri"/>
        <family val="2"/>
      </rPr>
      <t>DNSP ONLY</t>
    </r>
  </si>
  <si>
    <t>dms_030601_01_UOM</t>
  </si>
  <si>
    <t>dms_030601_02_UOM</t>
  </si>
  <si>
    <t>dms_030701_01_UOM</t>
  </si>
  <si>
    <t>dms_030702_01_UOM</t>
  </si>
  <si>
    <t>dms_030703_01_UOM</t>
  </si>
  <si>
    <t>minutes/customer</t>
  </si>
  <si>
    <t>Customer / km</t>
  </si>
  <si>
    <t>%</t>
  </si>
  <si>
    <t>MWh/customer</t>
  </si>
  <si>
    <t>Number of spans</t>
  </si>
  <si>
    <t>interruptions/customer</t>
  </si>
  <si>
    <t>kVA / customer</t>
  </si>
  <si>
    <t>Years</t>
  </si>
  <si>
    <t>Trees</t>
  </si>
  <si>
    <t>Defects</t>
  </si>
  <si>
    <t>Spans</t>
  </si>
  <si>
    <t>WHEN INSERTING COVER SHEET INTO A TNSP FILE - APPLY THESE NAMED RANGES</t>
  </si>
  <si>
    <r>
      <t xml:space="preserve">EB &amp; RESET RINS 
</t>
    </r>
    <r>
      <rPr>
        <sz val="26"/>
        <color rgb="FFFF0000"/>
        <rFont val="Calibri"/>
        <family val="2"/>
      </rPr>
      <t>TNSP ONLY</t>
    </r>
  </si>
  <si>
    <t>EB &amp; RESET RINS 
DNSP &amp; TNSP</t>
  </si>
  <si>
    <t>dms_EB_RAB_PIT</t>
  </si>
  <si>
    <t>Beginning of year</t>
  </si>
  <si>
    <t>End of year</t>
  </si>
  <si>
    <t>ARR 
DNSP ONLY</t>
  </si>
  <si>
    <t>dms_030605_UOM</t>
  </si>
  <si>
    <t>dms_03060703_UOM</t>
  </si>
  <si>
    <t>dms_E020202_UOM</t>
  </si>
  <si>
    <t>Spare</t>
  </si>
  <si>
    <t>RFM</t>
  </si>
  <si>
    <t>dms_Beg</t>
  </si>
  <si>
    <t>dms_Mid</t>
  </si>
  <si>
    <t>dms_End</t>
  </si>
  <si>
    <t>Mid year</t>
  </si>
  <si>
    <t>End of Year</t>
  </si>
  <si>
    <t>PTRM</t>
  </si>
  <si>
    <t>dms_PTRM_RAB_PIT</t>
  </si>
  <si>
    <t>dms_PTRM_TAB_PIT</t>
  </si>
  <si>
    <t>DMS_Xfactor</t>
  </si>
  <si>
    <t>x factors</t>
  </si>
  <si>
    <t xml:space="preserve">STPIS &amp; MIC NAMED RANGES </t>
  </si>
  <si>
    <t>These "row descriptions" are the column headings in the various templates but become row descriptions in the ETL process</t>
  </si>
  <si>
    <t>Table 6.3 sustained interruptions - row descriptions</t>
  </si>
  <si>
    <t>dms_060301_CustNo_Affected_Row</t>
  </si>
  <si>
    <t>dms_060301_Avg_Duration_Sustained_Int_Row</t>
  </si>
  <si>
    <t>dms_060301_Effect_unplanned_SAIDI_Row</t>
  </si>
  <si>
    <t>dms_060301_Effect_unplanned_SAIFI_Row</t>
  </si>
  <si>
    <t>Number of customers affected by the interruption</t>
  </si>
  <si>
    <t>Average duration of sustained customer interruption</t>
  </si>
  <si>
    <t>Effect on unplanned SAIDI</t>
  </si>
  <si>
    <t>Effect on unplanned SAIFI</t>
  </si>
  <si>
    <t>Table 6.1 telephone answering - row descriptions and start date</t>
  </si>
  <si>
    <t>dms_060101_Rows</t>
  </si>
  <si>
    <t>dms_060102_Rows</t>
  </si>
  <si>
    <t>dms_060101_StartDateTxt</t>
  </si>
  <si>
    <t>Total number of calls 
(after removing excluded events)</t>
  </si>
  <si>
    <t xml:space="preserve">Number of calls answered within 30 seconds 
(after excluding excluded events) </t>
  </si>
  <si>
    <t>Table 6.8.1 - row descriptions</t>
  </si>
  <si>
    <t>dms_060801_01_Rows</t>
  </si>
  <si>
    <t>dms_060801_02_Rows</t>
  </si>
  <si>
    <t>dms_060801_03_Rows</t>
  </si>
  <si>
    <t>dms_060801_04_Rows</t>
  </si>
  <si>
    <t>Number of interruptions</t>
  </si>
  <si>
    <t>Duration of interruptions</t>
  </si>
  <si>
    <t>Total unplanned minutes off supply</t>
  </si>
  <si>
    <t>Effect on unplanned MAIFI</t>
  </si>
  <si>
    <t>Table 7.9.4 - market impact component - row descriptions</t>
  </si>
  <si>
    <t>dms_070904_01_Rows</t>
  </si>
  <si>
    <t>without exclusions</t>
  </si>
  <si>
    <t>with exclusions</t>
  </si>
  <si>
    <t>These headings (Lists) are determined from the INDEX/MATCH function on the NSP selected on the Business &amp; other details sheet</t>
  </si>
  <si>
    <t>Table 6.7.1 - daily performance data - unplanned - MAIFI  -- row descriptions and header named range values</t>
  </si>
  <si>
    <t>dms_060701_Feeder_Header_Lvl4</t>
  </si>
  <si>
    <t>dms_060701_Rows</t>
  </si>
  <si>
    <t>All events</t>
  </si>
  <si>
    <t>After removing excluded events</t>
  </si>
  <si>
    <t>the number of column headings changes from 10 to 12 depending on the number of feeder categories for the NSP</t>
  </si>
  <si>
    <t>dms_0603_FeederList</t>
  </si>
  <si>
    <t>Use these to add to specific worksheets in existing files</t>
  </si>
  <si>
    <t>ARRs 6.7 STPIS daily performance</t>
  </si>
  <si>
    <t>dms_060101_Values</t>
  </si>
  <si>
    <t>dms_060102_Values</t>
  </si>
  <si>
    <t>dms_060701_Values</t>
  </si>
  <si>
    <t>dms_LeapYear</t>
  </si>
  <si>
    <t>ARR's  6.8 STPIS exclusions</t>
  </si>
  <si>
    <t>dms_060801_Event_Date</t>
  </si>
  <si>
    <t>dms_060801_OutageID</t>
  </si>
  <si>
    <t>dms_060801_FeederID</t>
  </si>
  <si>
    <t>dms_060801_FeederClass</t>
  </si>
  <si>
    <t>dms_060801_CauseID</t>
  </si>
  <si>
    <t>dms_060801_01_Values</t>
  </si>
  <si>
    <t>dms_060801_02_Values</t>
  </si>
  <si>
    <t>dms_060801_03_Values</t>
  </si>
  <si>
    <t>dms_060801_Excl_Cat</t>
  </si>
  <si>
    <t>dms_060801_04_Values</t>
  </si>
  <si>
    <t>dms_060801_StartCell</t>
  </si>
  <si>
    <t>CA 6.3 sustained interruptions</t>
  </si>
  <si>
    <t>dms_060301_Event_Date</t>
  </si>
  <si>
    <t>dms_060301_Event_Time</t>
  </si>
  <si>
    <t>dms_060301_AssetID</t>
  </si>
  <si>
    <t>dms_060301_FeederClass</t>
  </si>
  <si>
    <t>dms_060301_Reason</t>
  </si>
  <si>
    <t>dms_060301_DetailedReason</t>
  </si>
  <si>
    <t>dms_060301_CustNo_Affected_Values</t>
  </si>
  <si>
    <t>dms_060301_Avg_Duration_Sustained_Int_Values</t>
  </si>
  <si>
    <t>dms_060301_Effect_unplanned_SAIDI_Values</t>
  </si>
  <si>
    <t>dms_060301_Effect_unplanned_SAIFI_Values</t>
  </si>
  <si>
    <t>dms_060301_MED</t>
  </si>
  <si>
    <t>PTRM input sheet</t>
  </si>
  <si>
    <t>DMS_50_01_01a</t>
  </si>
  <si>
    <t>DMS_50_01_01aa</t>
  </si>
  <si>
    <t>DMS_50_01_01b</t>
  </si>
  <si>
    <t>DMS_50_01_01bb</t>
  </si>
  <si>
    <t>DMS_50_01_01c</t>
  </si>
  <si>
    <t>DMS_50_01_01d</t>
  </si>
  <si>
    <t>DMS_50_01_01dd</t>
  </si>
  <si>
    <t>AER LOOKUP TABLES</t>
  </si>
  <si>
    <t>Data in these columns used for data validation and database purposes.</t>
  </si>
  <si>
    <t>Date last modified:</t>
  </si>
  <si>
    <t>added (Albury and Victora) for AGN</t>
  </si>
  <si>
    <t>updated TransGrid's correct legal name, corrected TasNetworks (T) to June financial year</t>
  </si>
  <si>
    <t>inserted Power and Water, added NRs (dms_FeederCat_1 and dms_FeederCat_2)</t>
  </si>
  <si>
    <t>inserted AEMO as a business</t>
  </si>
  <si>
    <t>major changes to accommodate STPIS</t>
  </si>
  <si>
    <t>Template Version</t>
  </si>
  <si>
    <t>FOR ELECTRICITY BUSINESSES ONLY</t>
  </si>
  <si>
    <t>Feeder Types</t>
  </si>
  <si>
    <t>TasNetworks (D)</t>
  </si>
  <si>
    <t>Feeder Names</t>
  </si>
  <si>
    <t>CBD</t>
  </si>
  <si>
    <t>Urban</t>
  </si>
  <si>
    <t>Short rural</t>
  </si>
  <si>
    <t>long rural</t>
  </si>
  <si>
    <t>EXTRA</t>
  </si>
  <si>
    <t>dms_TradingName_List</t>
  </si>
  <si>
    <t>dms_TradingNameFull_List</t>
  </si>
  <si>
    <t>dms_ABN_List</t>
  </si>
  <si>
    <t>dms_UniqueID_List</t>
  </si>
  <si>
    <t>dms_JurisdictionList</t>
  </si>
  <si>
    <t>dms_Sector_List</t>
  </si>
  <si>
    <t>dms_Segment_List</t>
  </si>
  <si>
    <t>dms_FormControl_List</t>
  </si>
  <si>
    <t>dms_RPT_List</t>
  </si>
  <si>
    <t>dms_RPTMonth_List</t>
  </si>
  <si>
    <t>dms_CRCPlength_List</t>
  </si>
  <si>
    <t>dms_FRCPlength_List</t>
  </si>
  <si>
    <t>dms_PRCPlength_List</t>
  </si>
  <si>
    <t>dms_663_List</t>
  </si>
  <si>
    <t>dms_DeterminationRef_List</t>
  </si>
  <si>
    <t>dms_Addr1_List</t>
  </si>
  <si>
    <t>dms_Addr2_List</t>
  </si>
  <si>
    <t>dms_Suburb_List</t>
  </si>
  <si>
    <t>dms_State_List</t>
  </si>
  <si>
    <t>dms_PostCode_List</t>
  </si>
  <si>
    <t>dms_PAddr1_List</t>
  </si>
  <si>
    <t>dms_PAddr2_List</t>
  </si>
  <si>
    <t>dms_PSuburb_List</t>
  </si>
  <si>
    <t>dms_PState_List</t>
  </si>
  <si>
    <t>dms_PPostCode_List</t>
  </si>
  <si>
    <t>dms_CBD_flag</t>
  </si>
  <si>
    <t>dms_Urban_flag</t>
  </si>
  <si>
    <t>dms_ShortRural_flag</t>
  </si>
  <si>
    <t>dms_LongRural_flag</t>
  </si>
  <si>
    <t>dms_FeederType_5_flag</t>
  </si>
  <si>
    <t>dms_FeederName_1</t>
  </si>
  <si>
    <t>dms_FeederName_2</t>
  </si>
  <si>
    <t>dms_FeederName_3</t>
  </si>
  <si>
    <t>dms_FeederName_4</t>
  </si>
  <si>
    <t>dms_FeederName_5</t>
  </si>
  <si>
    <t>dms_Public_Lighting_List</t>
  </si>
  <si>
    <t>AGN (Albury and Victoria)</t>
  </si>
  <si>
    <t>Australian Gas Networks Limited (reporting data for Albury and Victoria)</t>
  </si>
  <si>
    <t>GDDVIC100</t>
  </si>
  <si>
    <t>Distribution</t>
  </si>
  <si>
    <t>Financial</t>
  </si>
  <si>
    <t>June</t>
  </si>
  <si>
    <t>x</t>
  </si>
  <si>
    <t>Level 6</t>
  </si>
  <si>
    <t>400 King William Street</t>
  </si>
  <si>
    <t>ADELAIDE</t>
  </si>
  <si>
    <t>SA</t>
  </si>
  <si>
    <t>PO Box 6468</t>
  </si>
  <si>
    <t>Halifax Street</t>
  </si>
  <si>
    <t>NO</t>
  </si>
  <si>
    <t>Long rural</t>
  </si>
  <si>
    <t>AGN (Albury)</t>
  </si>
  <si>
    <t>Australian Gas Networks Limited (reporting data for Albury)</t>
  </si>
  <si>
    <t>GDDVIC200</t>
  </si>
  <si>
    <t>AGN (SA)</t>
  </si>
  <si>
    <t>Australian Gas Networks Limited (reporting data for SA)</t>
  </si>
  <si>
    <t>GDDSTH100</t>
  </si>
  <si>
    <t>distribution determination</t>
  </si>
  <si>
    <t>AGN (Victoria)</t>
  </si>
  <si>
    <t>Australian Gas Networks Limited (reporting data for Victoria)</t>
  </si>
  <si>
    <t>GDDVIC300</t>
  </si>
  <si>
    <t>APT Pipelines (NT) Pty Ltd</t>
  </si>
  <si>
    <t>GTTNTY100</t>
  </si>
  <si>
    <t>Level 19, HSBC Building</t>
  </si>
  <si>
    <t>580 George Street</t>
  </si>
  <si>
    <t>SYDNEY</t>
  </si>
  <si>
    <t>APA GasNet Australia (Operations) Pty Ltd</t>
  </si>
  <si>
    <t>065083009</t>
  </si>
  <si>
    <t>GNTNSW100</t>
  </si>
  <si>
    <t>PO Box R41</t>
  </si>
  <si>
    <t>ROYAL EXCHANGE</t>
  </si>
  <si>
    <t>Alexandra Curran</t>
  </si>
  <si>
    <t>02 9275 0020</t>
  </si>
  <si>
    <t>alexandra.curran@apa.com.au</t>
  </si>
  <si>
    <t>APA VTS</t>
  </si>
  <si>
    <t>APA VTS Australia (Operations) Pty Ltd</t>
  </si>
  <si>
    <t>GTTVIC100</t>
  </si>
  <si>
    <t>AusNet (Gas)</t>
  </si>
  <si>
    <t>AusNet Gas Services</t>
  </si>
  <si>
    <t>086015036</t>
  </si>
  <si>
    <t>GDDVIC400</t>
  </si>
  <si>
    <t>Level 31</t>
  </si>
  <si>
    <t>2 Southbank Boulevard</t>
  </si>
  <si>
    <t>SOUTHBANK</t>
  </si>
  <si>
    <t>Australian Distribution Co. (Gas)</t>
  </si>
  <si>
    <t xml:space="preserve">Australian Gas Distribution Co. </t>
  </si>
  <si>
    <t>GDXXX000</t>
  </si>
  <si>
    <t>123 Straight Street</t>
  </si>
  <si>
    <t>MELBOURNE</t>
  </si>
  <si>
    <t>PO Box 123</t>
  </si>
  <si>
    <t>Australian Transmission Co. (Gas)</t>
  </si>
  <si>
    <t>GTXXX000</t>
  </si>
  <si>
    <t>transmission determination</t>
  </si>
  <si>
    <t>Icon Distribution Investments Limited (ABN 83 073 025 224) and Jemena Networks (ACT) Pty Ltd (ABN 24 008 552 663)</t>
  </si>
  <si>
    <t>GDDACT100</t>
  </si>
  <si>
    <t>ACT</t>
  </si>
  <si>
    <t>40 Bunda Street</t>
  </si>
  <si>
    <t>CANBERRA</t>
  </si>
  <si>
    <t>GPO BOX 366</t>
  </si>
  <si>
    <t>JGN</t>
  </si>
  <si>
    <t>Jemena Gas Networks (NSW) Ltd</t>
  </si>
  <si>
    <t>003 004 322</t>
  </si>
  <si>
    <t>GDDNSW100</t>
  </si>
  <si>
    <t>Multinet Gas</t>
  </si>
  <si>
    <t>Multinet Gas (DB No.1) Pty Ltd (ACN 086 026 986), Multinet Gas (DB No.2) Pty Ltd (ACN 086 230 122)</t>
  </si>
  <si>
    <t>086026986</t>
  </si>
  <si>
    <t>GDDVIC500</t>
  </si>
  <si>
    <t>43-45 Centreway</t>
  </si>
  <si>
    <t>MT WAVERLEY</t>
  </si>
  <si>
    <t>Roma to Brisbane Pipeline</t>
  </si>
  <si>
    <t>APT Petroleum Pipelines Limited t/a Roma to Brisbane Pipeline</t>
  </si>
  <si>
    <t>009 737 393</t>
  </si>
  <si>
    <t>GTTQLD100</t>
  </si>
  <si>
    <t>Qld</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</si>
  <si>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</si>
  <si>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 xml:space="preserve">dms_Model_List </t>
  </si>
  <si>
    <t>dms_Model_Name_Format1</t>
  </si>
  <si>
    <t>dms_Worksheet_List</t>
  </si>
  <si>
    <t>dms_Model_Span_List</t>
  </si>
  <si>
    <t>ARR</t>
  </si>
  <si>
    <t>Annual Reporting</t>
  </si>
  <si>
    <t>CA</t>
  </si>
  <si>
    <t>Category Analysis</t>
  </si>
  <si>
    <t>CESS</t>
  </si>
  <si>
    <t>Capitlal Expenditure</t>
  </si>
  <si>
    <t>CAPITLAL EXPENDITURE SHARING SCHEMING</t>
  </si>
  <si>
    <t>CPI</t>
  </si>
  <si>
    <t>EB</t>
  </si>
  <si>
    <t>Economic Benchmarking</t>
  </si>
  <si>
    <t>EBSS</t>
  </si>
  <si>
    <t>Efficiency Benefit Sharing Scheme</t>
  </si>
  <si>
    <t>EFFICIENCY BENEFIT SHARING SCHEME</t>
  </si>
  <si>
    <t>Pricing</t>
  </si>
  <si>
    <t>Pricing Proposal</t>
  </si>
  <si>
    <t>PRICING PROPOSAL</t>
  </si>
  <si>
    <t>Profitability</t>
  </si>
  <si>
    <t>PROFITABILITY</t>
  </si>
  <si>
    <t>Post Tax Revenue Model</t>
  </si>
  <si>
    <t>POST TAX REVENUE MODEL</t>
  </si>
  <si>
    <t>Reset</t>
  </si>
  <si>
    <t>Regulatory Reporting (Reset)</t>
  </si>
  <si>
    <t>REGULATORY REPORTING STATEMENT</t>
  </si>
  <si>
    <t>Roll Forward Model</t>
  </si>
  <si>
    <t>ROLL FORWARD MODEL</t>
  </si>
  <si>
    <t>WACC</t>
  </si>
  <si>
    <t>Weighted Average Cost of Capital</t>
  </si>
  <si>
    <t>WEIGHTED AVERAGE COST OF CAPITAL</t>
  </si>
  <si>
    <t>Calendar</t>
  </si>
  <si>
    <t>PREVIOUS</t>
  </si>
  <si>
    <t>CURRENT</t>
  </si>
  <si>
    <t>FORTHCOMING</t>
  </si>
  <si>
    <t>1987-88</t>
  </si>
  <si>
    <t>1988</t>
  </si>
  <si>
    <t>PRCP_y1</t>
  </si>
  <si>
    <t>CRCP_y1</t>
  </si>
  <si>
    <t>1988-89</t>
  </si>
  <si>
    <t>1989</t>
  </si>
  <si>
    <t>PRCP_y2</t>
  </si>
  <si>
    <t>CRCP_y2</t>
  </si>
  <si>
    <t>FRCP_y2</t>
  </si>
  <si>
    <t>1989-90</t>
  </si>
  <si>
    <t>1990</t>
  </si>
  <si>
    <t>PRCP_y3</t>
  </si>
  <si>
    <t>CRCP_y3</t>
  </si>
  <si>
    <t>FRCP_y3</t>
  </si>
  <si>
    <t>1990-91</t>
  </si>
  <si>
    <t>1991</t>
  </si>
  <si>
    <t>PRCP_y4</t>
  </si>
  <si>
    <t>CRCP_y4</t>
  </si>
  <si>
    <t>FRCP_y4</t>
  </si>
  <si>
    <t>1991-92</t>
  </si>
  <si>
    <t>1992</t>
  </si>
  <si>
    <t>PRCP_y5</t>
  </si>
  <si>
    <t>CRCP_y5</t>
  </si>
  <si>
    <t>FRCP_y5</t>
  </si>
  <si>
    <t>1992-93</t>
  </si>
  <si>
    <t>1993</t>
  </si>
  <si>
    <t>PRCP_y6</t>
  </si>
  <si>
    <t>CRCP_y6</t>
  </si>
  <si>
    <t>FRCP_y6</t>
  </si>
  <si>
    <t>1993-94</t>
  </si>
  <si>
    <t>1994</t>
  </si>
  <si>
    <t>PRCP_y7</t>
  </si>
  <si>
    <t>CRCP_y7</t>
  </si>
  <si>
    <t>FRCP_y7</t>
  </si>
  <si>
    <t>1994-95</t>
  </si>
  <si>
    <t>1995</t>
  </si>
  <si>
    <t>PRCP_y8</t>
  </si>
  <si>
    <t>CRCP_y8</t>
  </si>
  <si>
    <t>FRCP_y8</t>
  </si>
  <si>
    <t>1995-96</t>
  </si>
  <si>
    <t>1996</t>
  </si>
  <si>
    <t>PRCP_y9</t>
  </si>
  <si>
    <t>CRCP_y9</t>
  </si>
  <si>
    <t>FRCP_y9</t>
  </si>
  <si>
    <t>1996-97</t>
  </si>
  <si>
    <t>1997</t>
  </si>
  <si>
    <t>PRCP_y10</t>
  </si>
  <si>
    <t>CRCP_y10</t>
  </si>
  <si>
    <t>FRCP_y10</t>
  </si>
  <si>
    <t>1997-98</t>
  </si>
  <si>
    <t>1998</t>
  </si>
  <si>
    <t>PRCP_y11</t>
  </si>
  <si>
    <t>CRCP_y11</t>
  </si>
  <si>
    <t>FRCP_y11</t>
  </si>
  <si>
    <t>1998-99</t>
  </si>
  <si>
    <t>1999</t>
  </si>
  <si>
    <t>PRCP_y12</t>
  </si>
  <si>
    <t>CRCP_y12</t>
  </si>
  <si>
    <t>FRCP_y12</t>
  </si>
  <si>
    <t>1999-00</t>
  </si>
  <si>
    <t>2000</t>
  </si>
  <si>
    <t>PRCP_y13</t>
  </si>
  <si>
    <t>CRCP_y13</t>
  </si>
  <si>
    <t>FRCP_y13</t>
  </si>
  <si>
    <t>2000-01</t>
  </si>
  <si>
    <t>2001</t>
  </si>
  <si>
    <t>PRCP_y14</t>
  </si>
  <si>
    <t>CRCP_y14</t>
  </si>
  <si>
    <t>FRCP_y14</t>
  </si>
  <si>
    <t>2001-02</t>
  </si>
  <si>
    <t>2002</t>
  </si>
  <si>
    <t>PRCP_y15</t>
  </si>
  <si>
    <t>CRCP_y15</t>
  </si>
  <si>
    <t>FRCP_y15</t>
  </si>
  <si>
    <t>2002-03</t>
  </si>
  <si>
    <t>2003</t>
  </si>
  <si>
    <t>PRCP_y16</t>
  </si>
  <si>
    <t>CRCP_y16</t>
  </si>
  <si>
    <t>FRCP_y16</t>
  </si>
  <si>
    <t>2003-04</t>
  </si>
  <si>
    <t>2004</t>
  </si>
  <si>
    <t>PRCP_y17</t>
  </si>
  <si>
    <t>2031-32</t>
  </si>
  <si>
    <t>CRCP_y17</t>
  </si>
  <si>
    <t>2036-37</t>
  </si>
  <si>
    <t>FRCP_y17</t>
  </si>
  <si>
    <t>2004-05</t>
  </si>
  <si>
    <t>PRCP_y18</t>
  </si>
  <si>
    <t>2032-33</t>
  </si>
  <si>
    <t>CRCP_y18</t>
  </si>
  <si>
    <t>2037-38</t>
  </si>
  <si>
    <t>FRCP_y18</t>
  </si>
  <si>
    <t>2005-06</t>
  </si>
  <si>
    <t>PRCP_y19</t>
  </si>
  <si>
    <t>2033-34</t>
  </si>
  <si>
    <t>CRCP_y19</t>
  </si>
  <si>
    <t>2038-39</t>
  </si>
  <si>
    <t>FRCP_y19</t>
  </si>
  <si>
    <t>2006-07</t>
  </si>
  <si>
    <t>PRCP_y20</t>
  </si>
  <si>
    <t>2034-35</t>
  </si>
  <si>
    <t>CRCP_y20</t>
  </si>
  <si>
    <t>2039-40</t>
  </si>
  <si>
    <t>FRCP_y20</t>
  </si>
  <si>
    <t>2007-08</t>
  </si>
  <si>
    <t>PRCP_y21</t>
  </si>
  <si>
    <t>2035-36</t>
  </si>
  <si>
    <t>CRCP_y21</t>
  </si>
  <si>
    <t>2040-41</t>
  </si>
  <si>
    <t>FRCP_y21</t>
  </si>
  <si>
    <t>2008-09</t>
  </si>
  <si>
    <t>PRCP_y22</t>
  </si>
  <si>
    <t>CRCP_y22</t>
  </si>
  <si>
    <t>2041-42</t>
  </si>
  <si>
    <t>FRCP_y22</t>
  </si>
  <si>
    <t>2009-10</t>
  </si>
  <si>
    <t>PRCP_y23</t>
  </si>
  <si>
    <t>CRCP_y23</t>
  </si>
  <si>
    <t>2042-43</t>
  </si>
  <si>
    <t>FRCP_y23</t>
  </si>
  <si>
    <t>2010-11</t>
  </si>
  <si>
    <t>PRCP_y24</t>
  </si>
  <si>
    <t>CRCP_y24</t>
  </si>
  <si>
    <t>2043-44</t>
  </si>
  <si>
    <t>FRCP_y24</t>
  </si>
  <si>
    <t>2011-12</t>
  </si>
  <si>
    <t>PRCP_y25</t>
  </si>
  <si>
    <t>CRCP_y25</t>
  </si>
  <si>
    <t>2044-45</t>
  </si>
  <si>
    <t>FRCP_y25</t>
  </si>
  <si>
    <t>2012-13</t>
  </si>
  <si>
    <t>2013-14</t>
  </si>
  <si>
    <t>2014-15</t>
  </si>
  <si>
    <t>2020-21</t>
  </si>
  <si>
    <t>2021-22</t>
  </si>
  <si>
    <t>2022-23</t>
  </si>
  <si>
    <t>2024-25</t>
  </si>
  <si>
    <t>CRY - FRY</t>
  </si>
  <si>
    <t>dms_y1</t>
  </si>
  <si>
    <t>2027-28</t>
  </si>
  <si>
    <t>dms_y2</t>
  </si>
  <si>
    <t>2028-29</t>
  </si>
  <si>
    <t>dms_y3</t>
  </si>
  <si>
    <t>dms_y4</t>
  </si>
  <si>
    <t>2030-31</t>
  </si>
  <si>
    <t>dms_y5</t>
  </si>
  <si>
    <t>dms_y6</t>
  </si>
  <si>
    <t>dms_y7</t>
  </si>
  <si>
    <t>dms_y8</t>
  </si>
  <si>
    <t>dms_y9</t>
  </si>
  <si>
    <t>dms_y10</t>
  </si>
  <si>
    <t>dms_y11</t>
  </si>
  <si>
    <t>dms_y12</t>
  </si>
  <si>
    <t>dms_y13</t>
  </si>
  <si>
    <t>dms_y14</t>
  </si>
  <si>
    <t>dms_y15</t>
  </si>
  <si>
    <t>dms_y16</t>
  </si>
  <si>
    <t>dms_y17</t>
  </si>
  <si>
    <t>dms_y18</t>
  </si>
  <si>
    <t>dms_y19</t>
  </si>
  <si>
    <t>2045-46</t>
  </si>
  <si>
    <t>dms_y20</t>
  </si>
  <si>
    <t>2046-47</t>
  </si>
  <si>
    <t>dms_y21</t>
  </si>
  <si>
    <t>2047-48</t>
  </si>
  <si>
    <t>dms_y22</t>
  </si>
  <si>
    <t>2048-49</t>
  </si>
  <si>
    <t>2049</t>
  </si>
  <si>
    <t>dms_y23</t>
  </si>
  <si>
    <t>2049-50</t>
  </si>
  <si>
    <t>2050</t>
  </si>
  <si>
    <t>dms_y24</t>
  </si>
  <si>
    <t>dms_y25</t>
  </si>
  <si>
    <t>dms_y26</t>
  </si>
  <si>
    <t>dms_y27</t>
  </si>
  <si>
    <t>dms_y28</t>
  </si>
  <si>
    <t>AER ETL INFORMATION</t>
  </si>
  <si>
    <t>USES NAMED RANGES FLAG</t>
  </si>
  <si>
    <t>yes</t>
  </si>
  <si>
    <t>dms_Defined_Names_Used</t>
  </si>
  <si>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</si>
  <si>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</si>
  <si>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</si>
  <si>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Full trading name</t>
  </si>
  <si>
    <t>dms_TradingNameFull</t>
  </si>
  <si>
    <t>Trading name</t>
  </si>
  <si>
    <t>Unique ID</t>
  </si>
  <si>
    <t>dms_UID</t>
  </si>
  <si>
    <t>Selected here</t>
  </si>
  <si>
    <t>Model / RIN</t>
  </si>
  <si>
    <t>dms_Model</t>
  </si>
  <si>
    <r>
      <t xml:space="preserve">Read from </t>
    </r>
    <r>
      <rPr>
        <i/>
        <sz val="11"/>
        <color rgb="FF000000"/>
        <rFont val="Calibri"/>
        <family val="2"/>
      </rPr>
      <t>Business &amp; other details</t>
    </r>
  </si>
  <si>
    <t>dms_Source</t>
  </si>
  <si>
    <t>Data quality</t>
  </si>
  <si>
    <t>For DB purposes this is always Consoldiated</t>
  </si>
  <si>
    <t>Data status</t>
  </si>
  <si>
    <t>For DB purposes this is always Public</t>
  </si>
  <si>
    <t>Amendment reason</t>
  </si>
  <si>
    <t>dms_AmendmentReason</t>
  </si>
  <si>
    <t>Submission date</t>
  </si>
  <si>
    <t>dms_SubmissionDate</t>
  </si>
  <si>
    <t>Redundant</t>
  </si>
  <si>
    <t>EBSS - First application of scheme in forthcoming period?</t>
  </si>
  <si>
    <t>No</t>
  </si>
  <si>
    <t>Pre-populated from lookup table</t>
  </si>
  <si>
    <t>Data ingestion data quality</t>
  </si>
  <si>
    <t>dms_DataQuality</t>
  </si>
  <si>
    <t>Always Consolidated</t>
  </si>
  <si>
    <t>dms_Sector</t>
  </si>
  <si>
    <t>=INDEX(dms_Sector_List,MATCH(dms_TradingName,dms_TradingName_List))</t>
  </si>
  <si>
    <t>dms_Segment</t>
  </si>
  <si>
    <t>=INDEX(dms_Segment_List,MATCH(dms_TradingName,dms_TradingName_List))</t>
  </si>
  <si>
    <t>Regulatory Year Ending</t>
  </si>
  <si>
    <t>dms_RYE</t>
  </si>
  <si>
    <t>=IF(dms_MultiYear_Flag=1,LEFT(dms_Specified_FinalYear,2)&amp;RIGHT(dms_Specified_FinalYear,2),dms_RYE_result)</t>
  </si>
  <si>
    <t>Reporting Period Type</t>
  </si>
  <si>
    <t>dms_RPT</t>
  </si>
  <si>
    <t>=INDEX(dms_RPT_List,MATCH(dms_TradingName,dms_TradingName_List))</t>
  </si>
  <si>
    <t>EB/CA Unit of Measure for Monetary Values</t>
  </si>
  <si>
    <t>dms_dollar_nom_UOM</t>
  </si>
  <si>
    <t>If the cover sheet is attached to an ABC RIN apply the NAMED RANGE to the cell</t>
  </si>
  <si>
    <t>Security Classification</t>
  </si>
  <si>
    <t>dms_Classification</t>
  </si>
  <si>
    <t>Always Public</t>
  </si>
  <si>
    <t>Jurisdiction</t>
  </si>
  <si>
    <t>dms_Jurisdiction</t>
  </si>
  <si>
    <t>=INDEX(dms_JurisdictionList,MATCH(dms_TradingName,dms_TradingName_List))</t>
  </si>
  <si>
    <t>Relevant for PTRM, RFMs and Reset RINS</t>
  </si>
  <si>
    <t>$ REAL REFERENCES</t>
  </si>
  <si>
    <t xml:space="preserve">Does the named range CRY exist in this file? </t>
  </si>
  <si>
    <t>CRY-1  (last full calendar year before CRY)</t>
  </si>
  <si>
    <t>dms_Cal_Year_B4_CRY</t>
  </si>
  <si>
    <t>'=IF(dms_RPT="financial",VALUE(LEFT(dms_SingleYear_FinalYear_Result,4)),VALUE(LEFT(dms_SingleYear_FinalYear_Result,4)-1))</t>
  </si>
  <si>
    <t>Dollar $ real month</t>
  </si>
  <si>
    <t>dms_RPTMonth</t>
  </si>
  <si>
    <t>=INDEX(dms_RPTMonth_List,MATCH(dms_TradingName,dms_TradingName_List))</t>
  </si>
  <si>
    <t>Dollar $ real  (the last month before the FRCP_y1)</t>
  </si>
  <si>
    <t>dms_DollarReal</t>
  </si>
  <si>
    <t>=IF(dms_Model="RFM",dms_DollarReal_Prev, IF(dms_SingleYearModel="yes",CONCATENATE(dms_RPTMonth)&amp;" "&amp;VALUE((LEFT(dms_CRY_start_year,2)&amp;RIGHT(dms_CRY_start_year,2))),CONCATENATE(dms_RPTMonth)&amp;" "&amp;dms_DollarReal_year))</t>
  </si>
  <si>
    <t>Dollar $ real previous year (PRCP_y5)</t>
  </si>
  <si>
    <t>December 2017</t>
  </si>
  <si>
    <t>dms_DollarReal_Prev</t>
  </si>
  <si>
    <t>=IF(SUM(dms_SingleYear_Model)&gt;0,CONCATENATE(dms_RPTMonth)&amp;" "&amp;VALUE(((LEFT(CRY,2))&amp;RIGHT(CRY,2))-1),CONCATENATE(dms_RPTMonth)&amp;" "&amp;VALUE(((LEFT(dms_CRCP_FirstYear_Result,2)&amp;RIGHT(dms_CRCP_FirstYear_Result,2))))-1)</t>
  </si>
  <si>
    <t>PTRM/ RFMs</t>
  </si>
  <si>
    <t>Form of control</t>
  </si>
  <si>
    <t>dms_FormControl</t>
  </si>
  <si>
    <t>=INDEX(dms_FormControl_List,MATCH(dms_TradingName,dms_TradingName_List))</t>
  </si>
  <si>
    <t>All potential values for Regulatory Years or RYEs as calculated</t>
  </si>
  <si>
    <t>This block works out the various RYE's for ALL RIN types and MODELS</t>
  </si>
  <si>
    <t>dms_start_year</t>
  </si>
  <si>
    <t>=FRCP_y1</t>
  </si>
  <si>
    <r>
      <rPr>
        <b/>
        <sz val="11"/>
        <color rgb="FF000000"/>
        <rFont val="Calibri"/>
        <family val="2"/>
      </rPr>
      <t>FRCP_y1</t>
    </r>
    <r>
      <rPr>
        <sz val="11"/>
        <color rgb="FF000000"/>
        <rFont val="Calibri"/>
        <family val="2"/>
      </rPr>
      <t xml:space="preserve"> from cover sheet</t>
    </r>
  </si>
  <si>
    <t>dms_CRY_start_year</t>
  </si>
  <si>
    <t>=IFERROR(CRY,CRCP_y4)</t>
  </si>
  <si>
    <t>dms_CRY_start_row</t>
  </si>
  <si>
    <t>=IFERROR(MATCH(dms_CRY_start_year,INDIRECT(dms_RPT),0),0)</t>
  </si>
  <si>
    <t>dms_FRCP_start_row</t>
  </si>
  <si>
    <t>=MATCH(dms_start_year,INDIRECT(dms_RPT),0)</t>
  </si>
  <si>
    <r>
      <t xml:space="preserve">Uses </t>
    </r>
    <r>
      <rPr>
        <b/>
        <sz val="11"/>
        <color rgb="FF000000"/>
        <rFont val="Calibri"/>
        <family val="2"/>
      </rPr>
      <t>FRCP_y1</t>
    </r>
    <r>
      <rPr>
        <sz val="11"/>
        <color rgb="FF000000"/>
        <rFont val="Calibri"/>
        <family val="2"/>
      </rPr>
      <t xml:space="preserve"> as a start reference</t>
    </r>
  </si>
  <si>
    <t>dms_CRCP_start_row</t>
  </si>
  <si>
    <t>=dms_FRCP_start_row-dms_CRCPlength_Num</t>
  </si>
  <si>
    <r>
      <t xml:space="preserve">Uses the value in </t>
    </r>
    <r>
      <rPr>
        <b/>
        <sz val="11"/>
        <color rgb="FF000000"/>
        <rFont val="Calibri"/>
        <family val="2"/>
      </rPr>
      <t>dms_CRCPlength_Num</t>
    </r>
  </si>
  <si>
    <t>dms_PRCP_start_row</t>
  </si>
  <si>
    <t>=dms_FRCP_start_row-dms_CRCPlength_Num-dms_PRCPlength_Num</t>
  </si>
  <si>
    <r>
      <t xml:space="preserve">Uses the value in </t>
    </r>
    <r>
      <rPr>
        <b/>
        <sz val="11"/>
        <color rgb="FF000000"/>
        <rFont val="Calibri"/>
        <family val="2"/>
      </rPr>
      <t>dms_CRCPlength_Num</t>
    </r>
    <r>
      <rPr>
        <sz val="11"/>
        <color rgb="FF000000"/>
        <rFont val="Calibri"/>
        <family val="2"/>
      </rPr>
      <t xml:space="preserve"> and </t>
    </r>
    <r>
      <rPr>
        <b/>
        <sz val="11"/>
        <color rgb="FF000000"/>
        <rFont val="Calibri"/>
        <family val="2"/>
      </rPr>
      <t>dms_PRCPlength_Num</t>
    </r>
  </si>
  <si>
    <t>dms_RYE_start_row</t>
  </si>
  <si>
    <t>=dms_FRCP_start_row+(dms_FRCPlength_Num-1)</t>
  </si>
  <si>
    <r>
      <t xml:space="preserve">Uses the value in </t>
    </r>
    <r>
      <rPr>
        <b/>
        <sz val="11"/>
        <color rgb="FF000000"/>
        <rFont val="Calibri"/>
        <family val="2"/>
      </rPr>
      <t>dms_FRCPlength_Num-1</t>
    </r>
  </si>
  <si>
    <t>FRCP_start_year</t>
  </si>
  <si>
    <t>=INDEX(INDIRECT(dms_RPT),dms_FRCP_start_row)</t>
  </si>
  <si>
    <t>Converts the FRCP start row to display the year</t>
  </si>
  <si>
    <t>CRCP_start_year</t>
  </si>
  <si>
    <t>=INDEX(INDIRECT(dms_RPT),dms_CRCP_start_row)</t>
  </si>
  <si>
    <t>Converts the CRCP start row to display the year</t>
  </si>
  <si>
    <t>PRCP_start_year</t>
  </si>
  <si>
    <t>=INDEX(INDIRECT(dms_RPT),dms_PRCP_start_row)</t>
  </si>
  <si>
    <t>Converts the PRCP start row to display the year</t>
  </si>
  <si>
    <t>FRCP_final_year</t>
  </si>
  <si>
    <t>=INDEX(INDIRECT(dms_RPT),dms_FRCP_start_row+dms_FRCPlength_Num-1)</t>
  </si>
  <si>
    <t>Finds the FRCP final year</t>
  </si>
  <si>
    <t>CRCP_final_year</t>
  </si>
  <si>
    <t>=INDEX(INDIRECT(dms_RPT),dms_CRCP_start_row+dms_CRCPlength_Num-1)</t>
  </si>
  <si>
    <t>Finds the CRCP final year</t>
  </si>
  <si>
    <t>PRCP_final_year</t>
  </si>
  <si>
    <t>=INDEX(INDIRECT(dms_RPT),dms_PRCP_start_row+dms_FRCPlength_Num-1)</t>
  </si>
  <si>
    <t>Finds the PRCP final year</t>
  </si>
  <si>
    <t>dms_Reset_final_year</t>
  </si>
  <si>
    <t>=INDEX(INDIRECT(dms_RPT),dms_RYE_start_row)</t>
  </si>
  <si>
    <t>For Resets and PTRM/RFMs (same as FRCP_final_year)</t>
  </si>
  <si>
    <t>dms_SpecifiedYear_final_year</t>
  </si>
  <si>
    <t>=FRY</t>
  </si>
  <si>
    <r>
      <rPr>
        <b/>
        <sz val="11"/>
        <color rgb="FF000000"/>
        <rFont val="Calibri"/>
        <family val="2"/>
      </rPr>
      <t xml:space="preserve">FRY </t>
    </r>
    <r>
      <rPr>
        <sz val="11"/>
        <color rgb="FF000000"/>
        <rFont val="Calibri"/>
        <family val="2"/>
      </rPr>
      <t>from cover sheet</t>
    </r>
  </si>
  <si>
    <t>dms_DollarReal_year</t>
  </si>
  <si>
    <t>=LEFT(CRCP_final_year,2)&amp;RIGHT(CRCP_final_year,2)</t>
  </si>
  <si>
    <r>
      <t xml:space="preserve">Uses the value in </t>
    </r>
    <r>
      <rPr>
        <b/>
        <sz val="11"/>
        <color rgb="FF000000"/>
        <rFont val="Calibri"/>
        <family val="2"/>
      </rPr>
      <t>CRCP_final_year</t>
    </r>
  </si>
  <si>
    <t>dms_Previous_DollarReal_year</t>
  </si>
  <si>
    <t>=LEFT(PRCP_final_year,2)&amp;RIGHT(PRCP_final_year,2)</t>
  </si>
  <si>
    <r>
      <t>Uses the value in P</t>
    </r>
    <r>
      <rPr>
        <b/>
        <sz val="11"/>
        <color rgb="FF000000"/>
        <rFont val="Calibri"/>
        <family val="2"/>
      </rPr>
      <t>RCP_final_year</t>
    </r>
  </si>
  <si>
    <t>dms_CRY_RYE</t>
  </si>
  <si>
    <t>=IFERROR(LEFT(CRY,2)&amp;RIGHT(CRY,2),0)</t>
  </si>
  <si>
    <t>For ABC single year RINS</t>
  </si>
  <si>
    <t>dms_Reset_RYE</t>
  </si>
  <si>
    <t>=IF(dms_Model_Span&gt;1,IF(dms_Model="RFM",(LEFT(dms_DollarReal_year,2)&amp;RIGHT(dms_DollarReal_year,2)),(LEFT(dms_Reset_final_year,2)&amp;RIGHT(dms_Reset_final_year,2))),0)</t>
  </si>
  <si>
    <r>
      <t xml:space="preserve">If model span &gt; 1 then uses </t>
    </r>
    <r>
      <rPr>
        <b/>
        <sz val="11"/>
        <color rgb="FF000000"/>
        <rFont val="Calibri"/>
        <family val="2"/>
      </rPr>
      <t xml:space="preserve">dms_Reset_RYE </t>
    </r>
    <r>
      <rPr>
        <sz val="11"/>
        <color rgb="FF000000"/>
        <rFont val="Calibri"/>
        <family val="2"/>
      </rPr>
      <t>otherwise it's a multi year ABC and uses</t>
    </r>
    <r>
      <rPr>
        <b/>
        <sz val="11"/>
        <color rgb="FF000000"/>
        <rFont val="Calibri"/>
        <family val="2"/>
      </rPr>
      <t xml:space="preserve"> dms_Specified_RYE</t>
    </r>
  </si>
  <si>
    <t>dms_Specified_RYE</t>
  </si>
  <si>
    <t>=IF(dms_MultiYear_ResponseFlag="Yes",(LEFT(dms_Specified_FinalYear,2)&amp;RIGHT(dms_Specified_FinalYear,2)),0)</t>
  </si>
  <si>
    <r>
      <t xml:space="preserve">If multi year ABC - uses </t>
    </r>
    <r>
      <rPr>
        <b/>
        <sz val="11"/>
        <color rgb="FF000000"/>
        <rFont val="Calibri"/>
        <family val="2"/>
      </rPr>
      <t>dms_Specified_FinalYear</t>
    </r>
  </si>
  <si>
    <t>dms_Model_Span</t>
  </si>
  <si>
    <t>=INDEX(dms_Model_Span_List,MATCH(dms_Model,dms_Model_List))</t>
  </si>
  <si>
    <t>A result of 5 is used to signify that it is more than 1 year span</t>
  </si>
  <si>
    <t>dms_RYE_result</t>
  </si>
  <si>
    <t>=IF(dms_MultiYear_ResponseFlag="yes",dms_Specified_RYE,(IF(dms_Model_Span&gt;1,dms_Reset_RYE,dms_CRY_RYE)))</t>
  </si>
  <si>
    <r>
      <t xml:space="preserve">Nested IF - feeds into </t>
    </r>
    <r>
      <rPr>
        <b/>
        <sz val="11"/>
        <color rgb="FF000000"/>
        <rFont val="Calibri"/>
        <family val="2"/>
      </rPr>
      <t>dms_RYE</t>
    </r>
  </si>
  <si>
    <t>dms_Reset_Span</t>
  </si>
  <si>
    <t>=IF(dms_Reset_RYE&gt;0,CONCATENATE(FRCP_y1," to ",FRCP_final_year),0)</t>
  </si>
  <si>
    <t>Reset span of years as text</t>
  </si>
  <si>
    <t>dms_SpecifiedYear_Span</t>
  </si>
  <si>
    <t>=IF(dms_Specified_RYE&gt;0,CONCATENATE(CRY," to ",dms_Specified_FinalYear),0)</t>
  </si>
  <si>
    <t>Multi year ABC span of years as text</t>
  </si>
  <si>
    <t>dms_Header_Span</t>
  </si>
  <si>
    <t>=IF(dms_MultiYear_Flag=1,dms_SpecifiedYear_Span,IF(dms_Model_Span&gt;1,dms_Reset_Span,CRY))</t>
  </si>
  <si>
    <r>
      <t xml:space="preserve">NESTED IF - for </t>
    </r>
    <r>
      <rPr>
        <b/>
        <sz val="11"/>
        <color rgb="FF000000"/>
        <rFont val="Calibri"/>
        <family val="2"/>
      </rPr>
      <t>Sheet Headers</t>
    </r>
  </si>
  <si>
    <t>ABC RINS THAT SPAN MULTIPLE YEARS</t>
  </si>
  <si>
    <t>This is a multi year ABC RIN?</t>
  </si>
  <si>
    <t>dms_MultiYear_Flag</t>
  </si>
  <si>
    <t>This is set from the answer provided above</t>
  </si>
  <si>
    <t>dms_Specified_FinalYear</t>
  </si>
  <si>
    <t>The result here is returned to dms_CRCP_FinalYear_Result if response to Q in C73 is "yes" and dms_MultiYear_Flag is set to 1</t>
  </si>
  <si>
    <t xml:space="preserve"> Start year for 5.2 in Multi year ABC RINS</t>
  </si>
  <si>
    <t>dms_0502_Inst_Year</t>
  </si>
  <si>
    <t>=IF(dms_MultiYear_Flag=1,FRY,CRY)</t>
  </si>
  <si>
    <t>For single year RINS this is CRY - multi year RINS need to start a the end of the span of years (ie. FRY)</t>
  </si>
  <si>
    <t>WHAT IS THE RYE?</t>
  </si>
  <si>
    <t>Reg Period Lengths</t>
  </si>
  <si>
    <t>PRCP length in years</t>
  </si>
  <si>
    <t>dms_PRCPlength_Num</t>
  </si>
  <si>
    <t>=INDEX(dms_PRCPlength_List,MATCH(dms_TradingName,dms_TradingName_List))</t>
  </si>
  <si>
    <t>CRCP length in years</t>
  </si>
  <si>
    <t>dms_CRCPlength_Num</t>
  </si>
  <si>
    <t>=INDEX(dms_CRCPlength_List,MATCH(dms_TradingName,dms_TradingName_List))</t>
  </si>
  <si>
    <t>FRCP length in years</t>
  </si>
  <si>
    <t>dms_FRCPlength_Num</t>
  </si>
  <si>
    <t>=INDEX(dms_FRCPlength_List,MATCH(dms_TradingName,dms_TradingName_List))</t>
  </si>
  <si>
    <t>Single year RIN?</t>
  </si>
  <si>
    <t>Single Year ABC RIN ?</t>
  </si>
  <si>
    <t>dms_EB</t>
  </si>
  <si>
    <t>dms_CA</t>
  </si>
  <si>
    <t>=dms_SingleYear_Model</t>
  </si>
  <si>
    <t>dms_ARR</t>
  </si>
  <si>
    <t>Is this a single Year ABC RIN?</t>
  </si>
  <si>
    <t>dms_SingleYearModel</t>
  </si>
  <si>
    <t>=IF(SUM(dms_SingleYear_Model)=1,"yes","no")</t>
  </si>
  <si>
    <t>Single Year Final Year Result</t>
  </si>
  <si>
    <t>dms_SingleYear_FinalYear_Result</t>
  </si>
  <si>
    <t>=IFERROR(IF(SUM(dms_SingleYear_Model)&lt;&gt;0,(INDIRECT(dms_SingleYear_FinalYear_Ref)),"not a single year RIN"),"CRY not present")</t>
  </si>
  <si>
    <t>Multi year RIN?</t>
  </si>
  <si>
    <t>Multi Year Reset/Model?</t>
  </si>
  <si>
    <t>Final year result for Reset/Model</t>
  </si>
  <si>
    <t>dms_MultiYear_FinalYear_Result</t>
  </si>
  <si>
    <t>dms_CRCP_FinalYear_Result</t>
  </si>
  <si>
    <t>Multi Year ABC RIN?</t>
  </si>
  <si>
    <t>dms_MultiYear_ABC_RIN</t>
  </si>
  <si>
    <t>Final year result for ABC multi year</t>
  </si>
  <si>
    <t>EB RINS</t>
  </si>
  <si>
    <t>Calendar Year for table 3.6 data</t>
  </si>
  <si>
    <t>dms_0306_Year</t>
  </si>
  <si>
    <t>=IF(dms_Segment="Transmission",dms_Cal_Year_B4_CRY,CRY)</t>
  </si>
  <si>
    <t>CA RINS</t>
  </si>
  <si>
    <t>Find how many rows in tables 6.3 sustained interruptions?</t>
  </si>
  <si>
    <t>dms_060301_MaxRows only returns a valid value when cover sheet is attached to a CA file</t>
  </si>
  <si>
    <t>=IF(dms_Model&lt;&gt;"CA","not a CA","Is a CA")</t>
  </si>
  <si>
    <t>dms_060301_Avg_Duration_Sustained_Int_Values present?</t>
  </si>
  <si>
    <t>dms_060301_checkvalue</t>
  </si>
  <si>
    <t>=IFERROR(IF(INDEX(dms_060301_Avg_Duration_Sustained_Int_Values,1,1)&lt;&gt;"","yes","no"),"no")</t>
  </si>
  <si>
    <t>=IF(AND(dms_Model="CA",(dms_060301_checkvalue="no")),"error - NR not present","no errors")</t>
  </si>
  <si>
    <t>Table 6.3.1 - last row reference</t>
  </si>
  <si>
    <t>dms_060301_LastRow</t>
  </si>
  <si>
    <t>=IFERROR(IF(dms_Model="CA",LOOKUP(2,1/(dms_060301_Avg_Duration_Sustained_Int_Values&lt;&gt;""),(ROW(dms_060301_Avg_Duration_Sustained_Int_Values))),"not a CA"),"6.3 not present")</t>
  </si>
  <si>
    <t>Table 6.3.1 - max number rows</t>
  </si>
  <si>
    <t>dms_060301_MaxRows</t>
  </si>
  <si>
    <t>=IFERROR(IF(dms_Model="CA",(dms_060301_LastRow-15),"not a CA"),"error")</t>
  </si>
  <si>
    <t>Table 6.6.3 - Public lighting repair - no. business days</t>
  </si>
  <si>
    <t>dms_663</t>
  </si>
  <si>
    <t>=INDEX(dms_663_List,MATCH(dms_TradingName,dms_TradingName_List))</t>
  </si>
  <si>
    <t>ARR or RESET RINS</t>
  </si>
  <si>
    <t>How many rows in tables 6.1 or 6.7?  (leap year?)</t>
  </si>
  <si>
    <r>
      <t xml:space="preserve">insert </t>
    </r>
    <r>
      <rPr>
        <i/>
        <u/>
        <sz val="10"/>
        <color rgb="FF808080"/>
        <rFont val="Arial"/>
        <family val="2"/>
      </rPr>
      <t>dms_LeapYear</t>
    </r>
    <r>
      <rPr>
        <i/>
        <sz val="10"/>
        <color rgb="FF808080"/>
        <rFont val="Arial"/>
        <family val="2"/>
      </rPr>
      <t xml:space="preserve"> NR if required</t>
    </r>
  </si>
  <si>
    <t>'dms_LeapYear is used to determine dms_060701_Max_Rows BUT it is only found on worksheet 6.1 or 6.7 and the date value in the cell is used to determine whether it is a leap year</t>
  </si>
  <si>
    <t>Is dms_LeapYear named range present?</t>
  </si>
  <si>
    <t>Table 6.7.1 - includes a leap year?</t>
  </si>
  <si>
    <t>dms_LeapYear_Result</t>
  </si>
  <si>
    <t>=IFERROR(IF(MONTH(DATE(YEAR(dms_LeapYear),2,29))=2,"is a leap year","not a leap year"),"dms_LeapYear not present")</t>
  </si>
  <si>
    <t>MaxRows if Reset and leap year</t>
  </si>
  <si>
    <t>dms_060701_Reset_MaxRows</t>
  </si>
  <si>
    <t>=IF(dms_LeapYear_Result="is a leap year",1827,1826)</t>
  </si>
  <si>
    <t>number of days present in Reset RIN table</t>
  </si>
  <si>
    <t>MaxRows if ARR and leap year</t>
  </si>
  <si>
    <t>dms_060701_ARR_MaxRows</t>
  </si>
  <si>
    <t>=IF(dms_LeapYear_Result="is a leap year",366,365)</t>
  </si>
  <si>
    <t>number of days present in ARR RIN table</t>
  </si>
  <si>
    <t>Table 6.7.1 - Max Rows (leap year/ non leap year)</t>
  </si>
  <si>
    <t>dms_060701_MaxRows</t>
  </si>
  <si>
    <t>=IF(dms_Model="ARR",dms_060701_ARR_MaxRows,IF(dms_Model="Reset",dms_060701_Reset_MaxRows,"not a relevant RIN type"))</t>
  </si>
  <si>
    <t>How many columns in 6.7?   (4 or 5 feeder categories)</t>
  </si>
  <si>
    <t>Table 6.7.1 - Last column (# of feeder categories &gt; 4)</t>
  </si>
  <si>
    <t>dms_060701_MaxCols</t>
  </si>
  <si>
    <t>=IF(dms_FifthFeeder_flag_NSP="NO",8,10)</t>
  </si>
  <si>
    <t>Table 6.7.1 - Number of offset rows</t>
  </si>
  <si>
    <t>dms_060701_OffsetRows</t>
  </si>
  <si>
    <t>=IF(dms_Model="ARR",15,9)</t>
  </si>
  <si>
    <t>Start date for telephone answering in 6.1 or 6.7?</t>
  </si>
  <si>
    <r>
      <t>Using</t>
    </r>
    <r>
      <rPr>
        <i/>
        <sz val="10"/>
        <color rgb="FF254061"/>
        <rFont val="Arial"/>
        <family val="2"/>
      </rPr>
      <t xml:space="preserve"> 060101</t>
    </r>
    <r>
      <rPr>
        <sz val="10"/>
        <color rgb="FF254061"/>
        <rFont val="Arial"/>
        <family val="2"/>
      </rPr>
      <t xml:space="preserve"> as naming standard not 060701 for start dates</t>
    </r>
  </si>
  <si>
    <t>Table 6.1.1 and 6.7.1 - Start Date as Text</t>
  </si>
  <si>
    <t>=IF(SUM(dms_SingleYear_Model)&gt;1,(CONCATENATE(IF(LEN(CRY)=4,"1-Jan-","1-Jul-"),LEFT(CRY,4))),(CONCATENATE(IF(LEN(CRCP_y4)=4,"1-Jan-","1-Jul-"),LEFT(CRCP_y4,4))))</t>
  </si>
  <si>
    <t>Table 6.1.1 and 6.7.1 - Start Date as Date Value</t>
  </si>
  <si>
    <t>dms_060101_StartDateVal</t>
  </si>
  <si>
    <t>=DATEVALUE(dms_060701_StartDateTxt)</t>
  </si>
  <si>
    <t>ARRs</t>
  </si>
  <si>
    <t>How many rows in table 6.8?</t>
  </si>
  <si>
    <t>insert dms_060801_StartCell NR if required</t>
  </si>
  <si>
    <r>
      <t xml:space="preserve">dms_060801_StartCell </t>
    </r>
    <r>
      <rPr>
        <i/>
        <sz val="10"/>
        <color rgb="FF808080"/>
        <rFont val="Arial"/>
        <family val="2"/>
      </rPr>
      <t>is only found on worksheet 6.8 and is used to determine the starting date for the date range</t>
    </r>
  </si>
  <si>
    <t>Is dms_060801_StartCell named range present?</t>
  </si>
  <si>
    <t>Must be present for ARRs</t>
  </si>
  <si>
    <t>=IFERROR(IF((ROW(dms_060801_StartCell)-1)=1,"yes","yes"),"no")</t>
  </si>
  <si>
    <t>Table 6.8 - Number of offset rows</t>
  </si>
  <si>
    <t>dms_0608_OffsetRows</t>
  </si>
  <si>
    <t>=IFERROR(IF(dms_Model="ARR",(ROW(dms_060801_StartCell)-1),"not an ARR"),"6.8 error")</t>
  </si>
  <si>
    <t>Table 6.8 - Last row</t>
  </si>
  <si>
    <t>dms_0608_LastRow</t>
  </si>
  <si>
    <t>=IFERROR(IF(dms_060801_StartCell&lt;&gt;"",IF(dms_Model="ARR",(LOOKUP(2,1/(dms_060801_01_Values&lt;&gt;""),(ROW(dms_060801_01_Values)))),"not an ARR"),0),"0")</t>
  </si>
  <si>
    <t>Table 6.8 - MaxRows</t>
  </si>
  <si>
    <t>dms_060801_MaxRows</t>
  </si>
  <si>
    <t>=IFERROR(IF(dms_Model="ARR",(MAX(0,dms_0608_LastRow-dms_0608_OffsetRows)),"not an ARR"),"0")</t>
  </si>
  <si>
    <t>TNSP RESET RINS</t>
  </si>
  <si>
    <t>Table 7.9.4 only appears in TNSPs Reset RIN</t>
  </si>
  <si>
    <t>Table 7.9.4 - first year</t>
  </si>
  <si>
    <t>dms_070904_Start_Year</t>
  </si>
  <si>
    <t>=LEFT(PRCP_y3,4)</t>
  </si>
  <si>
    <t>MISC</t>
  </si>
  <si>
    <t>Distribution Determination Reference</t>
  </si>
  <si>
    <t>dms_DeterminationRef</t>
  </si>
  <si>
    <t>Public lighting NSP?</t>
  </si>
  <si>
    <t>dms_Public_Lighting</t>
  </si>
  <si>
    <t>=INDEX(dms_Public_Lighting_List,MATCH(dms_TradingName,dms_TradingName_List))</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</si>
  <si>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</si>
  <si>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</si>
  <si>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</si>
  <si>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</si>
  <si>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</si>
  <si>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</si>
  <si>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</si>
  <si>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</si>
  <si>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Fifth Feeder Category (eg. TasNetworks (D))</t>
  </si>
  <si>
    <t>dms_FifthFeeder_flag_NSP</t>
  </si>
  <si>
    <t>=INDEX(dms_FeederType_5_flag,MATCH(dms_TradingName,dms_TradingName_List))</t>
  </si>
  <si>
    <t>DISCARD FILES</t>
  </si>
  <si>
    <t>discard this record?</t>
  </si>
  <si>
    <t>dms_DISCARD</t>
  </si>
  <si>
    <t>If record is to be discarded from DB set this flag to YES</t>
  </si>
  <si>
    <t>SUBSET FILES</t>
  </si>
  <si>
    <t>Is this Submission File a Subset File</t>
  </si>
  <si>
    <t>dms_Partial</t>
  </si>
  <si>
    <t>REGULATORY YEARS FOR MULTI RYE SUBMISSIONS</t>
  </si>
  <si>
    <t>Multiple RYE flag</t>
  </si>
  <si>
    <t>dms_Multi_RYE_flag</t>
  </si>
  <si>
    <t>Manually specify RYE</t>
  </si>
  <si>
    <t>Named ranges to apply</t>
  </si>
  <si>
    <t>dms_RYE_01</t>
  </si>
  <si>
    <t>dms_RYE_02</t>
  </si>
  <si>
    <t>dms_RYE_03</t>
  </si>
  <si>
    <t>dms_RYE_04</t>
  </si>
  <si>
    <t>dms_RYE_05</t>
  </si>
  <si>
    <t>dms_RYE_06</t>
  </si>
  <si>
    <t>dms_RYE_07</t>
  </si>
  <si>
    <t>dms_RYE_08</t>
  </si>
  <si>
    <t>dms_RYE_09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</si>
</sst>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_-;[Red]\(#,##0\)_-;_-* &quot;-&quot;??_-;_-@_-"/>
    <numFmt numFmtId="165" formatCode="_-* #,##0_-;\-* #,##0_-;_-* &quot;-&quot;??_-;_-@_-"/>
    <numFmt numFmtId="166" formatCode="#,##0.0000"/>
    <numFmt numFmtId="167" formatCode="_(* #,##0.00_);_(* \(#,##0.00\);_(* &quot;-&quot;??_);_(@_)"/>
    <numFmt numFmtId="168" formatCode="_(* #,##0_);_(* \(#,##0\);_(* &quot;-&quot;_);_(@_)"/>
    <numFmt numFmtId="169" formatCode="#,##0.00000"/>
    <numFmt numFmtId="170" formatCode="#,##0.000_ ;[Red]\-#,##0.000\ "/>
    <numFmt numFmtId="171" formatCode="0000"/>
    <numFmt numFmtId="172" formatCode="##\ ###\ ###\ ###\ ##0"/>
    <numFmt numFmtId="173" formatCode="###\ ###\ ##0"/>
    <numFmt numFmtId="174" formatCode="0##\ ###\ ##0"/>
    <numFmt numFmtId="175" formatCode="0#\ ####\ ####"/>
  </numFmts>
  <fonts count="119" x14ac:knownFonts="1">
    <font>
      <sz val="11"/>
      <color rgb="FF000000"/>
      <name val="Calibri"/>
      <scheme val="minor"/>
    </font>
    <font>
      <b/>
      <sz val="10"/>
      <color rgb="FF000000"/>
      <name val="Arial"/>
      <family val="2"/>
    </font>
    <font>
      <b/>
      <sz val="11"/>
      <color rgb="FF000000"/>
      <name val="Calibri"/>
      <family val="2"/>
      <scheme val="minor"/>
    </font>
    <font>
      <sz val="11"/>
      <color rgb="FF000000"/>
      <name val="Arial"/>
      <family val="2"/>
    </font>
    <font>
      <sz val="10"/>
      <color rgb="FF000000"/>
      <name val="Arial"/>
      <family val="2"/>
    </font>
    <font>
      <sz val="11"/>
      <color rgb="FF376093"/>
      <name val="Calibri"/>
      <family val="2"/>
      <scheme val="minor"/>
    </font>
    <font>
      <sz val="10"/>
      <color rgb="FF5F497A"/>
      <name val="Arial"/>
      <family val="2"/>
    </font>
    <font>
      <b/>
      <sz val="12"/>
      <color rgb="FFFFFFFF"/>
      <name val="Arial"/>
      <family val="2"/>
    </font>
    <font>
      <b/>
      <sz val="11"/>
      <color rgb="FF000000"/>
      <name val="Arial"/>
      <family val="2"/>
    </font>
    <font>
      <sz val="10"/>
      <color rgb="FF4F81BD"/>
      <name val="Arial"/>
      <family val="2"/>
    </font>
    <font>
      <b/>
      <sz val="16"/>
      <color rgb="FFFFFFFF"/>
      <name val="Arial"/>
      <family val="2"/>
    </font>
    <font>
      <sz val="10"/>
      <color rgb="FF808080"/>
      <name val="Arial"/>
      <family val="2"/>
    </font>
    <font>
      <i/>
      <sz val="10"/>
      <color rgb="FF000000"/>
      <name val="Arial"/>
      <family val="2"/>
    </font>
    <font>
      <sz val="10"/>
      <color rgb="FFFFFFFF"/>
      <name val="Arial"/>
      <family val="2"/>
    </font>
    <font>
      <sz val="10"/>
      <color rgb="FF254061"/>
      <name val="Arial"/>
      <family val="2"/>
    </font>
    <font>
      <sz val="11"/>
      <color rgb="FFFF0000"/>
      <name val="Arial"/>
      <family val="2"/>
    </font>
    <font>
      <sz val="11"/>
      <color rgb="FF953735"/>
      <name val="Arial"/>
      <family val="2"/>
    </font>
    <font>
      <sz val="11"/>
      <color rgb="FF000000"/>
      <name val="Calibri"/>
      <family val="2"/>
    </font>
    <font>
      <i/>
      <sz val="10"/>
      <color rgb="FF376093"/>
      <name val="Arial"/>
      <family val="2"/>
    </font>
    <font>
      <sz val="10"/>
      <color rgb="FF376093"/>
      <name val="Arial"/>
      <family val="2"/>
    </font>
    <font>
      <i/>
      <sz val="10"/>
      <color rgb="FF808080"/>
      <name val="Arial"/>
      <family val="2"/>
    </font>
    <font>
      <i/>
      <sz val="10"/>
      <color rgb="FF254061"/>
      <name val="Arial"/>
      <family val="2"/>
    </font>
    <font>
      <i/>
      <sz val="11"/>
      <color rgb="FF000000"/>
      <name val="Arial"/>
      <family val="2"/>
    </font>
    <font>
      <b/>
      <sz val="10"/>
      <color rgb="FF808080"/>
      <name val="Arial"/>
      <family val="2"/>
    </font>
    <font>
      <sz val="16"/>
      <color rgb="FFFF0000"/>
      <name val="Arial"/>
      <family val="2"/>
    </font>
    <font>
      <sz val="14"/>
      <color rgb="FFFF0000"/>
      <name val="Arial"/>
      <family val="2"/>
    </font>
    <font>
      <sz val="10"/>
      <color rgb="FF953735"/>
      <name val="Arial"/>
      <family val="2"/>
    </font>
    <font>
      <sz val="10"/>
      <color rgb="FFFF0000"/>
      <name val="Arial"/>
      <family val="2"/>
    </font>
    <font>
      <b/>
      <sz val="11"/>
      <color rgb="FFFFFFFF"/>
      <name val="Arial"/>
      <family val="2"/>
    </font>
    <font>
      <sz val="12"/>
      <color rgb="FF000000"/>
      <name val="Arial"/>
      <family val="2"/>
    </font>
    <font>
      <sz val="8"/>
      <color rgb="FF000000"/>
      <name val="Arial"/>
      <family val="2"/>
    </font>
    <font>
      <b/>
      <sz val="10"/>
      <color rgb="FFFF0000"/>
      <name val="Arial"/>
      <family val="2"/>
    </font>
    <font>
      <b/>
      <sz val="12"/>
      <color rgb="FF000000"/>
      <name val="Arial"/>
      <family val="2"/>
    </font>
    <font>
      <sz val="10"/>
      <color rgb="FF000000"/>
      <name val="Times New Roman"/>
      <family val="1"/>
    </font>
    <font>
      <b/>
      <sz val="9"/>
      <color rgb="FF000000"/>
      <name val="Arial"/>
      <family val="2"/>
    </font>
    <font>
      <sz val="20"/>
      <color rgb="FFFFFFFF"/>
      <name val="Arial"/>
      <family val="2"/>
    </font>
    <font>
      <sz val="12"/>
      <color rgb="FF000000"/>
      <name val="Calibri"/>
      <family val="2"/>
      <scheme val="minor"/>
    </font>
    <font>
      <sz val="14"/>
      <color rgb="FF000000"/>
      <name val="Calibri"/>
      <family val="2"/>
      <scheme val="minor"/>
    </font>
    <font>
      <b/>
      <sz val="18"/>
      <color rgb="FFFFFFFF"/>
      <name val="Calibri"/>
      <family val="2"/>
    </font>
    <font>
      <sz val="11"/>
      <color rgb="FF000080"/>
      <name val="Calibri"/>
      <family val="2"/>
      <scheme val="minor"/>
    </font>
    <font>
      <sz val="12"/>
      <color rgb="FF000080"/>
      <name val="Calibri"/>
      <family val="2"/>
      <scheme val="minor"/>
    </font>
    <font>
      <b/>
      <sz val="12"/>
      <color rgb="FF000080"/>
      <name val="Calibri"/>
      <family val="2"/>
      <scheme val="minor"/>
    </font>
    <font>
      <u/>
      <sz val="12"/>
      <color rgb="FF0000FF"/>
      <name val="Calibri"/>
      <family val="2"/>
      <scheme val="minor"/>
    </font>
    <font>
      <sz val="12"/>
      <color rgb="FFFFFFFF"/>
      <name val="Calibri"/>
      <family val="2"/>
      <scheme val="minor"/>
    </font>
    <font>
      <b/>
      <sz val="12"/>
      <color rgb="FFFFFFFF"/>
      <name val="Calibri"/>
      <family val="2"/>
      <scheme val="minor"/>
    </font>
    <font>
      <b/>
      <sz val="12"/>
      <color rgb="FF000000"/>
      <name val="Calibri"/>
      <family val="2"/>
      <scheme val="minor"/>
    </font>
    <font>
      <b/>
      <sz val="22"/>
      <color rgb="FF000000"/>
      <name val="Calibri"/>
      <family val="2"/>
      <scheme val="minor"/>
    </font>
    <font>
      <b/>
      <sz val="22"/>
      <color rgb="FFFFFFFF"/>
      <name val="Calibri"/>
      <family val="2"/>
      <scheme val="minor"/>
    </font>
    <font>
      <b/>
      <sz val="14"/>
      <color rgb="FF000000"/>
      <name val="Calibri"/>
      <family val="2"/>
      <scheme val="minor"/>
    </font>
    <font>
      <b/>
      <sz val="9"/>
      <color rgb="FF000000"/>
      <name val="Calibri"/>
      <family val="2"/>
      <scheme val="minor"/>
    </font>
    <font>
      <b/>
      <sz val="10"/>
      <color rgb="FF000000"/>
      <name val="Calibri"/>
      <family val="2"/>
      <scheme val="minor"/>
    </font>
    <font>
      <b/>
      <sz val="14"/>
      <color rgb="FFFF0000"/>
      <name val="Calibri"/>
      <family val="2"/>
      <scheme val="minor"/>
    </font>
    <font>
      <b/>
      <sz val="36"/>
      <color rgb="FFFFFFFF"/>
      <name val="Calibri"/>
      <family val="2"/>
      <scheme val="minor"/>
    </font>
    <font>
      <sz val="11"/>
      <color rgb="FF595959"/>
      <name val="Calibri"/>
      <family val="2"/>
      <scheme val="minor"/>
    </font>
    <font>
      <b/>
      <sz val="11"/>
      <color rgb="FF558ED5"/>
      <name val="Calibri"/>
      <family val="2"/>
      <scheme val="minor"/>
    </font>
    <font>
      <sz val="22"/>
      <color rgb="FFFFFFFF"/>
      <name val="Calibri"/>
      <family val="2"/>
      <scheme val="minor"/>
    </font>
    <font>
      <sz val="22"/>
      <color rgb="FF000000"/>
      <name val="Calibri"/>
      <family val="2"/>
      <scheme val="minor"/>
    </font>
    <font>
      <sz val="24"/>
      <color rgb="FFFFFFFF"/>
      <name val="Calibri"/>
      <family val="2"/>
      <scheme val="minor"/>
    </font>
    <font>
      <sz val="9"/>
      <color rgb="FF000000"/>
      <name val="Arial"/>
      <family val="2"/>
    </font>
    <font>
      <b/>
      <sz val="10"/>
      <color rgb="FFFFFFFF"/>
      <name val="Arial"/>
      <family val="2"/>
    </font>
    <font>
      <b/>
      <sz val="11"/>
      <color rgb="FFFFFFFF"/>
      <name val="Calibri"/>
      <family val="2"/>
      <scheme val="minor"/>
    </font>
    <font>
      <b/>
      <sz val="11"/>
      <color rgb="FF4F81BD"/>
      <name val="Arial"/>
      <family val="2"/>
    </font>
    <font>
      <b/>
      <i/>
      <sz val="10"/>
      <color rgb="FF000000"/>
      <name val="Arial"/>
      <family val="2"/>
    </font>
    <font>
      <b/>
      <i/>
      <sz val="12"/>
      <color rgb="FF000000"/>
      <name val="Arial"/>
      <family val="2"/>
    </font>
    <font>
      <b/>
      <i/>
      <sz val="11"/>
      <color rgb="FF000000"/>
      <name val="Calibri"/>
      <family val="2"/>
      <scheme val="minor"/>
    </font>
    <font>
      <b/>
      <sz val="11"/>
      <color rgb="FFFF0000"/>
      <name val="Arial"/>
      <family val="2"/>
    </font>
    <font>
      <b/>
      <sz val="10"/>
      <color rgb="FF262626"/>
      <name val="Arial"/>
      <family val="2"/>
    </font>
    <font>
      <sz val="10"/>
      <color rgb="FFB8CCE4"/>
      <name val="Arial"/>
      <family val="2"/>
    </font>
    <font>
      <sz val="11"/>
      <color rgb="FFFF0000"/>
      <name val="Calibri"/>
      <family val="2"/>
      <scheme val="minor"/>
    </font>
    <font>
      <b/>
      <sz val="20"/>
      <color rgb="FFFFFFFF"/>
      <name val="Arial"/>
      <family val="2"/>
    </font>
    <font>
      <b/>
      <sz val="14"/>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Arial"/>
      <family val="2"/>
    </font>
    <font>
      <sz val="12"/>
      <color rgb="FFFFFFFF"/>
      <name val="Arial"/>
      <family val="2"/>
    </font>
    <font>
      <sz val="11"/>
      <color rgb="FFFFFFFF"/>
      <name val="Arial"/>
      <family val="2"/>
    </font>
    <font>
      <b/>
      <sz val="14"/>
      <color rgb="FF254061"/>
      <name val="Arial"/>
      <family val="2"/>
    </font>
    <font>
      <b/>
      <sz val="11"/>
      <color rgb="FF254061"/>
      <name val="Arial"/>
      <family val="2"/>
    </font>
    <font>
      <b/>
      <sz val="12"/>
      <color rgb="FF254061"/>
      <name val="Arial"/>
      <family val="2"/>
    </font>
    <font>
      <i/>
      <sz val="11"/>
      <color rgb="FFFFFFFF"/>
      <name val="Arial"/>
      <family val="2"/>
    </font>
    <font>
      <sz val="10"/>
      <color rgb="FF595959"/>
      <name val="Arial"/>
      <family val="2"/>
    </font>
    <font>
      <b/>
      <sz val="11"/>
      <color rgb="FF595959"/>
      <name val="Calibri"/>
      <family val="2"/>
      <scheme val="minor"/>
    </font>
    <font>
      <sz val="10"/>
      <color rgb="FF595959"/>
      <name val="Calibri"/>
      <family val="2"/>
      <scheme val="minor"/>
    </font>
    <font>
      <b/>
      <sz val="18"/>
      <color rgb="FF000080"/>
      <name val="Calibri"/>
      <family val="2"/>
      <scheme val="minor"/>
    </font>
    <font>
      <b/>
      <sz val="11"/>
      <color rgb="FF000080"/>
      <name val="Calibri"/>
      <family val="2"/>
      <scheme val="minor"/>
    </font>
    <font>
      <sz val="11"/>
      <color rgb="FFFFFFFF"/>
      <name val="Calibri"/>
      <family val="2"/>
      <scheme val="minor"/>
    </font>
    <font>
      <b/>
      <sz val="16"/>
      <color rgb="FF000000"/>
      <name val="Arial"/>
      <family val="2"/>
    </font>
    <font>
      <b/>
      <sz val="16"/>
      <color rgb="FFFF0000"/>
      <name val="Arial"/>
      <family val="2"/>
    </font>
    <font>
      <sz val="11"/>
      <color rgb="FF31869B"/>
      <name val="Arial"/>
      <family val="2"/>
    </font>
    <font>
      <b/>
      <sz val="16"/>
      <color rgb="FFE26B0A"/>
      <name val="Calibri"/>
      <family val="2"/>
    </font>
    <font>
      <b/>
      <sz val="36"/>
      <color rgb="FF000000"/>
      <name val="Arial"/>
      <family val="2"/>
    </font>
    <font>
      <b/>
      <sz val="36"/>
      <color rgb="FFFFFFFF"/>
      <name val="Arial"/>
      <family val="2"/>
    </font>
    <font>
      <sz val="15"/>
      <color rgb="FF000000"/>
      <name val="Arial"/>
      <family val="2"/>
    </font>
    <font>
      <b/>
      <sz val="20"/>
      <color rgb="FFFF0000"/>
      <name val="Calibri"/>
      <family val="2"/>
    </font>
    <font>
      <b/>
      <sz val="12"/>
      <color rgb="FF000000"/>
      <name val="Calibri"/>
      <family val="2"/>
    </font>
    <font>
      <b/>
      <sz val="24"/>
      <color rgb="FFFFFFFF"/>
      <name val="Calibri"/>
      <family val="2"/>
    </font>
    <font>
      <b/>
      <sz val="12"/>
      <color rgb="FFFF0000"/>
      <name val="Calibri"/>
      <family val="2"/>
    </font>
    <font>
      <sz val="16"/>
      <color rgb="FF000000"/>
      <name val="Arial Black"/>
      <family val="2"/>
    </font>
    <font>
      <sz val="26"/>
      <color rgb="FFFFFFFF"/>
      <name val="Calibri"/>
      <family val="2"/>
      <scheme val="minor"/>
    </font>
    <font>
      <sz val="26"/>
      <color rgb="FF000000"/>
      <name val="Calibri"/>
      <family val="2"/>
      <scheme val="minor"/>
    </font>
    <font>
      <b/>
      <i/>
      <sz val="14"/>
      <color rgb="FF000000"/>
      <name val="Arial"/>
      <family val="2"/>
    </font>
    <font>
      <b/>
      <sz val="14"/>
      <color rgb="FFFF0000"/>
      <name val="Arial"/>
      <family val="2"/>
    </font>
    <font>
      <b/>
      <i/>
      <sz val="15"/>
      <color rgb="FF000000"/>
      <name val="Arial"/>
      <family val="2"/>
    </font>
    <font>
      <i/>
      <sz val="12"/>
      <color rgb="FF000000"/>
      <name val="Arial"/>
      <family val="2"/>
    </font>
    <font>
      <b/>
      <sz val="15"/>
      <color rgb="FF000000"/>
      <name val="Arial"/>
      <family val="2"/>
    </font>
    <font>
      <i/>
      <sz val="15"/>
      <color rgb="FF000000"/>
      <name val="Arial"/>
      <family val="2"/>
    </font>
    <font>
      <sz val="16"/>
      <color rgb="FF000000"/>
      <name val="Arial"/>
      <family val="2"/>
    </font>
    <font>
      <b/>
      <sz val="12"/>
      <color rgb="FFFF0000"/>
      <name val="Arial"/>
      <family val="2"/>
    </font>
    <font>
      <sz val="12"/>
      <color rgb="FFFF0000"/>
      <name val="Arial"/>
      <family val="2"/>
    </font>
    <font>
      <i/>
      <sz val="10"/>
      <color rgb="FF404040"/>
      <name val="Calibri"/>
      <family val="2"/>
    </font>
    <font>
      <b/>
      <sz val="11"/>
      <color rgb="FF000000"/>
      <name val="Calibri"/>
      <family val="2"/>
    </font>
    <font>
      <b/>
      <sz val="9"/>
      <color rgb="FF595959"/>
      <name val="Calibri"/>
      <family val="2"/>
    </font>
    <font>
      <b/>
      <i/>
      <sz val="10"/>
      <color rgb="FF595959"/>
      <name val="Arial"/>
      <family val="2"/>
    </font>
    <font>
      <sz val="26"/>
      <color rgb="FFFF0000"/>
      <name val="Calibri"/>
      <family val="2"/>
    </font>
    <font>
      <i/>
      <sz val="11"/>
      <color rgb="FF000000"/>
      <name val="Calibri"/>
      <family val="2"/>
    </font>
    <font>
      <i/>
      <u/>
      <sz val="10"/>
      <color rgb="FF808080"/>
      <name val="Arial"/>
      <family val="2"/>
    </font>
    <font>
      <b/>
      <sz val="9"/>
      <color rgb="FF000000"/>
      <name val="Tahoma"/>
      <family val="2"/>
    </font>
    <font>
      <sz val="9"/>
      <color rgb="FF000000"/>
      <name val="Tahoma"/>
      <family val="2"/>
    </font>
  </fonts>
  <fills count="64">
    <fill>
      <patternFill patternType="none"/>
    </fill>
    <fill>
      <patternFill patternType="gray125"/>
    </fill>
    <fill>
      <patternFill patternType="solid">
        <fgColor rgb="FFD9D9D9"/>
        <bgColor rgb="FF000000"/>
      </patternFill>
    </fill>
    <fill>
      <patternFill patternType="solid">
        <fgColor rgb="FFD9D9D9"/>
        <bgColor rgb="FFFFFFFF"/>
      </patternFill>
    </fill>
    <fill>
      <patternFill patternType="solid">
        <fgColor rgb="FFB8CCE4"/>
        <bgColor rgb="FFFFFFFF"/>
      </patternFill>
    </fill>
    <fill>
      <patternFill patternType="solid">
        <fgColor rgb="FFCCC1DA"/>
        <bgColor rgb="FFFFFFFF"/>
      </patternFill>
    </fill>
    <fill>
      <patternFill patternType="solid">
        <fgColor rgb="FFFFFFFF"/>
        <bgColor rgb="FFFFFFFF"/>
      </patternFill>
    </fill>
    <fill>
      <patternFill patternType="solid">
        <fgColor rgb="FFDBE5F2"/>
        <bgColor rgb="FFDBE5F2"/>
      </patternFill>
    </fill>
    <fill>
      <patternFill patternType="solid">
        <fgColor rgb="FF000000"/>
        <bgColor rgb="FFFFFFFF"/>
      </patternFill>
    </fill>
    <fill>
      <patternFill patternType="solid">
        <fgColor rgb="FFBFBFBF"/>
        <bgColor rgb="FF000000"/>
      </patternFill>
    </fill>
    <fill>
      <patternFill patternType="solid">
        <fgColor rgb="FFFFFFCC"/>
        <bgColor rgb="FF000000"/>
      </patternFill>
    </fill>
    <fill>
      <patternFill patternType="solid">
        <fgColor rgb="FFFFFFFF"/>
        <bgColor rgb="FF000000"/>
      </patternFill>
    </fill>
    <fill>
      <patternFill patternType="solid">
        <fgColor rgb="FFFCD5B6"/>
        <bgColor rgb="FFFFFFFF"/>
      </patternFill>
    </fill>
    <fill>
      <patternFill patternType="solid">
        <fgColor rgb="FFC3D69B"/>
        <bgColor rgb="FFFFFFFF"/>
      </patternFill>
    </fill>
    <fill>
      <patternFill patternType="solid">
        <fgColor rgb="FFD7E4BD"/>
        <bgColor rgb="FFFFFFFF"/>
      </patternFill>
    </fill>
    <fill>
      <patternFill patternType="solid">
        <fgColor rgb="FFB8CCE4"/>
        <bgColor rgb="FF000000"/>
      </patternFill>
    </fill>
    <fill>
      <patternFill patternType="solid">
        <fgColor rgb="FF595959"/>
        <bgColor rgb="FF000000"/>
      </patternFill>
    </fill>
    <fill>
      <patternFill patternType="solid">
        <fgColor rgb="FFFFFFCC"/>
        <bgColor rgb="FFFFFFFF"/>
      </patternFill>
    </fill>
    <fill>
      <patternFill patternType="solid">
        <fgColor rgb="FF96B3D8"/>
        <bgColor rgb="FFFFFFFF"/>
      </patternFill>
    </fill>
    <fill>
      <patternFill patternType="solid">
        <fgColor rgb="FF808080"/>
        <bgColor rgb="FFFFFFFF"/>
      </patternFill>
    </fill>
    <fill>
      <patternFill patternType="solid">
        <fgColor rgb="FFFF0000"/>
        <bgColor rgb="FF000000"/>
      </patternFill>
    </fill>
    <fill>
      <patternFill patternType="solid">
        <fgColor rgb="FFFFFF99"/>
        <bgColor rgb="FF000000"/>
      </patternFill>
    </fill>
    <fill>
      <patternFill patternType="solid">
        <fgColor rgb="FF17375E"/>
        <bgColor rgb="FFFFFFFF"/>
      </patternFill>
    </fill>
    <fill>
      <patternFill patternType="solid">
        <fgColor rgb="FF77943C"/>
        <bgColor rgb="FFFFFFFF"/>
      </patternFill>
    </fill>
    <fill>
      <patternFill patternType="solid">
        <fgColor rgb="FFE46C0A"/>
        <bgColor rgb="FFFFFFFF"/>
      </patternFill>
    </fill>
    <fill>
      <patternFill patternType="solid">
        <fgColor rgb="FFFFFF99"/>
        <bgColor rgb="FFFFFFFF"/>
      </patternFill>
    </fill>
    <fill>
      <patternFill patternType="solid">
        <fgColor rgb="FFDDD9C3"/>
        <bgColor rgb="FFFFFFFF"/>
      </patternFill>
    </fill>
    <fill>
      <patternFill patternType="solid">
        <fgColor rgb="FFD3CDB1"/>
        <bgColor rgb="FF000000"/>
      </patternFill>
    </fill>
    <fill>
      <patternFill patternType="solid">
        <fgColor rgb="FFFFFFCC"/>
        <bgColor rgb="FFFFFFCC"/>
      </patternFill>
    </fill>
    <fill>
      <patternFill patternType="solid">
        <fgColor rgb="FF1F497D"/>
        <bgColor rgb="FFFFFFFF"/>
      </patternFill>
    </fill>
    <fill>
      <patternFill patternType="solid">
        <fgColor rgb="FFFFCCCC"/>
        <bgColor rgb="FFFFFFFF"/>
      </patternFill>
    </fill>
    <fill>
      <patternFill patternType="gray125">
        <fgColor rgb="FF558ED5"/>
        <bgColor rgb="FFFFFFCC"/>
      </patternFill>
    </fill>
    <fill>
      <patternFill patternType="solid">
        <fgColor rgb="FF953735"/>
        <bgColor rgb="FFFFFFFF"/>
      </patternFill>
    </fill>
    <fill>
      <patternFill patternType="solid">
        <fgColor rgb="FFBFBFBF"/>
        <bgColor rgb="FFFFFFFF"/>
      </patternFill>
    </fill>
    <fill>
      <patternFill patternType="solid">
        <fgColor rgb="FF9BBB59"/>
        <bgColor rgb="FFFFFFFF"/>
      </patternFill>
    </fill>
    <fill>
      <patternFill patternType="solid">
        <fgColor rgb="FF4F81BD"/>
        <bgColor rgb="FFFFFFFF"/>
      </patternFill>
    </fill>
    <fill>
      <patternFill patternType="solid">
        <fgColor rgb="FFFF0000"/>
        <bgColor rgb="FFFFFFFF"/>
      </patternFill>
    </fill>
    <fill>
      <patternFill patternType="solid">
        <fgColor rgb="FF8064A2"/>
        <bgColor rgb="FFFFFFFF"/>
      </patternFill>
    </fill>
    <fill>
      <patternFill patternType="solid">
        <fgColor rgb="FFE6E0ED"/>
        <bgColor rgb="FFFFFFFF"/>
      </patternFill>
    </fill>
    <fill>
      <patternFill patternType="solid">
        <fgColor rgb="FFF79646"/>
        <bgColor rgb="FFFFFFFF"/>
      </patternFill>
    </fill>
    <fill>
      <patternFill patternType="solid">
        <fgColor rgb="FFC4BE98"/>
        <bgColor rgb="FFFFFFFF"/>
      </patternFill>
    </fill>
    <fill>
      <patternFill patternType="solid">
        <fgColor rgb="FFDBE5F2"/>
        <bgColor rgb="FFFFFFFF"/>
      </patternFill>
    </fill>
    <fill>
      <patternFill patternType="solid">
        <fgColor rgb="FFFABF8F"/>
        <bgColor rgb="FF000000"/>
      </patternFill>
    </fill>
    <fill>
      <patternFill patternType="solid">
        <fgColor rgb="FFDBEFF4"/>
        <bgColor rgb="FFFFFFFF"/>
      </patternFill>
    </fill>
    <fill>
      <patternFill patternType="solid">
        <fgColor rgb="FFB6DEE8"/>
        <bgColor rgb="FFFFFFFF"/>
      </patternFill>
    </fill>
    <fill>
      <patternFill patternType="solid">
        <fgColor rgb="FF254061"/>
        <bgColor rgb="FFFFFFFF"/>
      </patternFill>
    </fill>
    <fill>
      <patternFill patternType="solid">
        <fgColor rgb="FFEEECE1"/>
        <bgColor rgb="FF000000"/>
      </patternFill>
    </fill>
    <fill>
      <patternFill patternType="solid">
        <fgColor rgb="FF808080"/>
        <bgColor rgb="FF000000"/>
      </patternFill>
    </fill>
    <fill>
      <patternFill patternType="solid">
        <fgColor rgb="FFE6B9B8"/>
        <bgColor rgb="FFDBE5F2"/>
      </patternFill>
    </fill>
    <fill>
      <patternFill patternType="solid">
        <fgColor rgb="FFE6B9B8"/>
        <bgColor rgb="FFFFFFFF"/>
      </patternFill>
    </fill>
    <fill>
      <patternFill patternType="solid">
        <fgColor rgb="FFCCCCFF"/>
        <bgColor rgb="FFFFFFFF"/>
      </patternFill>
    </fill>
    <fill>
      <patternFill patternType="solid">
        <fgColor rgb="FF948A54"/>
        <bgColor rgb="FFFFFFFF"/>
      </patternFill>
    </fill>
    <fill>
      <patternFill patternType="solid">
        <fgColor rgb="FF93CEDD"/>
        <bgColor rgb="FFFFFFFF"/>
      </patternFill>
    </fill>
    <fill>
      <patternFill patternType="solid">
        <fgColor rgb="FF31869B"/>
        <bgColor rgb="FFFFFFFF"/>
      </patternFill>
    </fill>
    <fill>
      <patternFill patternType="solid">
        <fgColor rgb="FF8DB4E3"/>
        <bgColor rgb="FFFFFFFF"/>
      </patternFill>
    </fill>
    <fill>
      <patternFill patternType="solid">
        <fgColor rgb="FF96B3D8"/>
        <bgColor rgb="FFDBE5F2"/>
      </patternFill>
    </fill>
    <fill>
      <patternFill patternType="solid">
        <fgColor rgb="FFF2DBDB"/>
        <bgColor rgb="FFFFFFFF"/>
      </patternFill>
    </fill>
    <fill>
      <patternFill patternType="solid">
        <fgColor rgb="FF4B462A"/>
        <bgColor rgb="FFFFFFFF"/>
      </patternFill>
    </fill>
    <fill>
      <patternFill patternType="solid">
        <fgColor rgb="FF4F81BD"/>
        <bgColor rgb="FF4F81BD"/>
      </patternFill>
    </fill>
    <fill>
      <patternFill patternType="solid">
        <fgColor rgb="FFD9D9D9"/>
        <bgColor rgb="FFDBE5F2"/>
      </patternFill>
    </fill>
    <fill>
      <patternFill patternType="solid">
        <fgColor rgb="FFFDE9D9"/>
        <bgColor rgb="FF000000"/>
      </patternFill>
    </fill>
    <fill>
      <patternFill patternType="solid">
        <fgColor rgb="FFF79747"/>
        <bgColor rgb="FFFFFFFF"/>
      </patternFill>
    </fill>
    <fill>
      <patternFill patternType="solid">
        <fgColor rgb="FFFCD5B4"/>
        <bgColor rgb="FF000000"/>
      </patternFill>
    </fill>
    <fill>
      <patternFill patternType="solid">
        <fgColor rgb="FFFFCCCC"/>
        <bgColor rgb="FFFFCCCC"/>
      </patternFill>
    </fill>
  </fills>
  <borders count="323">
    <border>
      <left/>
      <right/>
      <top/>
      <bottom/>
      <diagonal/>
    </border>
    <border>
      <left style="thin">
        <color rgb="FFA6A6A6"/>
      </left>
      <right style="thin">
        <color rgb="FFA6A6A6"/>
      </right>
      <top/>
      <bottom/>
      <diagonal/>
    </border>
    <border>
      <left/>
      <right/>
      <top style="thin">
        <color rgb="FF000000"/>
      </top>
      <bottom style="medium">
        <color rgb="FF000000"/>
      </bottom>
      <diagonal/>
    </border>
    <border>
      <left style="medium">
        <color rgb="FF000000"/>
      </left>
      <right style="thin">
        <color rgb="FFBFBFBF"/>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BFBFBF"/>
      </left>
      <right/>
      <top style="thin">
        <color rgb="FFBFBFBF"/>
      </top>
      <bottom/>
      <diagonal/>
    </border>
    <border>
      <left style="medium">
        <color rgb="FF000000"/>
      </left>
      <right/>
      <top style="thin">
        <color rgb="FFBFBFBF"/>
      </top>
      <bottom/>
      <diagonal/>
    </border>
    <border>
      <left style="thin">
        <color rgb="FFBFBFBF"/>
      </left>
      <right style="medium">
        <color rgb="FFFF0000"/>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000000"/>
      </bottom>
      <diagonal/>
    </border>
    <border>
      <left style="medium">
        <color rgb="FF000000"/>
      </left>
      <right/>
      <top style="medium">
        <color rgb="FF000000"/>
      </top>
      <bottom style="medium">
        <color rgb="FF000000"/>
      </bottom>
      <diagonal/>
    </border>
    <border>
      <left style="thin">
        <color rgb="FFBFBFBF"/>
      </left>
      <right style="thin">
        <color rgb="FFBFBFBF"/>
      </right>
      <top style="medium">
        <color rgb="FF000000"/>
      </top>
      <bottom style="thin">
        <color rgb="FFBFBFBF"/>
      </bottom>
      <diagonal/>
    </border>
    <border>
      <left style="medium">
        <color rgb="FF000000"/>
      </left>
      <right style="thin">
        <color rgb="FFA6A6A6"/>
      </right>
      <top style="thin">
        <color rgb="FFA6A6A6"/>
      </top>
      <bottom style="thin">
        <color rgb="FFA6A6A6"/>
      </bottom>
      <diagonal/>
    </border>
    <border>
      <left style="medium">
        <color rgb="FF000000"/>
      </left>
      <right style="medium">
        <color rgb="FF000000"/>
      </right>
      <top style="medium">
        <color rgb="FF000000"/>
      </top>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BFBFBF"/>
      </left>
      <right style="thin">
        <color rgb="FFBFBFBF"/>
      </right>
      <top style="medium">
        <color rgb="FF000000"/>
      </top>
      <bottom style="medium">
        <color rgb="FF000000"/>
      </bottom>
      <diagonal/>
    </border>
    <border>
      <left style="thin">
        <color rgb="FFBFBFBF"/>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medium">
        <color rgb="FF000000"/>
      </right>
      <top style="thin">
        <color rgb="FFBFBFBF"/>
      </top>
      <bottom style="thin">
        <color rgb="FFBFBFBF"/>
      </bottom>
      <diagonal/>
    </border>
    <border>
      <left style="thin">
        <color rgb="FFBFBFBF"/>
      </left>
      <right/>
      <top style="thin">
        <color rgb="FFBFBFBF"/>
      </top>
      <bottom style="medium">
        <color rgb="FF000000"/>
      </bottom>
      <diagonal/>
    </border>
    <border>
      <left/>
      <right/>
      <top style="thin">
        <color rgb="FFBFBFBF"/>
      </top>
      <bottom style="medium">
        <color rgb="FF000000"/>
      </bottom>
      <diagonal/>
    </border>
    <border>
      <left/>
      <right style="medium">
        <color rgb="FF000000"/>
      </right>
      <top style="thin">
        <color rgb="FFBFBFBF"/>
      </top>
      <bottom style="medium">
        <color rgb="FF000000"/>
      </bottom>
      <diagonal/>
    </border>
    <border>
      <left style="medium">
        <color rgb="FF000000"/>
      </left>
      <right style="thin">
        <color rgb="FFBFBFBF"/>
      </right>
      <top style="medium">
        <color rgb="FF000000"/>
      </top>
      <bottom style="mediumDashed">
        <color rgb="FF000000"/>
      </bottom>
      <diagonal/>
    </border>
    <border>
      <left style="thin">
        <color rgb="FFBFBFBF"/>
      </left>
      <right style="thin">
        <color rgb="FFBFBFBF"/>
      </right>
      <top style="medium">
        <color rgb="FF000000"/>
      </top>
      <bottom style="mediumDashed">
        <color rgb="FF000000"/>
      </bottom>
      <diagonal/>
    </border>
    <border>
      <left style="thin">
        <color rgb="FFBFBFBF"/>
      </left>
      <right style="medium">
        <color rgb="FF000000"/>
      </right>
      <top style="medium">
        <color rgb="FF000000"/>
      </top>
      <bottom style="mediumDashed">
        <color rgb="FF000000"/>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right/>
      <top/>
      <bottom style="thin">
        <color rgb="FFBFBFBF"/>
      </bottom>
      <diagonal/>
    </border>
    <border>
      <left/>
      <right style="medium">
        <color rgb="FF000000"/>
      </right>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BFBFBF"/>
      </right>
      <top/>
      <bottom/>
      <diagonal/>
    </border>
    <border>
      <left style="thin">
        <color rgb="FFBFBFBF"/>
      </left>
      <right/>
      <top/>
      <bottom/>
      <diagonal/>
    </border>
    <border>
      <left style="thin">
        <color rgb="FFBFBFBF"/>
      </left>
      <right style="thin">
        <color rgb="FFBFBFBF"/>
      </right>
      <top/>
      <bottom style="thin">
        <color rgb="FF000000"/>
      </bottom>
      <diagonal/>
    </border>
    <border>
      <left/>
      <right/>
      <top/>
      <bottom style="thin">
        <color rgb="FF000000"/>
      </bottom>
      <diagonal/>
    </border>
    <border>
      <left style="medium">
        <color rgb="FF000000"/>
      </left>
      <right style="thin">
        <color rgb="FFBFBFBF"/>
      </right>
      <top/>
      <bottom/>
      <diagonal/>
    </border>
    <border>
      <left style="medium">
        <color rgb="FF000000"/>
      </left>
      <right style="thin">
        <color rgb="FFBFBFBF"/>
      </right>
      <top/>
      <bottom style="thin">
        <color rgb="FF000000"/>
      </bottom>
      <diagonal/>
    </border>
    <border>
      <left style="thin">
        <color rgb="FFBFBFBF"/>
      </left>
      <right/>
      <top/>
      <bottom style="thin">
        <color rgb="FF000000"/>
      </bottom>
      <diagonal/>
    </border>
    <border>
      <left/>
      <right style="medium">
        <color rgb="FF000000"/>
      </right>
      <top/>
      <bottom style="thin">
        <color rgb="FF000000"/>
      </bottom>
      <diagonal/>
    </border>
    <border>
      <left style="medium">
        <color rgb="FF000000"/>
      </left>
      <right style="thin">
        <color rgb="FFBFBFBF"/>
      </right>
      <top/>
      <bottom style="mediumDashed">
        <color rgb="FFA6A6A6"/>
      </bottom>
      <diagonal/>
    </border>
    <border>
      <left style="thin">
        <color rgb="FFBFBFBF"/>
      </left>
      <right style="thin">
        <color rgb="FFBFBFBF"/>
      </right>
      <top/>
      <bottom style="mediumDashed">
        <color rgb="FFA6A6A6"/>
      </bottom>
      <diagonal/>
    </border>
    <border>
      <left style="thin">
        <color rgb="FFBFBFBF"/>
      </left>
      <right/>
      <top/>
      <bottom style="mediumDashed">
        <color rgb="FFA6A6A6"/>
      </bottom>
      <diagonal/>
    </border>
    <border>
      <left/>
      <right/>
      <top/>
      <bottom style="mediumDashed">
        <color rgb="FFA6A6A6"/>
      </bottom>
      <diagonal/>
    </border>
    <border>
      <left/>
      <right style="medium">
        <color rgb="FF000000"/>
      </right>
      <top/>
      <bottom style="mediumDashed">
        <color rgb="FFA6A6A6"/>
      </bottom>
      <diagonal/>
    </border>
    <border>
      <left style="thin">
        <color rgb="FFBFBFBF"/>
      </left>
      <right/>
      <top style="thin">
        <color rgb="FFBFBFBF"/>
      </top>
      <bottom style="thin">
        <color rgb="FF000000"/>
      </bottom>
      <diagonal/>
    </border>
    <border>
      <left style="thin">
        <color rgb="FFBFBFBF"/>
      </left>
      <right style="thin">
        <color rgb="FFBFBFBF"/>
      </right>
      <top/>
      <bottom style="medium">
        <color rgb="FF000000"/>
      </bottom>
      <diagonal/>
    </border>
    <border>
      <left/>
      <right style="medium">
        <color rgb="FF000000"/>
      </right>
      <top/>
      <bottom style="medium">
        <color rgb="FF000000"/>
      </bottom>
      <diagonal/>
    </border>
    <border>
      <left style="medium">
        <color rgb="FF000000"/>
      </left>
      <right style="thin">
        <color rgb="FFBFBFBF"/>
      </right>
      <top/>
      <bottom style="thin">
        <color rgb="FFD9D9D9"/>
      </bottom>
      <diagonal/>
    </border>
    <border>
      <left/>
      <right/>
      <top/>
      <bottom style="thin">
        <color rgb="FFD9D9D9"/>
      </bottom>
      <diagonal/>
    </border>
    <border>
      <left/>
      <right style="medium">
        <color rgb="FF000000"/>
      </right>
      <top/>
      <bottom style="thin">
        <color rgb="FFD9D9D9"/>
      </bottom>
      <diagonal/>
    </border>
    <border>
      <left style="thin">
        <color rgb="FFBFBFBF"/>
      </left>
      <right/>
      <top/>
      <bottom style="medium">
        <color rgb="FF000000"/>
      </bottom>
      <diagonal/>
    </border>
    <border>
      <left style="medium">
        <color rgb="FF000000"/>
      </left>
      <right style="thin">
        <color rgb="FFBFBFBF"/>
      </right>
      <top style="mediumDashed">
        <color rgb="FF000000"/>
      </top>
      <bottom style="thin">
        <color rgb="FF000000"/>
      </bottom>
      <diagonal/>
    </border>
    <border>
      <left style="thin">
        <color rgb="FFBFBFBF"/>
      </left>
      <right style="thin">
        <color rgb="FFBFBFBF"/>
      </right>
      <top style="mediumDashed">
        <color rgb="FF000000"/>
      </top>
      <bottom style="thin">
        <color rgb="FF000000"/>
      </bottom>
      <diagonal/>
    </border>
    <border>
      <left style="thin">
        <color rgb="FFBFBFBF"/>
      </left>
      <right/>
      <top style="mediumDashed">
        <color rgb="FF000000"/>
      </top>
      <bottom style="thin">
        <color rgb="FF000000"/>
      </bottom>
      <diagonal/>
    </border>
    <border>
      <left/>
      <right/>
      <top style="mediumDashed">
        <color rgb="FF000000"/>
      </top>
      <bottom style="thin">
        <color rgb="FF000000"/>
      </bottom>
      <diagonal/>
    </border>
    <border>
      <left/>
      <right style="medium">
        <color rgb="FF000000"/>
      </right>
      <top style="mediumDashed">
        <color rgb="FF000000"/>
      </top>
      <bottom style="thin">
        <color rgb="FF000000"/>
      </bottom>
      <diagonal/>
    </border>
    <border>
      <left style="medium">
        <color rgb="FF000000"/>
      </left>
      <right style="thin">
        <color rgb="FFBFBFBF"/>
      </right>
      <top style="thin">
        <color rgb="FF000000"/>
      </top>
      <bottom style="thin">
        <color rgb="FF000000"/>
      </bottom>
      <diagonal/>
    </border>
    <border>
      <left style="thin">
        <color rgb="FFBFBFBF"/>
      </left>
      <right style="thin">
        <color rgb="FFBFBFBF"/>
      </right>
      <top style="thin">
        <color rgb="FF000000"/>
      </top>
      <bottom style="thin">
        <color rgb="FF000000"/>
      </bottom>
      <diagonal/>
    </border>
    <border>
      <left style="thin">
        <color rgb="FFBFBFBF"/>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BFBFBF"/>
      </left>
      <right style="medium">
        <color rgb="FF000000"/>
      </right>
      <top/>
      <bottom style="thin">
        <color rgb="FFBFBFBF"/>
      </bottom>
      <diagonal/>
    </border>
    <border>
      <left style="thin">
        <color rgb="FFBFBFBF"/>
      </left>
      <right style="medium">
        <color rgb="FF000000"/>
      </right>
      <top style="thin">
        <color rgb="FFBFBFBF"/>
      </top>
      <bottom style="thin">
        <color rgb="FFBFBFBF"/>
      </bottom>
      <diagonal/>
    </border>
    <border>
      <left style="medium">
        <color rgb="FF000000"/>
      </left>
      <right style="thin">
        <color rgb="FFBFBFBF"/>
      </right>
      <top style="thin">
        <color rgb="FFBFBFBF"/>
      </top>
      <bottom style="hair">
        <color rgb="FF000000"/>
      </bottom>
      <diagonal/>
    </border>
    <border>
      <left style="thin">
        <color rgb="FFBFBFBF"/>
      </left>
      <right style="thin">
        <color rgb="FFBFBFBF"/>
      </right>
      <top style="thin">
        <color rgb="FFBFBFBF"/>
      </top>
      <bottom style="hair">
        <color rgb="FF000000"/>
      </bottom>
      <diagonal/>
    </border>
    <border>
      <left style="thin">
        <color rgb="FFBFBFBF"/>
      </left>
      <right style="medium">
        <color rgb="FF000000"/>
      </right>
      <top style="thin">
        <color rgb="FFBFBFBF"/>
      </top>
      <bottom style="hair">
        <color rgb="FF000000"/>
      </bottom>
      <diagonal/>
    </border>
    <border>
      <left style="thin">
        <color rgb="FFBFBFBF"/>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thin">
        <color rgb="FFBFBFBF"/>
      </left>
      <right/>
      <top style="medium">
        <color rgb="FF000000"/>
      </top>
      <bottom style="medium">
        <color rgb="FF000000"/>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style="medium">
        <color rgb="FF000000"/>
      </right>
      <top style="thin">
        <color rgb="FFBFBFBF"/>
      </top>
      <bottom/>
      <diagonal/>
    </border>
    <border>
      <left style="thin">
        <color rgb="FFBFBFBF"/>
      </left>
      <right style="medium">
        <color rgb="FF000000"/>
      </right>
      <top style="thin">
        <color rgb="FFBFBFBF"/>
      </top>
      <bottom style="medium">
        <color rgb="FF000000"/>
      </bottom>
      <diagonal/>
    </border>
    <border>
      <left style="thin">
        <color rgb="FF000000"/>
      </left>
      <right style="thin">
        <color rgb="FFBFBFBF"/>
      </right>
      <top style="medium">
        <color rgb="FF000000"/>
      </top>
      <bottom style="thin">
        <color rgb="FFBFBFBF"/>
      </bottom>
      <diagonal/>
    </border>
    <border>
      <left style="thin">
        <color rgb="FFBFBFBF"/>
      </left>
      <right style="medium">
        <color rgb="FF000000"/>
      </right>
      <top style="medium">
        <color rgb="FF000000"/>
      </top>
      <bottom style="thin">
        <color rgb="FFBFBFBF"/>
      </bottom>
      <diagonal/>
    </border>
    <border>
      <left style="thin">
        <color rgb="FF000000"/>
      </left>
      <right style="thin">
        <color rgb="FFBFBFBF"/>
      </right>
      <top style="thin">
        <color rgb="FFBFBFBF"/>
      </top>
      <bottom style="thin">
        <color rgb="FFBFBFBF"/>
      </bottom>
      <diagonal/>
    </border>
    <border>
      <left style="thin">
        <color rgb="FF000000"/>
      </left>
      <right style="thin">
        <color rgb="FFBFBFBF"/>
      </right>
      <top style="thin">
        <color rgb="FFBFBFBF"/>
      </top>
      <bottom style="medium">
        <color rgb="FF000000"/>
      </bottom>
      <diagonal/>
    </border>
    <border>
      <left/>
      <right style="thin">
        <color rgb="FFBFBFBF"/>
      </right>
      <top style="medium">
        <color rgb="FF000000"/>
      </top>
      <bottom style="thin">
        <color rgb="FFBFBFBF"/>
      </bottom>
      <diagonal/>
    </border>
    <border>
      <left style="thin">
        <color rgb="FFBFBFBF"/>
      </left>
      <right style="thin">
        <color rgb="FF000000"/>
      </right>
      <top style="medium">
        <color rgb="FF000000"/>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000000"/>
      </right>
      <top style="thin">
        <color rgb="FFBFBFBF"/>
      </top>
      <bottom style="thin">
        <color rgb="FFBFBFBF"/>
      </bottom>
      <diagonal/>
    </border>
    <border>
      <left/>
      <right style="thin">
        <color rgb="FFBFBFBF"/>
      </right>
      <top style="thin">
        <color rgb="FFBFBFBF"/>
      </top>
      <bottom style="medium">
        <color rgb="FF000000"/>
      </bottom>
      <diagonal/>
    </border>
    <border>
      <left style="thin">
        <color rgb="FFBFBFBF"/>
      </left>
      <right style="thin">
        <color rgb="FF000000"/>
      </right>
      <top style="thin">
        <color rgb="FFBFBFBF"/>
      </top>
      <bottom style="medium">
        <color rgb="FF000000"/>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medium">
        <color rgb="FF000000"/>
      </right>
      <top style="thin">
        <color rgb="FFA6A6A6"/>
      </top>
      <bottom style="thin">
        <color rgb="FFA6A6A6"/>
      </bottom>
      <diagonal/>
    </border>
    <border>
      <left/>
      <right style="thin">
        <color rgb="FFA6A6A6"/>
      </right>
      <top style="thin">
        <color rgb="FFA6A6A6"/>
      </top>
      <bottom style="medium">
        <color rgb="FF000000"/>
      </bottom>
      <diagonal/>
    </border>
    <border>
      <left style="thin">
        <color rgb="FFA6A6A6"/>
      </left>
      <right style="thin">
        <color rgb="FFA6A6A6"/>
      </right>
      <top style="thin">
        <color rgb="FFA6A6A6"/>
      </top>
      <bottom style="medium">
        <color rgb="FF000000"/>
      </bottom>
      <diagonal/>
    </border>
    <border>
      <left style="thin">
        <color rgb="FFA6A6A6"/>
      </left>
      <right style="medium">
        <color rgb="FF000000"/>
      </right>
      <top style="thin">
        <color rgb="FFA6A6A6"/>
      </top>
      <bottom style="medium">
        <color rgb="FF000000"/>
      </bottom>
      <diagonal/>
    </border>
    <border>
      <left style="medium">
        <color rgb="FF000000"/>
      </left>
      <right style="thin">
        <color rgb="FFA6A6A6"/>
      </right>
      <top style="medium">
        <color rgb="FF000000"/>
      </top>
      <bottom style="thin">
        <color rgb="FFA6A6A6"/>
      </bottom>
      <diagonal/>
    </border>
    <border>
      <left style="thin">
        <color rgb="FFA6A6A6"/>
      </left>
      <right style="thin">
        <color rgb="FFA6A6A6"/>
      </right>
      <top style="medium">
        <color rgb="FF000000"/>
      </top>
      <bottom style="thin">
        <color rgb="FFA6A6A6"/>
      </bottom>
      <diagonal/>
    </border>
    <border>
      <left style="thin">
        <color rgb="FFA6A6A6"/>
      </left>
      <right style="thin">
        <color rgb="FF000000"/>
      </right>
      <top style="medium">
        <color rgb="FF000000"/>
      </top>
      <bottom style="thin">
        <color rgb="FFA6A6A6"/>
      </bottom>
      <diagonal/>
    </border>
    <border>
      <left/>
      <right style="thin">
        <color rgb="FFA6A6A6"/>
      </right>
      <top style="medium">
        <color rgb="FF000000"/>
      </top>
      <bottom style="thin">
        <color rgb="FFA6A6A6"/>
      </bottom>
      <diagonal/>
    </border>
    <border>
      <left style="thin">
        <color rgb="FFA6A6A6"/>
      </left>
      <right style="medium">
        <color rgb="FF000000"/>
      </right>
      <top style="medium">
        <color rgb="FF000000"/>
      </top>
      <bottom style="thin">
        <color rgb="FFA6A6A6"/>
      </bottom>
      <diagonal/>
    </border>
    <border>
      <left style="medium">
        <color rgb="FF000000"/>
      </left>
      <right style="thin">
        <color rgb="FFA6A6A6"/>
      </right>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rgb="FFA6A6A6"/>
      </left>
      <right style="medium">
        <color rgb="FF000000"/>
      </right>
      <top/>
      <bottom style="thin">
        <color rgb="FFA6A6A6"/>
      </bottom>
      <diagonal/>
    </border>
    <border>
      <left style="thin">
        <color rgb="FFA6A6A6"/>
      </left>
      <right style="thin">
        <color rgb="FF000000"/>
      </right>
      <top style="thin">
        <color rgb="FFA6A6A6"/>
      </top>
      <bottom style="thin">
        <color rgb="FFA6A6A6"/>
      </bottom>
      <diagonal/>
    </border>
    <border>
      <left style="medium">
        <color rgb="FF000000"/>
      </left>
      <right style="thin">
        <color rgb="FFA6A6A6"/>
      </right>
      <top style="thin">
        <color rgb="FFA6A6A6"/>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thin">
        <color rgb="FFA6A6A6"/>
      </right>
      <top style="thin">
        <color rgb="FFA6A6A6"/>
      </top>
      <bottom style="thin">
        <color rgb="FF000000"/>
      </bottom>
      <diagonal/>
    </border>
    <border>
      <left style="thin">
        <color rgb="FFA6A6A6"/>
      </left>
      <right style="thin">
        <color rgb="FF000000"/>
      </right>
      <top style="thin">
        <color rgb="FFA6A6A6"/>
      </top>
      <bottom style="thin">
        <color rgb="FF000000"/>
      </bottom>
      <diagonal/>
    </border>
    <border>
      <left/>
      <right style="thin">
        <color rgb="FFA6A6A6"/>
      </right>
      <top style="thin">
        <color rgb="FFA6A6A6"/>
      </top>
      <bottom style="thin">
        <color rgb="FF000000"/>
      </bottom>
      <diagonal/>
    </border>
    <border>
      <left style="thin">
        <color rgb="FFA6A6A6"/>
      </left>
      <right style="thin">
        <color rgb="FFA6A6A6"/>
      </right>
      <top style="thin">
        <color rgb="FFA6A6A6"/>
      </top>
      <bottom style="thin">
        <color rgb="FF000000"/>
      </bottom>
      <diagonal/>
    </border>
    <border>
      <left style="thin">
        <color rgb="FFA6A6A6"/>
      </left>
      <right style="medium">
        <color rgb="FF000000"/>
      </right>
      <top style="thin">
        <color rgb="FFA6A6A6"/>
      </top>
      <bottom style="thin">
        <color rgb="FF000000"/>
      </bottom>
      <diagonal/>
    </border>
    <border>
      <left/>
      <right/>
      <top style="medium">
        <color rgb="FF000000"/>
      </top>
      <bottom/>
      <diagonal/>
    </border>
    <border>
      <left style="thin">
        <color rgb="FFA6A6A6"/>
      </left>
      <right/>
      <top style="thin">
        <color rgb="FFA6A6A6"/>
      </top>
      <bottom style="thin">
        <color rgb="FFA6A6A6"/>
      </bottom>
      <diagonal/>
    </border>
    <border>
      <left style="thin">
        <color rgb="FF000000"/>
      </left>
      <right style="thin">
        <color rgb="FFA6A6A6"/>
      </right>
      <top style="medium">
        <color rgb="FF000000"/>
      </top>
      <bottom style="thin">
        <color rgb="FFA6A6A6"/>
      </bottom>
      <diagonal/>
    </border>
    <border>
      <left style="thin">
        <color rgb="FF000000"/>
      </left>
      <right style="thin">
        <color rgb="FFA6A6A6"/>
      </right>
      <top style="thin">
        <color rgb="FFA6A6A6"/>
      </top>
      <bottom style="thin">
        <color rgb="FFA6A6A6"/>
      </bottom>
      <diagonal/>
    </border>
    <border>
      <left style="thin">
        <color rgb="FF000000"/>
      </left>
      <right style="thin">
        <color rgb="FFA6A6A6"/>
      </right>
      <top style="thin">
        <color rgb="FFA6A6A6"/>
      </top>
      <bottom style="medium">
        <color rgb="FF000000"/>
      </bottom>
      <diagonal/>
    </border>
    <border>
      <left style="thin">
        <color rgb="FFBFBFBF"/>
      </left>
      <right style="thin">
        <color rgb="FFBFBFBF"/>
      </right>
      <top style="thin">
        <color rgb="FF000000"/>
      </top>
      <bottom style="medium">
        <color rgb="FF000000"/>
      </bottom>
      <diagonal/>
    </border>
    <border>
      <left style="medium">
        <color rgb="FF000000"/>
      </left>
      <right/>
      <top/>
      <bottom style="thin">
        <color rgb="FFA6A6A6"/>
      </bottom>
      <diagonal/>
    </border>
    <border>
      <left style="medium">
        <color rgb="FF000000"/>
      </left>
      <right style="thin">
        <color rgb="FFA6A6A6"/>
      </right>
      <top/>
      <bottom style="thin">
        <color rgb="FF000000"/>
      </bottom>
      <diagonal/>
    </border>
    <border>
      <left/>
      <right style="thin">
        <color rgb="FFA6A6A6"/>
      </right>
      <top/>
      <bottom style="thin">
        <color rgb="FF000000"/>
      </bottom>
      <diagonal/>
    </border>
    <border>
      <left style="thin">
        <color rgb="FFA6A6A6"/>
      </left>
      <right style="thin">
        <color rgb="FFA6A6A6"/>
      </right>
      <top/>
      <bottom style="thin">
        <color rgb="FF000000"/>
      </bottom>
      <diagonal/>
    </border>
    <border>
      <left style="medium">
        <color rgb="FF000000"/>
      </left>
      <right/>
      <top style="thin">
        <color rgb="FF000000"/>
      </top>
      <bottom style="medium">
        <color rgb="FF000000"/>
      </bottom>
      <diagonal/>
    </border>
    <border>
      <left/>
      <right style="thin">
        <color rgb="FFA6A6A6"/>
      </right>
      <top style="thin">
        <color rgb="FFA6A6A6"/>
      </top>
      <bottom/>
      <diagonal/>
    </border>
    <border>
      <left/>
      <right style="medium">
        <color rgb="FF000000"/>
      </right>
      <top style="thin">
        <color rgb="FFBFBFBF"/>
      </top>
      <bottom style="thin">
        <color rgb="FF000000"/>
      </bottom>
      <diagonal/>
    </border>
    <border>
      <left style="medium">
        <color rgb="FF000000"/>
      </left>
      <right/>
      <top style="thin">
        <color rgb="FFA6A6A6"/>
      </top>
      <bottom style="thin">
        <color rgb="FF000000"/>
      </bottom>
      <diagonal/>
    </border>
    <border>
      <left style="medium">
        <color rgb="FF000000"/>
      </left>
      <right style="thin">
        <color rgb="FFA6A6A6"/>
      </right>
      <top/>
      <bottom style="medium">
        <color rgb="FF000000"/>
      </bottom>
      <diagonal/>
    </border>
    <border>
      <left style="thin">
        <color rgb="FFA6A6A6"/>
      </left>
      <right style="thin">
        <color rgb="FFA6A6A6"/>
      </right>
      <top/>
      <bottom style="medium">
        <color rgb="FF000000"/>
      </bottom>
      <diagonal/>
    </border>
    <border>
      <left style="thin">
        <color rgb="FFA6A6A6"/>
      </left>
      <right style="medium">
        <color rgb="FF000000"/>
      </right>
      <top/>
      <bottom style="medium">
        <color rgb="FF000000"/>
      </bottom>
      <diagonal/>
    </border>
    <border>
      <left style="medium">
        <color rgb="FF000000"/>
      </left>
      <right/>
      <top style="medium">
        <color rgb="FF000000"/>
      </top>
      <bottom style="thin">
        <color rgb="FFBFBFBF"/>
      </bottom>
      <diagonal/>
    </border>
    <border>
      <left/>
      <right style="medium">
        <color rgb="FF000000"/>
      </right>
      <top style="medium">
        <color rgb="FF000000"/>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000000"/>
      </bottom>
      <diagonal/>
    </border>
    <border>
      <left style="medium">
        <color rgb="FF000000"/>
      </left>
      <right/>
      <top style="thin">
        <color rgb="FFBFBFBF"/>
      </top>
      <bottom style="medium">
        <color rgb="FF000000"/>
      </bottom>
      <diagonal/>
    </border>
    <border>
      <left/>
      <right style="medium">
        <color rgb="FF000000"/>
      </right>
      <top style="thin">
        <color rgb="FFBFBFBF"/>
      </top>
      <bottom/>
      <diagonal/>
    </border>
    <border>
      <left style="medium">
        <color rgb="FF000000"/>
      </left>
      <right style="thin">
        <color rgb="FFBFBFBF"/>
      </right>
      <top style="thin">
        <color rgb="FFBFBFBF"/>
      </top>
      <bottom style="thin">
        <color rgb="FF000000"/>
      </bottom>
      <diagonal/>
    </border>
    <border>
      <left style="thin">
        <color rgb="FFBFBFBF"/>
      </left>
      <right style="thin">
        <color rgb="FFBFBFBF"/>
      </right>
      <top style="thin">
        <color rgb="FFBFBFBF"/>
      </top>
      <bottom style="thin">
        <color rgb="FF000000"/>
      </bottom>
      <diagonal/>
    </border>
    <border>
      <left style="thin">
        <color rgb="FFBFBFBF"/>
      </left>
      <right/>
      <top style="medium">
        <color rgb="FF000000"/>
      </top>
      <bottom style="thin">
        <color rgb="FFBFBFBF"/>
      </bottom>
      <diagonal/>
    </border>
    <border>
      <left style="thin">
        <color rgb="FF000000"/>
      </left>
      <right style="thin">
        <color rgb="FFBFBFBF"/>
      </right>
      <top style="thin">
        <color rgb="FFBFBFBF"/>
      </top>
      <bottom style="thin">
        <color rgb="FF000000"/>
      </bottom>
      <diagonal/>
    </border>
    <border>
      <left style="thin">
        <color rgb="FFBFBFBF"/>
      </left>
      <right style="thin">
        <color rgb="FF000000"/>
      </right>
      <top style="thin">
        <color rgb="FFBFBFBF"/>
      </top>
      <bottom/>
      <diagonal/>
    </border>
    <border>
      <left/>
      <right style="thin">
        <color rgb="FFBFBFBF"/>
      </right>
      <top style="thin">
        <color rgb="FFBFBFBF"/>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BFBFBF"/>
      </right>
      <top style="thin">
        <color rgb="FF000000"/>
      </top>
      <bottom style="medium">
        <color rgb="FF000000"/>
      </bottom>
      <diagonal/>
    </border>
    <border>
      <left style="thin">
        <color rgb="FFBFBFBF"/>
      </left>
      <right style="medium">
        <color rgb="FF000000"/>
      </right>
      <top style="thin">
        <color rgb="FF000000"/>
      </top>
      <bottom style="medium">
        <color rgb="FF000000"/>
      </bottom>
      <diagonal/>
    </border>
    <border>
      <left style="thin">
        <color rgb="FF000000"/>
      </left>
      <right style="thin">
        <color rgb="FFA6A6A6"/>
      </right>
      <top style="thin">
        <color rgb="FFA6A6A6"/>
      </top>
      <bottom style="thin">
        <color rgb="FF000000"/>
      </bottom>
      <diagonal/>
    </border>
    <border>
      <left style="thin">
        <color rgb="FF000000"/>
      </left>
      <right style="thin">
        <color rgb="FFA6A6A6"/>
      </right>
      <top/>
      <bottom style="medium">
        <color rgb="FF000000"/>
      </bottom>
      <diagonal/>
    </border>
    <border>
      <left style="thin">
        <color rgb="FFA6A6A6"/>
      </left>
      <right/>
      <top/>
      <bottom style="thin">
        <color rgb="FFA6A6A6"/>
      </bottom>
      <diagonal/>
    </border>
    <border>
      <left style="thin">
        <color rgb="FF000000"/>
      </left>
      <right style="thin">
        <color rgb="FFA6A6A6"/>
      </right>
      <top/>
      <bottom style="thin">
        <color rgb="FFA6A6A6"/>
      </bottom>
      <diagonal/>
    </border>
    <border>
      <left style="thin">
        <color rgb="FFA6A6A6"/>
      </left>
      <right/>
      <top/>
      <bottom style="medium">
        <color rgb="FF000000"/>
      </bottom>
      <diagonal/>
    </border>
    <border>
      <left style="thin">
        <color rgb="FF000000"/>
      </left>
      <right style="thin">
        <color rgb="FFA6A6A6"/>
      </right>
      <top/>
      <bottom style="thin">
        <color rgb="FF000000"/>
      </bottom>
      <diagonal/>
    </border>
    <border>
      <left style="medium">
        <color rgb="FF000000"/>
      </left>
      <right/>
      <top/>
      <bottom style="medium">
        <color rgb="FF000000"/>
      </bottom>
      <diagonal/>
    </border>
    <border>
      <left/>
      <right style="thin">
        <color rgb="FFBFBFBF"/>
      </right>
      <top/>
      <bottom style="thin">
        <color rgb="FFBFBFBF"/>
      </bottom>
      <diagonal/>
    </border>
    <border>
      <left style="medium">
        <color rgb="FF000000"/>
      </left>
      <right/>
      <top style="thin">
        <color rgb="FFA6A6A6"/>
      </top>
      <bottom style="thin">
        <color rgb="FFA6A6A6"/>
      </bottom>
      <diagonal/>
    </border>
    <border>
      <left style="medium">
        <color rgb="FF000000"/>
      </left>
      <right/>
      <top style="thin">
        <color rgb="FFA6A6A6"/>
      </top>
      <bottom style="medium">
        <color rgb="FF000000"/>
      </bottom>
      <diagonal/>
    </border>
    <border>
      <left style="thin">
        <color rgb="FF000000"/>
      </left>
      <right style="thin">
        <color rgb="FFD9D9D9"/>
      </right>
      <top style="thin">
        <color rgb="FFBFBFBF"/>
      </top>
      <bottom style="thin">
        <color rgb="FFBFBFBF"/>
      </bottom>
      <diagonal/>
    </border>
    <border>
      <left style="thin">
        <color rgb="FFD9D9D9"/>
      </left>
      <right/>
      <top style="thin">
        <color rgb="FFBFBFBF"/>
      </top>
      <bottom style="thin">
        <color rgb="FFBFBFBF"/>
      </bottom>
      <diagonal/>
    </border>
    <border>
      <left style="thin">
        <color rgb="FFD9D9D9"/>
      </left>
      <right style="thin">
        <color rgb="FFD9D9D9"/>
      </right>
      <top style="thin">
        <color rgb="FFBFBFBF"/>
      </top>
      <bottom style="thin">
        <color rgb="FFBFBFBF"/>
      </bottom>
      <diagonal/>
    </border>
    <border>
      <left style="thin">
        <color rgb="FF000000"/>
      </left>
      <right style="thin">
        <color rgb="FFD9D9D9"/>
      </right>
      <top style="thin">
        <color rgb="FFBFBFBF"/>
      </top>
      <bottom style="thin">
        <color rgb="FF000000"/>
      </bottom>
      <diagonal/>
    </border>
    <border>
      <left style="thin">
        <color rgb="FFD9D9D9"/>
      </left>
      <right/>
      <top style="thin">
        <color rgb="FFBFBFBF"/>
      </top>
      <bottom style="thin">
        <color rgb="FF000000"/>
      </bottom>
      <diagonal/>
    </border>
    <border>
      <left style="thin">
        <color rgb="FFD9D9D9"/>
      </left>
      <right style="thin">
        <color rgb="FFD9D9D9"/>
      </right>
      <top style="thin">
        <color rgb="FFBFBFBF"/>
      </top>
      <bottom style="thin">
        <color rgb="FF000000"/>
      </bottom>
      <diagonal/>
    </border>
    <border>
      <left style="thin">
        <color rgb="FF000000"/>
      </left>
      <right/>
      <top/>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bottom/>
      <diagonal/>
    </border>
    <border>
      <left style="medium">
        <color rgb="FF000000"/>
      </left>
      <right style="medium">
        <color rgb="FF000000"/>
      </right>
      <top style="thin">
        <color rgb="FFA6A6A6"/>
      </top>
      <bottom style="medium">
        <color rgb="FF000000"/>
      </bottom>
      <diagonal/>
    </border>
    <border>
      <left style="thin">
        <color rgb="FF000000"/>
      </left>
      <right/>
      <top/>
      <bottom style="medium">
        <color rgb="FF000000"/>
      </bottom>
      <diagonal/>
    </border>
    <border>
      <left/>
      <right style="thin">
        <color rgb="FFD9D9D9"/>
      </right>
      <top style="thin">
        <color rgb="FFBFBFBF"/>
      </top>
      <bottom style="thin">
        <color rgb="FFBFBFBF"/>
      </bottom>
      <diagonal/>
    </border>
    <border>
      <left/>
      <right style="thin">
        <color rgb="FFD9D9D9"/>
      </right>
      <top style="thin">
        <color rgb="FFBFBFBF"/>
      </top>
      <bottom style="thin">
        <color rgb="FF000000"/>
      </bottom>
      <diagonal/>
    </border>
    <border>
      <left/>
      <right style="thin">
        <color rgb="FF000000"/>
      </right>
      <top style="thin">
        <color rgb="FFBFBFBF"/>
      </top>
      <bottom style="thin">
        <color rgb="FFBFBFBF"/>
      </bottom>
      <diagonal/>
    </border>
    <border>
      <left/>
      <right style="thin">
        <color rgb="FF000000"/>
      </right>
      <top/>
      <bottom style="thin">
        <color rgb="FFBFBFBF"/>
      </bottom>
      <diagonal/>
    </border>
    <border>
      <left/>
      <right style="thin">
        <color rgb="FFD9D9D9"/>
      </right>
      <top/>
      <bottom style="thin">
        <color rgb="FFBFBFBF"/>
      </bottom>
      <diagonal/>
    </border>
    <border>
      <left style="thin">
        <color rgb="FFD9D9D9"/>
      </left>
      <right/>
      <top/>
      <bottom style="thin">
        <color rgb="FFBFBFBF"/>
      </bottom>
      <diagonal/>
    </border>
    <border>
      <left style="thin">
        <color rgb="FF000000"/>
      </left>
      <right style="thin">
        <color rgb="FFD9D9D9"/>
      </right>
      <top/>
      <bottom style="thin">
        <color rgb="FFBFBFBF"/>
      </bottom>
      <diagonal/>
    </border>
    <border>
      <left style="thin">
        <color rgb="FFD9D9D9"/>
      </left>
      <right style="thin">
        <color rgb="FFD9D9D9"/>
      </right>
      <top/>
      <bottom style="thin">
        <color rgb="FFBFBFBF"/>
      </bottom>
      <diagonal/>
    </border>
    <border>
      <left/>
      <right style="thin">
        <color rgb="FF000000"/>
      </right>
      <top style="thin">
        <color rgb="FFBFBFBF"/>
      </top>
      <bottom style="thin">
        <color rgb="FF000000"/>
      </bottom>
      <diagonal/>
    </border>
    <border>
      <left style="thin">
        <color rgb="FF000000"/>
      </left>
      <right style="thin">
        <color rgb="FFBFBFBF"/>
      </right>
      <top/>
      <bottom style="thin">
        <color rgb="FFBFBFBF"/>
      </bottom>
      <diagonal/>
    </border>
    <border>
      <left/>
      <right style="thin">
        <color rgb="FF000000"/>
      </right>
      <top style="medium">
        <color rgb="FF000000"/>
      </top>
      <bottom style="thin">
        <color rgb="FFBFBFBF"/>
      </bottom>
      <diagonal/>
    </border>
    <border>
      <left/>
      <right style="medium">
        <color rgb="FF000000"/>
      </right>
      <top/>
      <bottom style="thin">
        <color rgb="FFA6A6A6"/>
      </bottom>
      <diagonal/>
    </border>
    <border>
      <left/>
      <right style="medium">
        <color rgb="FF000000"/>
      </right>
      <top style="thin">
        <color rgb="FFA6A6A6"/>
      </top>
      <bottom style="thin">
        <color rgb="FFA6A6A6"/>
      </bottom>
      <diagonal/>
    </border>
    <border>
      <left/>
      <right style="medium">
        <color rgb="FF000000"/>
      </right>
      <top style="thin">
        <color rgb="FFA6A6A6"/>
      </top>
      <bottom style="medium">
        <color rgb="FF000000"/>
      </bottom>
      <diagonal/>
    </border>
    <border>
      <left/>
      <right style="medium">
        <color rgb="FF000000"/>
      </right>
      <top style="thin">
        <color rgb="FFA6A6A6"/>
      </top>
      <bottom style="thin">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thin">
        <color rgb="FFA6A6A6"/>
      </right>
      <top style="thin">
        <color rgb="FFA6A6A6"/>
      </top>
      <bottom/>
      <diagonal/>
    </border>
    <border>
      <left style="thin">
        <color rgb="FFA6A6A6"/>
      </left>
      <right style="thin">
        <color rgb="FFA6A6A6"/>
      </right>
      <top style="thin">
        <color rgb="FFA6A6A6"/>
      </top>
      <bottom/>
      <diagonal/>
    </border>
    <border>
      <left style="medium">
        <color rgb="FF000000"/>
      </left>
      <right/>
      <top style="medium">
        <color rgb="FF000000"/>
      </top>
      <bottom style="thin">
        <color rgb="FFA6A6A6"/>
      </bottom>
      <diagonal/>
    </border>
    <border>
      <left/>
      <right style="medium">
        <color rgb="FF000000"/>
      </right>
      <top style="medium">
        <color rgb="FF000000"/>
      </top>
      <bottom style="thin">
        <color rgb="FF000000"/>
      </bottom>
      <diagonal/>
    </border>
    <border>
      <left style="thin">
        <color rgb="FFA6A6A6"/>
      </left>
      <right/>
      <top/>
      <bottom style="thin">
        <color rgb="FF000000"/>
      </bottom>
      <diagonal/>
    </border>
    <border>
      <left style="thin">
        <color rgb="FFA6A6A6"/>
      </left>
      <right style="medium">
        <color rgb="FF000000"/>
      </right>
      <top/>
      <bottom style="thin">
        <color rgb="FF000000"/>
      </bottom>
      <diagonal/>
    </border>
    <border>
      <left style="thin">
        <color rgb="FFA6A6A6"/>
      </left>
      <right/>
      <top style="medium">
        <color rgb="FF000000"/>
      </top>
      <bottom style="thin">
        <color rgb="FFA6A6A6"/>
      </bottom>
      <diagonal/>
    </border>
    <border>
      <left/>
      <right style="medium">
        <color rgb="FF000000"/>
      </right>
      <top style="thin">
        <color rgb="FFA6A6A6"/>
      </top>
      <bottom/>
      <diagonal/>
    </border>
    <border>
      <left style="thin">
        <color rgb="FFA6A6A6"/>
      </left>
      <right style="thin">
        <color rgb="FF000000"/>
      </right>
      <top style="thin">
        <color rgb="FFA6A6A6"/>
      </top>
      <bottom style="medium">
        <color rgb="FF000000"/>
      </bottom>
      <diagonal/>
    </border>
    <border>
      <left/>
      <right style="medium">
        <color rgb="FF000000"/>
      </right>
      <top style="medium">
        <color rgb="FF000000"/>
      </top>
      <bottom style="thin">
        <color rgb="FFA6A6A6"/>
      </bottom>
      <diagonal/>
    </border>
    <border>
      <left style="thin">
        <color rgb="FFBFBFBF"/>
      </left>
      <right style="medium">
        <color rgb="FF000000"/>
      </right>
      <top style="thin">
        <color rgb="FFBFBFBF"/>
      </top>
      <bottom style="thin">
        <color rgb="FF000000"/>
      </bottom>
      <diagonal/>
    </border>
    <border>
      <left style="medium">
        <color rgb="FF000000"/>
      </left>
      <right style="medium">
        <color rgb="FF000000"/>
      </right>
      <top style="thin">
        <color rgb="FFA6A6A6"/>
      </top>
      <bottom style="thin">
        <color rgb="FF000000"/>
      </bottom>
      <diagonal/>
    </border>
    <border>
      <left/>
      <right style="thin">
        <color rgb="FFBFBFBF"/>
      </right>
      <top style="thin">
        <color rgb="FFBFBFBF"/>
      </top>
      <bottom style="thin">
        <color rgb="FF000000"/>
      </bottom>
      <diagonal/>
    </border>
    <border>
      <left/>
      <right style="thin">
        <color rgb="FF000000"/>
      </right>
      <top style="thin">
        <color rgb="FFBFBFBF"/>
      </top>
      <bottom style="medium">
        <color rgb="FF000000"/>
      </bottom>
      <diagonal/>
    </border>
    <border>
      <left style="thin">
        <color rgb="FF000000"/>
      </left>
      <right style="thin">
        <color rgb="FFD9D9D9"/>
      </right>
      <top style="thin">
        <color rgb="FFBFBFBF"/>
      </top>
      <bottom style="medium">
        <color rgb="FF000000"/>
      </bottom>
      <diagonal/>
    </border>
    <border>
      <left style="thin">
        <color rgb="FFD9D9D9"/>
      </left>
      <right/>
      <top style="thin">
        <color rgb="FFBFBFBF"/>
      </top>
      <bottom style="medium">
        <color rgb="FF000000"/>
      </bottom>
      <diagonal/>
    </border>
    <border>
      <left style="thin">
        <color rgb="FFD9D9D9"/>
      </left>
      <right style="thin">
        <color rgb="FFD9D9D9"/>
      </right>
      <top style="thin">
        <color rgb="FFBFBFBF"/>
      </top>
      <bottom style="medium">
        <color rgb="FF000000"/>
      </bottom>
      <diagonal/>
    </border>
    <border>
      <left style="thin">
        <color rgb="FFD9D9D9"/>
      </left>
      <right style="medium">
        <color rgb="FF000000"/>
      </right>
      <top/>
      <bottom style="thin">
        <color rgb="FFBFBFBF"/>
      </bottom>
      <diagonal/>
    </border>
    <border>
      <left style="thin">
        <color rgb="FFD9D9D9"/>
      </left>
      <right style="medium">
        <color rgb="FF000000"/>
      </right>
      <top style="thin">
        <color rgb="FFBFBFBF"/>
      </top>
      <bottom style="thin">
        <color rgb="FFBFBFBF"/>
      </bottom>
      <diagonal/>
    </border>
    <border>
      <left style="thin">
        <color rgb="FFD9D9D9"/>
      </left>
      <right style="medium">
        <color rgb="FF000000"/>
      </right>
      <top style="thin">
        <color rgb="FFBFBFBF"/>
      </top>
      <bottom style="thin">
        <color rgb="FF000000"/>
      </bottom>
      <diagonal/>
    </border>
    <border>
      <left style="thin">
        <color rgb="FF000000"/>
      </left>
      <right style="thin">
        <color rgb="FFD9D9D9"/>
      </right>
      <top style="medium">
        <color rgb="FF000000"/>
      </top>
      <bottom style="thin">
        <color rgb="FFBFBFBF"/>
      </bottom>
      <diagonal/>
    </border>
    <border>
      <left style="thin">
        <color rgb="FFD9D9D9"/>
      </left>
      <right/>
      <top style="medium">
        <color rgb="FF000000"/>
      </top>
      <bottom style="thin">
        <color rgb="FFBFBFBF"/>
      </bottom>
      <diagonal/>
    </border>
    <border>
      <left style="thin">
        <color rgb="FFD9D9D9"/>
      </left>
      <right style="thin">
        <color rgb="FFD9D9D9"/>
      </right>
      <top style="medium">
        <color rgb="FF000000"/>
      </top>
      <bottom style="thin">
        <color rgb="FFBFBFBF"/>
      </bottom>
      <diagonal/>
    </border>
    <border>
      <left style="thin">
        <color rgb="FFD9D9D9"/>
      </left>
      <right style="medium">
        <color rgb="FF000000"/>
      </right>
      <top style="medium">
        <color rgb="FF000000"/>
      </top>
      <bottom style="thin">
        <color rgb="FFBFBFBF"/>
      </bottom>
      <diagonal/>
    </border>
    <border>
      <left style="thin">
        <color rgb="FFD9D9D9"/>
      </left>
      <right style="medium">
        <color rgb="FF000000"/>
      </right>
      <top style="thin">
        <color rgb="FFBFBFBF"/>
      </top>
      <bottom style="medium">
        <color rgb="FF000000"/>
      </bottom>
      <diagonal/>
    </border>
    <border>
      <left style="medium">
        <color rgb="FF000000"/>
      </left>
      <right style="thin">
        <color rgb="FFA6A6A6"/>
      </right>
      <top/>
      <bottom/>
      <diagonal/>
    </border>
    <border>
      <left style="thin">
        <color rgb="FFA6A6A6"/>
      </left>
      <right style="medium">
        <color rgb="FF000000"/>
      </right>
      <top/>
      <bottom/>
      <diagonal/>
    </border>
    <border>
      <left style="medium">
        <color rgb="FF000000"/>
      </left>
      <right style="medium">
        <color rgb="FF000000"/>
      </right>
      <top style="thin">
        <color rgb="FFA6A6A6"/>
      </top>
      <bottom style="thin">
        <color rgb="FFA6A6A6"/>
      </bottom>
      <diagonal/>
    </border>
    <border>
      <left style="medium">
        <color rgb="FF000000"/>
      </left>
      <right/>
      <top style="thin">
        <color rgb="FFA6A6A6"/>
      </top>
      <bottom/>
      <diagonal/>
    </border>
    <border>
      <left style="thin">
        <color rgb="FF000000"/>
      </left>
      <right style="thin">
        <color rgb="FF000000"/>
      </right>
      <top style="thin">
        <color rgb="FF000000"/>
      </top>
      <bottom style="thin">
        <color rgb="FFBFBFBF"/>
      </bottom>
      <diagonal/>
    </border>
    <border>
      <left style="thin">
        <color rgb="FF000000"/>
      </left>
      <right style="thin">
        <color rgb="FF000000"/>
      </right>
      <top style="thin">
        <color rgb="FFBFBFBF"/>
      </top>
      <bottom style="thin">
        <color rgb="FFBFBFBF"/>
      </bottom>
      <diagonal/>
    </border>
    <border>
      <left style="thin">
        <color rgb="FF000000"/>
      </left>
      <right style="thin">
        <color rgb="FF000000"/>
      </right>
      <top style="thin">
        <color rgb="FFBFBFBF"/>
      </top>
      <bottom style="thin">
        <color rgb="FF000000"/>
      </bottom>
      <diagonal/>
    </border>
    <border>
      <left style="thin">
        <color rgb="FF000000"/>
      </left>
      <right style="thin">
        <color rgb="FFBFBFBF"/>
      </right>
      <top style="thin">
        <color rgb="FFBFBFBF"/>
      </top>
      <bottom/>
      <diagonal/>
    </border>
    <border>
      <left style="thin">
        <color rgb="FFA6A6A6"/>
      </left>
      <right style="thin">
        <color rgb="FF000000"/>
      </right>
      <top style="thin">
        <color rgb="FFA6A6A6"/>
      </top>
      <bottom/>
      <diagonal/>
    </border>
    <border>
      <left style="thin">
        <color rgb="FF000000"/>
      </left>
      <right style="thin">
        <color rgb="FFA6A6A6"/>
      </right>
      <top style="thin">
        <color rgb="FFA6A6A6"/>
      </top>
      <bottom/>
      <diagonal/>
    </border>
    <border>
      <left style="thin">
        <color rgb="FFA6A6A6"/>
      </left>
      <right style="medium">
        <color rgb="FF000000"/>
      </right>
      <top style="thin">
        <color rgb="FFA6A6A6"/>
      </top>
      <bottom/>
      <diagonal/>
    </border>
    <border>
      <left style="thin">
        <color rgb="FFBFBFBF"/>
      </left>
      <right/>
      <top style="medium">
        <color rgb="FF000000"/>
      </top>
      <bottom/>
      <diagonal/>
    </border>
    <border>
      <left style="medium">
        <color rgb="FF000000"/>
      </left>
      <right style="thin">
        <color rgb="FF000000"/>
      </right>
      <top/>
      <bottom style="thin">
        <color rgb="FFBFBFBF"/>
      </bottom>
      <diagonal/>
    </border>
    <border>
      <left style="medium">
        <color rgb="FF000000"/>
      </left>
      <right style="medium">
        <color rgb="FF000000"/>
      </right>
      <top/>
      <bottom style="thin">
        <color rgb="FFBFBFBF"/>
      </bottom>
      <diagonal/>
    </border>
    <border>
      <left style="medium">
        <color rgb="FF000000"/>
      </left>
      <right style="thin">
        <color rgb="FF000000"/>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style="thin">
        <color rgb="FFBFBFBF"/>
      </left>
      <right style="medium">
        <color rgb="FF000000"/>
      </right>
      <top style="thin">
        <color rgb="FF000000"/>
      </top>
      <bottom style="thin">
        <color rgb="FFBFBFBF"/>
      </bottom>
      <diagonal/>
    </border>
    <border>
      <left/>
      <right style="medium">
        <color rgb="FF000000"/>
      </right>
      <top style="thin">
        <color rgb="FF000000"/>
      </top>
      <bottom style="thin">
        <color rgb="FFBFBFBF"/>
      </bottom>
      <diagonal/>
    </border>
    <border>
      <left style="thin">
        <color rgb="FFBFBFBF"/>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thin">
        <color rgb="FFBFBFBF"/>
      </left>
      <right style="thin">
        <color rgb="FFBFBFBF"/>
      </right>
      <top style="medium">
        <color rgb="FF000000"/>
      </top>
      <bottom/>
      <diagonal/>
    </border>
    <border>
      <left style="medium">
        <color rgb="FF000000"/>
      </left>
      <right style="thin">
        <color rgb="FF000000"/>
      </right>
      <top style="dotted">
        <color rgb="FFFF0000"/>
      </top>
      <bottom style="medium">
        <color rgb="FF000000"/>
      </bottom>
      <diagonal/>
    </border>
    <border>
      <left style="thin">
        <color rgb="FFBFBFBF"/>
      </left>
      <right style="thin">
        <color rgb="FF000000"/>
      </right>
      <top style="dotted">
        <color rgb="FFFF0000"/>
      </top>
      <bottom style="medium">
        <color rgb="FF000000"/>
      </bottom>
      <diagonal/>
    </border>
    <border>
      <left style="thin">
        <color rgb="FFBFBFBF"/>
      </left>
      <right style="dotted">
        <color rgb="FFFF0000"/>
      </right>
      <top style="dotted">
        <color rgb="FFFF0000"/>
      </top>
      <bottom style="medium">
        <color rgb="FF000000"/>
      </bottom>
      <diagonal/>
    </border>
    <border>
      <left style="thin">
        <color rgb="FFBFBFBF"/>
      </left>
      <right style="dotted">
        <color rgb="FFFF0000"/>
      </right>
      <top/>
      <bottom style="thin">
        <color rgb="FFBFBFBF"/>
      </bottom>
      <diagonal/>
    </border>
    <border>
      <left style="thin">
        <color rgb="FFBFBFBF"/>
      </left>
      <right style="dotted">
        <color rgb="FFFF0000"/>
      </right>
      <top style="thin">
        <color rgb="FFBFBFBF"/>
      </top>
      <bottom style="thin">
        <color rgb="FFBFBFBF"/>
      </bottom>
      <diagonal/>
    </border>
    <border>
      <left style="thin">
        <color rgb="FFBFBFBF"/>
      </left>
      <right style="dotted">
        <color rgb="FFFF0000"/>
      </right>
      <top style="thin">
        <color rgb="FFBFBFBF"/>
      </top>
      <bottom style="medium">
        <color rgb="FF000000"/>
      </bottom>
      <diagonal/>
    </border>
    <border>
      <left style="dotted">
        <color rgb="FFFF0000"/>
      </left>
      <right/>
      <top/>
      <bottom/>
      <diagonal/>
    </border>
    <border>
      <left/>
      <right style="dotted">
        <color rgb="FFFF0000"/>
      </right>
      <top/>
      <bottom/>
      <diagonal/>
    </border>
    <border>
      <left style="medium">
        <color rgb="FFFF0000"/>
      </left>
      <right style="thin">
        <color rgb="FFBFBFBF"/>
      </right>
      <top style="medium">
        <color rgb="FFFF0000"/>
      </top>
      <bottom style="medium">
        <color rgb="FFFF0000"/>
      </bottom>
      <diagonal/>
    </border>
    <border>
      <left style="thin">
        <color rgb="FFBFBFBF"/>
      </left>
      <right style="thin">
        <color rgb="FFBFBFBF"/>
      </right>
      <top style="medium">
        <color rgb="FFFF0000"/>
      </top>
      <bottom style="medium">
        <color rgb="FFFF0000"/>
      </bottom>
      <diagonal/>
    </border>
    <border>
      <left style="thin">
        <color rgb="FFBFBFBF"/>
      </left>
      <right style="medium">
        <color rgb="FFFF0000"/>
      </right>
      <top style="medium">
        <color rgb="FFFF0000"/>
      </top>
      <bottom style="medium">
        <color rgb="FFFF0000"/>
      </bottom>
      <diagonal/>
    </border>
    <border>
      <left style="medium">
        <color rgb="FFFF0000"/>
      </left>
      <right style="thin">
        <color rgb="FFBFBFBF"/>
      </right>
      <top/>
      <bottom style="thin">
        <color rgb="FFBFBFBF"/>
      </bottom>
      <diagonal/>
    </border>
    <border>
      <left style="thin">
        <color rgb="FFBFBFBF"/>
      </left>
      <right style="medium">
        <color rgb="FFFF0000"/>
      </right>
      <top/>
      <bottom style="thin">
        <color rgb="FFBFBFBF"/>
      </bottom>
      <diagonal/>
    </border>
    <border>
      <left style="medium">
        <color rgb="FFFF0000"/>
      </left>
      <right style="thin">
        <color rgb="FFBFBFBF"/>
      </right>
      <top style="thin">
        <color rgb="FFBFBFBF"/>
      </top>
      <bottom style="thin">
        <color rgb="FFBFBFBF"/>
      </bottom>
      <diagonal/>
    </border>
    <border>
      <left style="medium">
        <color rgb="FFFF0000"/>
      </left>
      <right style="thin">
        <color rgb="FFBFBFBF"/>
      </right>
      <top style="thin">
        <color rgb="FFBFBFBF"/>
      </top>
      <bottom style="dotted">
        <color rgb="FFFF0000"/>
      </bottom>
      <diagonal/>
    </border>
    <border>
      <left style="thin">
        <color rgb="FFBFBFBF"/>
      </left>
      <right style="thin">
        <color rgb="FFBFBFBF"/>
      </right>
      <top style="thin">
        <color rgb="FFBFBFBF"/>
      </top>
      <bottom style="dotted">
        <color rgb="FFFF0000"/>
      </bottom>
      <diagonal/>
    </border>
    <border>
      <left style="thin">
        <color rgb="FFBFBFBF"/>
      </left>
      <right style="medium">
        <color rgb="FFFF0000"/>
      </right>
      <top style="thin">
        <color rgb="FFBFBFBF"/>
      </top>
      <bottom style="dotted">
        <color rgb="FFFF0000"/>
      </bottom>
      <diagonal/>
    </border>
    <border>
      <left/>
      <right style="dotted">
        <color rgb="FFFF0000"/>
      </right>
      <top/>
      <bottom style="dotted">
        <color rgb="FFFF0000"/>
      </bottom>
      <diagonal/>
    </border>
    <border>
      <left style="medium">
        <color rgb="FF000000"/>
      </left>
      <right style="thin">
        <color rgb="FF000000"/>
      </right>
      <top style="medium">
        <color rgb="FF000000"/>
      </top>
      <bottom/>
      <diagonal/>
    </border>
    <border>
      <left style="thin">
        <color rgb="FFBFBFBF"/>
      </left>
      <right style="thin">
        <color rgb="FF000000"/>
      </right>
      <top style="medium">
        <color rgb="FF000000"/>
      </top>
      <bottom/>
      <diagonal/>
    </border>
    <border>
      <left style="thin">
        <color rgb="FFBFBFBF"/>
      </left>
      <right style="medium">
        <color rgb="FF000000"/>
      </right>
      <top style="medium">
        <color rgb="FF000000"/>
      </top>
      <bottom/>
      <diagonal/>
    </border>
    <border>
      <left style="medium">
        <color rgb="FF000000"/>
      </left>
      <right style="thin">
        <color rgb="FFBFBFBF"/>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BFBFBF"/>
      </right>
      <top style="medium">
        <color rgb="FF000000"/>
      </top>
      <bottom style="medium">
        <color rgb="FF000000"/>
      </bottom>
      <diagonal/>
    </border>
    <border>
      <left/>
      <right/>
      <top style="thin">
        <color rgb="FFBFBFBF"/>
      </top>
      <bottom/>
      <diagonal/>
    </border>
    <border>
      <left style="medium">
        <color rgb="FF000000"/>
      </left>
      <right/>
      <top style="thin">
        <color rgb="FF96B3D8"/>
      </top>
      <bottom/>
      <diagonal/>
    </border>
    <border>
      <left/>
      <right/>
      <top style="thin">
        <color rgb="FF96B3D8"/>
      </top>
      <bottom/>
      <diagonal/>
    </border>
    <border>
      <left/>
      <right style="medium">
        <color rgb="FF000000"/>
      </right>
      <top style="thin">
        <color rgb="FF96B3D8"/>
      </top>
      <bottom/>
      <diagonal/>
    </border>
    <border>
      <left style="medium">
        <color rgb="FF000000"/>
      </left>
      <right style="medium">
        <color rgb="FF000000"/>
      </right>
      <top style="thin">
        <color rgb="FFBFBFBF"/>
      </top>
      <bottom/>
      <diagonal/>
    </border>
    <border>
      <left style="medium">
        <color rgb="FF000000"/>
      </left>
      <right/>
      <top style="thin">
        <color rgb="FF96B3D8"/>
      </top>
      <bottom style="medium">
        <color rgb="FF000000"/>
      </bottom>
      <diagonal/>
    </border>
    <border>
      <left/>
      <right/>
      <top style="medium">
        <color rgb="FF000000"/>
      </top>
      <bottom style="thin">
        <color rgb="FFBFBFBF"/>
      </bottom>
      <diagonal/>
    </border>
    <border>
      <left style="medium">
        <color rgb="FF000000"/>
      </left>
      <right/>
      <top style="thin">
        <color rgb="FF000000"/>
      </top>
      <bottom style="thin">
        <color rgb="FF000000"/>
      </bottom>
      <diagonal/>
    </border>
    <border>
      <left style="thin">
        <color rgb="FF000000"/>
      </left>
      <right style="thin">
        <color rgb="FFBFBFBF"/>
      </right>
      <top style="medium">
        <color rgb="FF000000"/>
      </top>
      <bottom style="medium">
        <color rgb="FF000000"/>
      </bottom>
      <diagonal/>
    </border>
    <border>
      <left style="medium">
        <color rgb="FF000000"/>
      </left>
      <right style="thin">
        <color rgb="FFBFBFBF"/>
      </right>
      <top/>
      <bottom style="mediumDashed">
        <color rgb="FF000000"/>
      </bottom>
      <diagonal/>
    </border>
    <border>
      <left style="thin">
        <color rgb="FFBFBFBF"/>
      </left>
      <right style="thin">
        <color rgb="FFBFBFBF"/>
      </right>
      <top/>
      <bottom style="mediumDashed">
        <color rgb="FF000000"/>
      </bottom>
      <diagonal/>
    </border>
    <border>
      <left style="thin">
        <color rgb="FFBFBFBF"/>
      </left>
      <right style="medium">
        <color rgb="FF000000"/>
      </right>
      <top/>
      <bottom style="mediumDashed">
        <color rgb="FF000000"/>
      </bottom>
      <diagonal/>
    </border>
    <border>
      <left style="medium">
        <color rgb="FF000000"/>
      </left>
      <right/>
      <top style="thin">
        <color rgb="FF000000"/>
      </top>
      <bottom style="thin">
        <color rgb="FFBFBFBF"/>
      </bottom>
      <diagonal/>
    </border>
    <border>
      <left/>
      <right/>
      <top style="thin">
        <color rgb="FFBFBFBF"/>
      </top>
      <bottom style="thin">
        <color rgb="FF000000"/>
      </bottom>
      <diagonal/>
    </border>
    <border>
      <left style="medium">
        <color rgb="FF000000"/>
      </left>
      <right/>
      <top style="thin">
        <color rgb="FF000000"/>
      </top>
      <bottom/>
      <diagonal/>
    </border>
    <border>
      <left style="thin">
        <color rgb="FFBFBFBF"/>
      </left>
      <right/>
      <top style="mediumDashed">
        <color rgb="FF000000"/>
      </top>
      <bottom/>
      <diagonal/>
    </border>
    <border>
      <left/>
      <right/>
      <top style="mediumDashed">
        <color rgb="FF000000"/>
      </top>
      <bottom/>
      <diagonal/>
    </border>
    <border>
      <left/>
      <right style="medium">
        <color rgb="FF000000"/>
      </right>
      <top style="mediumDashed">
        <color rgb="FF000000"/>
      </top>
      <bottom/>
      <diagonal/>
    </border>
    <border>
      <left style="medium">
        <color rgb="FF000000"/>
      </left>
      <right style="thin">
        <color rgb="FF000000"/>
      </right>
      <top style="medium">
        <color rgb="FF000000"/>
      </top>
      <bottom style="thin">
        <color rgb="FFA6A6A6"/>
      </bottom>
      <diagonal/>
    </border>
    <border>
      <left style="medium">
        <color rgb="FF000000"/>
      </left>
      <right style="thin">
        <color rgb="FF000000"/>
      </right>
      <top style="thin">
        <color rgb="FFA6A6A6"/>
      </top>
      <bottom style="thin">
        <color rgb="FFA6A6A6"/>
      </bottom>
      <diagonal/>
    </border>
    <border>
      <left style="medium">
        <color rgb="FF000000"/>
      </left>
      <right style="thin">
        <color rgb="FF000000"/>
      </right>
      <top style="thin">
        <color rgb="FFA6A6A6"/>
      </top>
      <bottom style="thin">
        <color rgb="FF000000"/>
      </bottom>
      <diagonal/>
    </border>
    <border>
      <left style="medium">
        <color rgb="FF000000"/>
      </left>
      <right style="thin">
        <color rgb="FF000000"/>
      </right>
      <top style="medium">
        <color rgb="FF000000"/>
      </top>
      <bottom style="thin">
        <color rgb="FFBFBFBF"/>
      </bottom>
      <diagonal/>
    </border>
    <border>
      <left style="medium">
        <color rgb="FF000000"/>
      </left>
      <right style="thin">
        <color rgb="FF000000"/>
      </right>
      <top style="thin">
        <color rgb="FFBFBFBF"/>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000000"/>
      </right>
      <top/>
      <bottom style="thin">
        <color rgb="FFA6A6A6"/>
      </bottom>
      <diagonal/>
    </border>
    <border>
      <left style="thin">
        <color rgb="FFA6A6A6"/>
      </left>
      <right style="thin">
        <color rgb="FF000000"/>
      </right>
      <top/>
      <bottom style="thin">
        <color rgb="FFA6A6A6"/>
      </bottom>
      <diagonal/>
    </border>
    <border>
      <left style="thin">
        <color rgb="FFBFBFBF"/>
      </left>
      <right style="thin">
        <color rgb="FF000000"/>
      </right>
      <top/>
      <bottom style="thin">
        <color rgb="FFBFBFBF"/>
      </bottom>
      <diagonal/>
    </border>
    <border>
      <left style="medium">
        <color rgb="FF000000"/>
      </left>
      <right/>
      <top style="thin">
        <color rgb="FFFFFFFF"/>
      </top>
      <bottom/>
      <diagonal/>
    </border>
    <border>
      <left style="thin">
        <color rgb="FFBFBFBF"/>
      </left>
      <right/>
      <top style="thin">
        <color rgb="FFFFFFFF"/>
      </top>
      <bottom/>
      <diagonal/>
    </border>
    <border>
      <left style="medium">
        <color rgb="FF000000"/>
      </left>
      <right/>
      <top style="medium">
        <color rgb="FFD9D9D9"/>
      </top>
      <bottom/>
      <diagonal/>
    </border>
    <border>
      <left style="thin">
        <color rgb="FF000000"/>
      </left>
      <right/>
      <top style="thin">
        <color rgb="FFBFBFBF"/>
      </top>
      <bottom/>
      <diagonal/>
    </border>
    <border>
      <left style="thin">
        <color rgb="FFA6A6A6"/>
      </left>
      <right/>
      <top style="thin">
        <color rgb="FFA6A6A6"/>
      </top>
      <bottom/>
      <diagonal/>
    </border>
    <border>
      <left style="thin">
        <color rgb="FF000000"/>
      </left>
      <right/>
      <top style="medium">
        <color rgb="FF000000"/>
      </top>
      <bottom/>
      <diagonal/>
    </border>
    <border>
      <left style="medium">
        <color rgb="FF000000"/>
      </left>
      <right style="medium">
        <color rgb="FF000000"/>
      </right>
      <top style="thin">
        <color rgb="FF96B3D8"/>
      </top>
      <bottom/>
      <diagonal/>
    </border>
    <border>
      <left style="medium">
        <color rgb="FF000000"/>
      </left>
      <right style="thin">
        <color rgb="FFBFBFBF"/>
      </right>
      <top style="thin">
        <color rgb="FF000000"/>
      </top>
      <bottom style="thin">
        <color rgb="FFBFBFBF"/>
      </bottom>
      <diagonal/>
    </border>
    <border>
      <left style="thin">
        <color rgb="FFBFBFBF"/>
      </left>
      <right style="thin">
        <color rgb="FFBFBFBF"/>
      </right>
      <top style="thin">
        <color rgb="FF000000"/>
      </top>
      <bottom style="thin">
        <color rgb="FFBFBFBF"/>
      </bottom>
      <diagonal/>
    </border>
    <border>
      <left style="thin">
        <color rgb="FF000000"/>
      </left>
      <right style="thin">
        <color rgb="FF000000"/>
      </right>
      <top/>
      <bottom style="thin">
        <color rgb="FF000000"/>
      </bottom>
      <diagonal/>
    </border>
    <border>
      <left/>
      <right/>
      <top style="thin">
        <color rgb="FFA6A6A6"/>
      </top>
      <bottom/>
      <diagonal/>
    </border>
    <border>
      <left style="medium">
        <color rgb="FF000000"/>
      </left>
      <right/>
      <top style="thin">
        <color rgb="FF4F81BD"/>
      </top>
      <bottom/>
      <diagonal/>
    </border>
    <border>
      <left style="thin">
        <color rgb="FFA6A6A6"/>
      </left>
      <right/>
      <top/>
      <bottom/>
      <diagonal/>
    </border>
    <border>
      <left style="thin">
        <color rgb="FF000000"/>
      </left>
      <right style="thin">
        <color rgb="FFA6A6A6"/>
      </right>
      <top/>
      <bottom/>
      <diagonal/>
    </border>
    <border>
      <left/>
      <right style="thin">
        <color rgb="FFBFBFBF"/>
      </right>
      <top style="thin">
        <color rgb="FF000000"/>
      </top>
      <bottom style="thin">
        <color rgb="FFBFBFBF"/>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medium">
        <color rgb="FF000000"/>
      </right>
      <top style="thin">
        <color rgb="FF000000"/>
      </top>
      <bottom/>
      <diagonal/>
    </border>
    <border>
      <left style="dotted">
        <color rgb="FFFF0000"/>
      </left>
      <right style="medium">
        <color rgb="FF000000"/>
      </right>
      <top style="dotted">
        <color rgb="FFFF0000"/>
      </top>
      <bottom/>
      <diagonal/>
    </border>
    <border>
      <left style="dotted">
        <color rgb="FFFF0000"/>
      </left>
      <right style="medium">
        <color rgb="FF000000"/>
      </right>
      <top/>
      <bottom/>
      <diagonal/>
    </border>
    <border>
      <left style="dotted">
        <color rgb="FFFF0000"/>
      </left>
      <right style="medium">
        <color rgb="FFFF0000"/>
      </right>
      <top/>
      <bottom/>
      <diagonal/>
    </border>
    <border>
      <left style="dotted">
        <color rgb="FFFF0000"/>
      </left>
      <right style="medium">
        <color rgb="FFFF0000"/>
      </right>
      <top/>
      <bottom style="dotted">
        <color rgb="FFFF0000"/>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style="thin">
        <color rgb="FF000000"/>
      </top>
      <bottom/>
      <diagonal/>
    </border>
    <border>
      <left style="thin">
        <color rgb="FFA6A6A6"/>
      </left>
      <right/>
      <top style="thin">
        <color rgb="FFA6A6A6"/>
      </top>
      <bottom style="medium">
        <color rgb="FF000000"/>
      </bottom>
      <diagonal/>
    </border>
  </borders>
  <cellStyleXfs count="1">
    <xf numFmtId="0" fontId="0" fillId="0" borderId="0"/>
  </cellStyleXfs>
  <cellXfs count="1611">
    <xf numFmtId="0" fontId="0" fillId="0" borderId="0" xfId="0"/>
    <xf numFmtId="164" fontId="0" fillId="2" borderId="1" xfId="0" applyNumberFormat="1" applyFill="1" applyBorder="1" applyAlignment="1">
      <alignment horizontal="right"/>
    </xf>
    <xf numFmtId="165" fontId="1" fillId="3" borderId="2" xfId="0" applyNumberFormat="1" applyFont="1" applyFill="1" applyBorder="1" applyAlignment="1" applyProtection="1">
      <alignment horizontal="right" vertical="center"/>
      <protection locked="0"/>
    </xf>
    <xf numFmtId="165" fontId="1" fillId="3" borderId="3" xfId="0" applyNumberFormat="1" applyFont="1" applyFill="1" applyBorder="1" applyAlignment="1" applyProtection="1">
      <alignment horizontal="right" vertical="center"/>
      <protection locked="0"/>
    </xf>
    <xf numFmtId="0" fontId="2" fillId="4" borderId="4" xfId="0" applyFont="1" applyFill="1" applyBorder="1" applyAlignment="1">
      <alignment horizontal="center"/>
    </xf>
    <xf numFmtId="0" fontId="1" fillId="4" borderId="5" xfId="0" applyFont="1" applyFill="1" applyBorder="1" applyAlignment="1">
      <alignment horizontal="center"/>
    </xf>
    <xf numFmtId="0" fontId="1" fillId="4" borderId="0" xfId="0" applyFont="1" applyFill="1" applyAlignment="1">
      <alignment horizontal="center"/>
    </xf>
    <xf numFmtId="0" fontId="2" fillId="4" borderId="6" xfId="0" applyFont="1" applyFill="1" applyBorder="1" applyAlignment="1">
      <alignment horizontal="center"/>
    </xf>
    <xf numFmtId="0" fontId="2" fillId="5" borderId="5" xfId="0" applyFont="1" applyFill="1" applyBorder="1" applyAlignment="1">
      <alignment horizontal="center"/>
    </xf>
    <xf numFmtId="0" fontId="2" fillId="5" borderId="0" xfId="0" applyFont="1" applyFill="1" applyAlignment="1">
      <alignment horizontal="center"/>
    </xf>
    <xf numFmtId="0" fontId="2" fillId="5" borderId="6" xfId="0" applyFont="1" applyFill="1" applyBorder="1" applyAlignment="1">
      <alignment horizontal="center"/>
    </xf>
    <xf numFmtId="49" fontId="3" fillId="6" borderId="0" xfId="0" applyNumberFormat="1" applyFont="1" applyFill="1"/>
    <xf numFmtId="0" fontId="3" fillId="6" borderId="0" xfId="0" applyFont="1" applyFill="1" applyAlignment="1">
      <alignment horizontal="center"/>
    </xf>
    <xf numFmtId="1" fontId="3" fillId="6" borderId="0" xfId="0" applyNumberFormat="1" applyFont="1" applyFill="1"/>
    <xf numFmtId="0" fontId="4" fillId="7" borderId="7" xfId="0" applyFont="1" applyFill="1" applyBorder="1" applyAlignment="1">
      <alignment vertical="top"/>
    </xf>
    <xf numFmtId="0" fontId="4" fillId="7" borderId="7" xfId="0" applyFont="1" applyFill="1" applyBorder="1" applyAlignment="1">
      <alignment horizontal="center" vertical="top"/>
    </xf>
    <xf numFmtId="0" fontId="4" fillId="7" borderId="8" xfId="0" applyFont="1" applyFill="1" applyBorder="1" applyAlignment="1">
      <alignment horizontal="center" vertical="top"/>
    </xf>
    <xf numFmtId="0" fontId="4" fillId="7" borderId="8" xfId="0" applyFont="1" applyFill="1" applyBorder="1" applyAlignment="1">
      <alignment vertical="center"/>
    </xf>
    <xf numFmtId="0" fontId="5" fillId="7" borderId="8" xfId="0" applyFont="1" applyFill="1" applyBorder="1"/>
    <xf numFmtId="0" fontId="6" fillId="7" borderId="7" xfId="0" applyFont="1" applyFill="1" applyBorder="1" applyAlignment="1">
      <alignment vertical="top"/>
    </xf>
    <xf numFmtId="0" fontId="4" fillId="7" borderId="7" xfId="0" applyFont="1" applyFill="1" applyBorder="1" applyAlignment="1">
      <alignment vertical="center"/>
    </xf>
    <xf numFmtId="0" fontId="5" fillId="7" borderId="7" xfId="0" applyFont="1" applyFill="1" applyBorder="1"/>
    <xf numFmtId="0" fontId="4" fillId="7" borderId="7" xfId="0" applyFont="1" applyFill="1" applyBorder="1"/>
    <xf numFmtId="0" fontId="3" fillId="6" borderId="0" xfId="0" applyFont="1" applyFill="1" applyAlignment="1">
      <alignment vertical="center"/>
    </xf>
    <xf numFmtId="1" fontId="3" fillId="6" borderId="0" xfId="0" applyNumberFormat="1" applyFont="1" applyFill="1" applyAlignment="1">
      <alignment vertical="center"/>
    </xf>
    <xf numFmtId="0" fontId="0" fillId="8" borderId="0" xfId="0" applyFill="1"/>
    <xf numFmtId="0" fontId="0" fillId="0" borderId="9" xfId="0" applyBorder="1"/>
    <xf numFmtId="0" fontId="0" fillId="0" borderId="10" xfId="0" applyBorder="1"/>
    <xf numFmtId="0" fontId="0" fillId="0" borderId="0" xfId="0" applyAlignment="1">
      <alignment horizontal="center"/>
    </xf>
    <xf numFmtId="0" fontId="0" fillId="0" borderId="0" xfId="0" applyAlignment="1">
      <alignment horizontal="left" indent="2"/>
    </xf>
    <xf numFmtId="0" fontId="0" fillId="0" borderId="11" xfId="0" applyBorder="1"/>
    <xf numFmtId="0" fontId="7" fillId="8" borderId="12" xfId="0" applyFont="1" applyFill="1" applyBorder="1" applyAlignment="1">
      <alignment vertical="center"/>
    </xf>
    <xf numFmtId="0" fontId="0" fillId="0" borderId="13" xfId="0" applyBorder="1"/>
    <xf numFmtId="0" fontId="1" fillId="9" borderId="0" xfId="0" applyFont="1" applyFill="1" applyAlignment="1">
      <alignment vertical="center"/>
    </xf>
    <xf numFmtId="164" fontId="0" fillId="10" borderId="0" xfId="0" applyNumberFormat="1" applyFill="1" applyAlignment="1" applyProtection="1">
      <alignment horizontal="right"/>
      <protection locked="0"/>
    </xf>
    <xf numFmtId="0" fontId="4" fillId="0" borderId="14" xfId="0" applyFont="1" applyBorder="1" applyAlignment="1">
      <alignment horizontal="left" vertical="center" wrapText="1" indent="1"/>
    </xf>
    <xf numFmtId="0" fontId="8" fillId="3" borderId="15" xfId="0" applyFont="1" applyFill="1" applyBorder="1" applyAlignment="1">
      <alignment horizontal="center" vertical="center" wrapText="1"/>
    </xf>
    <xf numFmtId="0" fontId="0" fillId="0" borderId="0" xfId="0" quotePrefix="1" applyAlignment="1">
      <alignment horizontal="center" vertical="top"/>
    </xf>
    <xf numFmtId="0" fontId="1" fillId="0" borderId="0" xfId="0" applyFont="1"/>
    <xf numFmtId="49" fontId="4" fillId="2" borderId="16" xfId="0" applyNumberFormat="1" applyFont="1" applyFill="1" applyBorder="1" applyAlignment="1">
      <alignment horizontal="center"/>
    </xf>
    <xf numFmtId="49" fontId="4" fillId="2" borderId="17" xfId="0" applyNumberFormat="1" applyFont="1" applyFill="1" applyBorder="1" applyAlignment="1">
      <alignment horizontal="center"/>
    </xf>
    <xf numFmtId="0" fontId="4" fillId="0" borderId="0" xfId="0" applyFont="1"/>
    <xf numFmtId="0" fontId="3" fillId="11" borderId="0" xfId="0" applyFont="1" applyFill="1"/>
    <xf numFmtId="49" fontId="4" fillId="2" borderId="18" xfId="0" applyNumberFormat="1" applyFont="1" applyFill="1" applyBorder="1" applyAlignment="1">
      <alignment horizontal="center"/>
    </xf>
    <xf numFmtId="0" fontId="1" fillId="12" borderId="19" xfId="0" applyFont="1" applyFill="1" applyBorder="1" applyAlignment="1">
      <alignment vertical="center"/>
    </xf>
    <xf numFmtId="0" fontId="1" fillId="12" borderId="20" xfId="0" applyFont="1"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9" fillId="0" borderId="0" xfId="0" applyFont="1" applyAlignment="1">
      <alignment vertical="center"/>
    </xf>
    <xf numFmtId="49" fontId="10" fillId="8" borderId="0" xfId="0" applyNumberFormat="1" applyFont="1" applyFill="1" applyAlignment="1">
      <alignment vertical="center"/>
    </xf>
    <xf numFmtId="0" fontId="0" fillId="0" borderId="0" xfId="0" applyAlignment="1">
      <alignment vertical="center"/>
    </xf>
    <xf numFmtId="0" fontId="2" fillId="13" borderId="21" xfId="0" applyFont="1" applyFill="1" applyBorder="1" applyAlignment="1">
      <alignment horizontal="center" vertical="center" wrapText="1"/>
    </xf>
    <xf numFmtId="0" fontId="1" fillId="13" borderId="22" xfId="0" applyFont="1" applyFill="1" applyBorder="1" applyAlignment="1">
      <alignment horizontal="center" vertical="center" wrapText="1"/>
    </xf>
    <xf numFmtId="166" fontId="11" fillId="6" borderId="23" xfId="0" applyNumberFormat="1" applyFont="1" applyFill="1" applyBorder="1"/>
    <xf numFmtId="0" fontId="0" fillId="0" borderId="24" xfId="0" applyBorder="1"/>
    <xf numFmtId="0" fontId="12" fillId="0" borderId="0" xfId="0" applyFont="1"/>
    <xf numFmtId="166" fontId="1" fillId="13" borderId="25" xfId="0" applyNumberFormat="1" applyFont="1" applyFill="1" applyBorder="1" applyAlignment="1">
      <alignment horizontal="center" vertical="center" wrapText="1"/>
    </xf>
    <xf numFmtId="166" fontId="1" fillId="14" borderId="25" xfId="0" applyNumberFormat="1" applyFont="1" applyFill="1" applyBorder="1" applyAlignment="1">
      <alignment horizontal="center" vertical="center" wrapText="1"/>
    </xf>
    <xf numFmtId="0" fontId="4" fillId="11" borderId="0" xfId="0" applyFont="1" applyFill="1" applyAlignment="1">
      <alignment vertical="top"/>
    </xf>
    <xf numFmtId="166" fontId="1" fillId="14" borderId="23" xfId="0" applyNumberFormat="1" applyFont="1" applyFill="1" applyBorder="1" applyAlignment="1">
      <alignment horizontal="center" vertical="center" wrapText="1"/>
    </xf>
    <xf numFmtId="166" fontId="1" fillId="14" borderId="24" xfId="0" applyNumberFormat="1" applyFont="1" applyFill="1" applyBorder="1" applyAlignment="1">
      <alignment horizontal="center" vertical="center" wrapText="1"/>
    </xf>
    <xf numFmtId="0" fontId="4" fillId="11" borderId="0" xfId="0" applyFont="1" applyFill="1"/>
    <xf numFmtId="0" fontId="0" fillId="0" borderId="6" xfId="0" applyBorder="1"/>
    <xf numFmtId="0" fontId="4" fillId="0" borderId="0" xfId="0" quotePrefix="1" applyFont="1"/>
    <xf numFmtId="0" fontId="0" fillId="0" borderId="0" xfId="0" applyAlignment="1">
      <alignment horizontal="right" indent="1"/>
    </xf>
    <xf numFmtId="14" fontId="1" fillId="13" borderId="26" xfId="0" applyNumberFormat="1" applyFont="1" applyFill="1" applyBorder="1" applyAlignment="1">
      <alignment vertical="center"/>
    </xf>
    <xf numFmtId="0" fontId="1" fillId="14" borderId="21" xfId="0" applyFont="1" applyFill="1" applyBorder="1" applyAlignment="1">
      <alignment horizontal="center" vertical="center" wrapText="1"/>
    </xf>
    <xf numFmtId="0" fontId="1" fillId="13" borderId="27" xfId="0" applyFont="1" applyFill="1" applyBorder="1" applyAlignment="1">
      <alignment horizontal="center" vertical="center" wrapText="1"/>
    </xf>
    <xf numFmtId="0" fontId="0" fillId="0" borderId="0" xfId="0" applyAlignment="1">
      <alignment vertical="top"/>
    </xf>
    <xf numFmtId="0" fontId="0" fillId="0" borderId="0" xfId="0" applyAlignment="1">
      <alignment horizontal="center" vertical="top"/>
    </xf>
    <xf numFmtId="0" fontId="0" fillId="0" borderId="28" xfId="0" applyBorder="1" applyAlignment="1">
      <alignment vertical="center"/>
    </xf>
    <xf numFmtId="0" fontId="10" fillId="8" borderId="0" xfId="0" applyFont="1" applyFill="1" applyAlignment="1">
      <alignment horizontal="left" vertical="center"/>
    </xf>
    <xf numFmtId="0" fontId="3" fillId="6" borderId="0" xfId="0" applyFont="1" applyFill="1" applyProtection="1">
      <protection locked="0"/>
    </xf>
    <xf numFmtId="0" fontId="13" fillId="0" borderId="0" xfId="0" applyFont="1"/>
    <xf numFmtId="0" fontId="0" fillId="0" borderId="0" xfId="0" applyAlignment="1">
      <alignment horizontal="left"/>
    </xf>
    <xf numFmtId="0" fontId="0" fillId="0" borderId="0" xfId="0" quotePrefix="1"/>
    <xf numFmtId="0" fontId="3" fillId="6" borderId="0" xfId="0" applyFont="1" applyFill="1"/>
    <xf numFmtId="0" fontId="0" fillId="0" borderId="28" xfId="0" applyBorder="1"/>
    <xf numFmtId="0" fontId="11" fillId="4" borderId="0" xfId="0" applyFont="1" applyFill="1" applyAlignment="1">
      <alignment vertical="top"/>
    </xf>
    <xf numFmtId="0" fontId="11" fillId="4" borderId="6" xfId="0" applyFont="1" applyFill="1" applyBorder="1" applyAlignment="1">
      <alignment vertical="top"/>
    </xf>
    <xf numFmtId="0" fontId="4" fillId="4" borderId="17" xfId="0" applyFont="1" applyFill="1" applyBorder="1" applyAlignment="1">
      <alignment vertical="top"/>
    </xf>
    <xf numFmtId="0" fontId="4" fillId="4" borderId="10" xfId="0" applyFont="1" applyFill="1" applyBorder="1" applyAlignment="1">
      <alignment horizontal="center" vertical="top"/>
    </xf>
    <xf numFmtId="0" fontId="11" fillId="4" borderId="10" xfId="0" quotePrefix="1" applyFont="1" applyFill="1" applyBorder="1" applyAlignment="1">
      <alignment vertical="top"/>
    </xf>
    <xf numFmtId="0" fontId="11" fillId="4" borderId="29" xfId="0" quotePrefix="1" applyFont="1" applyFill="1" applyBorder="1" applyAlignment="1">
      <alignment vertical="top"/>
    </xf>
    <xf numFmtId="0" fontId="11" fillId="4" borderId="30" xfId="0" applyFont="1" applyFill="1" applyBorder="1" applyAlignment="1">
      <alignment vertical="top"/>
    </xf>
    <xf numFmtId="0" fontId="0" fillId="4" borderId="30" xfId="0" applyFill="1" applyBorder="1"/>
    <xf numFmtId="0" fontId="1" fillId="4" borderId="10" xfId="0" applyFont="1" applyFill="1" applyBorder="1" applyAlignment="1">
      <alignment horizontal="center" vertical="top"/>
    </xf>
    <xf numFmtId="0" fontId="11" fillId="4" borderId="10" xfId="0" applyFont="1" applyFill="1" applyBorder="1" applyAlignment="1">
      <alignment vertical="top"/>
    </xf>
    <xf numFmtId="0" fontId="14" fillId="4" borderId="29" xfId="0" applyFont="1" applyFill="1" applyBorder="1" applyAlignment="1">
      <alignment horizontal="left" vertical="top" indent="3"/>
    </xf>
    <xf numFmtId="0" fontId="4" fillId="4" borderId="10" xfId="0" quotePrefix="1" applyFont="1" applyFill="1" applyBorder="1" applyAlignment="1">
      <alignment horizontal="center" vertical="center"/>
    </xf>
    <xf numFmtId="0" fontId="15" fillId="4" borderId="29" xfId="0" quotePrefix="1" applyFont="1" applyFill="1" applyBorder="1" applyAlignment="1">
      <alignment horizontal="left" vertical="top" indent="4"/>
    </xf>
    <xf numFmtId="0" fontId="16" fillId="4" borderId="30" xfId="0" applyFont="1" applyFill="1" applyBorder="1" applyAlignment="1">
      <alignment vertical="top"/>
    </xf>
    <xf numFmtId="0" fontId="16" fillId="4" borderId="31" xfId="0" applyFont="1" applyFill="1" applyBorder="1" applyAlignment="1">
      <alignment vertical="top"/>
    </xf>
    <xf numFmtId="0" fontId="4" fillId="4" borderId="11" xfId="0" applyFont="1" applyFill="1" applyBorder="1" applyAlignment="1">
      <alignment horizontal="center" vertical="top"/>
    </xf>
    <xf numFmtId="0" fontId="11" fillId="4" borderId="11" xfId="0" quotePrefix="1" applyFont="1" applyFill="1" applyBorder="1" applyAlignment="1">
      <alignment vertical="top"/>
    </xf>
    <xf numFmtId="0" fontId="11" fillId="4" borderId="32" xfId="0" quotePrefix="1" applyFont="1" applyFill="1" applyBorder="1" applyAlignment="1">
      <alignment vertical="top"/>
    </xf>
    <xf numFmtId="0" fontId="11" fillId="4" borderId="33" xfId="0" applyFont="1" applyFill="1" applyBorder="1" applyAlignment="1">
      <alignment vertical="top"/>
    </xf>
    <xf numFmtId="0" fontId="0" fillId="4" borderId="33" xfId="0" applyFill="1" applyBorder="1"/>
    <xf numFmtId="0" fontId="0" fillId="4" borderId="34" xfId="0" applyFill="1" applyBorder="1"/>
    <xf numFmtId="0" fontId="8" fillId="9" borderId="35" xfId="0" applyFont="1" applyFill="1" applyBorder="1"/>
    <xf numFmtId="0" fontId="3" fillId="9" borderId="36" xfId="0" applyFont="1" applyFill="1" applyBorder="1"/>
    <xf numFmtId="0" fontId="0" fillId="4" borderId="31" xfId="0" applyFill="1" applyBorder="1"/>
    <xf numFmtId="0" fontId="17" fillId="9" borderId="36" xfId="0" applyFont="1" applyFill="1" applyBorder="1"/>
    <xf numFmtId="0" fontId="17" fillId="9" borderId="37" xfId="0" applyFont="1" applyFill="1" applyBorder="1"/>
    <xf numFmtId="0" fontId="11" fillId="4" borderId="38" xfId="0" quotePrefix="1" applyFont="1" applyFill="1" applyBorder="1" applyAlignment="1">
      <alignment vertical="top"/>
    </xf>
    <xf numFmtId="0" fontId="11" fillId="4" borderId="39" xfId="0" quotePrefix="1" applyFont="1" applyFill="1" applyBorder="1" applyAlignment="1">
      <alignment vertical="top"/>
    </xf>
    <xf numFmtId="0" fontId="11" fillId="4" borderId="40" xfId="0" applyFont="1" applyFill="1" applyBorder="1" applyAlignment="1">
      <alignment vertical="top"/>
    </xf>
    <xf numFmtId="0" fontId="0" fillId="4" borderId="40" xfId="0" applyFill="1" applyBorder="1"/>
    <xf numFmtId="0" fontId="0" fillId="4" borderId="41" xfId="0" applyFill="1" applyBorder="1"/>
    <xf numFmtId="0" fontId="4" fillId="4" borderId="42" xfId="0" applyFont="1" applyFill="1" applyBorder="1" applyAlignment="1">
      <alignment horizontal="left" vertical="top" indent="2"/>
    </xf>
    <xf numFmtId="0" fontId="4" fillId="4" borderId="38" xfId="0" applyFont="1" applyFill="1" applyBorder="1" applyAlignment="1">
      <alignment horizontal="center" vertical="top"/>
    </xf>
    <xf numFmtId="0" fontId="4" fillId="4" borderId="17" xfId="0" applyFont="1" applyFill="1" applyBorder="1" applyAlignment="1">
      <alignment horizontal="left" vertical="top" indent="2"/>
    </xf>
    <xf numFmtId="0" fontId="11" fillId="4" borderId="43" xfId="0" quotePrefix="1" applyFont="1" applyFill="1" applyBorder="1" applyAlignment="1">
      <alignment vertical="top"/>
    </xf>
    <xf numFmtId="0" fontId="11" fillId="4" borderId="44" xfId="0" quotePrefix="1" applyFont="1" applyFill="1" applyBorder="1" applyAlignment="1">
      <alignment vertical="top"/>
    </xf>
    <xf numFmtId="0" fontId="11" fillId="4" borderId="45" xfId="0" quotePrefix="1" applyFont="1" applyFill="1" applyBorder="1" applyAlignment="1">
      <alignment vertical="top"/>
    </xf>
    <xf numFmtId="0" fontId="11" fillId="4" borderId="46" xfId="0" applyFont="1" applyFill="1" applyBorder="1" applyAlignment="1">
      <alignment vertical="top"/>
    </xf>
    <xf numFmtId="0" fontId="18" fillId="4" borderId="47" xfId="0" applyFont="1" applyFill="1" applyBorder="1" applyAlignment="1">
      <alignment horizontal="left" vertical="top" indent="1"/>
    </xf>
    <xf numFmtId="0" fontId="4" fillId="4" borderId="0" xfId="0" applyFont="1" applyFill="1" applyAlignment="1">
      <alignment horizontal="center" vertical="top" wrapText="1"/>
    </xf>
    <xf numFmtId="0" fontId="11" fillId="4" borderId="43" xfId="0" quotePrefix="1" applyFont="1" applyFill="1" applyBorder="1" applyAlignment="1">
      <alignment horizontal="left" vertical="top" indent="1"/>
    </xf>
    <xf numFmtId="0" fontId="11" fillId="4" borderId="43" xfId="0" quotePrefix="1" applyFont="1" applyFill="1" applyBorder="1" applyAlignment="1">
      <alignment horizontal="left" vertical="top"/>
    </xf>
    <xf numFmtId="0" fontId="18" fillId="4" borderId="47" xfId="0" applyFont="1" applyFill="1" applyBorder="1" applyAlignment="1">
      <alignment horizontal="left" vertical="top" indent="2"/>
    </xf>
    <xf numFmtId="0" fontId="11" fillId="4" borderId="44" xfId="0" quotePrefix="1" applyFont="1" applyFill="1" applyBorder="1" applyAlignment="1">
      <alignment horizontal="left" vertical="top"/>
    </xf>
    <xf numFmtId="0" fontId="19" fillId="4" borderId="47" xfId="0" applyFont="1" applyFill="1" applyBorder="1" applyAlignment="1">
      <alignment horizontal="left" vertical="top" indent="2"/>
    </xf>
    <xf numFmtId="0" fontId="19" fillId="4" borderId="48" xfId="0" applyFont="1" applyFill="1" applyBorder="1" applyAlignment="1">
      <alignment horizontal="left" vertical="top" indent="2"/>
    </xf>
    <xf numFmtId="0" fontId="11" fillId="4" borderId="45" xfId="0" quotePrefix="1" applyFont="1" applyFill="1" applyBorder="1" applyAlignment="1">
      <alignment horizontal="left" vertical="top" indent="1"/>
    </xf>
    <xf numFmtId="0" fontId="11" fillId="4" borderId="49" xfId="0" quotePrefix="1" applyFont="1" applyFill="1" applyBorder="1" applyAlignment="1">
      <alignment horizontal="left" vertical="top"/>
    </xf>
    <xf numFmtId="0" fontId="11" fillId="4" borderId="50" xfId="0" applyFont="1" applyFill="1" applyBorder="1" applyAlignment="1">
      <alignment vertical="top"/>
    </xf>
    <xf numFmtId="0" fontId="19" fillId="4" borderId="47" xfId="0" applyFont="1" applyFill="1" applyBorder="1" applyAlignment="1">
      <alignment horizontal="left" vertical="top" indent="1"/>
    </xf>
    <xf numFmtId="0" fontId="4" fillId="4" borderId="43" xfId="0" applyFont="1" applyFill="1" applyBorder="1" applyAlignment="1">
      <alignment horizontal="center" vertical="top"/>
    </xf>
    <xf numFmtId="0" fontId="3" fillId="4" borderId="0" xfId="0" applyFont="1" applyFill="1" applyAlignment="1">
      <alignment vertical="top"/>
    </xf>
    <xf numFmtId="0" fontId="3" fillId="4" borderId="6" xfId="0" applyFont="1" applyFill="1" applyBorder="1" applyAlignment="1">
      <alignment vertical="top"/>
    </xf>
    <xf numFmtId="0" fontId="20" fillId="4" borderId="43" xfId="0" applyFont="1" applyFill="1" applyBorder="1" applyAlignment="1">
      <alignment horizontal="center" vertical="top" wrapText="1"/>
    </xf>
    <xf numFmtId="0" fontId="20" fillId="4" borderId="43" xfId="0" quotePrefix="1" applyFont="1" applyFill="1" applyBorder="1" applyAlignment="1">
      <alignment horizontal="left" vertical="top" indent="1"/>
    </xf>
    <xf numFmtId="0" fontId="21" fillId="4" borderId="44" xfId="0" quotePrefix="1" applyFont="1" applyFill="1" applyBorder="1" applyAlignment="1">
      <alignment horizontal="left" vertical="top" indent="2"/>
    </xf>
    <xf numFmtId="0" fontId="22" fillId="4" borderId="0" xfId="0" applyFont="1" applyFill="1" applyAlignment="1">
      <alignment vertical="top"/>
    </xf>
    <xf numFmtId="0" fontId="20" fillId="4" borderId="44" xfId="0" quotePrefix="1" applyFont="1" applyFill="1" applyBorder="1" applyAlignment="1">
      <alignment horizontal="left" vertical="top"/>
    </xf>
    <xf numFmtId="0" fontId="19" fillId="4" borderId="47" xfId="0" applyFont="1" applyFill="1" applyBorder="1" applyAlignment="1">
      <alignment horizontal="left" vertical="top" indent="4"/>
    </xf>
    <xf numFmtId="0" fontId="19" fillId="4" borderId="51" xfId="0" applyFont="1" applyFill="1" applyBorder="1" applyAlignment="1">
      <alignment horizontal="left" vertical="top" indent="2"/>
    </xf>
    <xf numFmtId="0" fontId="11" fillId="4" borderId="52" xfId="0" quotePrefix="1" applyFont="1" applyFill="1" applyBorder="1" applyAlignment="1">
      <alignment vertical="top"/>
    </xf>
    <xf numFmtId="0" fontId="11" fillId="4" borderId="53" xfId="0" quotePrefix="1" applyFont="1" applyFill="1" applyBorder="1" applyAlignment="1">
      <alignment horizontal="left" vertical="top"/>
    </xf>
    <xf numFmtId="0" fontId="3" fillId="4" borderId="54" xfId="0" applyFont="1" applyFill="1" applyBorder="1" applyAlignment="1">
      <alignment vertical="top"/>
    </xf>
    <xf numFmtId="0" fontId="3" fillId="4" borderId="55" xfId="0" applyFont="1" applyFill="1" applyBorder="1" applyAlignment="1">
      <alignment vertical="top"/>
    </xf>
    <xf numFmtId="0" fontId="18" fillId="4" borderId="47" xfId="0" applyFont="1" applyFill="1" applyBorder="1" applyAlignment="1">
      <alignment horizontal="left"/>
    </xf>
    <xf numFmtId="0" fontId="11" fillId="4" borderId="43" xfId="0" quotePrefix="1" applyFont="1" applyFill="1" applyBorder="1"/>
    <xf numFmtId="0" fontId="11" fillId="4" borderId="44" xfId="0" quotePrefix="1" applyFont="1" applyFill="1" applyBorder="1" applyAlignment="1">
      <alignment horizontal="left"/>
    </xf>
    <xf numFmtId="0" fontId="3" fillId="4" borderId="0" xfId="0" applyFont="1" applyFill="1"/>
    <xf numFmtId="0" fontId="3" fillId="4" borderId="6" xfId="0" applyFont="1" applyFill="1" applyBorder="1"/>
    <xf numFmtId="0" fontId="0" fillId="0" borderId="0" xfId="0" quotePrefix="1" applyAlignment="1">
      <alignment horizontal="left"/>
    </xf>
    <xf numFmtId="0" fontId="11" fillId="4" borderId="56" xfId="0" quotePrefix="1" applyFont="1" applyFill="1" applyBorder="1" applyAlignment="1">
      <alignment horizontal="left" vertical="top"/>
    </xf>
    <xf numFmtId="0" fontId="3" fillId="4" borderId="46" xfId="0" applyFont="1" applyFill="1" applyBorder="1" applyAlignment="1">
      <alignment vertical="top"/>
    </xf>
    <xf numFmtId="0" fontId="3" fillId="4" borderId="50" xfId="0" applyFont="1" applyFill="1" applyBorder="1" applyAlignment="1">
      <alignment vertical="top"/>
    </xf>
    <xf numFmtId="0" fontId="4" fillId="4" borderId="43" xfId="0" quotePrefix="1" applyFont="1" applyFill="1" applyBorder="1" applyAlignment="1">
      <alignment horizontal="center" vertical="top"/>
    </xf>
    <xf numFmtId="0" fontId="20" fillId="4" borderId="43" xfId="0" quotePrefix="1" applyFont="1" applyFill="1" applyBorder="1" applyAlignment="1">
      <alignment horizontal="left" vertical="top" indent="3"/>
    </xf>
    <xf numFmtId="0" fontId="19" fillId="4" borderId="3" xfId="0" applyFont="1" applyFill="1" applyBorder="1" applyAlignment="1">
      <alignment horizontal="left" vertical="top" indent="2"/>
    </xf>
    <xf numFmtId="0" fontId="11" fillId="4" borderId="57" xfId="0" quotePrefix="1" applyFont="1" applyFill="1" applyBorder="1" applyAlignment="1">
      <alignment vertical="top"/>
    </xf>
    <xf numFmtId="0" fontId="11" fillId="4" borderId="57" xfId="0" quotePrefix="1" applyFont="1" applyFill="1" applyBorder="1" applyAlignment="1">
      <alignment horizontal="left" vertical="top"/>
    </xf>
    <xf numFmtId="0" fontId="3" fillId="4" borderId="28" xfId="0" applyFont="1" applyFill="1" applyBorder="1" applyAlignment="1">
      <alignment vertical="top"/>
    </xf>
    <xf numFmtId="0" fontId="3" fillId="4" borderId="58" xfId="0" applyFont="1" applyFill="1" applyBorder="1" applyAlignment="1">
      <alignment vertical="top"/>
    </xf>
    <xf numFmtId="0" fontId="18" fillId="4" borderId="59" xfId="0" applyFont="1" applyFill="1" applyBorder="1" applyAlignment="1">
      <alignment horizontal="left" vertical="top" indent="1"/>
    </xf>
    <xf numFmtId="0" fontId="3" fillId="4" borderId="60" xfId="0" applyFont="1" applyFill="1" applyBorder="1" applyAlignment="1">
      <alignment vertical="top"/>
    </xf>
    <xf numFmtId="0" fontId="3" fillId="4" borderId="61" xfId="0" applyFont="1" applyFill="1" applyBorder="1" applyAlignment="1">
      <alignment vertical="top"/>
    </xf>
    <xf numFmtId="0" fontId="14" fillId="4" borderId="44" xfId="0" applyFont="1" applyFill="1" applyBorder="1" applyAlignment="1">
      <alignment horizontal="left" vertical="top" indent="3"/>
    </xf>
    <xf numFmtId="0" fontId="11" fillId="4" borderId="62" xfId="0" quotePrefix="1" applyFont="1" applyFill="1" applyBorder="1" applyAlignment="1">
      <alignment horizontal="left" vertical="top"/>
    </xf>
    <xf numFmtId="0" fontId="11" fillId="4" borderId="28" xfId="0" quotePrefix="1" applyFont="1" applyFill="1" applyBorder="1" applyAlignment="1">
      <alignment horizontal="left" vertical="top" indent="1"/>
    </xf>
    <xf numFmtId="0" fontId="1" fillId="4" borderId="43" xfId="0" quotePrefix="1" applyFont="1" applyFill="1" applyBorder="1" applyAlignment="1">
      <alignment horizontal="center" vertical="top"/>
    </xf>
    <xf numFmtId="0" fontId="11" fillId="4" borderId="0" xfId="0" quotePrefix="1" applyFont="1" applyFill="1" applyAlignment="1">
      <alignment horizontal="left" vertical="top" indent="1"/>
    </xf>
    <xf numFmtId="0" fontId="23" fillId="4" borderId="44" xfId="0" quotePrefix="1" applyFont="1" applyFill="1" applyBorder="1" applyAlignment="1">
      <alignment vertical="top"/>
    </xf>
    <xf numFmtId="0" fontId="16" fillId="4" borderId="29" xfId="0" quotePrefix="1" applyFont="1" applyFill="1" applyBorder="1" applyAlignment="1">
      <alignment vertical="top"/>
    </xf>
    <xf numFmtId="0" fontId="4" fillId="4" borderId="63" xfId="0" applyFont="1" applyFill="1" applyBorder="1" applyAlignment="1">
      <alignment vertical="top"/>
    </xf>
    <xf numFmtId="0" fontId="4" fillId="4" borderId="64" xfId="0" applyFont="1" applyFill="1" applyBorder="1" applyAlignment="1">
      <alignment horizontal="center" vertical="top"/>
    </xf>
    <xf numFmtId="0" fontId="11" fillId="4" borderId="64" xfId="0" quotePrefix="1" applyFont="1" applyFill="1" applyBorder="1" applyAlignment="1">
      <alignment horizontal="left" vertical="top"/>
    </xf>
    <xf numFmtId="0" fontId="3" fillId="4" borderId="65" xfId="0" applyFont="1" applyFill="1" applyBorder="1" applyAlignment="1">
      <alignment vertical="top"/>
    </xf>
    <xf numFmtId="0" fontId="3" fillId="4" borderId="66" xfId="0" applyFont="1" applyFill="1" applyBorder="1" applyAlignment="1">
      <alignment vertical="top"/>
    </xf>
    <xf numFmtId="0" fontId="3" fillId="4" borderId="67" xfId="0" applyFont="1" applyFill="1" applyBorder="1" applyAlignment="1">
      <alignment vertical="top"/>
    </xf>
    <xf numFmtId="0" fontId="4" fillId="4" borderId="68" xfId="0" applyFont="1" applyFill="1" applyBorder="1" applyAlignment="1">
      <alignment vertical="top"/>
    </xf>
    <xf numFmtId="0" fontId="11" fillId="4" borderId="69" xfId="0" quotePrefix="1" applyFont="1" applyFill="1" applyBorder="1" applyAlignment="1">
      <alignment horizontal="left" vertical="top"/>
    </xf>
    <xf numFmtId="0" fontId="11" fillId="4" borderId="70" xfId="0" quotePrefix="1" applyFont="1" applyFill="1" applyBorder="1" applyAlignment="1">
      <alignment vertical="top"/>
    </xf>
    <xf numFmtId="0" fontId="3" fillId="4" borderId="71" xfId="0" applyFont="1" applyFill="1" applyBorder="1" applyAlignment="1">
      <alignment vertical="top"/>
    </xf>
    <xf numFmtId="0" fontId="3" fillId="4" borderId="72" xfId="0" applyFont="1" applyFill="1" applyBorder="1" applyAlignment="1">
      <alignment vertical="top"/>
    </xf>
    <xf numFmtId="0" fontId="11" fillId="4" borderId="38" xfId="0" applyFont="1" applyFill="1" applyBorder="1" applyAlignment="1">
      <alignment vertical="top"/>
    </xf>
    <xf numFmtId="0" fontId="11" fillId="4" borderId="73" xfId="0" applyFont="1" applyFill="1" applyBorder="1" applyAlignment="1">
      <alignment vertical="top"/>
    </xf>
    <xf numFmtId="0" fontId="11" fillId="4" borderId="74" xfId="0" applyFont="1" applyFill="1" applyBorder="1" applyAlignment="1">
      <alignment vertical="top"/>
    </xf>
    <xf numFmtId="0" fontId="4" fillId="4" borderId="75" xfId="0" applyFont="1" applyFill="1" applyBorder="1" applyAlignment="1">
      <alignment horizontal="left" vertical="top" indent="2"/>
    </xf>
    <xf numFmtId="0" fontId="4" fillId="4" borderId="76" xfId="0" applyFont="1" applyFill="1" applyBorder="1" applyAlignment="1">
      <alignment horizontal="center" vertical="top"/>
    </xf>
    <xf numFmtId="0" fontId="11" fillId="4" borderId="76" xfId="0" quotePrefix="1" applyFont="1" applyFill="1" applyBorder="1" applyAlignment="1">
      <alignment vertical="top"/>
    </xf>
    <xf numFmtId="0" fontId="11" fillId="4" borderId="76" xfId="0" applyFont="1" applyFill="1" applyBorder="1" applyAlignment="1">
      <alignment vertical="top"/>
    </xf>
    <xf numFmtId="0" fontId="11" fillId="4" borderId="77" xfId="0" applyFont="1" applyFill="1" applyBorder="1" applyAlignment="1">
      <alignment vertical="top"/>
    </xf>
    <xf numFmtId="0" fontId="4" fillId="4" borderId="3" xfId="0" applyFont="1" applyFill="1" applyBorder="1" applyAlignment="1">
      <alignment horizontal="left" vertical="top" indent="2"/>
    </xf>
    <xf numFmtId="0" fontId="4" fillId="4" borderId="57" xfId="0" applyFont="1" applyFill="1" applyBorder="1" applyAlignment="1">
      <alignment horizontal="center" vertical="top"/>
    </xf>
    <xf numFmtId="0" fontId="11" fillId="4" borderId="57" xfId="0" applyFont="1" applyFill="1" applyBorder="1" applyAlignment="1">
      <alignment vertical="top"/>
    </xf>
    <xf numFmtId="0" fontId="11" fillId="4" borderId="78" xfId="0" applyFont="1" applyFill="1" applyBorder="1" applyAlignment="1">
      <alignment vertical="top"/>
    </xf>
    <xf numFmtId="0" fontId="4" fillId="4" borderId="79" xfId="0" applyFont="1" applyFill="1" applyBorder="1" applyAlignment="1">
      <alignment vertical="top"/>
    </xf>
    <xf numFmtId="0" fontId="4" fillId="4" borderId="23" xfId="0" quotePrefix="1" applyFont="1" applyFill="1" applyBorder="1" applyAlignment="1">
      <alignment horizontal="center" vertical="center"/>
    </xf>
    <xf numFmtId="0" fontId="11" fillId="4" borderId="23" xfId="0" quotePrefix="1" applyFont="1" applyFill="1" applyBorder="1" applyAlignment="1">
      <alignment vertical="top"/>
    </xf>
    <xf numFmtId="0" fontId="15" fillId="4" borderId="80" xfId="0" quotePrefix="1" applyFont="1" applyFill="1" applyBorder="1" applyAlignment="1">
      <alignment vertical="top"/>
    </xf>
    <xf numFmtId="0" fontId="16" fillId="4" borderId="19" xfId="0" applyFont="1" applyFill="1" applyBorder="1" applyAlignment="1">
      <alignment vertical="top"/>
    </xf>
    <xf numFmtId="0" fontId="16" fillId="4" borderId="20" xfId="0" applyFont="1" applyFill="1" applyBorder="1" applyAlignment="1">
      <alignment vertical="top"/>
    </xf>
    <xf numFmtId="0" fontId="24" fillId="5" borderId="0" xfId="0" applyFont="1" applyFill="1"/>
    <xf numFmtId="0" fontId="25" fillId="5" borderId="0" xfId="0" applyFont="1" applyFill="1" applyAlignment="1">
      <alignment horizontal="center"/>
    </xf>
    <xf numFmtId="0" fontId="26" fillId="5" borderId="0" xfId="0" quotePrefix="1" applyFont="1" applyFill="1"/>
    <xf numFmtId="0" fontId="3" fillId="5" borderId="0" xfId="0" applyFont="1" applyFill="1"/>
    <xf numFmtId="0" fontId="3" fillId="9" borderId="23" xfId="0" applyFont="1" applyFill="1" applyBorder="1"/>
    <xf numFmtId="0" fontId="4" fillId="15" borderId="42" xfId="0" applyFont="1" applyFill="1" applyBorder="1" applyAlignment="1">
      <alignment vertical="top"/>
    </xf>
    <xf numFmtId="0" fontId="23" fillId="15" borderId="38" xfId="0" quotePrefix="1" applyFont="1" applyFill="1" applyBorder="1" applyAlignment="1">
      <alignment vertical="top"/>
    </xf>
    <xf numFmtId="0" fontId="11" fillId="15" borderId="38" xfId="0" quotePrefix="1" applyFont="1" applyFill="1" applyBorder="1" applyAlignment="1">
      <alignment vertical="top"/>
    </xf>
    <xf numFmtId="0" fontId="11" fillId="15" borderId="38" xfId="0" applyFont="1" applyFill="1" applyBorder="1" applyAlignment="1">
      <alignment vertical="top"/>
    </xf>
    <xf numFmtId="0" fontId="11" fillId="15" borderId="73" xfId="0" applyFont="1" applyFill="1" applyBorder="1" applyAlignment="1">
      <alignment vertical="top"/>
    </xf>
    <xf numFmtId="0" fontId="4" fillId="15" borderId="17" xfId="0" applyFont="1" applyFill="1" applyBorder="1" applyAlignment="1">
      <alignment horizontal="left" vertical="top" indent="2"/>
    </xf>
    <xf numFmtId="0" fontId="1" fillId="15" borderId="10" xfId="0" applyFont="1" applyFill="1" applyBorder="1" applyAlignment="1">
      <alignment horizontal="center" vertical="top"/>
    </xf>
    <xf numFmtId="0" fontId="1" fillId="15" borderId="10" xfId="0" quotePrefix="1" applyFont="1" applyFill="1" applyBorder="1" applyAlignment="1">
      <alignment vertical="top"/>
    </xf>
    <xf numFmtId="0" fontId="4" fillId="15" borderId="10" xfId="0" quotePrefix="1" applyFont="1" applyFill="1" applyBorder="1" applyAlignment="1">
      <alignment vertical="top"/>
    </xf>
    <xf numFmtId="0" fontId="4" fillId="15" borderId="10" xfId="0" applyFont="1" applyFill="1" applyBorder="1" applyAlignment="1">
      <alignment vertical="top"/>
    </xf>
    <xf numFmtId="0" fontId="4" fillId="15" borderId="74" xfId="0" applyFont="1" applyFill="1" applyBorder="1" applyAlignment="1">
      <alignment vertical="top"/>
    </xf>
    <xf numFmtId="0" fontId="4" fillId="15" borderId="10" xfId="0" applyFont="1" applyFill="1" applyBorder="1" applyAlignment="1">
      <alignment horizontal="center" vertical="top"/>
    </xf>
    <xf numFmtId="0" fontId="23" fillId="15" borderId="10" xfId="0" quotePrefix="1" applyFont="1" applyFill="1" applyBorder="1" applyAlignment="1">
      <alignment vertical="top"/>
    </xf>
    <xf numFmtId="0" fontId="11" fillId="15" borderId="10" xfId="0" quotePrefix="1" applyFont="1" applyFill="1" applyBorder="1" applyAlignment="1">
      <alignment vertical="top"/>
    </xf>
    <xf numFmtId="0" fontId="11" fillId="15" borderId="10" xfId="0" applyFont="1" applyFill="1" applyBorder="1" applyAlignment="1">
      <alignment vertical="top"/>
    </xf>
    <xf numFmtId="0" fontId="11" fillId="15" borderId="74" xfId="0" applyFont="1" applyFill="1" applyBorder="1" applyAlignment="1">
      <alignment vertical="top"/>
    </xf>
    <xf numFmtId="0" fontId="4" fillId="15" borderId="81" xfId="0" applyFont="1" applyFill="1" applyBorder="1" applyAlignment="1">
      <alignment horizontal="left" vertical="top" indent="2"/>
    </xf>
    <xf numFmtId="0" fontId="4" fillId="15" borderId="82" xfId="0" applyFont="1" applyFill="1" applyBorder="1" applyAlignment="1">
      <alignment horizontal="center" vertical="top"/>
    </xf>
    <xf numFmtId="0" fontId="23" fillId="15" borderId="82" xfId="0" quotePrefix="1" applyFont="1" applyFill="1" applyBorder="1" applyAlignment="1">
      <alignment vertical="top"/>
    </xf>
    <xf numFmtId="0" fontId="11" fillId="15" borderId="82" xfId="0" quotePrefix="1" applyFont="1" applyFill="1" applyBorder="1" applyAlignment="1">
      <alignment vertical="top"/>
    </xf>
    <xf numFmtId="0" fontId="11" fillId="15" borderId="82" xfId="0" applyFont="1" applyFill="1" applyBorder="1" applyAlignment="1">
      <alignment vertical="top"/>
    </xf>
    <xf numFmtId="0" fontId="11" fillId="15" borderId="83" xfId="0" applyFont="1" applyFill="1" applyBorder="1" applyAlignment="1">
      <alignment vertical="top"/>
    </xf>
    <xf numFmtId="0" fontId="4" fillId="15" borderId="18" xfId="0" applyFont="1" applyFill="1" applyBorder="1" applyAlignment="1">
      <alignment horizontal="left" vertical="top" indent="2"/>
    </xf>
    <xf numFmtId="0" fontId="4" fillId="15" borderId="11" xfId="0" applyFont="1" applyFill="1" applyBorder="1" applyAlignment="1">
      <alignment horizontal="center" vertical="top"/>
    </xf>
    <xf numFmtId="0" fontId="23" fillId="15" borderId="11" xfId="0" quotePrefix="1" applyFont="1" applyFill="1" applyBorder="1" applyAlignment="1">
      <alignment vertical="top"/>
    </xf>
    <xf numFmtId="0" fontId="11" fillId="15" borderId="11" xfId="0" quotePrefix="1" applyFont="1" applyFill="1" applyBorder="1" applyAlignment="1">
      <alignment vertical="top"/>
    </xf>
    <xf numFmtId="0" fontId="11" fillId="15" borderId="11" xfId="0" applyFont="1" applyFill="1" applyBorder="1" applyAlignment="1">
      <alignment vertical="top"/>
    </xf>
    <xf numFmtId="0" fontId="11" fillId="15" borderId="84" xfId="0" applyFont="1" applyFill="1" applyBorder="1" applyAlignment="1">
      <alignment vertical="top"/>
    </xf>
    <xf numFmtId="164" fontId="0" fillId="10" borderId="74" xfId="0" applyNumberFormat="1" applyFill="1" applyBorder="1" applyAlignment="1" applyProtection="1">
      <alignment horizontal="right"/>
      <protection locked="0"/>
    </xf>
    <xf numFmtId="0" fontId="27" fillId="6" borderId="0" xfId="0" applyFont="1" applyFill="1"/>
    <xf numFmtId="0" fontId="28" fillId="16" borderId="12" xfId="0" applyFont="1" applyFill="1" applyBorder="1" applyAlignment="1">
      <alignment vertical="center"/>
    </xf>
    <xf numFmtId="0" fontId="28" fillId="16" borderId="19" xfId="0" applyFont="1" applyFill="1" applyBorder="1" applyAlignment="1">
      <alignment vertical="center"/>
    </xf>
    <xf numFmtId="0" fontId="28" fillId="16" borderId="20" xfId="0" applyFont="1" applyFill="1" applyBorder="1" applyAlignment="1">
      <alignment vertical="center"/>
    </xf>
    <xf numFmtId="0" fontId="1" fillId="9" borderId="12" xfId="0" applyFont="1" applyFill="1" applyBorder="1" applyAlignment="1">
      <alignment vertical="center"/>
    </xf>
    <xf numFmtId="0" fontId="1" fillId="9" borderId="19" xfId="0" applyFont="1" applyFill="1" applyBorder="1" applyAlignment="1">
      <alignment vertical="center"/>
    </xf>
    <xf numFmtId="0" fontId="1" fillId="9" borderId="20" xfId="0" applyFont="1" applyFill="1" applyBorder="1" applyAlignment="1">
      <alignment vertical="center"/>
    </xf>
    <xf numFmtId="0" fontId="0" fillId="6" borderId="0" xfId="0" applyFill="1"/>
    <xf numFmtId="0" fontId="29" fillId="6" borderId="0" xfId="0" applyFont="1" applyFill="1"/>
    <xf numFmtId="0" fontId="29" fillId="0" borderId="0" xfId="0" applyFont="1"/>
    <xf numFmtId="164" fontId="0" fillId="10" borderId="85" xfId="0" applyNumberFormat="1" applyFill="1" applyBorder="1" applyAlignment="1" applyProtection="1">
      <alignment horizontal="right"/>
      <protection locked="0"/>
    </xf>
    <xf numFmtId="164" fontId="0" fillId="10" borderId="13" xfId="0" applyNumberFormat="1" applyFill="1" applyBorder="1" applyAlignment="1" applyProtection="1">
      <alignment horizontal="right"/>
      <protection locked="0"/>
    </xf>
    <xf numFmtId="164" fontId="0" fillId="10" borderId="86" xfId="0" applyNumberFormat="1" applyFill="1" applyBorder="1" applyAlignment="1" applyProtection="1">
      <alignment horizontal="right"/>
      <protection locked="0"/>
    </xf>
    <xf numFmtId="164" fontId="0" fillId="10" borderId="87" xfId="0" applyNumberFormat="1" applyFill="1" applyBorder="1" applyAlignment="1" applyProtection="1">
      <alignment horizontal="right"/>
      <protection locked="0"/>
    </xf>
    <xf numFmtId="164" fontId="0" fillId="10" borderId="10" xfId="0" applyNumberFormat="1" applyFill="1" applyBorder="1" applyAlignment="1" applyProtection="1">
      <alignment horizontal="right"/>
      <protection locked="0"/>
    </xf>
    <xf numFmtId="164" fontId="0" fillId="10" borderId="88" xfId="0" applyNumberFormat="1" applyFill="1" applyBorder="1" applyAlignment="1" applyProtection="1">
      <alignment horizontal="right"/>
      <protection locked="0"/>
    </xf>
    <xf numFmtId="164" fontId="0" fillId="10" borderId="11" xfId="0" applyNumberFormat="1" applyFill="1" applyBorder="1" applyAlignment="1" applyProtection="1">
      <alignment horizontal="right"/>
      <protection locked="0"/>
    </xf>
    <xf numFmtId="0" fontId="1" fillId="9" borderId="28" xfId="0" applyFont="1" applyFill="1" applyBorder="1" applyAlignment="1">
      <alignment vertical="center"/>
    </xf>
    <xf numFmtId="164" fontId="0" fillId="10" borderId="89" xfId="0" applyNumberFormat="1" applyFill="1" applyBorder="1" applyAlignment="1" applyProtection="1">
      <alignment horizontal="right"/>
      <protection locked="0"/>
    </xf>
    <xf numFmtId="164" fontId="0" fillId="10" borderId="90" xfId="0" applyNumberFormat="1" applyFill="1" applyBorder="1" applyAlignment="1" applyProtection="1">
      <alignment horizontal="right"/>
      <protection locked="0"/>
    </xf>
    <xf numFmtId="164" fontId="0" fillId="10" borderId="91"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164" fontId="0" fillId="10" borderId="93" xfId="0" applyNumberFormat="1" applyFill="1" applyBorder="1" applyAlignment="1" applyProtection="1">
      <alignment horizontal="right"/>
      <protection locked="0"/>
    </xf>
    <xf numFmtId="164" fontId="0" fillId="10" borderId="94" xfId="0" applyNumberFormat="1" applyFill="1" applyBorder="1" applyAlignment="1" applyProtection="1">
      <alignment horizontal="right"/>
      <protection locked="0"/>
    </xf>
    <xf numFmtId="164" fontId="0" fillId="10" borderId="95" xfId="0" applyNumberFormat="1" applyFill="1" applyBorder="1" applyAlignment="1" applyProtection="1">
      <alignment horizontal="right"/>
      <protection locked="0"/>
    </xf>
    <xf numFmtId="164" fontId="0" fillId="10" borderId="96" xfId="0" applyNumberFormat="1" applyFill="1" applyBorder="1" applyAlignment="1" applyProtection="1">
      <alignment horizontal="right"/>
      <protection locked="0"/>
    </xf>
    <xf numFmtId="164" fontId="0" fillId="10" borderId="97" xfId="0" applyNumberFormat="1" applyFill="1" applyBorder="1" applyAlignment="1" applyProtection="1">
      <alignment horizontal="right"/>
      <protection locked="0"/>
    </xf>
    <xf numFmtId="164" fontId="0" fillId="10" borderId="98" xfId="0" applyNumberFormat="1" applyFill="1" applyBorder="1" applyAlignment="1" applyProtection="1">
      <alignment horizontal="right"/>
      <protection locked="0"/>
    </xf>
    <xf numFmtId="164" fontId="0" fillId="10" borderId="99" xfId="0" applyNumberFormat="1" applyFill="1" applyBorder="1" applyAlignment="1" applyProtection="1">
      <alignment horizontal="right"/>
      <protection locked="0"/>
    </xf>
    <xf numFmtId="164" fontId="0" fillId="10" borderId="100" xfId="0" applyNumberFormat="1" applyFill="1" applyBorder="1" applyAlignment="1" applyProtection="1">
      <alignment horizontal="right"/>
      <protection locked="0"/>
    </xf>
    <xf numFmtId="164" fontId="0" fillId="10" borderId="101" xfId="0" applyNumberFormat="1" applyFill="1" applyBorder="1" applyAlignment="1" applyProtection="1">
      <alignment horizontal="right"/>
      <protection locked="0"/>
    </xf>
    <xf numFmtId="164" fontId="0" fillId="10" borderId="102" xfId="0" applyNumberFormat="1" applyFill="1" applyBorder="1" applyAlignment="1" applyProtection="1">
      <alignment horizontal="right"/>
      <protection locked="0"/>
    </xf>
    <xf numFmtId="164" fontId="0" fillId="10" borderId="103" xfId="0" applyNumberFormat="1" applyFill="1" applyBorder="1" applyAlignment="1" applyProtection="1">
      <alignment horizontal="right"/>
      <protection locked="0"/>
    </xf>
    <xf numFmtId="164" fontId="0" fillId="10" borderId="104" xfId="0" applyNumberFormat="1" applyFill="1" applyBorder="1" applyAlignment="1" applyProtection="1">
      <alignment horizontal="right"/>
      <protection locked="0"/>
    </xf>
    <xf numFmtId="164" fontId="0" fillId="10" borderId="105" xfId="0" applyNumberFormat="1" applyFill="1" applyBorder="1" applyAlignment="1" applyProtection="1">
      <alignment horizontal="right"/>
      <protection locked="0"/>
    </xf>
    <xf numFmtId="164" fontId="0" fillId="10" borderId="106" xfId="0" applyNumberFormat="1" applyFill="1" applyBorder="1" applyAlignment="1" applyProtection="1">
      <alignment horizontal="right"/>
      <protection locked="0"/>
    </xf>
    <xf numFmtId="164" fontId="0" fillId="10" borderId="107" xfId="0" applyNumberFormat="1" applyFill="1" applyBorder="1" applyAlignment="1" applyProtection="1">
      <alignment horizontal="right"/>
      <protection locked="0"/>
    </xf>
    <xf numFmtId="164" fontId="0" fillId="10" borderId="108" xfId="0" applyNumberFormat="1" applyFill="1" applyBorder="1" applyAlignment="1" applyProtection="1">
      <alignment horizontal="right"/>
      <protection locked="0"/>
    </xf>
    <xf numFmtId="164" fontId="0" fillId="10" borderId="109" xfId="0" applyNumberFormat="1" applyFill="1" applyBorder="1" applyAlignment="1" applyProtection="1">
      <alignment horizontal="right"/>
      <protection locked="0"/>
    </xf>
    <xf numFmtId="164" fontId="0" fillId="10" borderId="14" xfId="0" applyNumberFormat="1" applyFill="1" applyBorder="1" applyAlignment="1" applyProtection="1">
      <alignment horizontal="right"/>
      <protection locked="0"/>
    </xf>
    <xf numFmtId="164" fontId="0" fillId="10" borderId="110" xfId="0" applyNumberFormat="1" applyFill="1" applyBorder="1" applyAlignment="1" applyProtection="1">
      <alignment horizontal="right"/>
      <protection locked="0"/>
    </xf>
    <xf numFmtId="164" fontId="0" fillId="10" borderId="111" xfId="0" applyNumberFormat="1" applyFill="1" applyBorder="1" applyAlignment="1" applyProtection="1">
      <alignment horizontal="right"/>
      <protection locked="0"/>
    </xf>
    <xf numFmtId="0" fontId="7" fillId="8" borderId="112" xfId="0" applyFont="1" applyFill="1" applyBorder="1" applyAlignment="1">
      <alignment vertical="center"/>
    </xf>
    <xf numFmtId="0" fontId="30" fillId="6" borderId="0" xfId="0" applyFont="1" applyFill="1"/>
    <xf numFmtId="0" fontId="30" fillId="0" borderId="0" xfId="0" applyFont="1"/>
    <xf numFmtId="0" fontId="4" fillId="6" borderId="0" xfId="0" applyFont="1" applyFill="1"/>
    <xf numFmtId="49" fontId="4" fillId="17" borderId="113" xfId="0" applyNumberFormat="1" applyFont="1" applyFill="1" applyBorder="1" applyAlignment="1" applyProtection="1">
      <alignment horizontal="left" vertical="top" wrapText="1"/>
      <protection locked="0"/>
    </xf>
    <xf numFmtId="49" fontId="4" fillId="17" borderId="114" xfId="0" applyNumberFormat="1" applyFont="1" applyFill="1" applyBorder="1" applyAlignment="1" applyProtection="1">
      <alignment horizontal="left" vertical="top" wrapText="1"/>
      <protection locked="0"/>
    </xf>
    <xf numFmtId="49" fontId="4" fillId="17" borderId="115" xfId="0" applyNumberFormat="1" applyFont="1" applyFill="1" applyBorder="1" applyAlignment="1" applyProtection="1">
      <alignment horizontal="left" vertical="top" wrapText="1"/>
      <protection locked="0"/>
    </xf>
    <xf numFmtId="165" fontId="1" fillId="3" borderId="12" xfId="0" applyNumberFormat="1" applyFont="1" applyFill="1" applyBorder="1" applyAlignment="1" applyProtection="1">
      <alignment horizontal="right" vertical="center"/>
      <protection locked="0"/>
    </xf>
    <xf numFmtId="165" fontId="1" fillId="3" borderId="19" xfId="0" applyNumberFormat="1" applyFont="1" applyFill="1" applyBorder="1" applyAlignment="1" applyProtection="1">
      <alignment horizontal="right" vertical="center"/>
      <protection locked="0"/>
    </xf>
    <xf numFmtId="165" fontId="1" fillId="3" borderId="20" xfId="0" applyNumberFormat="1" applyFont="1" applyFill="1" applyBorder="1" applyAlignment="1" applyProtection="1">
      <alignment horizontal="right" vertical="center"/>
      <protection locked="0"/>
    </xf>
    <xf numFmtId="164" fontId="0" fillId="10" borderId="116" xfId="0" applyNumberFormat="1" applyFill="1" applyBorder="1" applyAlignment="1" applyProtection="1">
      <alignment horizontal="right"/>
      <protection locked="0"/>
    </xf>
    <xf numFmtId="164" fontId="0" fillId="10" borderId="117" xfId="0" applyNumberFormat="1" applyFill="1" applyBorder="1" applyAlignment="1" applyProtection="1">
      <alignment horizontal="right"/>
      <protection locked="0"/>
    </xf>
    <xf numFmtId="164" fontId="0" fillId="10" borderId="118" xfId="0" applyNumberFormat="1" applyFill="1" applyBorder="1" applyAlignment="1" applyProtection="1">
      <alignment horizontal="right"/>
      <protection locked="0"/>
    </xf>
    <xf numFmtId="164" fontId="0" fillId="10" borderId="119" xfId="0" applyNumberFormat="1" applyFill="1" applyBorder="1" applyAlignment="1" applyProtection="1">
      <alignment horizontal="right"/>
      <protection locked="0"/>
    </xf>
    <xf numFmtId="164" fontId="0" fillId="10" borderId="120" xfId="0" applyNumberFormat="1" applyFill="1" applyBorder="1" applyAlignment="1" applyProtection="1">
      <alignment horizontal="right"/>
      <protection locked="0"/>
    </xf>
    <xf numFmtId="0" fontId="1" fillId="6" borderId="0" xfId="0" applyFont="1" applyFill="1"/>
    <xf numFmtId="0" fontId="0" fillId="0" borderId="121" xfId="0" applyBorder="1"/>
    <xf numFmtId="0" fontId="8" fillId="13" borderId="57" xfId="0" applyFont="1" applyFill="1" applyBorder="1" applyAlignment="1">
      <alignment horizontal="right" vertical="center" wrapText="1" indent="1"/>
    </xf>
    <xf numFmtId="0" fontId="8" fillId="14" borderId="57" xfId="0" applyFont="1" applyFill="1" applyBorder="1" applyAlignment="1">
      <alignment horizontal="right" vertical="center" wrapText="1" indent="1"/>
    </xf>
    <xf numFmtId="164" fontId="0" fillId="10" borderId="122" xfId="0" applyNumberFormat="1" applyFill="1" applyBorder="1" applyAlignment="1" applyProtection="1">
      <alignment horizontal="right"/>
      <protection locked="0"/>
    </xf>
    <xf numFmtId="0" fontId="0" fillId="6" borderId="0" xfId="0" applyFill="1" applyAlignment="1">
      <alignment vertical="center"/>
    </xf>
    <xf numFmtId="164" fontId="0" fillId="10" borderId="123" xfId="0" applyNumberFormat="1" applyFill="1" applyBorder="1" applyAlignment="1" applyProtection="1">
      <alignment horizontal="right"/>
      <protection locked="0"/>
    </xf>
    <xf numFmtId="164" fontId="0" fillId="10" borderId="124" xfId="0" applyNumberFormat="1" applyFill="1" applyBorder="1" applyAlignment="1" applyProtection="1">
      <alignment horizontal="right"/>
      <protection locked="0"/>
    </xf>
    <xf numFmtId="164" fontId="0" fillId="10" borderId="125" xfId="0" applyNumberFormat="1" applyFill="1" applyBorder="1" applyAlignment="1" applyProtection="1">
      <alignment horizontal="right"/>
      <protection locked="0"/>
    </xf>
    <xf numFmtId="0" fontId="8" fillId="18" borderId="126" xfId="0" applyFont="1" applyFill="1" applyBorder="1" applyAlignment="1">
      <alignment horizontal="right" vertical="center" wrapText="1" indent="1"/>
    </xf>
    <xf numFmtId="0" fontId="8" fillId="4" borderId="126" xfId="0" applyFont="1" applyFill="1" applyBorder="1" applyAlignment="1">
      <alignment horizontal="right" vertical="center" wrapText="1" indent="1"/>
    </xf>
    <xf numFmtId="0" fontId="27" fillId="0" borderId="0" xfId="0" applyFont="1"/>
    <xf numFmtId="0" fontId="4" fillId="6" borderId="127" xfId="0" applyFont="1" applyFill="1" applyBorder="1" applyAlignment="1">
      <alignment horizontal="left" vertical="center" wrapText="1" indent="1"/>
    </xf>
    <xf numFmtId="0" fontId="4" fillId="0" borderId="0" xfId="0" applyFont="1" applyAlignment="1">
      <alignment vertical="center"/>
    </xf>
    <xf numFmtId="0" fontId="0" fillId="0" borderId="58" xfId="0" applyBorder="1"/>
    <xf numFmtId="164" fontId="0" fillId="10" borderId="128" xfId="0" applyNumberFormat="1" applyFill="1" applyBorder="1" applyAlignment="1" applyProtection="1">
      <alignment horizontal="right"/>
      <protection locked="0"/>
    </xf>
    <xf numFmtId="164" fontId="0" fillId="10" borderId="129" xfId="0" applyNumberFormat="1" applyFill="1" applyBorder="1" applyAlignment="1" applyProtection="1">
      <alignment horizontal="right"/>
      <protection locked="0"/>
    </xf>
    <xf numFmtId="164" fontId="0" fillId="10" borderId="130" xfId="0" applyNumberFormat="1" applyFill="1" applyBorder="1" applyAlignment="1" applyProtection="1">
      <alignment horizontal="right"/>
      <protection locked="0"/>
    </xf>
    <xf numFmtId="165" fontId="1" fillId="3" borderId="131" xfId="0" applyNumberFormat="1" applyFont="1" applyFill="1" applyBorder="1" applyAlignment="1" applyProtection="1">
      <alignment horizontal="right" vertical="center"/>
      <protection locked="0"/>
    </xf>
    <xf numFmtId="164" fontId="0" fillId="10" borderId="132" xfId="0" applyNumberFormat="1" applyFill="1" applyBorder="1" applyAlignment="1" applyProtection="1">
      <alignment horizontal="right"/>
      <protection locked="0"/>
    </xf>
    <xf numFmtId="0" fontId="4" fillId="6" borderId="31" xfId="0" applyFont="1" applyFill="1" applyBorder="1" applyAlignment="1">
      <alignment horizontal="left" vertical="center" wrapText="1" indent="4"/>
    </xf>
    <xf numFmtId="0" fontId="4" fillId="6" borderId="133" xfId="0" applyFont="1" applyFill="1" applyBorder="1" applyAlignment="1">
      <alignment horizontal="left" vertical="center" wrapText="1" indent="4"/>
    </xf>
    <xf numFmtId="0" fontId="31" fillId="6" borderId="0" xfId="0" applyFont="1" applyFill="1"/>
    <xf numFmtId="0" fontId="10" fillId="0" borderId="0" xfId="0" applyFont="1"/>
    <xf numFmtId="0" fontId="10" fillId="6" borderId="0" xfId="0" applyFont="1" applyFill="1"/>
    <xf numFmtId="0" fontId="4" fillId="6" borderId="134" xfId="0" applyFont="1" applyFill="1" applyBorder="1" applyAlignment="1">
      <alignment horizontal="left" vertical="center" wrapText="1" indent="4"/>
    </xf>
    <xf numFmtId="0" fontId="32" fillId="0" borderId="0" xfId="0" applyFont="1"/>
    <xf numFmtId="164" fontId="0" fillId="10" borderId="135" xfId="0" applyNumberFormat="1" applyFill="1" applyBorder="1" applyAlignment="1" applyProtection="1">
      <alignment horizontal="right"/>
      <protection locked="0"/>
    </xf>
    <xf numFmtId="164" fontId="0" fillId="10" borderId="136" xfId="0" applyNumberFormat="1" applyFill="1" applyBorder="1" applyAlignment="1" applyProtection="1">
      <alignment horizontal="right"/>
      <protection locked="0"/>
    </xf>
    <xf numFmtId="164" fontId="0" fillId="10" borderId="137" xfId="0" applyNumberFormat="1" applyFill="1" applyBorder="1" applyAlignment="1" applyProtection="1">
      <alignment horizontal="right"/>
      <protection locked="0"/>
    </xf>
    <xf numFmtId="0" fontId="8" fillId="13" borderId="126" xfId="0" applyFont="1" applyFill="1" applyBorder="1" applyAlignment="1">
      <alignment horizontal="right" vertical="center" wrapText="1" indent="1"/>
    </xf>
    <xf numFmtId="0" fontId="8" fillId="14" borderId="126" xfId="0" applyFont="1" applyFill="1" applyBorder="1" applyAlignment="1">
      <alignment horizontal="right" vertical="center" wrapText="1" indent="1"/>
    </xf>
    <xf numFmtId="0" fontId="0" fillId="0" borderId="0" xfId="0" applyAlignment="1">
      <alignment wrapText="1"/>
    </xf>
    <xf numFmtId="0" fontId="33" fillId="6" borderId="0" xfId="0" applyFont="1" applyFill="1"/>
    <xf numFmtId="0" fontId="33" fillId="0" borderId="0" xfId="0" applyFont="1"/>
    <xf numFmtId="0" fontId="4" fillId="6" borderId="0" xfId="0" applyFont="1" applyFill="1" applyAlignment="1">
      <alignment horizontal="left"/>
    </xf>
    <xf numFmtId="0" fontId="4" fillId="6" borderId="0" xfId="0" applyFont="1" applyFill="1" applyAlignment="1">
      <alignment vertical="center"/>
    </xf>
    <xf numFmtId="0" fontId="4" fillId="6" borderId="138" xfId="0" applyFont="1" applyFill="1" applyBorder="1" applyAlignment="1">
      <alignment horizontal="left" vertical="center" wrapText="1" indent="1"/>
    </xf>
    <xf numFmtId="0" fontId="4" fillId="6" borderId="139" xfId="0" applyFont="1" applyFill="1" applyBorder="1" applyAlignment="1">
      <alignment horizontal="left" vertical="center" wrapText="1" indent="1"/>
    </xf>
    <xf numFmtId="0" fontId="4" fillId="6" borderId="140" xfId="0" applyFont="1" applyFill="1" applyBorder="1" applyAlignment="1">
      <alignment horizontal="left" vertical="center" wrapText="1" indent="1"/>
    </xf>
    <xf numFmtId="0" fontId="4" fillId="6" borderId="31" xfId="0" applyFont="1" applyFill="1" applyBorder="1" applyAlignment="1">
      <alignment horizontal="left" vertical="center" wrapText="1" indent="1"/>
    </xf>
    <xf numFmtId="0" fontId="1" fillId="6" borderId="0" xfId="0" applyFont="1" applyFill="1" applyAlignment="1">
      <alignment horizontal="center"/>
    </xf>
    <xf numFmtId="0" fontId="4" fillId="6" borderId="141" xfId="0" applyFont="1" applyFill="1" applyBorder="1" applyAlignment="1">
      <alignment horizontal="left" vertical="center" wrapText="1" indent="1"/>
    </xf>
    <xf numFmtId="0" fontId="4" fillId="6" borderId="140" xfId="0" applyFont="1" applyFill="1" applyBorder="1" applyAlignment="1">
      <alignment horizontal="left" vertical="center" indent="1"/>
    </xf>
    <xf numFmtId="0" fontId="4" fillId="6" borderId="142" xfId="0" applyFont="1" applyFill="1" applyBorder="1" applyAlignment="1">
      <alignment horizontal="left" vertical="center" indent="1"/>
    </xf>
    <xf numFmtId="0" fontId="0" fillId="6" borderId="0" xfId="0" applyFill="1" applyAlignment="1">
      <alignment horizontal="left"/>
    </xf>
    <xf numFmtId="0" fontId="34" fillId="0" borderId="0" xfId="0" applyFont="1" applyAlignment="1">
      <alignment horizontal="center"/>
    </xf>
    <xf numFmtId="0" fontId="4" fillId="6" borderId="73" xfId="0" applyFont="1" applyFill="1" applyBorder="1" applyAlignment="1">
      <alignment horizontal="left" vertical="center" wrapText="1" indent="1"/>
    </xf>
    <xf numFmtId="0" fontId="4" fillId="6" borderId="74" xfId="0" applyFont="1" applyFill="1" applyBorder="1" applyAlignment="1">
      <alignment horizontal="left" vertical="center" indent="1"/>
    </xf>
    <xf numFmtId="0" fontId="4" fillId="6" borderId="84" xfId="0" applyFont="1" applyFill="1" applyBorder="1" applyAlignment="1">
      <alignment horizontal="left" vertical="center" indent="1"/>
    </xf>
    <xf numFmtId="0" fontId="4" fillId="6" borderId="41" xfId="0" applyFont="1" applyFill="1" applyBorder="1" applyAlignment="1">
      <alignment horizontal="left" vertical="center" wrapText="1" indent="4"/>
    </xf>
    <xf numFmtId="0" fontId="4" fillId="6" borderId="140" xfId="0" applyFont="1" applyFill="1" applyBorder="1" applyAlignment="1">
      <alignment horizontal="left" vertical="center" wrapText="1" indent="4"/>
    </xf>
    <xf numFmtId="0" fontId="4" fillId="6" borderId="138" xfId="0" applyFont="1" applyFill="1" applyBorder="1" applyAlignment="1">
      <alignment horizontal="left" vertical="center" wrapText="1" indent="2"/>
    </xf>
    <xf numFmtId="0" fontId="4" fillId="6" borderId="139" xfId="0" applyFont="1" applyFill="1" applyBorder="1" applyAlignment="1">
      <alignment horizontal="left" vertical="center" wrapText="1" indent="2"/>
    </xf>
    <xf numFmtId="0" fontId="4" fillId="6" borderId="140" xfId="0" applyFont="1" applyFill="1" applyBorder="1" applyAlignment="1">
      <alignment horizontal="left" vertical="center" wrapText="1" indent="2"/>
    </xf>
    <xf numFmtId="0" fontId="4" fillId="6" borderId="31" xfId="0" applyFont="1" applyFill="1" applyBorder="1" applyAlignment="1">
      <alignment horizontal="left" vertical="center" wrapText="1" indent="2"/>
    </xf>
    <xf numFmtId="0" fontId="4" fillId="6" borderId="143" xfId="0" applyFont="1" applyFill="1" applyBorder="1" applyAlignment="1">
      <alignment horizontal="left" vertical="center" wrapText="1" indent="2"/>
    </xf>
    <xf numFmtId="0" fontId="4" fillId="6" borderId="34" xfId="0" applyFont="1" applyFill="1" applyBorder="1" applyAlignment="1">
      <alignment horizontal="left" vertical="center" wrapText="1" indent="2"/>
    </xf>
    <xf numFmtId="0" fontId="4" fillId="6" borderId="8" xfId="0" applyFont="1" applyFill="1" applyBorder="1" applyAlignment="1">
      <alignment horizontal="left" vertical="center" wrapText="1" indent="1"/>
    </xf>
    <xf numFmtId="0" fontId="4" fillId="6" borderId="144" xfId="0" applyFont="1" applyFill="1" applyBorder="1" applyAlignment="1">
      <alignment horizontal="left" vertical="center" wrapText="1" indent="1"/>
    </xf>
    <xf numFmtId="164" fontId="0" fillId="10" borderId="16" xfId="0" applyNumberFormat="1" applyFill="1" applyBorder="1" applyAlignment="1" applyProtection="1">
      <alignment horizontal="right"/>
      <protection locked="0"/>
    </xf>
    <xf numFmtId="164" fontId="0" fillId="10" borderId="145" xfId="0" applyNumberFormat="1" applyFill="1" applyBorder="1" applyAlignment="1" applyProtection="1">
      <alignment horizontal="right"/>
      <protection locked="0"/>
    </xf>
    <xf numFmtId="164" fontId="0" fillId="10" borderId="146" xfId="0" applyNumberFormat="1" applyFill="1" applyBorder="1" applyAlignment="1" applyProtection="1">
      <alignment horizontal="right"/>
      <protection locked="0"/>
    </xf>
    <xf numFmtId="164" fontId="0" fillId="10" borderId="147" xfId="0" applyNumberFormat="1" applyFill="1" applyBorder="1" applyAlignment="1" applyProtection="1">
      <alignment horizontal="right"/>
      <protection locked="0"/>
    </xf>
    <xf numFmtId="164" fontId="0" fillId="10" borderId="56" xfId="0" applyNumberFormat="1" applyFill="1" applyBorder="1" applyAlignment="1" applyProtection="1">
      <alignment horizontal="right"/>
      <protection locked="0"/>
    </xf>
    <xf numFmtId="164" fontId="0" fillId="10" borderId="148" xfId="0" applyNumberFormat="1" applyFill="1" applyBorder="1" applyAlignment="1" applyProtection="1">
      <alignment horizontal="right"/>
      <protection locked="0"/>
    </xf>
    <xf numFmtId="165" fontId="1" fillId="3" borderId="57" xfId="0" applyNumberFormat="1" applyFont="1" applyFill="1" applyBorder="1" applyAlignment="1" applyProtection="1">
      <alignment horizontal="right" vertical="center"/>
      <protection locked="0"/>
    </xf>
    <xf numFmtId="0" fontId="0" fillId="0" borderId="4" xfId="0" applyBorder="1"/>
    <xf numFmtId="0" fontId="35" fillId="6" borderId="0" xfId="0" applyFont="1" applyFill="1" applyAlignment="1">
      <alignment vertical="center"/>
    </xf>
    <xf numFmtId="0" fontId="0" fillId="6" borderId="0" xfId="0" applyFill="1" applyAlignment="1">
      <alignment vertical="top"/>
    </xf>
    <xf numFmtId="0" fontId="35" fillId="6" borderId="0" xfId="0" applyFont="1" applyFill="1" applyAlignment="1">
      <alignment vertical="top"/>
    </xf>
    <xf numFmtId="0" fontId="27" fillId="0" borderId="0" xfId="0" applyFont="1" applyAlignment="1">
      <alignment horizontal="right"/>
    </xf>
    <xf numFmtId="164" fontId="0" fillId="10" borderId="42" xfId="0" applyNumberFormat="1" applyFill="1" applyBorder="1" applyAlignment="1" applyProtection="1">
      <alignment horizontal="right"/>
      <protection locked="0"/>
    </xf>
    <xf numFmtId="164" fontId="0" fillId="10" borderId="38"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164" fontId="0" fillId="10" borderId="18" xfId="0" applyNumberFormat="1" applyFill="1" applyBorder="1" applyAlignment="1" applyProtection="1">
      <alignment horizontal="right"/>
      <protection locked="0"/>
    </xf>
    <xf numFmtId="167" fontId="13" fillId="0" borderId="0" xfId="0" applyNumberFormat="1" applyFont="1"/>
    <xf numFmtId="0" fontId="13" fillId="0" borderId="0" xfId="0" applyFont="1" applyAlignment="1">
      <alignment wrapText="1"/>
    </xf>
    <xf numFmtId="164" fontId="0" fillId="10" borderId="29" xfId="0" applyNumberFormat="1" applyFill="1" applyBorder="1" applyAlignment="1" applyProtection="1">
      <alignment horizontal="right"/>
      <protection locked="0"/>
    </xf>
    <xf numFmtId="164" fontId="0" fillId="10" borderId="81" xfId="0" applyNumberFormat="1" applyFill="1" applyBorder="1" applyAlignment="1" applyProtection="1">
      <alignment horizontal="right"/>
      <protection locked="0"/>
    </xf>
    <xf numFmtId="164" fontId="0" fillId="10" borderId="82" xfId="0" applyNumberFormat="1" applyFill="1" applyBorder="1" applyAlignment="1" applyProtection="1">
      <alignment horizontal="right"/>
      <protection locked="0"/>
    </xf>
    <xf numFmtId="164" fontId="0" fillId="10" borderId="149" xfId="0" applyNumberFormat="1" applyFill="1" applyBorder="1" applyAlignment="1" applyProtection="1">
      <alignment horizontal="right"/>
      <protection locked="0"/>
    </xf>
    <xf numFmtId="164" fontId="0" fillId="10" borderId="150" xfId="0" applyNumberFormat="1" applyFill="1" applyBorder="1" applyAlignment="1" applyProtection="1">
      <alignment horizontal="right"/>
      <protection locked="0"/>
    </xf>
    <xf numFmtId="0" fontId="4" fillId="0" borderId="0" xfId="0" applyFont="1" applyAlignment="1">
      <alignment wrapText="1"/>
    </xf>
    <xf numFmtId="0" fontId="0" fillId="6" borderId="0" xfId="0" applyFill="1" applyAlignment="1">
      <alignment wrapText="1"/>
    </xf>
    <xf numFmtId="0" fontId="1" fillId="9" borderId="151" xfId="0" applyFont="1" applyFill="1" applyBorder="1" applyAlignment="1">
      <alignment vertical="center"/>
    </xf>
    <xf numFmtId="0" fontId="1" fillId="9" borderId="152" xfId="0" applyFont="1" applyFill="1" applyBorder="1" applyAlignment="1">
      <alignment vertical="center"/>
    </xf>
    <xf numFmtId="0" fontId="4" fillId="6" borderId="0" xfId="0" applyFont="1" applyFill="1" applyAlignment="1">
      <alignment wrapText="1"/>
    </xf>
    <xf numFmtId="0" fontId="4" fillId="6" borderId="0" xfId="0" applyFont="1" applyFill="1" applyAlignment="1" applyProtection="1">
      <alignment horizontal="right" vertical="center" wrapText="1"/>
      <protection locked="0"/>
    </xf>
    <xf numFmtId="0" fontId="1" fillId="0" borderId="0" xfId="0" applyFont="1" applyAlignment="1">
      <alignment horizontal="center"/>
    </xf>
    <xf numFmtId="164" fontId="0" fillId="10" borderId="39" xfId="0" applyNumberFormat="1" applyFill="1" applyBorder="1" applyAlignment="1" applyProtection="1">
      <alignment horizontal="right"/>
      <protection locked="0"/>
    </xf>
    <xf numFmtId="164" fontId="0" fillId="10" borderId="32" xfId="0" applyNumberFormat="1" applyFill="1" applyBorder="1" applyAlignment="1" applyProtection="1">
      <alignment horizontal="right"/>
      <protection locked="0"/>
    </xf>
    <xf numFmtId="0" fontId="0" fillId="0" borderId="0" xfId="0" applyAlignment="1">
      <alignment vertical="center" wrapText="1"/>
    </xf>
    <xf numFmtId="0" fontId="8" fillId="4" borderId="153" xfId="0" applyFont="1" applyFill="1" applyBorder="1" applyAlignment="1">
      <alignment horizontal="right" vertical="center" wrapText="1" indent="1"/>
    </xf>
    <xf numFmtId="0" fontId="8" fillId="18" borderId="154" xfId="0" applyFont="1" applyFill="1" applyBorder="1" applyAlignment="1">
      <alignment horizontal="right" vertical="center" wrapText="1" indent="1"/>
    </xf>
    <xf numFmtId="0" fontId="10" fillId="19" borderId="0" xfId="0" applyFont="1" applyFill="1" applyAlignment="1">
      <alignment vertical="center"/>
    </xf>
    <xf numFmtId="164" fontId="0" fillId="10" borderId="155" xfId="0" applyNumberFormat="1" applyFill="1" applyBorder="1" applyAlignment="1" applyProtection="1">
      <alignment horizontal="right"/>
      <protection locked="0"/>
    </xf>
    <xf numFmtId="164" fontId="0" fillId="10" borderId="156" xfId="0" applyNumberFormat="1" applyFill="1" applyBorder="1" applyAlignment="1" applyProtection="1">
      <alignment horizontal="right"/>
      <protection locked="0"/>
    </xf>
    <xf numFmtId="0" fontId="8" fillId="14" borderId="3" xfId="0" applyFont="1" applyFill="1" applyBorder="1" applyAlignment="1">
      <alignment horizontal="right" vertical="center" wrapText="1" indent="1"/>
    </xf>
    <xf numFmtId="0" fontId="8" fillId="13" borderId="78" xfId="0" applyFont="1" applyFill="1" applyBorder="1" applyAlignment="1">
      <alignment horizontal="right" vertical="center" wrapText="1" indent="1"/>
    </xf>
    <xf numFmtId="164" fontId="0" fillId="10" borderId="157" xfId="0" applyNumberFormat="1" applyFill="1" applyBorder="1" applyAlignment="1" applyProtection="1">
      <alignment horizontal="right"/>
      <protection locked="0"/>
    </xf>
    <xf numFmtId="164" fontId="0" fillId="10" borderId="158" xfId="0" applyNumberFormat="1" applyFill="1" applyBorder="1" applyAlignment="1" applyProtection="1">
      <alignment horizontal="right"/>
      <protection locked="0"/>
    </xf>
    <xf numFmtId="164" fontId="0" fillId="10" borderId="159" xfId="0" applyNumberFormat="1" applyFill="1" applyBorder="1" applyAlignment="1" applyProtection="1">
      <alignment horizontal="right"/>
      <protection locked="0"/>
    </xf>
    <xf numFmtId="164" fontId="0" fillId="10" borderId="160" xfId="0" applyNumberFormat="1" applyFill="1" applyBorder="1" applyAlignment="1" applyProtection="1">
      <alignment horizontal="right"/>
      <protection locked="0"/>
    </xf>
    <xf numFmtId="0" fontId="36" fillId="6" borderId="0" xfId="0" applyFont="1" applyFill="1" applyAlignment="1">
      <alignment horizontal="right" vertical="center" indent="1"/>
    </xf>
    <xf numFmtId="0" fontId="36" fillId="6" borderId="0" xfId="0" applyFont="1" applyFill="1" applyAlignment="1">
      <alignment vertical="center"/>
    </xf>
    <xf numFmtId="0" fontId="37" fillId="6" borderId="0" xfId="0" applyFont="1" applyFill="1" applyAlignment="1">
      <alignment horizontal="right" indent="1"/>
    </xf>
    <xf numFmtId="0" fontId="1" fillId="9" borderId="161" xfId="0" applyFont="1" applyFill="1" applyBorder="1" applyAlignment="1">
      <alignment vertical="center"/>
    </xf>
    <xf numFmtId="0" fontId="1" fillId="9" borderId="58" xfId="0" applyFont="1" applyFill="1" applyBorder="1" applyAlignment="1">
      <alignment vertical="center"/>
    </xf>
    <xf numFmtId="0" fontId="37" fillId="0" borderId="0" xfId="0" applyFont="1"/>
    <xf numFmtId="0" fontId="17" fillId="0" borderId="0" xfId="0" applyFont="1" applyAlignment="1">
      <alignment horizontal="center"/>
    </xf>
    <xf numFmtId="0" fontId="17" fillId="0" borderId="0" xfId="0" applyFont="1"/>
    <xf numFmtId="164" fontId="0" fillId="10" borderId="16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4" fontId="0" fillId="10" borderId="83" xfId="0" applyNumberFormat="1" applyFill="1" applyBorder="1" applyAlignment="1" applyProtection="1">
      <alignment horizontal="right"/>
      <protection locked="0"/>
    </xf>
    <xf numFmtId="49" fontId="4" fillId="17" borderId="86" xfId="0" applyNumberFormat="1" applyFont="1" applyFill="1" applyBorder="1" applyAlignment="1" applyProtection="1">
      <alignment vertical="top" wrapText="1"/>
      <protection locked="0"/>
    </xf>
    <xf numFmtId="49" fontId="4" fillId="17" borderId="74" xfId="0" applyNumberFormat="1" applyFont="1" applyFill="1" applyBorder="1" applyAlignment="1" applyProtection="1">
      <alignment vertical="top" wrapText="1"/>
      <protection locked="0"/>
    </xf>
    <xf numFmtId="49" fontId="4" fillId="17" borderId="84" xfId="0" applyNumberFormat="1" applyFont="1" applyFill="1" applyBorder="1" applyAlignment="1" applyProtection="1">
      <alignment vertical="top" wrapText="1"/>
      <protection locked="0"/>
    </xf>
    <xf numFmtId="0" fontId="38" fillId="20" borderId="20" xfId="0" applyFont="1" applyFill="1" applyBorder="1" applyAlignment="1" applyProtection="1">
      <alignment horizontal="center" vertical="center"/>
      <protection locked="0"/>
    </xf>
    <xf numFmtId="0" fontId="13" fillId="6" borderId="0" xfId="0" applyFont="1" applyFill="1"/>
    <xf numFmtId="0" fontId="4" fillId="6" borderId="127" xfId="0" applyFont="1" applyFill="1" applyBorder="1" applyAlignment="1">
      <alignment horizontal="right" vertical="center" wrapText="1"/>
    </xf>
    <xf numFmtId="0" fontId="4" fillId="3" borderId="42" xfId="0" applyFont="1" applyFill="1" applyBorder="1" applyAlignment="1">
      <alignment horizontal="right" vertical="center" wrapText="1"/>
    </xf>
    <xf numFmtId="0" fontId="4" fillId="3" borderId="17" xfId="0" applyFont="1" applyFill="1" applyBorder="1" applyAlignment="1">
      <alignment horizontal="right" vertical="center" wrapText="1"/>
    </xf>
    <xf numFmtId="168" fontId="4" fillId="3" borderId="10" xfId="0" applyNumberFormat="1" applyFont="1" applyFill="1" applyBorder="1"/>
    <xf numFmtId="168" fontId="4" fillId="3" borderId="91" xfId="0" applyNumberFormat="1" applyFont="1" applyFill="1" applyBorder="1"/>
    <xf numFmtId="168" fontId="4" fillId="3" borderId="74" xfId="0" applyNumberFormat="1" applyFont="1" applyFill="1" applyBorder="1"/>
    <xf numFmtId="168" fontId="4" fillId="3" borderId="92" xfId="0" applyNumberFormat="1" applyFont="1" applyFill="1" applyBorder="1"/>
    <xf numFmtId="0" fontId="4" fillId="6" borderId="163" xfId="0" applyFont="1" applyFill="1" applyBorder="1" applyAlignment="1">
      <alignment horizontal="right" vertical="center" wrapText="1"/>
    </xf>
    <xf numFmtId="0" fontId="4" fillId="6" borderId="164" xfId="0" applyFont="1" applyFill="1" applyBorder="1" applyAlignment="1">
      <alignment horizontal="right" vertical="center" wrapText="1"/>
    </xf>
    <xf numFmtId="0" fontId="4" fillId="3" borderId="18" xfId="0" applyFont="1" applyFill="1" applyBorder="1" applyAlignment="1">
      <alignment horizontal="right" vertical="center" wrapText="1"/>
    </xf>
    <xf numFmtId="164" fontId="0" fillId="21" borderId="38" xfId="0" applyNumberFormat="1" applyFill="1" applyBorder="1" applyAlignment="1" applyProtection="1">
      <alignment horizontal="right"/>
      <protection locked="0"/>
    </xf>
    <xf numFmtId="164" fontId="0" fillId="10" borderId="165" xfId="0" applyNumberFormat="1" applyFill="1" applyBorder="1" applyAlignment="1" applyProtection="1">
      <alignment horizontal="right"/>
      <protection locked="0"/>
    </xf>
    <xf numFmtId="164" fontId="0" fillId="10" borderId="166" xfId="0" applyNumberFormat="1" applyFill="1" applyBorder="1" applyAlignment="1" applyProtection="1">
      <alignment horizontal="right"/>
      <protection locked="0"/>
    </xf>
    <xf numFmtId="164" fontId="0" fillId="10" borderId="167" xfId="0" applyNumberFormat="1" applyFill="1" applyBorder="1" applyAlignment="1" applyProtection="1">
      <alignment horizontal="right"/>
      <protection locked="0"/>
    </xf>
    <xf numFmtId="164" fontId="0" fillId="10" borderId="168" xfId="0" applyNumberFormat="1" applyFill="1" applyBorder="1" applyAlignment="1" applyProtection="1">
      <alignment horizontal="right"/>
      <protection locked="0"/>
    </xf>
    <xf numFmtId="164" fontId="0" fillId="10" borderId="169" xfId="0" applyNumberFormat="1" applyFill="1" applyBorder="1" applyAlignment="1" applyProtection="1">
      <alignment horizontal="right"/>
      <protection locked="0"/>
    </xf>
    <xf numFmtId="164" fontId="0" fillId="10" borderId="170" xfId="0" applyNumberFormat="1" applyFill="1" applyBorder="1" applyAlignment="1" applyProtection="1">
      <alignment horizontal="right"/>
      <protection locked="0"/>
    </xf>
    <xf numFmtId="0" fontId="0" fillId="0" borderId="17" xfId="0" applyBorder="1"/>
    <xf numFmtId="0" fontId="39" fillId="0" borderId="0" xfId="0" applyFont="1"/>
    <xf numFmtId="0" fontId="40" fillId="0" borderId="0" xfId="0" applyFont="1"/>
    <xf numFmtId="0" fontId="40" fillId="0" borderId="112" xfId="0" applyFont="1" applyBorder="1"/>
    <xf numFmtId="0" fontId="40" fillId="0" borderId="121" xfId="0" applyFont="1" applyBorder="1"/>
    <xf numFmtId="0" fontId="40" fillId="0" borderId="4" xfId="0" applyFont="1" applyBorder="1"/>
    <xf numFmtId="0" fontId="41" fillId="0" borderId="5" xfId="0" applyFont="1" applyBorder="1"/>
    <xf numFmtId="0" fontId="40" fillId="0" borderId="6" xfId="0" applyFont="1" applyBorder="1"/>
    <xf numFmtId="0" fontId="42" fillId="0" borderId="5" xfId="0" quotePrefix="1" applyFont="1" applyBorder="1"/>
    <xf numFmtId="0" fontId="40" fillId="0" borderId="5" xfId="0" applyFont="1" applyBorder="1"/>
    <xf numFmtId="0" fontId="36" fillId="4" borderId="0" xfId="0" quotePrefix="1" applyFont="1" applyFill="1"/>
    <xf numFmtId="0" fontId="43" fillId="22" borderId="0" xfId="0" quotePrefix="1" applyFont="1" applyFill="1"/>
    <xf numFmtId="0" fontId="42" fillId="0" borderId="0" xfId="0" quotePrefix="1" applyFont="1"/>
    <xf numFmtId="0" fontId="36" fillId="23" borderId="0" xfId="0" quotePrefix="1" applyFont="1" applyFill="1"/>
    <xf numFmtId="0" fontId="36" fillId="24" borderId="0" xfId="0" quotePrefix="1" applyFont="1" applyFill="1"/>
    <xf numFmtId="0" fontId="40" fillId="0" borderId="161" xfId="0" applyFont="1" applyBorder="1"/>
    <xf numFmtId="0" fontId="40" fillId="0" borderId="28" xfId="0" applyFont="1" applyBorder="1"/>
    <xf numFmtId="0" fontId="40" fillId="0" borderId="58" xfId="0" applyFont="1" applyBorder="1"/>
    <xf numFmtId="0" fontId="41" fillId="4" borderId="0" xfId="0" applyFont="1" applyFill="1" applyAlignment="1">
      <alignment horizontal="right" indent="3"/>
    </xf>
    <xf numFmtId="0" fontId="40" fillId="0" borderId="0" xfId="0" applyFont="1" applyAlignment="1">
      <alignment horizontal="right" indent="3"/>
    </xf>
    <xf numFmtId="0" fontId="44" fillId="22" borderId="0" xfId="0" applyFont="1" applyFill="1" applyAlignment="1">
      <alignment horizontal="right" indent="3"/>
    </xf>
    <xf numFmtId="0" fontId="45" fillId="23" borderId="0" xfId="0" applyFont="1" applyFill="1" applyAlignment="1">
      <alignment horizontal="right" indent="3"/>
    </xf>
    <xf numFmtId="0" fontId="45" fillId="24" borderId="0" xfId="0" applyFont="1" applyFill="1" applyAlignment="1">
      <alignment horizontal="right" indent="3"/>
    </xf>
    <xf numFmtId="0" fontId="41" fillId="24" borderId="0" xfId="0" applyFont="1" applyFill="1" applyAlignment="1">
      <alignment horizontal="right" indent="3"/>
    </xf>
    <xf numFmtId="0" fontId="45" fillId="4" borderId="0" xfId="0" applyFont="1" applyFill="1" applyAlignment="1">
      <alignment horizontal="right" indent="3"/>
    </xf>
    <xf numFmtId="0" fontId="46" fillId="0" borderId="0" xfId="0" applyFont="1" applyAlignment="1">
      <alignment vertical="top"/>
    </xf>
    <xf numFmtId="0" fontId="47" fillId="8" borderId="12" xfId="0" applyFont="1" applyFill="1" applyBorder="1" applyAlignment="1">
      <alignment horizontal="right" vertical="center" indent="2"/>
    </xf>
    <xf numFmtId="0" fontId="4" fillId="6" borderId="171" xfId="0" applyFont="1" applyFill="1" applyBorder="1" applyAlignment="1">
      <alignment vertical="center"/>
    </xf>
    <xf numFmtId="0" fontId="29" fillId="17" borderId="172" xfId="0" applyFont="1" applyFill="1" applyBorder="1" applyAlignment="1">
      <alignment horizontal="left" vertical="center" indent="2"/>
    </xf>
    <xf numFmtId="0" fontId="0" fillId="6" borderId="6" xfId="0" applyFill="1" applyBorder="1"/>
    <xf numFmtId="0" fontId="29" fillId="25" borderId="173" xfId="0" applyFont="1" applyFill="1" applyBorder="1" applyAlignment="1">
      <alignment horizontal="left" vertical="center" indent="2"/>
    </xf>
    <xf numFmtId="0" fontId="29" fillId="12" borderId="173" xfId="0" applyFont="1" applyFill="1" applyBorder="1" applyAlignment="1">
      <alignment horizontal="left" vertical="center" indent="2"/>
    </xf>
    <xf numFmtId="0" fontId="29" fillId="3" borderId="174" xfId="0" applyFont="1" applyFill="1" applyBorder="1" applyAlignment="1">
      <alignment horizontal="left" vertical="center" indent="2"/>
    </xf>
    <xf numFmtId="0" fontId="4" fillId="6" borderId="175" xfId="0" applyFont="1" applyFill="1" applyBorder="1" applyAlignment="1">
      <alignment vertical="center"/>
    </xf>
    <xf numFmtId="0" fontId="0" fillId="6" borderId="28" xfId="0" applyFill="1" applyBorder="1"/>
    <xf numFmtId="0" fontId="0" fillId="6" borderId="58" xfId="0" applyFill="1" applyBorder="1"/>
    <xf numFmtId="164" fontId="0" fillId="10" borderId="176" xfId="0" applyNumberFormat="1" applyFill="1" applyBorder="1" applyAlignment="1" applyProtection="1">
      <alignment horizontal="right"/>
      <protection locked="0"/>
    </xf>
    <xf numFmtId="164" fontId="0" fillId="10" borderId="177" xfId="0" applyNumberFormat="1" applyFill="1" applyBorder="1" applyAlignment="1" applyProtection="1">
      <alignment horizontal="right"/>
      <protection locked="0"/>
    </xf>
    <xf numFmtId="0" fontId="4" fillId="6" borderId="178" xfId="0" applyFont="1" applyFill="1" applyBorder="1" applyAlignment="1">
      <alignment horizontal="right" vertical="center" wrapText="1" indent="1"/>
    </xf>
    <xf numFmtId="0" fontId="4" fillId="6" borderId="179" xfId="0" applyFont="1" applyFill="1" applyBorder="1" applyAlignment="1">
      <alignment horizontal="right" vertical="center" wrapText="1" indent="1"/>
    </xf>
    <xf numFmtId="164" fontId="0" fillId="10" borderId="84" xfId="0" applyNumberFormat="1" applyFill="1" applyBorder="1" applyAlignment="1" applyProtection="1">
      <alignment horizontal="right"/>
      <protection locked="0"/>
    </xf>
    <xf numFmtId="164" fontId="0" fillId="10" borderId="180" xfId="0" applyNumberFormat="1" applyFill="1" applyBorder="1" applyAlignment="1" applyProtection="1">
      <alignment horizontal="right"/>
      <protection locked="0"/>
    </xf>
    <xf numFmtId="164" fontId="0" fillId="10" borderId="181" xfId="0" applyNumberFormat="1" applyFill="1" applyBorder="1" applyAlignment="1" applyProtection="1">
      <alignment horizontal="right"/>
      <protection locked="0"/>
    </xf>
    <xf numFmtId="164" fontId="0" fillId="10" borderId="182" xfId="0" applyNumberFormat="1" applyFill="1" applyBorder="1" applyAlignment="1" applyProtection="1">
      <alignment horizontal="right"/>
      <protection locked="0"/>
    </xf>
    <xf numFmtId="164" fontId="0" fillId="10" borderId="183" xfId="0" applyNumberFormat="1" applyFill="1" applyBorder="1" applyAlignment="1" applyProtection="1">
      <alignment horizontal="right"/>
      <protection locked="0"/>
    </xf>
    <xf numFmtId="0" fontId="4" fillId="6" borderId="142" xfId="0" applyFont="1" applyFill="1" applyBorder="1" applyAlignment="1">
      <alignment horizontal="left" vertical="center" wrapText="1" indent="1"/>
    </xf>
    <xf numFmtId="0" fontId="4" fillId="6" borderId="184" xfId="0" applyFont="1" applyFill="1" applyBorder="1" applyAlignment="1">
      <alignment horizontal="right" vertical="center" wrapText="1" indent="1"/>
    </xf>
    <xf numFmtId="164" fontId="0" fillId="10" borderId="185" xfId="0" applyNumberFormat="1" applyFill="1" applyBorder="1" applyAlignment="1" applyProtection="1">
      <alignment horizontal="right"/>
      <protection locked="0"/>
    </xf>
    <xf numFmtId="0" fontId="4" fillId="6" borderId="186" xfId="0" applyFont="1" applyFill="1" applyBorder="1" applyAlignment="1">
      <alignment horizontal="right" vertical="center" wrapText="1" indent="2"/>
    </xf>
    <xf numFmtId="0" fontId="4" fillId="6" borderId="178" xfId="0" applyFont="1" applyFill="1" applyBorder="1" applyAlignment="1">
      <alignment horizontal="right" vertical="center" wrapText="1" indent="2"/>
    </xf>
    <xf numFmtId="49" fontId="4" fillId="17" borderId="140" xfId="0" applyNumberFormat="1" applyFont="1" applyFill="1" applyBorder="1" applyAlignment="1" applyProtection="1">
      <alignment horizontal="left" vertical="center" indent="1"/>
      <protection locked="0"/>
    </xf>
    <xf numFmtId="49" fontId="4" fillId="17" borderId="143" xfId="0" applyNumberFormat="1" applyFont="1" applyFill="1" applyBorder="1" applyAlignment="1" applyProtection="1">
      <alignment horizontal="left" vertical="center" indent="1"/>
      <protection locked="0"/>
    </xf>
    <xf numFmtId="0" fontId="1" fillId="0" borderId="28" xfId="0" applyFont="1" applyBorder="1" applyAlignment="1">
      <alignment horizontal="center" wrapText="1"/>
    </xf>
    <xf numFmtId="0" fontId="1" fillId="0" borderId="58" xfId="0" applyFont="1" applyBorder="1" applyAlignment="1">
      <alignment horizontal="center" wrapText="1"/>
    </xf>
    <xf numFmtId="0" fontId="34" fillId="0" borderId="28" xfId="0" applyFont="1" applyBorder="1" applyAlignment="1">
      <alignment horizontal="centerContinuous" wrapText="1"/>
    </xf>
    <xf numFmtId="0" fontId="34" fillId="0" borderId="58" xfId="0" applyFont="1" applyBorder="1" applyAlignment="1">
      <alignment horizontal="centerContinuous" wrapText="1"/>
    </xf>
    <xf numFmtId="49" fontId="4" fillId="17" borderId="139" xfId="0" applyNumberFormat="1" applyFont="1" applyFill="1" applyBorder="1" applyAlignment="1">
      <alignment vertical="top" wrapText="1"/>
    </xf>
    <xf numFmtId="49" fontId="4" fillId="17" borderId="31" xfId="0" applyNumberFormat="1" applyFont="1" applyFill="1" applyBorder="1" applyAlignment="1">
      <alignment vertical="top" wrapText="1"/>
    </xf>
    <xf numFmtId="49" fontId="4" fillId="17" borderId="34" xfId="0" applyNumberFormat="1" applyFont="1" applyFill="1" applyBorder="1" applyAlignment="1">
      <alignment vertical="top" wrapText="1"/>
    </xf>
    <xf numFmtId="49" fontId="4" fillId="17" borderId="138" xfId="0" applyNumberFormat="1" applyFont="1" applyFill="1" applyBorder="1" applyAlignment="1" applyProtection="1">
      <alignment vertical="top"/>
      <protection locked="0"/>
    </xf>
    <xf numFmtId="49" fontId="4" fillId="17" borderId="140" xfId="0" applyNumberFormat="1" applyFont="1" applyFill="1" applyBorder="1" applyAlignment="1" applyProtection="1">
      <alignment vertical="top"/>
      <protection locked="0"/>
    </xf>
    <xf numFmtId="49" fontId="4" fillId="17" borderId="143" xfId="0" applyNumberFormat="1" applyFont="1" applyFill="1" applyBorder="1" applyAlignment="1" applyProtection="1">
      <alignment vertical="top"/>
      <protection locked="0"/>
    </xf>
    <xf numFmtId="0" fontId="4" fillId="6" borderId="163" xfId="0" applyFont="1" applyFill="1" applyBorder="1" applyAlignment="1">
      <alignment horizontal="left" vertical="center" wrapText="1" indent="4"/>
    </xf>
    <xf numFmtId="0" fontId="4" fillId="6" borderId="127" xfId="0" applyFont="1" applyFill="1" applyBorder="1" applyAlignment="1">
      <alignment horizontal="left" vertical="center" wrapText="1" indent="4"/>
    </xf>
    <xf numFmtId="168" fontId="4" fillId="3" borderId="11" xfId="0" applyNumberFormat="1" applyFont="1" applyFill="1" applyBorder="1"/>
    <xf numFmtId="168" fontId="4" fillId="3" borderId="94" xfId="0" applyNumberFormat="1" applyFont="1" applyFill="1" applyBorder="1"/>
    <xf numFmtId="168" fontId="4" fillId="3" borderId="93" xfId="0" applyNumberFormat="1" applyFont="1" applyFill="1" applyBorder="1"/>
    <xf numFmtId="168" fontId="4" fillId="3" borderId="84" xfId="0" applyNumberFormat="1" applyFont="1" applyFill="1" applyBorder="1"/>
    <xf numFmtId="0" fontId="48" fillId="0" borderId="0" xfId="0" applyFont="1" applyAlignment="1">
      <alignment horizontal="left"/>
    </xf>
    <xf numFmtId="49" fontId="4" fillId="17" borderId="138" xfId="0" applyNumberFormat="1" applyFont="1" applyFill="1" applyBorder="1" applyAlignment="1" applyProtection="1">
      <alignment horizontal="left" indent="1"/>
      <protection locked="0"/>
    </xf>
    <xf numFmtId="49" fontId="4" fillId="17" borderId="139" xfId="0" applyNumberFormat="1" applyFont="1" applyFill="1" applyBorder="1"/>
    <xf numFmtId="49" fontId="4" fillId="25" borderId="140" xfId="0" applyNumberFormat="1" applyFont="1" applyFill="1" applyBorder="1" applyAlignment="1" applyProtection="1">
      <alignment horizontal="left" indent="1"/>
      <protection locked="0"/>
    </xf>
    <xf numFmtId="49" fontId="4" fillId="25" borderId="31" xfId="0" applyNumberFormat="1" applyFont="1" applyFill="1" applyBorder="1"/>
    <xf numFmtId="49" fontId="4" fillId="17" borderId="140" xfId="0" applyNumberFormat="1" applyFont="1" applyFill="1" applyBorder="1" applyAlignment="1" applyProtection="1">
      <alignment horizontal="left" indent="1"/>
      <protection locked="0"/>
    </xf>
    <xf numFmtId="49" fontId="4" fillId="17" borderId="31" xfId="0" applyNumberFormat="1" applyFont="1" applyFill="1" applyBorder="1"/>
    <xf numFmtId="49" fontId="4" fillId="17" borderId="144" xfId="0" applyNumberFormat="1" applyFont="1" applyFill="1" applyBorder="1"/>
    <xf numFmtId="49" fontId="4" fillId="25" borderId="144" xfId="0" applyNumberFormat="1" applyFont="1" applyFill="1" applyBorder="1"/>
    <xf numFmtId="49" fontId="4" fillId="17" borderId="8" xfId="0" applyNumberFormat="1" applyFont="1" applyFill="1" applyBorder="1" applyAlignment="1" applyProtection="1">
      <alignment horizontal="left" indent="1"/>
      <protection locked="0"/>
    </xf>
    <xf numFmtId="49" fontId="4" fillId="25" borderId="8" xfId="0" applyNumberFormat="1" applyFont="1" applyFill="1" applyBorder="1" applyAlignment="1" applyProtection="1">
      <alignment horizontal="left" indent="1"/>
      <protection locked="0"/>
    </xf>
    <xf numFmtId="49" fontId="4" fillId="25" borderId="143" xfId="0" applyNumberFormat="1" applyFont="1" applyFill="1" applyBorder="1" applyAlignment="1" applyProtection="1">
      <alignment horizontal="left" indent="1"/>
      <protection locked="0"/>
    </xf>
    <xf numFmtId="49" fontId="4" fillId="25" borderId="34" xfId="0" applyNumberFormat="1" applyFont="1" applyFill="1" applyBorder="1"/>
    <xf numFmtId="0" fontId="4" fillId="0" borderId="127" xfId="0" applyFont="1" applyBorder="1" applyAlignment="1">
      <alignment horizontal="left" vertical="center" indent="1"/>
    </xf>
    <xf numFmtId="0" fontId="4" fillId="0" borderId="187" xfId="0" applyFont="1" applyBorder="1" applyAlignment="1">
      <alignment horizontal="left" vertical="center" indent="1"/>
    </xf>
    <xf numFmtId="0" fontId="4" fillId="0" borderId="188" xfId="0" applyFont="1" applyBorder="1" applyAlignment="1">
      <alignment horizontal="left" vertical="center" indent="1"/>
    </xf>
    <xf numFmtId="164" fontId="0" fillId="21" borderId="14" xfId="0" applyNumberFormat="1" applyFill="1" applyBorder="1" applyAlignment="1" applyProtection="1">
      <alignment horizontal="right"/>
      <protection locked="0"/>
    </xf>
    <xf numFmtId="164" fontId="0" fillId="21" borderId="96" xfId="0" applyNumberFormat="1" applyFill="1" applyBorder="1" applyAlignment="1" applyProtection="1">
      <alignment horizontal="right"/>
      <protection locked="0"/>
    </xf>
    <xf numFmtId="0" fontId="4" fillId="0" borderId="164" xfId="0" applyFont="1" applyBorder="1" applyAlignment="1">
      <alignment horizontal="left" vertical="center" indent="1"/>
    </xf>
    <xf numFmtId="0" fontId="4" fillId="0" borderId="189" xfId="0" applyFont="1" applyBorder="1" applyAlignment="1">
      <alignment horizontal="left" vertical="center" indent="1"/>
    </xf>
    <xf numFmtId="165" fontId="1" fillId="3" borderId="161" xfId="0" applyNumberFormat="1" applyFont="1" applyFill="1" applyBorder="1" applyAlignment="1" applyProtection="1">
      <alignment horizontal="right" vertical="center"/>
      <protection locked="0"/>
    </xf>
    <xf numFmtId="165" fontId="1" fillId="3" borderId="28" xfId="0" applyNumberFormat="1" applyFont="1" applyFill="1" applyBorder="1" applyAlignment="1" applyProtection="1">
      <alignment horizontal="right" vertical="center"/>
      <protection locked="0"/>
    </xf>
    <xf numFmtId="165" fontId="1" fillId="3" borderId="58" xfId="0" applyNumberFormat="1" applyFont="1" applyFill="1" applyBorder="1" applyAlignment="1" applyProtection="1">
      <alignment horizontal="right" vertical="center"/>
      <protection locked="0"/>
    </xf>
    <xf numFmtId="0" fontId="4" fillId="0" borderId="134" xfId="0" applyFont="1" applyBorder="1" applyAlignment="1">
      <alignment horizontal="left" vertical="center" indent="1"/>
    </xf>
    <xf numFmtId="0" fontId="4" fillId="0" borderId="190" xfId="0" applyFont="1" applyBorder="1" applyAlignment="1">
      <alignment horizontal="left" vertical="center" indent="1"/>
    </xf>
    <xf numFmtId="165" fontId="1" fillId="26" borderId="131" xfId="0" applyNumberFormat="1" applyFont="1" applyFill="1" applyBorder="1" applyAlignment="1" applyProtection="1">
      <alignment horizontal="right" vertical="center"/>
      <protection locked="0"/>
    </xf>
    <xf numFmtId="165" fontId="1" fillId="26" borderId="2" xfId="0" applyNumberFormat="1" applyFont="1" applyFill="1" applyBorder="1" applyAlignment="1" applyProtection="1">
      <alignment horizontal="right" vertical="center"/>
      <protection locked="0"/>
    </xf>
    <xf numFmtId="165" fontId="1" fillId="26" borderId="191" xfId="0" applyNumberFormat="1" applyFont="1" applyFill="1" applyBorder="1" applyAlignment="1" applyProtection="1">
      <alignment horizontal="right" vertical="center"/>
      <protection locked="0"/>
    </xf>
    <xf numFmtId="165" fontId="1" fillId="26" borderId="161" xfId="0" applyNumberFormat="1" applyFont="1" applyFill="1" applyBorder="1" applyAlignment="1" applyProtection="1">
      <alignment horizontal="right" vertical="center"/>
      <protection locked="0"/>
    </xf>
    <xf numFmtId="165" fontId="1" fillId="26" borderId="28" xfId="0" applyNumberFormat="1" applyFont="1" applyFill="1" applyBorder="1" applyAlignment="1" applyProtection="1">
      <alignment horizontal="right" vertical="center"/>
      <protection locked="0"/>
    </xf>
    <xf numFmtId="165" fontId="1" fillId="26" borderId="58" xfId="0" applyNumberFormat="1" applyFont="1" applyFill="1" applyBorder="1" applyAlignment="1" applyProtection="1">
      <alignment horizontal="right" vertical="center"/>
      <protection locked="0"/>
    </xf>
    <xf numFmtId="0" fontId="4" fillId="0" borderId="192" xfId="0" applyFont="1" applyBorder="1" applyAlignment="1">
      <alignment horizontal="left" vertical="center" indent="1"/>
    </xf>
    <xf numFmtId="164" fontId="0" fillId="10" borderId="193" xfId="0" applyNumberFormat="1" applyFill="1" applyBorder="1" applyAlignment="1" applyProtection="1">
      <alignment horizontal="right"/>
      <protection locked="0"/>
    </xf>
    <xf numFmtId="164" fontId="0" fillId="10" borderId="194" xfId="0" applyNumberFormat="1" applyFill="1" applyBorder="1" applyAlignment="1" applyProtection="1">
      <alignment horizontal="right"/>
      <protection locked="0"/>
    </xf>
    <xf numFmtId="0" fontId="4" fillId="0" borderId="195" xfId="0" applyFont="1" applyBorder="1" applyAlignment="1">
      <alignment horizontal="left" vertical="center" indent="1"/>
    </xf>
    <xf numFmtId="0" fontId="4" fillId="6" borderId="18" xfId="0" applyFont="1" applyFill="1" applyBorder="1" applyAlignment="1">
      <alignment horizontal="left" vertical="center" indent="1"/>
    </xf>
    <xf numFmtId="0" fontId="49" fillId="27" borderId="151" xfId="0" applyFont="1" applyFill="1" applyBorder="1" applyAlignment="1">
      <alignment horizontal="left" vertical="center" indent="3"/>
    </xf>
    <xf numFmtId="0" fontId="50" fillId="27" borderId="152" xfId="0" applyFont="1" applyFill="1" applyBorder="1" applyAlignment="1">
      <alignment horizontal="left" vertical="center"/>
    </xf>
    <xf numFmtId="0" fontId="50" fillId="27" borderId="196" xfId="0" applyFont="1" applyFill="1" applyBorder="1" applyAlignment="1">
      <alignment horizontal="left" vertical="center"/>
    </xf>
    <xf numFmtId="165" fontId="1" fillId="3" borderId="191" xfId="0" applyNumberFormat="1" applyFont="1" applyFill="1" applyBorder="1" applyAlignment="1" applyProtection="1">
      <alignment horizontal="right" vertical="center"/>
      <protection locked="0"/>
    </xf>
    <xf numFmtId="0" fontId="4" fillId="6" borderId="141" xfId="0" applyFont="1" applyFill="1" applyBorder="1" applyAlignment="1">
      <alignment horizontal="left" vertical="center" wrapText="1" indent="3"/>
    </xf>
    <xf numFmtId="0" fontId="4" fillId="6" borderId="140" xfId="0" applyFont="1" applyFill="1" applyBorder="1" applyAlignment="1">
      <alignment horizontal="left" vertical="center" indent="3"/>
    </xf>
    <xf numFmtId="0" fontId="4" fillId="6" borderId="142" xfId="0" applyFont="1" applyFill="1" applyBorder="1" applyAlignment="1">
      <alignment horizontal="left" vertical="center" indent="3"/>
    </xf>
    <xf numFmtId="0" fontId="4" fillId="6" borderId="18" xfId="0" applyFont="1" applyFill="1" applyBorder="1" applyAlignment="1">
      <alignment horizontal="left" vertical="center" indent="3"/>
    </xf>
    <xf numFmtId="164" fontId="0" fillId="10" borderId="197" xfId="0" applyNumberFormat="1" applyFill="1" applyBorder="1" applyAlignment="1" applyProtection="1">
      <alignment horizontal="right"/>
      <protection locked="0"/>
    </xf>
    <xf numFmtId="164" fontId="0" fillId="10" borderId="198" xfId="0" applyNumberFormat="1" applyFill="1" applyBorder="1" applyAlignment="1" applyProtection="1">
      <alignment horizontal="right"/>
      <protection locked="0"/>
    </xf>
    <xf numFmtId="164" fontId="0" fillId="10" borderId="199" xfId="0" applyNumberFormat="1" applyFill="1" applyBorder="1" applyAlignment="1" applyProtection="1">
      <alignment horizontal="right"/>
      <protection locked="0"/>
    </xf>
    <xf numFmtId="0" fontId="4" fillId="6" borderId="142" xfId="0" applyFont="1" applyFill="1" applyBorder="1" applyAlignment="1">
      <alignment horizontal="left" vertical="center" wrapText="1" indent="4"/>
    </xf>
    <xf numFmtId="0" fontId="4" fillId="0" borderId="127" xfId="0" applyFont="1" applyBorder="1" applyAlignment="1">
      <alignment horizontal="left" vertical="center" indent="4"/>
    </xf>
    <xf numFmtId="0" fontId="4" fillId="0" borderId="200" xfId="0" applyFont="1" applyBorder="1" applyAlignment="1">
      <alignment horizontal="left" vertical="center" indent="1"/>
    </xf>
    <xf numFmtId="0" fontId="4" fillId="0" borderId="164" xfId="0" applyFont="1" applyBorder="1" applyAlignment="1">
      <alignment horizontal="left" vertical="center" indent="4"/>
    </xf>
    <xf numFmtId="164" fontId="0" fillId="21" borderId="110" xfId="0" applyNumberFormat="1" applyFill="1" applyBorder="1" applyAlignment="1" applyProtection="1">
      <alignment horizontal="right"/>
      <protection locked="0"/>
    </xf>
    <xf numFmtId="164" fontId="0" fillId="21" borderId="124" xfId="0" applyNumberFormat="1" applyFill="1" applyBorder="1" applyAlignment="1" applyProtection="1">
      <alignment horizontal="right"/>
      <protection locked="0"/>
    </xf>
    <xf numFmtId="164" fontId="0" fillId="10" borderId="201" xfId="0" applyNumberFormat="1" applyFill="1" applyBorder="1" applyAlignment="1" applyProtection="1">
      <alignment horizontal="right"/>
      <protection locked="0"/>
    </xf>
    <xf numFmtId="0" fontId="4" fillId="0" borderId="202" xfId="0" applyFont="1" applyBorder="1" applyAlignment="1">
      <alignment horizontal="left" vertical="center" indent="1"/>
    </xf>
    <xf numFmtId="0" fontId="4" fillId="0" borderId="101" xfId="0" applyFont="1" applyBorder="1" applyAlignment="1">
      <alignment horizontal="left" vertical="center" wrapText="1" indent="4"/>
    </xf>
    <xf numFmtId="0" fontId="4" fillId="0" borderId="116" xfId="0" applyFont="1" applyBorder="1" applyAlignment="1">
      <alignment horizontal="left" vertical="center" wrapText="1" indent="4"/>
    </xf>
    <xf numFmtId="165" fontId="0" fillId="3" borderId="13" xfId="0" applyNumberFormat="1" applyFill="1" applyBorder="1"/>
    <xf numFmtId="165" fontId="0" fillId="3" borderId="42" xfId="0" applyNumberFormat="1" applyFill="1" applyBorder="1"/>
    <xf numFmtId="165" fontId="0" fillId="3" borderId="38" xfId="0" applyNumberFormat="1" applyFill="1" applyBorder="1"/>
    <xf numFmtId="49" fontId="4" fillId="17" borderId="17" xfId="0" applyNumberFormat="1" applyFont="1" applyFill="1" applyBorder="1" applyAlignment="1" applyProtection="1">
      <alignment horizontal="left" vertical="center"/>
      <protection locked="0"/>
    </xf>
    <xf numFmtId="49" fontId="4" fillId="17" borderId="16" xfId="0" applyNumberFormat="1" applyFont="1" applyFill="1" applyBorder="1" applyAlignment="1" applyProtection="1">
      <alignment horizontal="left" vertical="center"/>
      <protection locked="0"/>
    </xf>
    <xf numFmtId="165" fontId="0" fillId="3" borderId="10" xfId="0" applyNumberFormat="1" applyFill="1" applyBorder="1"/>
    <xf numFmtId="165" fontId="1" fillId="3" borderId="78" xfId="0" applyNumberFormat="1" applyFont="1" applyFill="1" applyBorder="1" applyAlignment="1" applyProtection="1">
      <alignment horizontal="right" vertical="center"/>
      <protection locked="0"/>
    </xf>
    <xf numFmtId="165" fontId="0" fillId="3" borderId="146" xfId="0" applyNumberFormat="1" applyFill="1" applyBorder="1"/>
    <xf numFmtId="165" fontId="1" fillId="3" borderId="153" xfId="0" applyNumberFormat="1" applyFont="1" applyFill="1" applyBorder="1" applyAlignment="1" applyProtection="1">
      <alignment horizontal="right" vertical="center"/>
      <protection locked="0"/>
    </xf>
    <xf numFmtId="49" fontId="4" fillId="17" borderId="81" xfId="0" applyNumberFormat="1" applyFont="1" applyFill="1" applyBorder="1" applyAlignment="1" applyProtection="1">
      <alignment horizontal="left" vertical="center"/>
      <protection locked="0"/>
    </xf>
    <xf numFmtId="164" fontId="0" fillId="10" borderId="203" xfId="0" applyNumberFormat="1" applyFill="1" applyBorder="1" applyAlignment="1" applyProtection="1">
      <alignment horizontal="right"/>
      <protection locked="0"/>
    </xf>
    <xf numFmtId="0" fontId="4" fillId="0" borderId="204" xfId="0" applyFont="1" applyBorder="1" applyAlignment="1">
      <alignment horizontal="left" vertical="center" wrapText="1" indent="1"/>
    </xf>
    <xf numFmtId="164" fontId="0" fillId="21" borderId="73" xfId="0" applyNumberFormat="1" applyFill="1" applyBorder="1" applyAlignment="1" applyProtection="1">
      <alignment horizontal="right"/>
      <protection locked="0"/>
    </xf>
    <xf numFmtId="0" fontId="1" fillId="0" borderId="28" xfId="0" applyFont="1" applyBorder="1" applyAlignment="1">
      <alignment horizontal="center"/>
    </xf>
    <xf numFmtId="165" fontId="0" fillId="3" borderId="89" xfId="0" applyNumberFormat="1" applyFill="1" applyBorder="1"/>
    <xf numFmtId="165" fontId="0" fillId="3" borderId="91" xfId="0" applyNumberFormat="1" applyFill="1" applyBorder="1"/>
    <xf numFmtId="165" fontId="0" fillId="3" borderId="205" xfId="0" applyNumberFormat="1" applyFill="1" applyBorder="1"/>
    <xf numFmtId="165" fontId="1" fillId="3" borderId="126" xfId="0" applyNumberFormat="1" applyFont="1" applyFill="1" applyBorder="1" applyAlignment="1" applyProtection="1">
      <alignment horizontal="right" vertical="center"/>
      <protection locked="0"/>
    </xf>
    <xf numFmtId="165" fontId="1" fillId="3" borderId="154" xfId="0" applyNumberFormat="1" applyFont="1" applyFill="1" applyBorder="1" applyAlignment="1" applyProtection="1">
      <alignment horizontal="right" vertical="center"/>
      <protection locked="0"/>
    </xf>
    <xf numFmtId="0" fontId="4" fillId="6" borderId="206" xfId="0" applyFont="1" applyFill="1" applyBorder="1" applyAlignment="1">
      <alignment horizontal="right" vertical="center" wrapText="1" indent="2"/>
    </xf>
    <xf numFmtId="164" fontId="0" fillId="10" borderId="207" xfId="0" applyNumberFormat="1" applyFill="1" applyBorder="1" applyAlignment="1" applyProtection="1">
      <alignment horizontal="right"/>
      <protection locked="0"/>
    </xf>
    <xf numFmtId="164" fontId="0" fillId="10" borderId="208" xfId="0" applyNumberFormat="1" applyFill="1" applyBorder="1" applyAlignment="1" applyProtection="1">
      <alignment horizontal="right"/>
      <protection locked="0"/>
    </xf>
    <xf numFmtId="164" fontId="0" fillId="10" borderId="209" xfId="0" applyNumberFormat="1" applyFill="1" applyBorder="1" applyAlignment="1" applyProtection="1">
      <alignment horizontal="right"/>
      <protection locked="0"/>
    </xf>
    <xf numFmtId="0" fontId="1" fillId="9" borderId="196" xfId="0" applyFont="1" applyFill="1" applyBorder="1" applyAlignment="1">
      <alignment vertical="center"/>
    </xf>
    <xf numFmtId="164" fontId="0" fillId="10" borderId="210" xfId="0" applyNumberFormat="1" applyFill="1" applyBorder="1" applyAlignment="1" applyProtection="1">
      <alignment horizontal="right"/>
      <protection locked="0"/>
    </xf>
    <xf numFmtId="164" fontId="0" fillId="10" borderId="211" xfId="0" applyNumberFormat="1" applyFill="1" applyBorder="1" applyAlignment="1" applyProtection="1">
      <alignment horizontal="right"/>
      <protection locked="0"/>
    </xf>
    <xf numFmtId="164" fontId="0" fillId="10" borderId="212" xfId="0" applyNumberFormat="1" applyFill="1" applyBorder="1" applyAlignment="1" applyProtection="1">
      <alignment horizontal="right"/>
      <protection locked="0"/>
    </xf>
    <xf numFmtId="0" fontId="4" fillId="6" borderId="138" xfId="0" applyFont="1" applyFill="1" applyBorder="1" applyAlignment="1">
      <alignment horizontal="right" vertical="center" wrapText="1" indent="2"/>
    </xf>
    <xf numFmtId="164" fontId="0" fillId="10" borderId="213" xfId="0" applyNumberFormat="1" applyFill="1" applyBorder="1" applyAlignment="1" applyProtection="1">
      <alignment horizontal="right"/>
      <protection locked="0"/>
    </xf>
    <xf numFmtId="164" fontId="0" fillId="10" borderId="214" xfId="0" applyNumberFormat="1" applyFill="1" applyBorder="1" applyAlignment="1" applyProtection="1">
      <alignment horizontal="right"/>
      <protection locked="0"/>
    </xf>
    <xf numFmtId="164" fontId="0" fillId="10" borderId="215" xfId="0" applyNumberFormat="1" applyFill="1" applyBorder="1" applyAlignment="1" applyProtection="1">
      <alignment horizontal="right"/>
      <protection locked="0"/>
    </xf>
    <xf numFmtId="164" fontId="0" fillId="10" borderId="216" xfId="0" applyNumberFormat="1" applyFill="1" applyBorder="1" applyAlignment="1" applyProtection="1">
      <alignment horizontal="right"/>
      <protection locked="0"/>
    </xf>
    <xf numFmtId="0" fontId="4" fillId="6" borderId="140" xfId="0" applyFont="1" applyFill="1" applyBorder="1" applyAlignment="1">
      <alignment horizontal="right" vertical="center" wrapText="1" indent="2"/>
    </xf>
    <xf numFmtId="0" fontId="4" fillId="6" borderId="143" xfId="0" applyFont="1" applyFill="1" applyBorder="1" applyAlignment="1">
      <alignment horizontal="right" vertical="center" wrapText="1" indent="2"/>
    </xf>
    <xf numFmtId="164" fontId="0" fillId="10" borderId="217" xfId="0" applyNumberFormat="1" applyFill="1" applyBorder="1" applyAlignment="1" applyProtection="1">
      <alignment horizontal="right"/>
      <protection locked="0"/>
    </xf>
    <xf numFmtId="49" fontId="4" fillId="17" borderId="138" xfId="0" applyNumberFormat="1" applyFont="1" applyFill="1" applyBorder="1" applyAlignment="1" applyProtection="1">
      <alignment horizontal="left" vertical="center" indent="1"/>
      <protection locked="0"/>
    </xf>
    <xf numFmtId="0" fontId="4" fillId="6" borderId="0" xfId="0" applyFont="1" applyFill="1" applyAlignment="1">
      <alignment horizontal="left" vertical="center"/>
    </xf>
    <xf numFmtId="0" fontId="0" fillId="0" borderId="0" xfId="0" applyAlignment="1">
      <alignment horizontal="left" vertical="center"/>
    </xf>
    <xf numFmtId="164" fontId="0" fillId="10" borderId="218" xfId="0" applyNumberFormat="1" applyFill="1" applyBorder="1" applyAlignment="1" applyProtection="1">
      <alignment horizontal="right"/>
      <protection locked="0"/>
    </xf>
    <xf numFmtId="164" fontId="0" fillId="10" borderId="1" xfId="0" applyNumberFormat="1" applyFill="1" applyBorder="1" applyAlignment="1" applyProtection="1">
      <alignment horizontal="right"/>
      <protection locked="0"/>
    </xf>
    <xf numFmtId="164" fontId="0" fillId="10" borderId="219" xfId="0" applyNumberFormat="1" applyFill="1" applyBorder="1" applyAlignment="1" applyProtection="1">
      <alignment horizontal="right"/>
      <protection locked="0"/>
    </xf>
    <xf numFmtId="49" fontId="4" fillId="17" borderId="113" xfId="0" applyNumberFormat="1" applyFont="1" applyFill="1" applyBorder="1" applyAlignment="1" applyProtection="1">
      <alignment horizontal="left" indent="1"/>
      <protection locked="0"/>
    </xf>
    <xf numFmtId="49" fontId="4" fillId="17" borderId="114" xfId="0" applyNumberFormat="1" applyFont="1" applyFill="1" applyBorder="1" applyAlignment="1" applyProtection="1">
      <alignment horizontal="left" indent="1"/>
      <protection locked="0"/>
    </xf>
    <xf numFmtId="49" fontId="4" fillId="17" borderId="115" xfId="0" applyNumberFormat="1" applyFont="1" applyFill="1" applyBorder="1" applyAlignment="1" applyProtection="1">
      <alignment horizontal="left" indent="1"/>
      <protection locked="0"/>
    </xf>
    <xf numFmtId="164" fontId="0" fillId="2" borderId="107" xfId="0" applyNumberFormat="1" applyFill="1" applyBorder="1" applyAlignment="1">
      <alignment horizontal="right"/>
    </xf>
    <xf numFmtId="164" fontId="0" fillId="2" borderId="109" xfId="0" applyNumberFormat="1" applyFill="1" applyBorder="1" applyAlignment="1">
      <alignment horizontal="right"/>
    </xf>
    <xf numFmtId="0" fontId="4" fillId="0" borderId="14" xfId="0" applyFont="1" applyBorder="1" applyAlignment="1">
      <alignment horizontal="left" vertical="center" indent="1"/>
    </xf>
    <xf numFmtId="49" fontId="4" fillId="17" borderId="141" xfId="0" applyNumberFormat="1" applyFont="1" applyFill="1" applyBorder="1" applyAlignment="1" applyProtection="1">
      <alignment horizontal="left" vertical="center" indent="1"/>
      <protection locked="0"/>
    </xf>
    <xf numFmtId="0" fontId="51" fillId="0" borderId="0" xfId="0" applyFont="1"/>
    <xf numFmtId="0" fontId="50" fillId="0" borderId="28" xfId="0" applyFont="1" applyBorder="1" applyAlignment="1">
      <alignment horizontal="center"/>
    </xf>
    <xf numFmtId="49" fontId="4" fillId="17" borderId="18" xfId="0" applyNumberFormat="1" applyFont="1" applyFill="1" applyBorder="1" applyAlignment="1" applyProtection="1">
      <alignment horizontal="left" vertical="center"/>
      <protection locked="0"/>
    </xf>
    <xf numFmtId="0" fontId="4" fillId="0" borderId="195" xfId="0" applyFont="1" applyBorder="1" applyAlignment="1">
      <alignment horizontal="left" vertical="center" wrapText="1" indent="1"/>
    </xf>
    <xf numFmtId="0" fontId="4" fillId="0" borderId="163" xfId="0" applyFont="1" applyBorder="1" applyAlignment="1">
      <alignment horizontal="left" vertical="center" wrapText="1" indent="1"/>
    </xf>
    <xf numFmtId="0" fontId="4" fillId="0" borderId="172" xfId="0" applyFont="1" applyBorder="1" applyAlignment="1">
      <alignment horizontal="left" vertical="center" wrapText="1" indent="1"/>
    </xf>
    <xf numFmtId="0" fontId="4" fillId="0" borderId="220" xfId="0" applyFont="1" applyBorder="1" applyAlignment="1">
      <alignment horizontal="left" vertical="center" wrapText="1" indent="1"/>
    </xf>
    <xf numFmtId="0" fontId="4" fillId="0" borderId="174" xfId="0" applyFont="1" applyBorder="1" applyAlignment="1">
      <alignment horizontal="left" vertical="center" wrapText="1" indent="1"/>
    </xf>
    <xf numFmtId="164" fontId="0" fillId="21" borderId="17" xfId="0" applyNumberFormat="1" applyFill="1" applyBorder="1" applyAlignment="1" applyProtection="1">
      <alignment horizontal="right"/>
      <protection locked="0"/>
    </xf>
    <xf numFmtId="164" fontId="0" fillId="21" borderId="92" xfId="0" applyNumberFormat="1" applyFill="1" applyBorder="1" applyAlignment="1" applyProtection="1">
      <alignment horizontal="right"/>
      <protection locked="0"/>
    </xf>
    <xf numFmtId="164" fontId="0" fillId="21" borderId="91" xfId="0" applyNumberFormat="1" applyFill="1" applyBorder="1" applyAlignment="1" applyProtection="1">
      <alignment horizontal="right"/>
      <protection locked="0"/>
    </xf>
    <xf numFmtId="164" fontId="0" fillId="21" borderId="10" xfId="0" applyNumberFormat="1" applyFill="1" applyBorder="1" applyAlignment="1" applyProtection="1">
      <alignment horizontal="right"/>
      <protection locked="0"/>
    </xf>
    <xf numFmtId="164" fontId="0" fillId="21" borderId="74" xfId="0" applyNumberFormat="1" applyFill="1" applyBorder="1" applyAlignment="1" applyProtection="1">
      <alignment horizontal="right"/>
      <protection locked="0"/>
    </xf>
    <xf numFmtId="0" fontId="4" fillId="0" borderId="221" xfId="0" applyFont="1" applyBorder="1" applyAlignment="1">
      <alignment horizontal="left" vertical="center" indent="1"/>
    </xf>
    <xf numFmtId="0" fontId="4" fillId="0" borderId="174" xfId="0" applyFont="1" applyBorder="1" applyAlignment="1">
      <alignment horizontal="left" vertical="center" indent="1"/>
    </xf>
    <xf numFmtId="49" fontId="4" fillId="17" borderId="222" xfId="0" applyNumberFormat="1" applyFont="1" applyFill="1" applyBorder="1" applyAlignment="1" applyProtection="1">
      <alignment horizontal="left" indent="1"/>
      <protection locked="0"/>
    </xf>
    <xf numFmtId="49" fontId="4" fillId="17" borderId="223" xfId="0" applyNumberFormat="1" applyFont="1" applyFill="1" applyBorder="1" applyAlignment="1" applyProtection="1">
      <alignment horizontal="left" indent="1"/>
      <protection locked="0"/>
    </xf>
    <xf numFmtId="49" fontId="4" fillId="17" borderId="224" xfId="0" applyNumberFormat="1" applyFont="1" applyFill="1" applyBorder="1" applyAlignment="1" applyProtection="1">
      <alignment horizontal="left" indent="1"/>
      <protection locked="0"/>
    </xf>
    <xf numFmtId="49" fontId="4" fillId="17" borderId="16" xfId="0" applyNumberFormat="1" applyFont="1" applyFill="1" applyBorder="1" applyAlignment="1" applyProtection="1">
      <alignment vertical="top"/>
      <protection locked="0"/>
    </xf>
    <xf numFmtId="49" fontId="4" fillId="17" borderId="17" xfId="0" applyNumberFormat="1" applyFont="1" applyFill="1" applyBorder="1" applyAlignment="1" applyProtection="1">
      <alignment vertical="top"/>
      <protection locked="0"/>
    </xf>
    <xf numFmtId="49" fontId="4" fillId="17" borderId="18" xfId="0" applyNumberFormat="1" applyFont="1" applyFill="1" applyBorder="1" applyAlignment="1" applyProtection="1">
      <alignment vertical="top"/>
      <protection locked="0"/>
    </xf>
    <xf numFmtId="164" fontId="0" fillId="21" borderId="185" xfId="0" applyNumberFormat="1" applyFill="1" applyBorder="1" applyAlignment="1" applyProtection="1">
      <alignment horizontal="right"/>
      <protection locked="0"/>
    </xf>
    <xf numFmtId="164" fontId="0" fillId="10" borderId="7" xfId="0" applyNumberFormat="1" applyFill="1" applyBorder="1" applyAlignment="1" applyProtection="1">
      <alignment horizontal="right"/>
      <protection locked="0"/>
    </xf>
    <xf numFmtId="164" fontId="0" fillId="10" borderId="225" xfId="0" applyNumberFormat="1" applyFill="1" applyBorder="1" applyAlignment="1" applyProtection="1">
      <alignment horizontal="right"/>
      <protection locked="0"/>
    </xf>
    <xf numFmtId="165" fontId="1" fillId="3" borderId="79" xfId="0" applyNumberFormat="1" applyFont="1" applyFill="1" applyBorder="1" applyAlignment="1" applyProtection="1">
      <alignment horizontal="right" vertical="center"/>
      <protection locked="0"/>
    </xf>
    <xf numFmtId="165" fontId="1" fillId="3" borderId="23" xfId="0" applyNumberFormat="1" applyFont="1" applyFill="1" applyBorder="1" applyAlignment="1" applyProtection="1">
      <alignment horizontal="right" vertical="center"/>
      <protection locked="0"/>
    </xf>
    <xf numFmtId="165" fontId="1" fillId="3" borderId="24" xfId="0" applyNumberFormat="1" applyFont="1" applyFill="1" applyBorder="1" applyAlignment="1" applyProtection="1">
      <alignment horizontal="right" vertical="center"/>
      <protection locked="0"/>
    </xf>
    <xf numFmtId="49" fontId="50" fillId="3" borderId="12" xfId="0" applyNumberFormat="1" applyFont="1" applyFill="1" applyBorder="1" applyAlignment="1" applyProtection="1">
      <alignment horizontal="right" vertical="center"/>
      <protection locked="0"/>
    </xf>
    <xf numFmtId="164" fontId="0" fillId="10" borderId="226" xfId="0" applyNumberFormat="1" applyFill="1" applyBorder="1" applyAlignment="1" applyProtection="1">
      <alignment horizontal="right"/>
      <protection locked="0"/>
    </xf>
    <xf numFmtId="164" fontId="0" fillId="10" borderId="227" xfId="0" applyNumberFormat="1" applyFill="1" applyBorder="1" applyAlignment="1" applyProtection="1">
      <alignment horizontal="right"/>
      <protection locked="0"/>
    </xf>
    <xf numFmtId="164" fontId="0" fillId="10" borderId="228" xfId="0" applyNumberFormat="1" applyFill="1" applyBorder="1" applyAlignment="1" applyProtection="1">
      <alignment horizontal="right"/>
      <protection locked="0"/>
    </xf>
    <xf numFmtId="164" fontId="0" fillId="28" borderId="96" xfId="0" applyNumberFormat="1" applyFill="1" applyBorder="1" applyAlignment="1" applyProtection="1">
      <alignment horizontal="right"/>
      <protection locked="0"/>
    </xf>
    <xf numFmtId="0" fontId="52" fillId="29" borderId="0" xfId="0" applyFont="1" applyFill="1" applyAlignment="1">
      <alignment vertical="center"/>
    </xf>
    <xf numFmtId="0" fontId="0" fillId="29" borderId="0" xfId="0" applyFill="1"/>
    <xf numFmtId="0" fontId="53" fillId="25" borderId="112" xfId="0" applyFont="1" applyFill="1" applyBorder="1" applyAlignment="1">
      <alignment horizontal="center"/>
    </xf>
    <xf numFmtId="0" fontId="53" fillId="25" borderId="229" xfId="0" applyFont="1" applyFill="1" applyBorder="1" applyAlignment="1">
      <alignment horizontal="center"/>
    </xf>
    <xf numFmtId="0" fontId="53" fillId="25" borderId="7" xfId="0" applyFont="1" applyFill="1" applyBorder="1" applyAlignment="1">
      <alignment horizontal="center"/>
    </xf>
    <xf numFmtId="0" fontId="0" fillId="30" borderId="0" xfId="0" applyFill="1"/>
    <xf numFmtId="0" fontId="54" fillId="31" borderId="0" xfId="0" applyFont="1" applyFill="1"/>
    <xf numFmtId="0" fontId="2" fillId="0" borderId="0" xfId="0" applyFont="1"/>
    <xf numFmtId="10" fontId="0" fillId="10" borderId="0" xfId="0" applyNumberFormat="1" applyFill="1" applyAlignment="1" applyProtection="1">
      <alignment horizontal="right"/>
      <protection locked="0"/>
    </xf>
    <xf numFmtId="49" fontId="4" fillId="25" borderId="10" xfId="0" applyNumberFormat="1" applyFont="1" applyFill="1" applyBorder="1"/>
    <xf numFmtId="0" fontId="55" fillId="32" borderId="0" xfId="0" applyFont="1" applyFill="1" applyAlignment="1">
      <alignment horizontal="left"/>
    </xf>
    <xf numFmtId="0" fontId="28" fillId="29" borderId="15" xfId="0" applyFont="1" applyFill="1" applyBorder="1" applyAlignment="1">
      <alignment horizontal="center" vertical="center" wrapText="1"/>
    </xf>
    <xf numFmtId="0" fontId="3" fillId="4" borderId="230" xfId="0" quotePrefix="1" applyFont="1" applyFill="1" applyBorder="1"/>
    <xf numFmtId="0" fontId="3" fillId="4" borderId="230" xfId="0" applyFont="1" applyFill="1" applyBorder="1"/>
    <xf numFmtId="0" fontId="3" fillId="4" borderId="231" xfId="0" applyFont="1" applyFill="1" applyBorder="1"/>
    <xf numFmtId="0" fontId="3" fillId="4" borderId="232" xfId="0" applyFont="1" applyFill="1" applyBorder="1"/>
    <xf numFmtId="0" fontId="3" fillId="4" borderId="114" xfId="0" applyFont="1" applyFill="1" applyBorder="1"/>
    <xf numFmtId="0" fontId="3" fillId="0" borderId="114" xfId="0" applyFont="1" applyBorder="1"/>
    <xf numFmtId="0" fontId="3" fillId="0" borderId="233" xfId="0" applyFont="1" applyBorder="1"/>
    <xf numFmtId="0" fontId="3" fillId="0" borderId="115" xfId="0" applyFont="1" applyBorder="1"/>
    <xf numFmtId="0" fontId="3" fillId="33" borderId="26" xfId="0" applyFont="1" applyFill="1" applyBorder="1" applyAlignment="1">
      <alignment horizontal="left" vertical="top" wrapText="1"/>
    </xf>
    <xf numFmtId="0" fontId="3" fillId="4" borderId="113" xfId="0" applyFont="1" applyFill="1" applyBorder="1"/>
    <xf numFmtId="0" fontId="3" fillId="4" borderId="202" xfId="0" applyFont="1" applyFill="1" applyBorder="1"/>
    <xf numFmtId="0" fontId="3" fillId="4" borderId="188" xfId="0" applyFont="1" applyFill="1" applyBorder="1"/>
    <xf numFmtId="0" fontId="3" fillId="4" borderId="189" xfId="0" applyFont="1" applyFill="1" applyBorder="1"/>
    <xf numFmtId="0" fontId="3" fillId="4" borderId="115" xfId="0" applyFont="1" applyFill="1" applyBorder="1"/>
    <xf numFmtId="0" fontId="56" fillId="0" borderId="0" xfId="0" applyFont="1"/>
    <xf numFmtId="1" fontId="22" fillId="6" borderId="0" xfId="0" applyNumberFormat="1" applyFont="1" applyFill="1"/>
    <xf numFmtId="0" fontId="2" fillId="33" borderId="15" xfId="0" applyFont="1" applyFill="1" applyBorder="1" applyAlignment="1">
      <alignment horizontal="left" vertical="top" wrapText="1"/>
    </xf>
    <xf numFmtId="0" fontId="8" fillId="33" borderId="15" xfId="0" applyFont="1" applyFill="1" applyBorder="1" applyAlignment="1">
      <alignment horizontal="left" vertical="top" wrapText="1"/>
    </xf>
    <xf numFmtId="0" fontId="8" fillId="3" borderId="15" xfId="0" applyFont="1" applyFill="1" applyBorder="1" applyAlignment="1">
      <alignment horizontal="left" vertical="center" wrapText="1"/>
    </xf>
    <xf numFmtId="0" fontId="1" fillId="3" borderId="15" xfId="0" applyFont="1" applyFill="1" applyBorder="1" applyAlignment="1">
      <alignment horizontal="center" vertical="center" wrapText="1"/>
    </xf>
    <xf numFmtId="0" fontId="0" fillId="14" borderId="16" xfId="0" applyFill="1" applyBorder="1"/>
    <xf numFmtId="0" fontId="0" fillId="14" borderId="13" xfId="0" applyFill="1" applyBorder="1" applyProtection="1">
      <protection locked="0"/>
    </xf>
    <xf numFmtId="49" fontId="0" fillId="14" borderId="13" xfId="0" applyNumberFormat="1" applyFill="1" applyBorder="1"/>
    <xf numFmtId="0" fontId="0" fillId="14" borderId="13" xfId="0" applyFill="1" applyBorder="1" applyAlignment="1">
      <alignment vertical="center"/>
    </xf>
    <xf numFmtId="49" fontId="0" fillId="14" borderId="147" xfId="0" applyNumberFormat="1" applyFill="1" applyBorder="1"/>
    <xf numFmtId="0" fontId="4" fillId="2" borderId="16" xfId="0" applyFont="1" applyFill="1" applyBorder="1" applyAlignment="1">
      <alignment horizontal="left"/>
    </xf>
    <xf numFmtId="0" fontId="0" fillId="3" borderId="13" xfId="0" applyFill="1" applyBorder="1"/>
    <xf numFmtId="0" fontId="0" fillId="3" borderId="86" xfId="0" applyFill="1" applyBorder="1" applyAlignment="1">
      <alignment horizontal="left" vertical="center"/>
    </xf>
    <xf numFmtId="0" fontId="0" fillId="0" borderId="139" xfId="0" applyBorder="1" applyAlignment="1">
      <alignment horizontal="left" vertical="center"/>
    </xf>
    <xf numFmtId="0" fontId="0" fillId="14" borderId="17" xfId="0" applyFill="1" applyBorder="1"/>
    <xf numFmtId="0" fontId="0" fillId="14" borderId="10" xfId="0" applyFill="1" applyBorder="1" applyProtection="1">
      <protection locked="0"/>
    </xf>
    <xf numFmtId="0" fontId="0" fillId="14" borderId="10" xfId="0" applyFill="1" applyBorder="1"/>
    <xf numFmtId="0" fontId="0" fillId="14" borderId="29" xfId="0" applyFill="1" applyBorder="1"/>
    <xf numFmtId="0" fontId="4" fillId="2" borderId="17" xfId="0" applyFont="1" applyFill="1" applyBorder="1" applyAlignment="1">
      <alignment horizontal="left"/>
    </xf>
    <xf numFmtId="0" fontId="0" fillId="3" borderId="10" xfId="0" applyFill="1" applyBorder="1"/>
    <xf numFmtId="0" fontId="0" fillId="3" borderId="203" xfId="0" applyFill="1" applyBorder="1" applyAlignment="1">
      <alignment horizontal="left" vertical="center"/>
    </xf>
    <xf numFmtId="0" fontId="0" fillId="0" borderId="31" xfId="0" applyBorder="1" applyAlignment="1">
      <alignment horizontal="left" vertical="center"/>
    </xf>
    <xf numFmtId="0" fontId="0" fillId="14" borderId="10" xfId="0" applyFill="1" applyBorder="1" applyAlignment="1">
      <alignment vertical="center"/>
    </xf>
    <xf numFmtId="0" fontId="0" fillId="14" borderId="29" xfId="0" applyFill="1" applyBorder="1" applyAlignment="1">
      <alignment vertical="center"/>
    </xf>
    <xf numFmtId="0" fontId="0" fillId="3" borderId="234" xfId="0" applyFill="1" applyBorder="1"/>
    <xf numFmtId="0" fontId="0" fillId="0" borderId="133" xfId="0" applyBorder="1"/>
    <xf numFmtId="0" fontId="0" fillId="3" borderId="74" xfId="0" applyFill="1" applyBorder="1"/>
    <xf numFmtId="0" fontId="0" fillId="0" borderId="235" xfId="0" applyBorder="1"/>
    <xf numFmtId="0" fontId="0" fillId="3" borderId="74" xfId="0" applyFill="1" applyBorder="1" applyAlignment="1">
      <alignment horizontal="left" vertical="center"/>
    </xf>
    <xf numFmtId="1" fontId="3" fillId="6" borderId="10" xfId="0" applyNumberFormat="1" applyFont="1" applyFill="1" applyBorder="1"/>
    <xf numFmtId="0" fontId="0" fillId="3" borderId="203" xfId="0" applyFill="1" applyBorder="1"/>
    <xf numFmtId="0" fontId="0" fillId="0" borderId="29" xfId="0" applyBorder="1"/>
    <xf numFmtId="0" fontId="0" fillId="3" borderId="236" xfId="0" applyFill="1" applyBorder="1" applyAlignment="1">
      <alignment horizontal="left" vertical="center"/>
    </xf>
    <xf numFmtId="0" fontId="0" fillId="0" borderId="50" xfId="0" applyBorder="1" applyAlignment="1">
      <alignment horizontal="left" vertical="center"/>
    </xf>
    <xf numFmtId="0" fontId="3" fillId="6" borderId="10" xfId="0" applyFont="1" applyFill="1" applyBorder="1"/>
    <xf numFmtId="0" fontId="0" fillId="3" borderId="73" xfId="0" applyFill="1" applyBorder="1" applyAlignment="1">
      <alignment horizontal="left" vertical="center"/>
    </xf>
    <xf numFmtId="0" fontId="0" fillId="6" borderId="237" xfId="0" applyFill="1" applyBorder="1" applyAlignment="1">
      <alignment vertical="center"/>
    </xf>
    <xf numFmtId="0" fontId="0" fillId="8" borderId="6" xfId="0" applyFill="1" applyBorder="1"/>
    <xf numFmtId="0" fontId="0" fillId="3" borderId="73" xfId="0" applyFill="1" applyBorder="1"/>
    <xf numFmtId="0" fontId="0" fillId="6" borderId="139" xfId="0" applyFill="1" applyBorder="1" applyAlignment="1">
      <alignment horizontal="left" vertical="center"/>
    </xf>
    <xf numFmtId="0" fontId="0" fillId="6" borderId="133" xfId="0" applyFill="1" applyBorder="1" applyAlignment="1">
      <alignment horizontal="left" vertical="center"/>
    </xf>
    <xf numFmtId="0" fontId="0" fillId="0" borderId="41" xfId="0" applyBorder="1"/>
    <xf numFmtId="0" fontId="0" fillId="6" borderId="31" xfId="0" applyFill="1" applyBorder="1" applyAlignment="1">
      <alignment horizontal="left" vertical="center"/>
    </xf>
    <xf numFmtId="0" fontId="0" fillId="6" borderId="50" xfId="0" applyFill="1" applyBorder="1" applyAlignment="1">
      <alignment horizontal="left" vertical="center"/>
    </xf>
    <xf numFmtId="0" fontId="0" fillId="0" borderId="10" xfId="0" applyBorder="1" applyAlignment="1">
      <alignment vertical="center"/>
    </xf>
    <xf numFmtId="0" fontId="0" fillId="6" borderId="173" xfId="0" applyFill="1" applyBorder="1" applyAlignment="1">
      <alignment vertical="top"/>
    </xf>
    <xf numFmtId="0" fontId="0" fillId="6" borderId="41" xfId="0" applyFill="1" applyBorder="1" applyAlignment="1">
      <alignment horizontal="left" vertical="center"/>
    </xf>
    <xf numFmtId="0" fontId="0" fillId="6" borderId="74" xfId="0" applyFill="1" applyBorder="1" applyAlignment="1">
      <alignment horizontal="left" vertical="center"/>
    </xf>
    <xf numFmtId="0" fontId="0" fillId="0" borderId="18" xfId="0" applyBorder="1"/>
    <xf numFmtId="0" fontId="0" fillId="0" borderId="32" xfId="0" applyBorder="1"/>
    <xf numFmtId="0" fontId="0" fillId="0" borderId="11" xfId="0" applyBorder="1" applyAlignment="1">
      <alignment vertical="center"/>
    </xf>
    <xf numFmtId="0" fontId="0" fillId="6" borderId="84" xfId="0" applyFill="1" applyBorder="1" applyAlignment="1">
      <alignment horizontal="left" vertical="center"/>
    </xf>
    <xf numFmtId="0" fontId="0" fillId="6" borderId="238" xfId="0" applyFill="1" applyBorder="1" applyAlignment="1">
      <alignment vertical="top"/>
    </xf>
    <xf numFmtId="0" fontId="0" fillId="6" borderId="231" xfId="0" applyFill="1" applyBorder="1" applyAlignment="1">
      <alignment vertical="center"/>
    </xf>
    <xf numFmtId="0" fontId="0" fillId="6" borderId="114" xfId="0" applyFill="1" applyBorder="1" applyAlignment="1">
      <alignment vertical="center"/>
    </xf>
    <xf numFmtId="0" fontId="0" fillId="6" borderId="115" xfId="0" applyFill="1" applyBorder="1" applyAlignment="1">
      <alignment vertical="center"/>
    </xf>
    <xf numFmtId="0" fontId="0" fillId="8" borderId="58" xfId="0" applyFill="1" applyBorder="1"/>
    <xf numFmtId="49" fontId="0" fillId="14" borderId="86" xfId="0" applyNumberFormat="1" applyFill="1" applyBorder="1"/>
    <xf numFmtId="0" fontId="0" fillId="14" borderId="74" xfId="0" applyFill="1" applyBorder="1"/>
    <xf numFmtId="0" fontId="0" fillId="14" borderId="74" xfId="0" applyFill="1" applyBorder="1" applyAlignment="1">
      <alignment vertical="center"/>
    </xf>
    <xf numFmtId="0" fontId="0" fillId="0" borderId="74" xfId="0" applyBorder="1" applyAlignment="1">
      <alignment vertical="center"/>
    </xf>
    <xf numFmtId="0" fontId="0" fillId="14" borderId="11" xfId="0" applyFill="1" applyBorder="1"/>
    <xf numFmtId="0" fontId="0" fillId="0" borderId="84" xfId="0" applyBorder="1" applyAlignment="1">
      <alignment vertical="center"/>
    </xf>
    <xf numFmtId="0" fontId="57" fillId="32" borderId="0" xfId="0" applyFont="1" applyFill="1" applyAlignment="1">
      <alignment horizontal="left"/>
    </xf>
    <xf numFmtId="0" fontId="0" fillId="32" borderId="0" xfId="0" applyFill="1"/>
    <xf numFmtId="0" fontId="1" fillId="13" borderId="79" xfId="0" applyFont="1" applyFill="1" applyBorder="1" applyAlignment="1">
      <alignment vertical="center" wrapText="1"/>
    </xf>
    <xf numFmtId="0" fontId="1" fillId="34" borderId="23" xfId="0" applyFont="1" applyFill="1" applyBorder="1" applyAlignment="1">
      <alignment vertical="center" wrapText="1"/>
    </xf>
    <xf numFmtId="0" fontId="1" fillId="34" borderId="23" xfId="0" applyFont="1" applyFill="1" applyBorder="1" applyAlignment="1">
      <alignment horizontal="left" vertical="center" wrapText="1"/>
    </xf>
    <xf numFmtId="0" fontId="1" fillId="13" borderId="23" xfId="0" applyFont="1" applyFill="1" applyBorder="1" applyAlignment="1">
      <alignment vertical="center" wrapText="1"/>
    </xf>
    <xf numFmtId="0" fontId="1" fillId="13" borderId="24" xfId="0" applyFont="1" applyFill="1" applyBorder="1" applyAlignment="1">
      <alignment vertical="center" wrapText="1"/>
    </xf>
    <xf numFmtId="0" fontId="17" fillId="14" borderId="16" xfId="0" applyFont="1" applyFill="1" applyBorder="1" applyAlignment="1">
      <alignment wrapText="1"/>
    </xf>
    <xf numFmtId="0" fontId="4" fillId="14" borderId="13" xfId="0" applyFont="1" applyFill="1" applyBorder="1" applyAlignment="1">
      <alignment wrapText="1"/>
    </xf>
    <xf numFmtId="0" fontId="58" fillId="14" borderId="13" xfId="0" applyFont="1" applyFill="1" applyBorder="1" applyAlignment="1">
      <alignment vertical="center"/>
    </xf>
    <xf numFmtId="0" fontId="4" fillId="14" borderId="13" xfId="0" applyFont="1" applyFill="1" applyBorder="1" applyAlignment="1">
      <alignment vertical="center" wrapText="1"/>
    </xf>
    <xf numFmtId="0" fontId="4" fillId="14" borderId="86" xfId="0" applyFont="1" applyFill="1" applyBorder="1" applyAlignment="1">
      <alignment vertical="center" wrapText="1"/>
    </xf>
    <xf numFmtId="0" fontId="17" fillId="14" borderId="17" xfId="0" applyFont="1" applyFill="1" applyBorder="1" applyAlignment="1">
      <alignment wrapText="1"/>
    </xf>
    <xf numFmtId="0" fontId="4" fillId="14" borderId="10" xfId="0" applyFont="1" applyFill="1" applyBorder="1" applyAlignment="1">
      <alignment wrapText="1"/>
    </xf>
    <xf numFmtId="0" fontId="58" fillId="14" borderId="10" xfId="0" applyFont="1" applyFill="1" applyBorder="1" applyAlignment="1">
      <alignment vertical="center"/>
    </xf>
    <xf numFmtId="0" fontId="4" fillId="14" borderId="10" xfId="0" applyFont="1" applyFill="1" applyBorder="1" applyAlignment="1">
      <alignment vertical="center" wrapText="1"/>
    </xf>
    <xf numFmtId="0" fontId="4" fillId="14" borderId="74" xfId="0" applyFont="1" applyFill="1" applyBorder="1" applyAlignment="1">
      <alignment vertical="center" wrapText="1"/>
    </xf>
    <xf numFmtId="0" fontId="4" fillId="0" borderId="10" xfId="0" applyFont="1" applyBorder="1"/>
    <xf numFmtId="0" fontId="4" fillId="0" borderId="74" xfId="0" applyFont="1" applyBorder="1"/>
    <xf numFmtId="0" fontId="4" fillId="0" borderId="10"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14" borderId="11" xfId="0" applyFont="1" applyFill="1" applyBorder="1" applyAlignment="1">
      <alignment wrapText="1"/>
    </xf>
    <xf numFmtId="0" fontId="4" fillId="0" borderId="11" xfId="0" applyFont="1" applyBorder="1" applyAlignment="1">
      <alignment vertical="center"/>
    </xf>
    <xf numFmtId="0" fontId="4" fillId="0" borderId="11" xfId="0" applyFont="1" applyBorder="1"/>
    <xf numFmtId="0" fontId="4" fillId="0" borderId="84" xfId="0" applyFont="1" applyBorder="1"/>
    <xf numFmtId="0" fontId="46" fillId="0" borderId="0" xfId="0" applyFont="1" applyAlignment="1">
      <alignment horizontal="right"/>
    </xf>
    <xf numFmtId="0" fontId="1" fillId="34" borderId="26" xfId="0" applyFont="1" applyFill="1" applyBorder="1" applyAlignment="1">
      <alignment vertical="center" wrapText="1"/>
    </xf>
    <xf numFmtId="0" fontId="3" fillId="14" borderId="231" xfId="0" applyFont="1" applyFill="1" applyBorder="1" applyAlignment="1">
      <alignment horizontal="center" vertical="top" wrapText="1"/>
    </xf>
    <xf numFmtId="0" fontId="3" fillId="14" borderId="114" xfId="0" applyFont="1" applyFill="1" applyBorder="1" applyAlignment="1">
      <alignment horizontal="center" vertical="top" wrapText="1"/>
    </xf>
    <xf numFmtId="0" fontId="3" fillId="14" borderId="115" xfId="0" applyFont="1" applyFill="1" applyBorder="1" applyAlignment="1">
      <alignment horizontal="center" vertical="center"/>
    </xf>
    <xf numFmtId="0" fontId="1" fillId="13" borderId="239" xfId="0" applyFont="1" applyFill="1" applyBorder="1" applyAlignment="1">
      <alignment vertical="center" wrapText="1"/>
    </xf>
    <xf numFmtId="0" fontId="58" fillId="14" borderId="113" xfId="0" applyFont="1" applyFill="1" applyBorder="1" applyAlignment="1">
      <alignment horizontal="center" vertical="center"/>
    </xf>
    <xf numFmtId="0" fontId="58" fillId="14" borderId="114" xfId="0" applyFont="1" applyFill="1" applyBorder="1" applyAlignment="1">
      <alignment horizontal="center" vertical="center"/>
    </xf>
    <xf numFmtId="0" fontId="58" fillId="14" borderId="115" xfId="0" applyFont="1" applyFill="1" applyBorder="1" applyAlignment="1">
      <alignment horizontal="center" vertical="center"/>
    </xf>
    <xf numFmtId="0" fontId="59" fillId="35" borderId="240" xfId="0" applyFont="1" applyFill="1" applyBorder="1" applyAlignment="1">
      <alignment horizontal="center" vertical="center" wrapText="1"/>
    </xf>
    <xf numFmtId="0" fontId="59" fillId="35" borderId="241" xfId="0" applyFont="1" applyFill="1" applyBorder="1" applyAlignment="1">
      <alignment horizontal="center" vertical="center" wrapText="1"/>
    </xf>
    <xf numFmtId="0" fontId="59" fillId="35" borderId="242" xfId="0" applyFont="1" applyFill="1" applyBorder="1" applyAlignment="1">
      <alignment horizontal="center" vertical="center" wrapText="1"/>
    </xf>
    <xf numFmtId="0" fontId="0" fillId="4" borderId="5" xfId="0" applyFill="1" applyBorder="1" applyAlignment="1">
      <alignment horizontal="center"/>
    </xf>
    <xf numFmtId="0" fontId="0" fillId="4" borderId="0" xfId="0" applyFill="1" applyAlignment="1">
      <alignment horizontal="center"/>
    </xf>
    <xf numFmtId="0" fontId="0" fillId="4" borderId="38" xfId="0" applyFill="1" applyBorder="1" applyAlignment="1">
      <alignment horizontal="center" vertical="center" wrapText="1"/>
    </xf>
    <xf numFmtId="0" fontId="0" fillId="4" borderId="243"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10" xfId="0" applyFill="1" applyBorder="1" applyAlignment="1">
      <alignment horizontal="center" vertical="center" wrapText="1"/>
    </xf>
    <xf numFmtId="0" fontId="0" fillId="0" borderId="244" xfId="0" applyBorder="1"/>
    <xf numFmtId="0" fontId="0" fillId="0" borderId="17" xfId="0" applyBorder="1" applyAlignment="1">
      <alignment vertical="center"/>
    </xf>
    <xf numFmtId="0" fontId="0" fillId="4" borderId="11" xfId="0" applyFill="1" applyBorder="1" applyAlignment="1">
      <alignment horizontal="center" vertical="center" wrapText="1"/>
    </xf>
    <xf numFmtId="0" fontId="0" fillId="0" borderId="245" xfId="0" applyBorder="1"/>
    <xf numFmtId="0" fontId="56" fillId="0" borderId="246" xfId="0" applyFont="1" applyBorder="1"/>
    <xf numFmtId="0" fontId="0" fillId="0" borderId="247" xfId="0" applyBorder="1"/>
    <xf numFmtId="0" fontId="60" fillId="36" borderId="0" xfId="0" applyFont="1" applyFill="1" applyAlignment="1">
      <alignment horizontal="centerContinuous"/>
    </xf>
    <xf numFmtId="0" fontId="59" fillId="35" borderId="248" xfId="0" applyFont="1" applyFill="1" applyBorder="1" applyAlignment="1">
      <alignment horizontal="center" vertical="center" wrapText="1"/>
    </xf>
    <xf numFmtId="0" fontId="59" fillId="35" borderId="249" xfId="0" applyFont="1" applyFill="1" applyBorder="1" applyAlignment="1">
      <alignment horizontal="center" vertical="center" wrapText="1"/>
    </xf>
    <xf numFmtId="0" fontId="59" fillId="35" borderId="250" xfId="0" applyFont="1" applyFill="1" applyBorder="1" applyAlignment="1">
      <alignment horizontal="center" vertical="center" wrapText="1"/>
    </xf>
    <xf numFmtId="0" fontId="0" fillId="4" borderId="251" xfId="0" applyFill="1" applyBorder="1" applyAlignment="1">
      <alignment horizontal="center"/>
    </xf>
    <xf numFmtId="0" fontId="0" fillId="0" borderId="38" xfId="0" applyBorder="1"/>
    <xf numFmtId="0" fontId="0" fillId="4" borderId="252" xfId="0" applyFill="1" applyBorder="1" applyAlignment="1">
      <alignment horizontal="center" vertical="center" wrapText="1"/>
    </xf>
    <xf numFmtId="0" fontId="0" fillId="4" borderId="253" xfId="0" applyFill="1" applyBorder="1" applyAlignment="1">
      <alignment horizontal="center"/>
    </xf>
    <xf numFmtId="0" fontId="0" fillId="4" borderId="9" xfId="0" applyFill="1" applyBorder="1" applyAlignment="1">
      <alignment horizontal="center" vertical="center" wrapText="1"/>
    </xf>
    <xf numFmtId="0" fontId="0" fillId="4" borderId="254" xfId="0" applyFill="1" applyBorder="1" applyAlignment="1">
      <alignment horizontal="center"/>
    </xf>
    <xf numFmtId="0" fontId="0" fillId="0" borderId="255" xfId="0" applyBorder="1"/>
    <xf numFmtId="0" fontId="0" fillId="0" borderId="256" xfId="0" applyBorder="1"/>
    <xf numFmtId="0" fontId="0" fillId="0" borderId="257" xfId="0" applyBorder="1"/>
    <xf numFmtId="0" fontId="59" fillId="35" borderId="26" xfId="0" applyFont="1" applyFill="1" applyBorder="1" applyAlignment="1">
      <alignment horizontal="center" vertical="center" wrapText="1"/>
    </xf>
    <xf numFmtId="0" fontId="0" fillId="4" borderId="114" xfId="0" applyFill="1" applyBorder="1" applyAlignment="1">
      <alignment horizontal="center"/>
    </xf>
    <xf numFmtId="0" fontId="0" fillId="4" borderId="115" xfId="0" applyFill="1" applyBorder="1" applyAlignment="1">
      <alignment horizontal="center"/>
    </xf>
    <xf numFmtId="0" fontId="59" fillId="37" borderId="258" xfId="0" applyFont="1" applyFill="1" applyBorder="1" applyAlignment="1">
      <alignment vertical="center" wrapText="1"/>
    </xf>
    <xf numFmtId="0" fontId="59" fillId="37" borderId="259" xfId="0" applyFont="1" applyFill="1" applyBorder="1" applyAlignment="1">
      <alignment vertical="center" wrapText="1"/>
    </xf>
    <xf numFmtId="0" fontId="59" fillId="37" borderId="260" xfId="0" applyFont="1" applyFill="1" applyBorder="1" applyAlignment="1">
      <alignment vertical="center" wrapText="1"/>
    </xf>
    <xf numFmtId="0" fontId="0" fillId="38" borderId="16" xfId="0" applyFill="1" applyBorder="1" applyAlignment="1">
      <alignment horizontal="center" vertical="center" wrapText="1"/>
    </xf>
    <xf numFmtId="0" fontId="0" fillId="38" borderId="13" xfId="0" applyFill="1" applyBorder="1" applyAlignment="1">
      <alignment horizontal="center" vertical="center" wrapText="1"/>
    </xf>
    <xf numFmtId="0" fontId="0" fillId="0" borderId="86" xfId="0" applyBorder="1"/>
    <xf numFmtId="0" fontId="0" fillId="38" borderId="17" xfId="0" applyFill="1" applyBorder="1" applyAlignment="1">
      <alignment horizontal="center" vertical="center" wrapText="1"/>
    </xf>
    <xf numFmtId="0" fontId="0" fillId="38" borderId="10" xfId="0" applyFill="1" applyBorder="1" applyAlignment="1">
      <alignment horizontal="center" vertical="center" wrapText="1"/>
    </xf>
    <xf numFmtId="0" fontId="0" fillId="0" borderId="74" xfId="0" applyBorder="1"/>
    <xf numFmtId="0" fontId="0" fillId="38" borderId="18" xfId="0" applyFill="1" applyBorder="1" applyAlignment="1">
      <alignment horizontal="center" vertical="center" wrapText="1"/>
    </xf>
    <xf numFmtId="0" fontId="0" fillId="0" borderId="84" xfId="0" applyBorder="1"/>
    <xf numFmtId="0" fontId="1" fillId="39" borderId="79" xfId="0" applyFont="1" applyFill="1" applyBorder="1" applyAlignment="1">
      <alignment horizontal="center" vertical="center" wrapText="1"/>
    </xf>
    <xf numFmtId="0" fontId="1" fillId="39" borderId="23" xfId="0" applyFont="1" applyFill="1" applyBorder="1" applyAlignment="1">
      <alignment horizontal="center" vertical="center" wrapText="1"/>
    </xf>
    <xf numFmtId="0" fontId="1" fillId="39" borderId="24" xfId="0" applyFont="1" applyFill="1" applyBorder="1" applyAlignment="1">
      <alignment horizontal="center" vertical="center" wrapText="1"/>
    </xf>
    <xf numFmtId="0" fontId="0" fillId="12" borderId="161" xfId="0" applyFill="1" applyBorder="1"/>
    <xf numFmtId="0" fontId="0" fillId="12" borderId="28" xfId="0" applyFill="1" applyBorder="1"/>
    <xf numFmtId="0" fontId="0" fillId="12" borderId="58" xfId="0" applyFill="1" applyBorder="1"/>
    <xf numFmtId="0" fontId="1" fillId="39" borderId="261" xfId="0" applyFont="1" applyFill="1" applyBorder="1" applyAlignment="1">
      <alignment horizontal="center" vertical="center" wrapText="1"/>
    </xf>
    <xf numFmtId="0" fontId="1" fillId="39" borderId="239" xfId="0" applyFont="1" applyFill="1" applyBorder="1" applyAlignment="1">
      <alignment horizontal="center" vertical="center" wrapText="1"/>
    </xf>
    <xf numFmtId="0" fontId="2" fillId="39" borderId="260" xfId="0" applyFont="1" applyFill="1" applyBorder="1" applyAlignment="1">
      <alignment vertical="center"/>
    </xf>
    <xf numFmtId="0" fontId="0" fillId="12" borderId="16" xfId="0" applyFill="1" applyBorder="1" applyAlignment="1">
      <alignment horizontal="left" vertical="center" wrapText="1"/>
    </xf>
    <xf numFmtId="0" fontId="0" fillId="12" borderId="13" xfId="0" applyFill="1" applyBorder="1" applyAlignment="1">
      <alignment horizontal="left"/>
    </xf>
    <xf numFmtId="0" fontId="0" fillId="12" borderId="86" xfId="0" applyFill="1" applyBorder="1" applyAlignment="1">
      <alignment horizontal="left"/>
    </xf>
    <xf numFmtId="0" fontId="0" fillId="12" borderId="17" xfId="0" applyFill="1" applyBorder="1" applyAlignment="1">
      <alignment horizontal="left" vertical="center" wrapText="1"/>
    </xf>
    <xf numFmtId="0" fontId="0" fillId="12" borderId="10" xfId="0" applyFill="1" applyBorder="1" applyAlignment="1">
      <alignment horizontal="left" vertical="top"/>
    </xf>
    <xf numFmtId="0" fontId="0" fillId="0" borderId="74" xfId="0" applyBorder="1" applyAlignment="1">
      <alignment horizontal="left"/>
    </xf>
    <xf numFmtId="0" fontId="0" fillId="12" borderId="18" xfId="0" applyFill="1" applyBorder="1" applyAlignment="1">
      <alignment horizontal="left" vertical="center" wrapText="1"/>
    </xf>
    <xf numFmtId="0" fontId="0" fillId="0" borderId="11" xfId="0" applyBorder="1" applyAlignment="1">
      <alignment horizontal="left" vertical="top"/>
    </xf>
    <xf numFmtId="0" fontId="0" fillId="0" borderId="84" xfId="0" applyBorder="1" applyAlignment="1">
      <alignment horizontal="left"/>
    </xf>
    <xf numFmtId="0" fontId="1" fillId="12" borderId="12" xfId="0" applyFont="1" applyFill="1" applyBorder="1" applyAlignment="1">
      <alignment vertical="center"/>
    </xf>
    <xf numFmtId="0" fontId="1" fillId="0" borderId="0" xfId="0" applyFont="1" applyAlignment="1">
      <alignment vertical="center"/>
    </xf>
    <xf numFmtId="0" fontId="4" fillId="0" borderId="0" xfId="0" applyFont="1" applyAlignment="1">
      <alignment horizontal="left" indent="3"/>
    </xf>
    <xf numFmtId="0" fontId="54" fillId="0" borderId="79"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24" xfId="0" applyFont="1" applyBorder="1" applyAlignment="1">
      <alignment horizontal="center" vertical="center" wrapText="1"/>
    </xf>
    <xf numFmtId="3" fontId="1" fillId="3" borderId="262" xfId="0" applyNumberFormat="1" applyFont="1" applyFill="1" applyBorder="1" applyAlignment="1">
      <alignment horizontal="left" vertical="center" wrapText="1"/>
    </xf>
    <xf numFmtId="3" fontId="1" fillId="3" borderId="263" xfId="0" applyNumberFormat="1" applyFont="1" applyFill="1" applyBorder="1" applyAlignment="1" applyProtection="1">
      <alignment horizontal="left" vertical="center" wrapText="1"/>
      <protection locked="0"/>
    </xf>
    <xf numFmtId="169" fontId="1" fillId="3" borderId="263" xfId="0" applyNumberFormat="1" applyFont="1" applyFill="1" applyBorder="1" applyAlignment="1" applyProtection="1">
      <alignment horizontal="left" vertical="center" wrapText="1"/>
      <protection locked="0"/>
    </xf>
    <xf numFmtId="169" fontId="1" fillId="3" borderId="264" xfId="0" applyNumberFormat="1" applyFont="1" applyFill="1" applyBorder="1" applyAlignment="1" applyProtection="1">
      <alignment horizontal="left" vertical="center" wrapText="1"/>
      <protection locked="0"/>
    </xf>
    <xf numFmtId="0" fontId="54" fillId="0" borderId="112" xfId="0" applyFont="1" applyBorder="1" applyAlignment="1">
      <alignment horizontal="center" vertical="center" wrapText="1"/>
    </xf>
    <xf numFmtId="0" fontId="54" fillId="0" borderId="121" xfId="0" applyFont="1" applyBorder="1" applyAlignment="1">
      <alignment horizontal="center" vertical="center" wrapText="1"/>
    </xf>
    <xf numFmtId="0" fontId="54" fillId="0" borderId="4" xfId="0" applyFont="1" applyBorder="1" applyAlignment="1">
      <alignment horizontal="center" vertical="center" wrapText="1"/>
    </xf>
    <xf numFmtId="14" fontId="0" fillId="13" borderId="26" xfId="0" applyNumberFormat="1" applyFill="1" applyBorder="1" applyAlignment="1">
      <alignment horizontal="left" vertical="center"/>
    </xf>
    <xf numFmtId="0" fontId="54" fillId="0" borderId="12" xfId="0" applyFont="1" applyBorder="1" applyAlignment="1">
      <alignment horizontal="center" vertical="center"/>
    </xf>
    <xf numFmtId="0" fontId="54" fillId="0" borderId="19" xfId="0" applyFont="1" applyBorder="1" applyAlignment="1">
      <alignment horizontal="center" vertical="center"/>
    </xf>
    <xf numFmtId="0" fontId="54" fillId="0" borderId="20" xfId="0" applyFont="1" applyBorder="1" applyAlignment="1">
      <alignment horizontal="center" vertical="center"/>
    </xf>
    <xf numFmtId="14" fontId="1" fillId="13" borderId="26" xfId="0" applyNumberFormat="1" applyFont="1" applyFill="1" applyBorder="1" applyAlignment="1">
      <alignment horizontal="left" vertical="center"/>
    </xf>
    <xf numFmtId="0" fontId="61" fillId="0" borderId="12" xfId="0" applyFont="1" applyBorder="1" applyAlignment="1">
      <alignment horizontal="right" vertical="center"/>
    </xf>
    <xf numFmtId="0" fontId="62" fillId="40" borderId="0" xfId="0" applyFont="1" applyFill="1" applyAlignment="1">
      <alignment vertical="center"/>
    </xf>
    <xf numFmtId="0" fontId="2" fillId="40" borderId="0" xfId="0" applyFont="1" applyFill="1" applyAlignment="1">
      <alignment vertical="center"/>
    </xf>
    <xf numFmtId="0" fontId="61" fillId="0" borderId="26" xfId="0" applyFont="1" applyBorder="1" applyAlignment="1">
      <alignment horizontal="right"/>
    </xf>
    <xf numFmtId="166" fontId="1" fillId="13" borderId="265" xfId="0" applyNumberFormat="1" applyFont="1" applyFill="1" applyBorder="1" applyAlignment="1">
      <alignment horizontal="center" vertical="center" wrapText="1"/>
    </xf>
    <xf numFmtId="166" fontId="1" fillId="14" borderId="25" xfId="0" applyNumberFormat="1" applyFont="1" applyFill="1" applyBorder="1" applyAlignment="1">
      <alignment horizontal="left" vertical="center" wrapText="1"/>
    </xf>
    <xf numFmtId="0" fontId="4" fillId="0" borderId="0" xfId="0" applyFont="1" applyAlignment="1">
      <alignment horizontal="right" vertical="center"/>
    </xf>
    <xf numFmtId="166" fontId="1" fillId="14" borderId="266" xfId="0" applyNumberFormat="1" applyFont="1" applyFill="1" applyBorder="1" applyAlignment="1">
      <alignment horizontal="center" vertical="center" wrapText="1"/>
    </xf>
    <xf numFmtId="166" fontId="1" fillId="14" borderId="23" xfId="0" applyNumberFormat="1" applyFont="1" applyFill="1" applyBorder="1" applyAlignment="1">
      <alignment horizontal="left" vertical="center" wrapText="1"/>
    </xf>
    <xf numFmtId="166" fontId="11" fillId="6" borderId="266" xfId="0" applyNumberFormat="1" applyFont="1" applyFill="1" applyBorder="1"/>
    <xf numFmtId="0" fontId="63" fillId="0" borderId="0" xfId="0" applyFont="1" applyAlignment="1">
      <alignment vertical="center"/>
    </xf>
    <xf numFmtId="0" fontId="62" fillId="14" borderId="0" xfId="0" applyFont="1" applyFill="1"/>
    <xf numFmtId="0" fontId="63" fillId="14" borderId="0" xfId="0" applyFont="1" applyFill="1" applyAlignment="1">
      <alignment vertical="center"/>
    </xf>
    <xf numFmtId="0" fontId="0" fillId="0" borderId="0" xfId="0" applyAlignment="1">
      <alignment horizontal="left" vertical="top"/>
    </xf>
    <xf numFmtId="0" fontId="64" fillId="14" borderId="0" xfId="0" applyFont="1" applyFill="1" applyAlignment="1">
      <alignment vertical="top"/>
    </xf>
    <xf numFmtId="0" fontId="62" fillId="0" borderId="0" xfId="0" applyFont="1"/>
    <xf numFmtId="0" fontId="3" fillId="6" borderId="0" xfId="0" applyFont="1" applyFill="1" applyAlignment="1">
      <alignment horizontal="left"/>
    </xf>
    <xf numFmtId="14" fontId="0" fillId="0" borderId="0" xfId="0" applyNumberFormat="1" applyAlignment="1">
      <alignment vertical="center" wrapText="1"/>
    </xf>
    <xf numFmtId="0" fontId="4" fillId="7" borderId="8" xfId="0" applyFont="1" applyFill="1" applyBorder="1" applyAlignment="1">
      <alignment horizontal="left" vertical="top"/>
    </xf>
    <xf numFmtId="0" fontId="4" fillId="7" borderId="267" xfId="0" applyFont="1" applyFill="1" applyBorder="1" applyAlignment="1">
      <alignment horizontal="center" vertical="top"/>
    </xf>
    <xf numFmtId="0" fontId="8" fillId="41" borderId="268" xfId="0" applyFont="1" applyFill="1" applyBorder="1" applyAlignment="1">
      <alignment vertical="center" wrapText="1"/>
    </xf>
    <xf numFmtId="0" fontId="8" fillId="41" borderId="269" xfId="0" applyFont="1" applyFill="1" applyBorder="1" applyAlignment="1">
      <alignment vertical="center" wrapText="1"/>
    </xf>
    <xf numFmtId="49" fontId="8" fillId="41" borderId="121" xfId="0" applyNumberFormat="1" applyFont="1" applyFill="1" applyBorder="1" applyAlignment="1">
      <alignment vertical="center" wrapText="1"/>
    </xf>
    <xf numFmtId="49" fontId="8" fillId="41" borderId="270" xfId="0" applyNumberFormat="1" applyFont="1" applyFill="1" applyBorder="1" applyAlignment="1">
      <alignment vertical="center" wrapText="1"/>
    </xf>
    <xf numFmtId="49" fontId="3" fillId="41" borderId="112" xfId="0" applyNumberFormat="1" applyFont="1" applyFill="1" applyBorder="1"/>
    <xf numFmtId="49" fontId="4" fillId="41" borderId="112" xfId="0" applyNumberFormat="1" applyFont="1" applyFill="1" applyBorder="1"/>
    <xf numFmtId="0" fontId="3" fillId="41" borderId="15" xfId="0" applyFont="1" applyFill="1" applyBorder="1" applyAlignment="1">
      <alignment vertical="center"/>
    </xf>
    <xf numFmtId="49" fontId="3" fillId="41" borderId="268" xfId="0" applyNumberFormat="1" applyFont="1" applyFill="1" applyBorder="1"/>
    <xf numFmtId="49" fontId="4" fillId="41" borderId="268" xfId="0" applyNumberFormat="1" applyFont="1" applyFill="1" applyBorder="1"/>
    <xf numFmtId="0" fontId="0" fillId="41" borderId="271" xfId="0" applyFill="1" applyBorder="1"/>
    <xf numFmtId="0" fontId="3" fillId="41" borderId="271" xfId="0" applyFont="1" applyFill="1" applyBorder="1" applyAlignment="1">
      <alignment vertical="center"/>
    </xf>
    <xf numFmtId="49" fontId="3" fillId="41" borderId="272" xfId="0" applyNumberFormat="1" applyFont="1" applyFill="1" applyBorder="1"/>
    <xf numFmtId="49" fontId="4" fillId="41" borderId="272" xfId="0" applyNumberFormat="1" applyFont="1" applyFill="1" applyBorder="1"/>
    <xf numFmtId="0" fontId="3" fillId="41" borderId="115" xfId="0" applyFont="1" applyFill="1" applyBorder="1" applyAlignment="1">
      <alignment vertical="center"/>
    </xf>
    <xf numFmtId="1" fontId="8" fillId="6" borderId="0" xfId="0" applyNumberFormat="1" applyFont="1" applyFill="1" applyAlignment="1">
      <alignment horizontal="center"/>
    </xf>
    <xf numFmtId="0" fontId="2" fillId="0" borderId="0" xfId="0" quotePrefix="1" applyFont="1" applyAlignment="1">
      <alignment horizontal="left"/>
    </xf>
    <xf numFmtId="0" fontId="2" fillId="0" borderId="0" xfId="0" quotePrefix="1" applyFont="1"/>
    <xf numFmtId="0" fontId="0" fillId="0" borderId="273" xfId="0" applyBorder="1" applyAlignment="1">
      <alignment horizontal="right"/>
    </xf>
    <xf numFmtId="0" fontId="0" fillId="18" borderId="113" xfId="0" applyFill="1" applyBorder="1" applyAlignment="1">
      <alignment horizontal="left"/>
    </xf>
    <xf numFmtId="0" fontId="65" fillId="42" borderId="19" xfId="0" applyFont="1" applyFill="1" applyBorder="1" applyAlignment="1">
      <alignment horizontal="center"/>
    </xf>
    <xf numFmtId="0" fontId="0" fillId="0" borderId="30" xfId="0" applyBorder="1" applyAlignment="1">
      <alignment horizontal="right"/>
    </xf>
    <xf numFmtId="0" fontId="0" fillId="18" borderId="114" xfId="0" applyFill="1" applyBorder="1" applyAlignment="1">
      <alignment horizontal="left"/>
    </xf>
    <xf numFmtId="0" fontId="0" fillId="18" borderId="114" xfId="0" quotePrefix="1" applyFill="1" applyBorder="1" applyAlignment="1">
      <alignment horizontal="left"/>
    </xf>
    <xf numFmtId="0" fontId="0" fillId="0" borderId="40" xfId="0" applyBorder="1" applyAlignment="1">
      <alignment horizontal="right"/>
    </xf>
    <xf numFmtId="0" fontId="0" fillId="0" borderId="16" xfId="0" applyBorder="1"/>
    <xf numFmtId="0" fontId="2" fillId="0" borderId="86" xfId="0" applyFont="1" applyBorder="1"/>
    <xf numFmtId="0" fontId="0" fillId="0" borderId="17" xfId="0" applyBorder="1" applyAlignment="1">
      <alignment horizontal="right"/>
    </xf>
    <xf numFmtId="0" fontId="0" fillId="14" borderId="74" xfId="0" quotePrefix="1" applyFill="1" applyBorder="1" applyAlignment="1">
      <alignment horizontal="left"/>
    </xf>
    <xf numFmtId="0" fontId="3" fillId="6" borderId="0" xfId="0" quotePrefix="1" applyFont="1" applyFill="1" applyAlignment="1">
      <alignment horizontal="left"/>
    </xf>
    <xf numFmtId="0" fontId="0" fillId="0" borderId="18" xfId="0" applyBorder="1" applyAlignment="1">
      <alignment horizontal="right"/>
    </xf>
    <xf numFmtId="0" fontId="0" fillId="14" borderId="84" xfId="0" quotePrefix="1" applyFill="1" applyBorder="1" applyAlignment="1">
      <alignment horizontal="left"/>
    </xf>
    <xf numFmtId="0" fontId="0" fillId="0" borderId="0" xfId="0" quotePrefix="1" applyAlignment="1">
      <alignment horizontal="center"/>
    </xf>
    <xf numFmtId="0" fontId="31" fillId="0" borderId="112" xfId="0" applyFont="1" applyBorder="1" applyAlignment="1">
      <alignment horizontal="left"/>
    </xf>
    <xf numFmtId="0" fontId="3" fillId="6" borderId="121" xfId="0" applyFont="1" applyFill="1" applyBorder="1"/>
    <xf numFmtId="0" fontId="31" fillId="6" borderId="5" xfId="0" applyFont="1" applyFill="1" applyBorder="1"/>
    <xf numFmtId="0" fontId="3" fillId="6" borderId="6" xfId="0" applyFont="1" applyFill="1" applyBorder="1"/>
    <xf numFmtId="0" fontId="31" fillId="0" borderId="161" xfId="0" applyFont="1" applyBorder="1"/>
    <xf numFmtId="0" fontId="3" fillId="6" borderId="28" xfId="0" applyFont="1" applyFill="1" applyBorder="1"/>
    <xf numFmtId="0" fontId="3" fillId="6" borderId="58" xfId="0" applyFont="1" applyFill="1" applyBorder="1"/>
    <xf numFmtId="0" fontId="0" fillId="0" borderId="19" xfId="0" applyBorder="1"/>
    <xf numFmtId="0" fontId="0" fillId="0" borderId="50" xfId="0" applyBorder="1"/>
    <xf numFmtId="0" fontId="4" fillId="4" borderId="5" xfId="0" applyFont="1" applyFill="1" applyBorder="1" applyAlignment="1" applyProtection="1">
      <alignment horizontal="left" indent="2"/>
      <protection locked="0"/>
    </xf>
    <xf numFmtId="0" fontId="1" fillId="33" borderId="0" xfId="0" applyFont="1" applyFill="1" applyAlignment="1" applyProtection="1">
      <alignment horizontal="left"/>
      <protection locked="0"/>
    </xf>
    <xf numFmtId="0" fontId="11" fillId="33" borderId="0" xfId="0" applyFont="1" applyFill="1" applyAlignment="1" applyProtection="1">
      <alignment horizontal="left"/>
      <protection locked="0"/>
    </xf>
    <xf numFmtId="0" fontId="11" fillId="4" borderId="0" xfId="0" applyFont="1" applyFill="1" applyAlignment="1" applyProtection="1">
      <alignment horizontal="left"/>
      <protection locked="0"/>
    </xf>
    <xf numFmtId="0" fontId="3" fillId="4" borderId="0" xfId="0" applyFont="1" applyFill="1" applyAlignment="1" applyProtection="1">
      <alignment horizontal="left"/>
      <protection locked="0"/>
    </xf>
    <xf numFmtId="0" fontId="3" fillId="4" borderId="6" xfId="0" applyFont="1" applyFill="1" applyBorder="1" applyAlignment="1" applyProtection="1">
      <alignment horizontal="left"/>
      <protection locked="0"/>
    </xf>
    <xf numFmtId="0" fontId="0" fillId="0" borderId="0" xfId="0" applyAlignment="1">
      <alignment horizontal="right"/>
    </xf>
    <xf numFmtId="0" fontId="4" fillId="4" borderId="274" xfId="0" applyFont="1" applyFill="1" applyBorder="1" applyAlignment="1" applyProtection="1">
      <alignment horizontal="left" indent="2"/>
      <protection locked="0"/>
    </xf>
    <xf numFmtId="0" fontId="1" fillId="25" borderId="71" xfId="0" applyFont="1" applyFill="1" applyBorder="1" applyAlignment="1" applyProtection="1">
      <alignment horizontal="left"/>
      <protection locked="0"/>
    </xf>
    <xf numFmtId="0" fontId="11" fillId="4" borderId="71" xfId="0" applyFont="1" applyFill="1" applyBorder="1" applyAlignment="1" applyProtection="1">
      <alignment horizontal="left"/>
      <protection locked="0"/>
    </xf>
    <xf numFmtId="0" fontId="66" fillId="4" borderId="71" xfId="0" applyFont="1" applyFill="1" applyBorder="1" applyAlignment="1" applyProtection="1">
      <alignment horizontal="left" vertical="top"/>
      <protection locked="0"/>
    </xf>
    <xf numFmtId="0" fontId="3" fillId="4" borderId="71" xfId="0" applyFont="1" applyFill="1" applyBorder="1" applyAlignment="1" applyProtection="1">
      <alignment horizontal="left"/>
      <protection locked="0"/>
    </xf>
    <xf numFmtId="0" fontId="3" fillId="4" borderId="72" xfId="0" applyFont="1" applyFill="1" applyBorder="1" applyAlignment="1" applyProtection="1">
      <alignment horizontal="left"/>
      <protection locked="0"/>
    </xf>
    <xf numFmtId="0" fontId="1" fillId="17" borderId="0" xfId="0" applyFont="1" applyFill="1" applyAlignment="1" applyProtection="1">
      <alignment horizontal="left"/>
      <protection locked="0"/>
    </xf>
    <xf numFmtId="0" fontId="66" fillId="4" borderId="0" xfId="0" applyFont="1" applyFill="1" applyAlignment="1" applyProtection="1">
      <alignment horizontal="left" vertical="top"/>
      <protection locked="0"/>
    </xf>
    <xf numFmtId="0" fontId="4" fillId="4" borderId="5" xfId="0" applyFont="1" applyFill="1" applyBorder="1" applyAlignment="1" applyProtection="1">
      <alignment horizontal="left" vertical="center" indent="2"/>
      <protection locked="0"/>
    </xf>
    <xf numFmtId="0" fontId="11" fillId="4" borderId="0" xfId="0" applyFont="1" applyFill="1" applyAlignment="1" applyProtection="1">
      <alignment horizontal="left" vertical="center"/>
      <protection locked="0"/>
    </xf>
    <xf numFmtId="0" fontId="4" fillId="4" borderId="161" xfId="0" applyFont="1" applyFill="1" applyBorder="1" applyAlignment="1" applyProtection="1">
      <alignment horizontal="left" vertical="top" indent="2"/>
      <protection locked="0"/>
    </xf>
    <xf numFmtId="0" fontId="67" fillId="4" borderId="28" xfId="0" applyFont="1" applyFill="1" applyBorder="1" applyAlignment="1" applyProtection="1">
      <alignment horizontal="left"/>
      <protection locked="0"/>
    </xf>
    <xf numFmtId="0" fontId="66" fillId="4" borderId="28" xfId="0" applyFont="1" applyFill="1" applyBorder="1" applyAlignment="1" applyProtection="1">
      <alignment horizontal="left" vertical="top"/>
      <protection locked="0"/>
    </xf>
    <xf numFmtId="0" fontId="11" fillId="4" borderId="28" xfId="0" applyFont="1" applyFill="1" applyBorder="1" applyAlignment="1" applyProtection="1">
      <alignment horizontal="left" vertical="top"/>
      <protection locked="0"/>
    </xf>
    <xf numFmtId="0" fontId="11" fillId="4" borderId="58" xfId="0" applyFont="1" applyFill="1" applyBorder="1" applyAlignment="1" applyProtection="1">
      <alignment horizontal="left" vertical="top"/>
      <protection locked="0"/>
    </xf>
    <xf numFmtId="0" fontId="4" fillId="4" borderId="79" xfId="0" applyFont="1" applyFill="1" applyBorder="1" applyAlignment="1">
      <alignment horizontal="left" indent="2"/>
    </xf>
    <xf numFmtId="0" fontId="4" fillId="17" borderId="23" xfId="0" applyFont="1" applyFill="1" applyBorder="1" applyAlignment="1" applyProtection="1">
      <alignment horizontal="center"/>
      <protection locked="0"/>
    </xf>
    <xf numFmtId="0" fontId="3" fillId="4" borderId="23" xfId="0" applyFont="1" applyFill="1" applyBorder="1"/>
    <xf numFmtId="0" fontId="3" fillId="4" borderId="24" xfId="0" applyFont="1" applyFill="1" applyBorder="1"/>
    <xf numFmtId="0" fontId="4" fillId="4" borderId="162" xfId="0" applyFont="1" applyFill="1" applyBorder="1" applyAlignment="1">
      <alignment horizontal="left" vertical="top" indent="2"/>
    </xf>
    <xf numFmtId="0" fontId="4" fillId="4" borderId="91" xfId="0" applyFont="1" applyFill="1" applyBorder="1" applyAlignment="1">
      <alignment horizontal="left" vertical="top" indent="2"/>
    </xf>
    <xf numFmtId="0" fontId="4" fillId="4" borderId="93" xfId="0" applyFont="1" applyFill="1" applyBorder="1" applyAlignment="1">
      <alignment horizontal="left" vertical="top" indent="2"/>
    </xf>
    <xf numFmtId="0" fontId="8" fillId="9" borderId="275" xfId="0" applyFont="1" applyFill="1" applyBorder="1"/>
    <xf numFmtId="0" fontId="3" fillId="9" borderId="239" xfId="0" applyFont="1" applyFill="1" applyBorder="1"/>
    <xf numFmtId="0" fontId="17" fillId="9" borderId="239" xfId="0" applyFont="1" applyFill="1" applyBorder="1"/>
    <xf numFmtId="0" fontId="17" fillId="9" borderId="260" xfId="0" applyFont="1" applyFill="1" applyBorder="1"/>
    <xf numFmtId="0" fontId="4" fillId="4" borderId="42" xfId="0" applyFont="1" applyFill="1" applyBorder="1" applyAlignment="1" applyProtection="1">
      <alignment horizontal="left" vertical="center"/>
      <protection locked="0"/>
    </xf>
    <xf numFmtId="0" fontId="0" fillId="4" borderId="38" xfId="0" applyFill="1" applyBorder="1" applyAlignment="1">
      <alignment vertical="center"/>
    </xf>
    <xf numFmtId="0" fontId="0" fillId="4" borderId="13" xfId="0" applyFill="1" applyBorder="1" applyAlignment="1">
      <alignment vertical="center"/>
    </xf>
    <xf numFmtId="0" fontId="0" fillId="4" borderId="86" xfId="0" applyFill="1" applyBorder="1" applyAlignment="1">
      <alignment vertical="center"/>
    </xf>
    <xf numFmtId="0" fontId="4" fillId="4" borderId="17" xfId="0" applyFont="1" applyFill="1" applyBorder="1" applyAlignment="1">
      <alignment horizontal="left" vertical="center"/>
    </xf>
    <xf numFmtId="0" fontId="11" fillId="4" borderId="10" xfId="0" applyFont="1" applyFill="1" applyBorder="1" applyAlignment="1">
      <alignment vertical="center"/>
    </xf>
    <xf numFmtId="0" fontId="11" fillId="4" borderId="10" xfId="0" quotePrefix="1" applyFont="1" applyFill="1" applyBorder="1" applyAlignment="1">
      <alignment vertical="center"/>
    </xf>
    <xf numFmtId="0" fontId="0" fillId="4" borderId="10" xfId="0" applyFill="1" applyBorder="1" applyAlignment="1">
      <alignment vertical="center"/>
    </xf>
    <xf numFmtId="0" fontId="0" fillId="4" borderId="74" xfId="0" applyFill="1" applyBorder="1" applyAlignment="1">
      <alignment vertical="center"/>
    </xf>
    <xf numFmtId="0" fontId="4" fillId="4" borderId="17" xfId="0" applyFont="1" applyFill="1" applyBorder="1" applyAlignment="1">
      <alignment horizontal="left" vertical="top" indent="1"/>
    </xf>
    <xf numFmtId="0" fontId="0" fillId="4" borderId="10" xfId="0" applyFill="1" applyBorder="1"/>
    <xf numFmtId="0" fontId="0" fillId="4" borderId="74" xfId="0" applyFill="1" applyBorder="1"/>
    <xf numFmtId="0" fontId="4" fillId="4" borderId="18" xfId="0" applyFont="1" applyFill="1" applyBorder="1" applyAlignment="1">
      <alignment horizontal="left" vertical="top" indent="1"/>
    </xf>
    <xf numFmtId="0" fontId="4" fillId="4" borderId="11" xfId="0" quotePrefix="1" applyFont="1" applyFill="1" applyBorder="1" applyAlignment="1">
      <alignment horizontal="center" vertical="top"/>
    </xf>
    <xf numFmtId="0" fontId="11" fillId="4" borderId="11" xfId="0" applyFont="1" applyFill="1" applyBorder="1" applyAlignment="1">
      <alignment vertical="top"/>
    </xf>
    <xf numFmtId="0" fontId="0" fillId="4" borderId="11" xfId="0" applyFill="1" applyBorder="1"/>
    <xf numFmtId="0" fontId="0" fillId="4" borderId="84" xfId="0" applyFill="1" applyBorder="1"/>
    <xf numFmtId="0" fontId="8" fillId="9" borderId="276" xfId="0" applyFont="1" applyFill="1" applyBorder="1"/>
    <xf numFmtId="0" fontId="3" fillId="9" borderId="277" xfId="0" applyFont="1" applyFill="1" applyBorder="1"/>
    <xf numFmtId="0" fontId="17" fillId="9" borderId="277" xfId="0" applyFont="1" applyFill="1" applyBorder="1"/>
    <xf numFmtId="0" fontId="17" fillId="9" borderId="278" xfId="0" applyFont="1" applyFill="1" applyBorder="1"/>
    <xf numFmtId="0" fontId="4" fillId="4" borderId="17" xfId="0" applyFont="1" applyFill="1" applyBorder="1" applyAlignment="1">
      <alignment horizontal="left" vertical="center" indent="2"/>
    </xf>
    <xf numFmtId="0" fontId="4" fillId="4" borderId="10" xfId="0" applyFont="1" applyFill="1" applyBorder="1" applyAlignment="1">
      <alignment horizontal="center" vertical="center"/>
    </xf>
    <xf numFmtId="0" fontId="11" fillId="4" borderId="29" xfId="0" quotePrefix="1" applyFont="1" applyFill="1" applyBorder="1" applyAlignment="1">
      <alignment vertical="center"/>
    </xf>
    <xf numFmtId="0" fontId="11" fillId="4" borderId="30" xfId="0" applyFont="1" applyFill="1" applyBorder="1" applyAlignment="1">
      <alignment vertical="center"/>
    </xf>
    <xf numFmtId="0" fontId="0" fillId="4" borderId="30" xfId="0" applyFill="1" applyBorder="1" applyAlignment="1">
      <alignment vertical="center"/>
    </xf>
    <xf numFmtId="0" fontId="0" fillId="4" borderId="31" xfId="0" applyFill="1" applyBorder="1" applyAlignment="1">
      <alignment vertical="center"/>
    </xf>
    <xf numFmtId="0" fontId="0" fillId="43" borderId="112" xfId="0" applyFill="1" applyBorder="1" applyAlignment="1">
      <alignment horizontal="left" indent="1"/>
    </xf>
    <xf numFmtId="0" fontId="68" fillId="18" borderId="112" xfId="0" applyFont="1" applyFill="1" applyBorder="1" applyAlignment="1">
      <alignment horizontal="center"/>
    </xf>
    <xf numFmtId="0" fontId="0" fillId="43" borderId="151" xfId="0" applyFill="1" applyBorder="1" applyAlignment="1">
      <alignment horizontal="left"/>
    </xf>
    <xf numFmtId="0" fontId="0" fillId="43" borderId="152" xfId="0" applyFill="1" applyBorder="1"/>
    <xf numFmtId="0" fontId="0" fillId="43" borderId="196" xfId="0" applyFill="1" applyBorder="1"/>
    <xf numFmtId="0" fontId="0" fillId="43" borderId="5" xfId="0" applyFill="1" applyBorder="1" applyAlignment="1">
      <alignment horizontal="left" indent="1"/>
    </xf>
    <xf numFmtId="0" fontId="68" fillId="18" borderId="5" xfId="0" applyFont="1" applyFill="1" applyBorder="1" applyAlignment="1">
      <alignment horizontal="center"/>
    </xf>
    <xf numFmtId="0" fontId="0" fillId="43" borderId="5" xfId="0" applyFill="1" applyBorder="1" applyAlignment="1">
      <alignment horizontal="left"/>
    </xf>
    <xf numFmtId="0" fontId="0" fillId="43" borderId="0" xfId="0" applyFill="1"/>
    <xf numFmtId="0" fontId="0" fillId="43" borderId="6" xfId="0" applyFill="1" applyBorder="1"/>
    <xf numFmtId="0" fontId="0" fillId="43" borderId="279" xfId="0" applyFill="1" applyBorder="1" applyAlignment="1">
      <alignment horizontal="left" indent="1"/>
    </xf>
    <xf numFmtId="0" fontId="0" fillId="43" borderId="141" xfId="0" applyFill="1" applyBorder="1" applyAlignment="1">
      <alignment horizontal="left"/>
    </xf>
    <xf numFmtId="0" fontId="0" fillId="43" borderId="40" xfId="0" applyFill="1" applyBorder="1"/>
    <xf numFmtId="0" fontId="0" fillId="43" borderId="41" xfId="0" applyFill="1" applyBorder="1"/>
    <xf numFmtId="0" fontId="0" fillId="43" borderId="140" xfId="0" applyFill="1" applyBorder="1" applyAlignment="1">
      <alignment horizontal="left" indent="1"/>
    </xf>
    <xf numFmtId="0" fontId="0" fillId="18" borderId="140" xfId="0" applyFill="1" applyBorder="1" applyAlignment="1">
      <alignment horizontal="center"/>
    </xf>
    <xf numFmtId="0" fontId="0" fillId="43" borderId="140" xfId="0" applyFill="1" applyBorder="1" applyAlignment="1">
      <alignment horizontal="left"/>
    </xf>
    <xf numFmtId="0" fontId="0" fillId="43" borderId="30" xfId="0" applyFill="1" applyBorder="1"/>
    <xf numFmtId="0" fontId="0" fillId="43" borderId="31" xfId="0" applyFill="1" applyBorder="1"/>
    <xf numFmtId="0" fontId="0" fillId="43" borderId="8" xfId="0" applyFill="1" applyBorder="1" applyAlignment="1">
      <alignment horizontal="left" indent="1"/>
    </xf>
    <xf numFmtId="0" fontId="0" fillId="18" borderId="8" xfId="0" applyFill="1" applyBorder="1" applyAlignment="1">
      <alignment horizontal="center"/>
    </xf>
    <xf numFmtId="0" fontId="0" fillId="43" borderId="142" xfId="0" applyFill="1" applyBorder="1" applyAlignment="1">
      <alignment horizontal="left"/>
    </xf>
    <xf numFmtId="0" fontId="0" fillId="43" borderId="280" xfId="0" applyFill="1" applyBorder="1"/>
    <xf numFmtId="0" fontId="0" fillId="43" borderId="133" xfId="0" applyFill="1" applyBorder="1"/>
    <xf numFmtId="0" fontId="0" fillId="18" borderId="279" xfId="0" applyFill="1" applyBorder="1" applyAlignment="1">
      <alignment horizontal="center"/>
    </xf>
    <xf numFmtId="0" fontId="0" fillId="43" borderId="142" xfId="0" applyFill="1" applyBorder="1" applyAlignment="1">
      <alignment horizontal="left" indent="1"/>
    </xf>
    <xf numFmtId="0" fontId="0" fillId="18" borderId="142" xfId="0" applyFill="1" applyBorder="1" applyAlignment="1">
      <alignment horizontal="center"/>
    </xf>
    <xf numFmtId="0" fontId="68" fillId="18" borderId="142" xfId="0" applyFont="1" applyFill="1" applyBorder="1" applyAlignment="1">
      <alignment horizontal="center"/>
    </xf>
    <xf numFmtId="0" fontId="0" fillId="18" borderId="5" xfId="0" applyFill="1" applyBorder="1" applyAlignment="1">
      <alignment horizontal="center"/>
    </xf>
    <xf numFmtId="0" fontId="0" fillId="43" borderId="281" xfId="0" applyFill="1" applyBorder="1" applyAlignment="1">
      <alignment horizontal="left"/>
    </xf>
    <xf numFmtId="0" fontId="0" fillId="43" borderId="267" xfId="0" applyFill="1" applyBorder="1"/>
    <xf numFmtId="0" fontId="0" fillId="43" borderId="144" xfId="0" applyFill="1" applyBorder="1"/>
    <xf numFmtId="0" fontId="0" fillId="43" borderId="192" xfId="0" applyFill="1" applyBorder="1" applyAlignment="1">
      <alignment horizontal="left" indent="1"/>
    </xf>
    <xf numFmtId="0" fontId="0" fillId="18" borderId="192" xfId="0" applyFill="1" applyBorder="1" applyAlignment="1">
      <alignment horizontal="center"/>
    </xf>
    <xf numFmtId="0" fontId="0" fillId="43" borderId="141" xfId="0" applyFill="1" applyBorder="1" applyAlignment="1">
      <alignment horizontal="left" indent="1"/>
    </xf>
    <xf numFmtId="0" fontId="0" fillId="18" borderId="141" xfId="0" applyFill="1" applyBorder="1" applyAlignment="1">
      <alignment horizontal="center"/>
    </xf>
    <xf numFmtId="0" fontId="0" fillId="43" borderId="30" xfId="0" quotePrefix="1" applyFill="1" applyBorder="1"/>
    <xf numFmtId="0" fontId="0" fillId="43" borderId="143" xfId="0" applyFill="1" applyBorder="1" applyAlignment="1">
      <alignment horizontal="left" indent="1"/>
    </xf>
    <xf numFmtId="0" fontId="0" fillId="18" borderId="143" xfId="0" applyFill="1" applyBorder="1" applyAlignment="1">
      <alignment horizontal="center"/>
    </xf>
    <xf numFmtId="0" fontId="0" fillId="43" borderId="143" xfId="0" applyFill="1" applyBorder="1" applyAlignment="1">
      <alignment horizontal="left"/>
    </xf>
    <xf numFmtId="0" fontId="0" fillId="43" borderId="33" xfId="0" applyFill="1" applyBorder="1"/>
    <xf numFmtId="0" fontId="0" fillId="43" borderId="34" xfId="0" applyFill="1" applyBorder="1"/>
    <xf numFmtId="0" fontId="1" fillId="44" borderId="42" xfId="0" applyFont="1" applyFill="1" applyBorder="1" applyAlignment="1">
      <alignment horizontal="left"/>
    </xf>
    <xf numFmtId="0" fontId="25" fillId="44" borderId="10" xfId="0" quotePrefix="1" applyFont="1" applyFill="1" applyBorder="1" applyAlignment="1">
      <alignment horizontal="center" vertical="center"/>
    </xf>
    <xf numFmtId="0" fontId="11" fillId="44" borderId="43" xfId="0" quotePrefix="1" applyFont="1" applyFill="1" applyBorder="1" applyAlignment="1">
      <alignment vertical="top"/>
    </xf>
    <xf numFmtId="0" fontId="11" fillId="44" borderId="282" xfId="0" quotePrefix="1" applyFont="1" applyFill="1" applyBorder="1" applyAlignment="1">
      <alignment vertical="top"/>
    </xf>
    <xf numFmtId="0" fontId="11" fillId="44" borderId="283" xfId="0" applyFont="1" applyFill="1" applyBorder="1" applyAlignment="1">
      <alignment vertical="top"/>
    </xf>
    <xf numFmtId="0" fontId="0" fillId="44" borderId="283" xfId="0" applyFill="1" applyBorder="1"/>
    <xf numFmtId="0" fontId="0" fillId="44" borderId="284" xfId="0" applyFill="1" applyBorder="1"/>
    <xf numFmtId="0" fontId="4" fillId="44" borderId="42" xfId="0" applyFont="1" applyFill="1" applyBorder="1" applyAlignment="1">
      <alignment horizontal="left" vertical="top" indent="4"/>
    </xf>
    <xf numFmtId="0" fontId="4" fillId="44" borderId="10" xfId="0" applyFont="1" applyFill="1" applyBorder="1" applyAlignment="1">
      <alignment horizontal="center" vertical="top"/>
    </xf>
    <xf numFmtId="0" fontId="11" fillId="44" borderId="38" xfId="0" quotePrefix="1" applyFont="1" applyFill="1" applyBorder="1" applyAlignment="1">
      <alignment vertical="center"/>
    </xf>
    <xf numFmtId="0" fontId="14" fillId="44" borderId="39" xfId="0" applyFont="1" applyFill="1" applyBorder="1" applyAlignment="1">
      <alignment horizontal="left" vertical="center"/>
    </xf>
    <xf numFmtId="0" fontId="11" fillId="44" borderId="40" xfId="0" applyFont="1" applyFill="1" applyBorder="1" applyAlignment="1">
      <alignment vertical="center"/>
    </xf>
    <xf numFmtId="0" fontId="0" fillId="44" borderId="40" xfId="0" applyFill="1" applyBorder="1" applyAlignment="1">
      <alignment vertical="center"/>
    </xf>
    <xf numFmtId="0" fontId="0" fillId="44" borderId="41" xfId="0" applyFill="1" applyBorder="1" applyAlignment="1">
      <alignment vertical="center"/>
    </xf>
    <xf numFmtId="0" fontId="4" fillId="44" borderId="40" xfId="0" applyFont="1" applyFill="1" applyBorder="1" applyAlignment="1">
      <alignment horizontal="center" vertical="center" wrapText="1"/>
    </xf>
    <xf numFmtId="0" fontId="14" fillId="44" borderId="29" xfId="0" applyFont="1" applyFill="1" applyBorder="1" applyAlignment="1">
      <alignment horizontal="left" vertical="center"/>
    </xf>
    <xf numFmtId="0" fontId="11" fillId="44" borderId="30" xfId="0" applyFont="1" applyFill="1" applyBorder="1" applyAlignment="1">
      <alignment vertical="center"/>
    </xf>
    <xf numFmtId="0" fontId="0" fillId="44" borderId="30" xfId="0" applyFill="1" applyBorder="1" applyAlignment="1">
      <alignment vertical="center"/>
    </xf>
    <xf numFmtId="0" fontId="0" fillId="44" borderId="31" xfId="0" applyFill="1" applyBorder="1" applyAlignment="1">
      <alignment vertical="center"/>
    </xf>
    <xf numFmtId="0" fontId="4" fillId="44" borderId="48" xfId="0" applyFont="1" applyFill="1" applyBorder="1" applyAlignment="1">
      <alignment horizontal="left" vertical="top" indent="4"/>
    </xf>
    <xf numFmtId="0" fontId="4" fillId="44" borderId="38" xfId="0" applyFont="1" applyFill="1" applyBorder="1" applyAlignment="1">
      <alignment horizontal="center" vertical="top"/>
    </xf>
    <xf numFmtId="0" fontId="11" fillId="44" borderId="0" xfId="0" quotePrefix="1" applyFont="1" applyFill="1" applyAlignment="1">
      <alignment vertical="top"/>
    </xf>
    <xf numFmtId="0" fontId="11" fillId="44" borderId="0" xfId="0" applyFont="1" applyFill="1" applyAlignment="1">
      <alignment vertical="top"/>
    </xf>
    <xf numFmtId="0" fontId="0" fillId="44" borderId="0" xfId="0" applyFill="1"/>
    <xf numFmtId="0" fontId="0" fillId="44" borderId="6" xfId="0" applyFill="1" applyBorder="1"/>
    <xf numFmtId="0" fontId="1" fillId="44" borderId="42" xfId="0" applyFont="1" applyFill="1" applyBorder="1" applyAlignment="1">
      <alignment horizontal="left" vertical="top"/>
    </xf>
    <xf numFmtId="0" fontId="4" fillId="44" borderId="0" xfId="0" applyFont="1" applyFill="1" applyAlignment="1">
      <alignment horizontal="center"/>
    </xf>
    <xf numFmtId="0" fontId="11" fillId="44" borderId="38" xfId="0" quotePrefix="1" applyFont="1" applyFill="1" applyBorder="1" applyAlignment="1">
      <alignment vertical="top"/>
    </xf>
    <xf numFmtId="0" fontId="11" fillId="44" borderId="39" xfId="0" quotePrefix="1" applyFont="1" applyFill="1" applyBorder="1" applyAlignment="1">
      <alignment vertical="top"/>
    </xf>
    <xf numFmtId="0" fontId="11" fillId="44" borderId="40" xfId="0" applyFont="1" applyFill="1" applyBorder="1" applyAlignment="1">
      <alignment vertical="top"/>
    </xf>
    <xf numFmtId="0" fontId="0" fillId="44" borderId="40" xfId="0" applyFill="1" applyBorder="1"/>
    <xf numFmtId="0" fontId="0" fillId="44" borderId="41" xfId="0" applyFill="1" applyBorder="1"/>
    <xf numFmtId="0" fontId="11" fillId="44" borderId="44" xfId="0" quotePrefix="1" applyFont="1" applyFill="1" applyBorder="1" applyAlignment="1">
      <alignment vertical="top"/>
    </xf>
    <xf numFmtId="0" fontId="3" fillId="44" borderId="0" xfId="0" applyFont="1" applyFill="1"/>
    <xf numFmtId="0" fontId="3" fillId="44" borderId="6" xfId="0" applyFont="1" applyFill="1" applyBorder="1"/>
    <xf numFmtId="0" fontId="11" fillId="44" borderId="38" xfId="0" quotePrefix="1" applyFont="1" applyFill="1" applyBorder="1" applyAlignment="1">
      <alignment horizontal="left" vertical="top"/>
    </xf>
    <xf numFmtId="0" fontId="11" fillId="44" borderId="39" xfId="0" quotePrefix="1" applyFont="1" applyFill="1" applyBorder="1" applyAlignment="1">
      <alignment horizontal="left" vertical="top"/>
    </xf>
    <xf numFmtId="0" fontId="11" fillId="44" borderId="41" xfId="0" applyFont="1" applyFill="1" applyBorder="1" applyAlignment="1">
      <alignment vertical="top"/>
    </xf>
    <xf numFmtId="0" fontId="4" fillId="44" borderId="145" xfId="0" applyFont="1" applyFill="1" applyBorder="1" applyAlignment="1">
      <alignment horizontal="left" vertical="top" indent="4"/>
    </xf>
    <xf numFmtId="0" fontId="1" fillId="44" borderId="146" xfId="0" applyFont="1" applyFill="1" applyBorder="1" applyAlignment="1">
      <alignment horizontal="center" vertical="top"/>
    </xf>
    <xf numFmtId="0" fontId="11" fillId="44" borderId="146" xfId="0" quotePrefix="1" applyFont="1" applyFill="1" applyBorder="1" applyAlignment="1">
      <alignment vertical="top"/>
    </xf>
    <xf numFmtId="0" fontId="11" fillId="44" borderId="56" xfId="0" quotePrefix="1" applyFont="1" applyFill="1" applyBorder="1" applyAlignment="1">
      <alignment vertical="top"/>
    </xf>
    <xf numFmtId="0" fontId="11" fillId="44" borderId="280" xfId="0" applyFont="1" applyFill="1" applyBorder="1" applyAlignment="1">
      <alignment vertical="top"/>
    </xf>
    <xf numFmtId="0" fontId="11" fillId="44" borderId="133" xfId="0" applyFont="1" applyFill="1" applyBorder="1" applyAlignment="1">
      <alignment vertical="top"/>
    </xf>
    <xf numFmtId="0" fontId="1" fillId="44" borderId="47" xfId="0" applyFont="1" applyFill="1" applyBorder="1" applyAlignment="1">
      <alignment horizontal="left" vertical="top"/>
    </xf>
    <xf numFmtId="0" fontId="11" fillId="44" borderId="10" xfId="0" quotePrefix="1" applyFont="1" applyFill="1" applyBorder="1" applyAlignment="1">
      <alignment vertical="top"/>
    </xf>
    <xf numFmtId="0" fontId="11" fillId="44" borderId="29" xfId="0" quotePrefix="1" applyFont="1" applyFill="1" applyBorder="1" applyAlignment="1">
      <alignment vertical="top"/>
    </xf>
    <xf numFmtId="0" fontId="11" fillId="44" borderId="30" xfId="0" applyFont="1" applyFill="1" applyBorder="1" applyAlignment="1">
      <alignment vertical="top"/>
    </xf>
    <xf numFmtId="0" fontId="0" fillId="44" borderId="30" xfId="0" applyFill="1" applyBorder="1"/>
    <xf numFmtId="0" fontId="0" fillId="44" borderId="31" xfId="0" applyFill="1" applyBorder="1"/>
    <xf numFmtId="0" fontId="4" fillId="44" borderId="5" xfId="0" applyFont="1" applyFill="1" applyBorder="1" applyAlignment="1">
      <alignment horizontal="left" vertical="top" indent="4"/>
    </xf>
    <xf numFmtId="0" fontId="4" fillId="44" borderId="192" xfId="0" applyFont="1" applyFill="1" applyBorder="1" applyAlignment="1">
      <alignment horizontal="left" indent="4"/>
    </xf>
    <xf numFmtId="0" fontId="3" fillId="44" borderId="46" xfId="0" applyFont="1" applyFill="1" applyBorder="1"/>
    <xf numFmtId="0" fontId="3" fillId="44" borderId="50" xfId="0" applyFont="1" applyFill="1" applyBorder="1"/>
    <xf numFmtId="0" fontId="4" fillId="44" borderId="146" xfId="0" applyFont="1" applyFill="1" applyBorder="1" applyAlignment="1">
      <alignment horizontal="center" vertical="top"/>
    </xf>
    <xf numFmtId="0" fontId="11" fillId="44" borderId="146" xfId="0" quotePrefix="1" applyFont="1" applyFill="1" applyBorder="1" applyAlignment="1">
      <alignment horizontal="left" vertical="top"/>
    </xf>
    <xf numFmtId="0" fontId="11" fillId="44" borderId="56" xfId="0" quotePrefix="1" applyFont="1" applyFill="1" applyBorder="1" applyAlignment="1">
      <alignment horizontal="left" vertical="top"/>
    </xf>
    <xf numFmtId="0" fontId="4" fillId="4" borderId="17" xfId="0" applyFont="1" applyFill="1" applyBorder="1" applyAlignment="1">
      <alignment vertical="center"/>
    </xf>
    <xf numFmtId="0" fontId="19" fillId="8" borderId="5" xfId="0" applyFont="1" applyFill="1" applyBorder="1" applyAlignment="1">
      <alignment horizontal="left" vertical="top" indent="2"/>
    </xf>
    <xf numFmtId="0" fontId="4" fillId="8" borderId="0" xfId="0" quotePrefix="1" applyFont="1" applyFill="1" applyAlignment="1">
      <alignment horizontal="center" vertical="top"/>
    </xf>
    <xf numFmtId="0" fontId="11" fillId="8" borderId="0" xfId="0" quotePrefix="1" applyFont="1" applyFill="1" applyAlignment="1">
      <alignment vertical="top"/>
    </xf>
    <xf numFmtId="0" fontId="23" fillId="8" borderId="0" xfId="0" quotePrefix="1" applyFont="1" applyFill="1" applyAlignment="1">
      <alignment vertical="top"/>
    </xf>
    <xf numFmtId="0" fontId="3" fillId="8" borderId="0" xfId="0" applyFont="1" applyFill="1" applyAlignment="1">
      <alignment vertical="top"/>
    </xf>
    <xf numFmtId="0" fontId="3" fillId="8" borderId="6" xfId="0" applyFont="1" applyFill="1" applyBorder="1" applyAlignment="1">
      <alignment vertical="top"/>
    </xf>
    <xf numFmtId="0" fontId="8" fillId="42" borderId="35" xfId="0" applyFont="1" applyFill="1" applyBorder="1"/>
    <xf numFmtId="0" fontId="3" fillId="42" borderId="36" xfId="0" applyFont="1" applyFill="1" applyBorder="1"/>
    <xf numFmtId="0" fontId="17" fillId="42" borderId="36" xfId="0" applyFont="1" applyFill="1" applyBorder="1"/>
    <xf numFmtId="0" fontId="17" fillId="42" borderId="37" xfId="0" applyFont="1" applyFill="1" applyBorder="1"/>
    <xf numFmtId="0" fontId="8" fillId="42" borderId="79" xfId="0" applyFont="1" applyFill="1" applyBorder="1"/>
    <xf numFmtId="0" fontId="3" fillId="42" borderId="23" xfId="0" applyFont="1" applyFill="1" applyBorder="1"/>
    <xf numFmtId="0" fontId="17" fillId="42" borderId="23" xfId="0" applyFont="1" applyFill="1" applyBorder="1"/>
    <xf numFmtId="0" fontId="3" fillId="42" borderId="24" xfId="0" applyFont="1" applyFill="1" applyBorder="1"/>
    <xf numFmtId="0" fontId="69" fillId="8" borderId="0" xfId="0" quotePrefix="1" applyFont="1" applyFill="1" applyAlignment="1">
      <alignment vertical="center"/>
    </xf>
    <xf numFmtId="0" fontId="69" fillId="8" borderId="0" xfId="0" applyFont="1" applyFill="1" applyAlignment="1">
      <alignment vertical="center"/>
    </xf>
    <xf numFmtId="49" fontId="69" fillId="8" borderId="0" xfId="0" applyNumberFormat="1" applyFont="1" applyFill="1" applyAlignment="1">
      <alignment vertical="center"/>
    </xf>
    <xf numFmtId="0" fontId="69" fillId="8" borderId="0" xfId="0" applyFont="1" applyFill="1" applyAlignment="1">
      <alignment horizontal="left" vertical="center"/>
    </xf>
    <xf numFmtId="0" fontId="10" fillId="6" borderId="0" xfId="0" applyFont="1" applyFill="1" applyAlignment="1">
      <alignment vertical="center"/>
    </xf>
    <xf numFmtId="0" fontId="10" fillId="3" borderId="0" xfId="0" applyFont="1" applyFill="1" applyAlignment="1">
      <alignment vertical="center"/>
    </xf>
    <xf numFmtId="0" fontId="70" fillId="3" borderId="0" xfId="0" applyFont="1" applyFill="1" applyAlignment="1">
      <alignment vertical="center"/>
    </xf>
    <xf numFmtId="0" fontId="29" fillId="6" borderId="0" xfId="0" applyFont="1" applyFill="1" applyAlignment="1">
      <alignment horizontal="justify" vertical="center" wrapText="1"/>
    </xf>
    <xf numFmtId="49" fontId="71" fillId="6" borderId="0" xfId="0" applyNumberFormat="1" applyFont="1" applyFill="1" applyAlignment="1">
      <alignment vertical="center"/>
    </xf>
    <xf numFmtId="0" fontId="72" fillId="6" borderId="0" xfId="0" applyFont="1" applyFill="1"/>
    <xf numFmtId="0" fontId="72" fillId="45" borderId="0" xfId="0" applyFont="1" applyFill="1"/>
    <xf numFmtId="0" fontId="72" fillId="45" borderId="0" xfId="0" applyFont="1" applyFill="1" applyAlignment="1">
      <alignment vertical="top"/>
    </xf>
    <xf numFmtId="0" fontId="72" fillId="45" borderId="0" xfId="0" applyFont="1" applyFill="1" applyAlignment="1">
      <alignment horizontal="centerContinuous" vertical="top"/>
    </xf>
    <xf numFmtId="0" fontId="72" fillId="45" borderId="0" xfId="0" applyFont="1" applyFill="1" applyAlignment="1">
      <alignment horizontal="center" vertical="top"/>
    </xf>
    <xf numFmtId="0" fontId="0" fillId="45" borderId="0" xfId="0" applyFill="1"/>
    <xf numFmtId="0" fontId="3" fillId="45" borderId="0" xfId="0" applyFont="1" applyFill="1"/>
    <xf numFmtId="0" fontId="73" fillId="45" borderId="0" xfId="0" applyFont="1" applyFill="1"/>
    <xf numFmtId="0" fontId="3" fillId="45" borderId="0" xfId="0" applyFont="1" applyFill="1" applyAlignment="1">
      <alignment vertical="center"/>
    </xf>
    <xf numFmtId="0" fontId="37" fillId="0" borderId="0" xfId="0" applyFont="1" applyAlignment="1">
      <alignment vertical="center"/>
    </xf>
    <xf numFmtId="0" fontId="74" fillId="6" borderId="0" xfId="0" applyFont="1" applyFill="1" applyAlignment="1">
      <alignment vertical="center"/>
    </xf>
    <xf numFmtId="0" fontId="74" fillId="45" borderId="0" xfId="0" applyFont="1" applyFill="1" applyAlignment="1">
      <alignment vertical="center"/>
    </xf>
    <xf numFmtId="0" fontId="28" fillId="45" borderId="0" xfId="0" applyFont="1" applyFill="1"/>
    <xf numFmtId="0" fontId="28" fillId="45" borderId="0" xfId="0" applyFont="1" applyFill="1" applyAlignment="1">
      <alignment wrapText="1"/>
    </xf>
    <xf numFmtId="0" fontId="73" fillId="45" borderId="0" xfId="0" applyFont="1" applyFill="1" applyAlignment="1">
      <alignment horizontal="left"/>
    </xf>
    <xf numFmtId="0" fontId="3" fillId="45" borderId="0" xfId="0" applyFont="1" applyFill="1" applyAlignment="1">
      <alignment horizontal="left"/>
    </xf>
    <xf numFmtId="0" fontId="59" fillId="45" borderId="0" xfId="0" applyFont="1" applyFill="1" applyAlignment="1">
      <alignment horizontal="right"/>
    </xf>
    <xf numFmtId="0" fontId="28" fillId="45" borderId="0" xfId="0" applyFont="1" applyFill="1" applyAlignment="1">
      <alignment horizontal="right"/>
    </xf>
    <xf numFmtId="0" fontId="3" fillId="6" borderId="0" xfId="0" applyFont="1" applyFill="1" applyAlignment="1">
      <alignment vertical="top"/>
    </xf>
    <xf numFmtId="0" fontId="75" fillId="6" borderId="0" xfId="0" applyFont="1" applyFill="1" applyAlignment="1">
      <alignment vertical="top"/>
    </xf>
    <xf numFmtId="0" fontId="72" fillId="6" borderId="0" xfId="0" applyFont="1" applyFill="1" applyAlignment="1">
      <alignment vertical="top"/>
    </xf>
    <xf numFmtId="0" fontId="3" fillId="45" borderId="0" xfId="0" applyFont="1" applyFill="1" applyAlignment="1">
      <alignment vertical="top"/>
    </xf>
    <xf numFmtId="0" fontId="76" fillId="45" borderId="0" xfId="0" applyFont="1" applyFill="1" applyAlignment="1">
      <alignment vertical="top"/>
    </xf>
    <xf numFmtId="0" fontId="15" fillId="45" borderId="0" xfId="0" applyFont="1" applyFill="1" applyAlignment="1">
      <alignment vertical="top"/>
    </xf>
    <xf numFmtId="0" fontId="73" fillId="45" borderId="0" xfId="0" applyFont="1" applyFill="1" applyAlignment="1">
      <alignment horizontal="right" vertical="center"/>
    </xf>
    <xf numFmtId="0" fontId="75" fillId="45" borderId="0" xfId="0" applyFont="1" applyFill="1" applyAlignment="1">
      <alignment vertical="top"/>
    </xf>
    <xf numFmtId="0" fontId="8" fillId="45" borderId="0" xfId="0" applyFont="1" applyFill="1" applyAlignment="1">
      <alignment horizontal="center" vertical="top"/>
    </xf>
    <xf numFmtId="0" fontId="7" fillId="45" borderId="0" xfId="0" applyFont="1" applyFill="1" applyAlignment="1">
      <alignment vertical="top"/>
    </xf>
    <xf numFmtId="0" fontId="77" fillId="45" borderId="0" xfId="0" applyFont="1" applyFill="1" applyAlignment="1">
      <alignment vertical="top"/>
    </xf>
    <xf numFmtId="0" fontId="78" fillId="45" borderId="0" xfId="0" applyFont="1" applyFill="1" applyAlignment="1">
      <alignment vertical="top"/>
    </xf>
    <xf numFmtId="0" fontId="65" fillId="45" borderId="0" xfId="0" applyFont="1" applyFill="1" applyAlignment="1">
      <alignment vertical="top"/>
    </xf>
    <xf numFmtId="0" fontId="28" fillId="45" borderId="0" xfId="0" applyFont="1" applyFill="1" applyAlignment="1">
      <alignment vertical="top"/>
    </xf>
    <xf numFmtId="0" fontId="78" fillId="45" borderId="0" xfId="0" applyFont="1" applyFill="1" applyAlignment="1">
      <alignment horizontal="center" vertical="top"/>
    </xf>
    <xf numFmtId="0" fontId="79" fillId="45" borderId="0" xfId="0" applyFont="1" applyFill="1" applyAlignment="1">
      <alignment horizontal="center" vertical="top"/>
    </xf>
    <xf numFmtId="0" fontId="78" fillId="45" borderId="0" xfId="0" applyFont="1" applyFill="1" applyAlignment="1">
      <alignment horizontal="left" vertical="top"/>
    </xf>
    <xf numFmtId="14" fontId="0" fillId="0" borderId="0" xfId="0" applyNumberFormat="1"/>
    <xf numFmtId="0" fontId="73" fillId="45" borderId="0" xfId="0" applyFont="1" applyFill="1" applyAlignment="1">
      <alignment vertical="top" wrapText="1"/>
    </xf>
    <xf numFmtId="0" fontId="75" fillId="45" borderId="0" xfId="0" applyFont="1" applyFill="1"/>
    <xf numFmtId="1" fontId="3" fillId="7" borderId="7" xfId="0" applyNumberFormat="1" applyFont="1" applyFill="1" applyBorder="1" applyAlignment="1">
      <alignment horizontal="center" vertical="top"/>
    </xf>
    <xf numFmtId="1" fontId="3" fillId="7" borderId="267" xfId="0" applyNumberFormat="1" applyFont="1" applyFill="1" applyBorder="1" applyAlignment="1">
      <alignment horizontal="center" vertical="top"/>
    </xf>
    <xf numFmtId="0" fontId="0" fillId="4" borderId="13" xfId="0" applyFill="1" applyBorder="1"/>
    <xf numFmtId="49" fontId="4" fillId="17" borderId="113" xfId="0" applyNumberFormat="1" applyFont="1" applyFill="1" applyBorder="1" applyAlignment="1" applyProtection="1">
      <alignment horizontal="left" wrapText="1" indent="1"/>
      <protection locked="0"/>
    </xf>
    <xf numFmtId="49" fontId="4" fillId="25" borderId="114" xfId="0" applyNumberFormat="1" applyFont="1" applyFill="1" applyBorder="1" applyAlignment="1" applyProtection="1">
      <alignment horizontal="left" wrapText="1" indent="1"/>
      <protection locked="0"/>
    </xf>
    <xf numFmtId="49" fontId="4" fillId="17" borderId="114" xfId="0" applyNumberFormat="1" applyFont="1" applyFill="1" applyBorder="1" applyAlignment="1" applyProtection="1">
      <alignment horizontal="left" wrapText="1" indent="1"/>
      <protection locked="0"/>
    </xf>
    <xf numFmtId="49" fontId="4" fillId="17" borderId="271" xfId="0" applyNumberFormat="1" applyFont="1" applyFill="1" applyBorder="1" applyAlignment="1" applyProtection="1">
      <alignment horizontal="left" wrapText="1" indent="1"/>
      <protection locked="0"/>
    </xf>
    <xf numFmtId="49" fontId="4" fillId="25" borderId="271" xfId="0" applyNumberFormat="1" applyFont="1" applyFill="1" applyBorder="1" applyAlignment="1" applyProtection="1">
      <alignment horizontal="left" wrapText="1" indent="1"/>
      <protection locked="0"/>
    </xf>
    <xf numFmtId="49" fontId="4" fillId="25" borderId="115" xfId="0" applyNumberFormat="1" applyFont="1" applyFill="1" applyBorder="1" applyAlignment="1" applyProtection="1">
      <alignment horizontal="left" wrapText="1" indent="1"/>
      <protection locked="0"/>
    </xf>
    <xf numFmtId="49" fontId="4" fillId="17" borderId="115" xfId="0" applyNumberFormat="1" applyFont="1" applyFill="1" applyBorder="1" applyAlignment="1" applyProtection="1">
      <alignment horizontal="left" wrapText="1" indent="1"/>
      <protection locked="0"/>
    </xf>
    <xf numFmtId="0" fontId="4" fillId="0" borderId="164" xfId="0" applyFont="1" applyBorder="1" applyAlignment="1">
      <alignment horizontal="left" vertical="center" wrapText="1" indent="1"/>
    </xf>
    <xf numFmtId="0" fontId="50" fillId="0" borderId="58" xfId="0" applyFont="1" applyBorder="1" applyAlignment="1">
      <alignment horizontal="center"/>
    </xf>
    <xf numFmtId="164" fontId="0" fillId="21" borderId="16" xfId="0" applyNumberFormat="1" applyFill="1" applyBorder="1" applyAlignment="1" applyProtection="1">
      <alignment horizontal="right"/>
      <protection locked="0"/>
    </xf>
    <xf numFmtId="164" fontId="0" fillId="21" borderId="13" xfId="0" applyNumberFormat="1" applyFill="1" applyBorder="1" applyAlignment="1" applyProtection="1">
      <alignment horizontal="right"/>
      <protection locked="0"/>
    </xf>
    <xf numFmtId="164" fontId="0" fillId="21" borderId="86" xfId="0" applyNumberFormat="1" applyFill="1" applyBorder="1" applyAlignment="1" applyProtection="1">
      <alignment horizontal="right"/>
      <protection locked="0"/>
    </xf>
    <xf numFmtId="164" fontId="0" fillId="21" borderId="48" xfId="0" applyNumberFormat="1" applyFill="1" applyBorder="1" applyAlignment="1" applyProtection="1">
      <alignment horizontal="right"/>
      <protection locked="0"/>
    </xf>
    <xf numFmtId="164" fontId="0" fillId="21" borderId="45" xfId="0" applyNumberFormat="1" applyFill="1" applyBorder="1" applyAlignment="1" applyProtection="1">
      <alignment horizontal="right"/>
      <protection locked="0"/>
    </xf>
    <xf numFmtId="164" fontId="0" fillId="21" borderId="236" xfId="0" applyNumberFormat="1" applyFill="1" applyBorder="1" applyAlignment="1" applyProtection="1">
      <alignment horizontal="right"/>
      <protection locked="0"/>
    </xf>
    <xf numFmtId="165" fontId="0" fillId="3" borderId="162" xfId="0" applyNumberFormat="1" applyFill="1" applyBorder="1"/>
    <xf numFmtId="0" fontId="4" fillId="6" borderId="285" xfId="0" applyFont="1" applyFill="1" applyBorder="1" applyAlignment="1">
      <alignment horizontal="left" vertical="center" wrapText="1" indent="1"/>
    </xf>
    <xf numFmtId="0" fontId="4" fillId="6" borderId="286" xfId="0" applyFont="1" applyFill="1" applyBorder="1" applyAlignment="1">
      <alignment horizontal="left" vertical="center" wrapText="1" indent="1"/>
    </xf>
    <xf numFmtId="0" fontId="4" fillId="6" borderId="287" xfId="0" applyFont="1" applyFill="1" applyBorder="1" applyAlignment="1">
      <alignment horizontal="left" vertical="center" wrapText="1" indent="1"/>
    </xf>
    <xf numFmtId="49" fontId="4" fillId="17" borderId="288" xfId="0" applyNumberFormat="1" applyFont="1" applyFill="1" applyBorder="1" applyAlignment="1" applyProtection="1">
      <alignment horizontal="left" vertical="center"/>
      <protection locked="0"/>
    </xf>
    <xf numFmtId="49" fontId="4" fillId="17" borderId="232" xfId="0" applyNumberFormat="1" applyFont="1" applyFill="1" applyBorder="1" applyAlignment="1" applyProtection="1">
      <alignment horizontal="left" vertical="center"/>
      <protection locked="0"/>
    </xf>
    <xf numFmtId="49" fontId="4" fillId="17" borderId="289" xfId="0" applyNumberFormat="1" applyFont="1" applyFill="1" applyBorder="1" applyAlignment="1" applyProtection="1">
      <alignment horizontal="left" vertical="center"/>
      <protection locked="0"/>
    </xf>
    <xf numFmtId="0" fontId="4" fillId="0" borderId="285" xfId="0" applyFont="1" applyBorder="1" applyAlignment="1">
      <alignment horizontal="left" vertical="center" wrapText="1" indent="1"/>
    </xf>
    <xf numFmtId="0" fontId="4" fillId="0" borderId="286" xfId="0" applyFont="1" applyBorder="1" applyAlignment="1">
      <alignment horizontal="left" vertical="center" wrapText="1" indent="1"/>
    </xf>
    <xf numFmtId="0" fontId="4" fillId="0" borderId="287" xfId="0" applyFont="1" applyBorder="1" applyAlignment="1">
      <alignment horizontal="left" vertical="center" wrapText="1" indent="1"/>
    </xf>
    <xf numFmtId="0" fontId="80" fillId="45" borderId="0" xfId="0" applyFont="1" applyFill="1" applyAlignment="1">
      <alignment vertical="top"/>
    </xf>
    <xf numFmtId="168" fontId="4" fillId="17" borderId="38" xfId="0" applyNumberFormat="1" applyFont="1" applyFill="1" applyBorder="1" applyProtection="1">
      <protection locked="0"/>
    </xf>
    <xf numFmtId="168" fontId="4" fillId="17" borderId="162" xfId="0" applyNumberFormat="1" applyFont="1" applyFill="1" applyBorder="1" applyProtection="1">
      <protection locked="0"/>
    </xf>
    <xf numFmtId="168" fontId="4" fillId="17" borderId="73" xfId="0" applyNumberFormat="1" applyFont="1" applyFill="1" applyBorder="1" applyProtection="1">
      <protection locked="0"/>
    </xf>
    <xf numFmtId="168" fontId="4" fillId="17" borderId="92" xfId="0" applyNumberFormat="1" applyFont="1" applyFill="1" applyBorder="1" applyProtection="1">
      <protection locked="0"/>
    </xf>
    <xf numFmtId="168" fontId="4" fillId="17" borderId="91" xfId="0" applyNumberFormat="1" applyFont="1" applyFill="1" applyBorder="1" applyProtection="1">
      <protection locked="0"/>
    </xf>
    <xf numFmtId="168" fontId="4" fillId="17" borderId="10" xfId="0" applyNumberFormat="1" applyFont="1" applyFill="1" applyBorder="1" applyProtection="1">
      <protection locked="0"/>
    </xf>
    <xf numFmtId="168" fontId="4" fillId="17" borderId="74" xfId="0" applyNumberFormat="1" applyFont="1" applyFill="1" applyBorder="1" applyProtection="1">
      <protection locked="0"/>
    </xf>
    <xf numFmtId="49" fontId="4" fillId="25" borderId="17" xfId="0" applyNumberFormat="1" applyFont="1" applyFill="1" applyBorder="1" applyAlignment="1" applyProtection="1">
      <alignment horizontal="left" vertical="center"/>
      <protection locked="0"/>
    </xf>
    <xf numFmtId="49" fontId="4" fillId="17" borderId="145" xfId="0" applyNumberFormat="1" applyFont="1" applyFill="1" applyBorder="1" applyAlignment="1" applyProtection="1">
      <alignment horizontal="left" vertical="center"/>
      <protection locked="0"/>
    </xf>
    <xf numFmtId="0" fontId="12" fillId="0" borderId="106" xfId="0" applyFont="1" applyBorder="1" applyAlignment="1">
      <alignment horizontal="left" vertical="center" wrapText="1" indent="1"/>
    </xf>
    <xf numFmtId="49" fontId="4" fillId="17" borderId="290" xfId="0" applyNumberFormat="1" applyFont="1" applyFill="1" applyBorder="1" applyAlignment="1" applyProtection="1">
      <alignment horizontal="left" vertical="center"/>
      <protection locked="0"/>
    </xf>
    <xf numFmtId="0" fontId="4" fillId="0" borderId="116" xfId="0" applyFont="1" applyBorder="1" applyAlignment="1">
      <alignment horizontal="left" vertical="center" wrapText="1" indent="1"/>
    </xf>
    <xf numFmtId="0" fontId="45" fillId="3" borderId="0" xfId="0" applyFont="1" applyFill="1" applyAlignment="1">
      <alignment horizontal="right" indent="3"/>
    </xf>
    <xf numFmtId="0" fontId="0" fillId="3" borderId="0" xfId="0" quotePrefix="1" applyFill="1"/>
    <xf numFmtId="0" fontId="4" fillId="6" borderId="291" xfId="0" applyFont="1" applyFill="1" applyBorder="1" applyAlignment="1">
      <alignment horizontal="left" vertical="center" wrapText="1" indent="1"/>
    </xf>
    <xf numFmtId="0" fontId="68" fillId="6" borderId="0" xfId="0" applyFont="1" applyFill="1"/>
    <xf numFmtId="164" fontId="0" fillId="10" borderId="292" xfId="0" applyNumberFormat="1" applyFill="1" applyBorder="1" applyAlignment="1" applyProtection="1">
      <alignment horizontal="right"/>
      <protection locked="0"/>
    </xf>
    <xf numFmtId="10" fontId="0" fillId="10" borderId="16" xfId="0" applyNumberFormat="1" applyFill="1" applyBorder="1" applyAlignment="1" applyProtection="1">
      <alignment horizontal="right"/>
      <protection locked="0"/>
    </xf>
    <xf numFmtId="10" fontId="0" fillId="10" borderId="90" xfId="0" applyNumberFormat="1" applyFill="1" applyBorder="1" applyAlignment="1" applyProtection="1">
      <alignment horizontal="right"/>
      <protection locked="0"/>
    </xf>
    <xf numFmtId="10" fontId="0" fillId="10" borderId="89" xfId="0" applyNumberFormat="1" applyFill="1" applyBorder="1" applyAlignment="1" applyProtection="1">
      <alignment horizontal="right"/>
      <protection locked="0"/>
    </xf>
    <xf numFmtId="10" fontId="0" fillId="10" borderId="13" xfId="0" applyNumberFormat="1" applyFill="1" applyBorder="1" applyAlignment="1" applyProtection="1">
      <alignment horizontal="right"/>
      <protection locked="0"/>
    </xf>
    <xf numFmtId="10" fontId="0" fillId="10" borderId="86" xfId="0" applyNumberFormat="1" applyFill="1" applyBorder="1" applyAlignment="1" applyProtection="1">
      <alignment horizontal="right"/>
      <protection locked="0"/>
    </xf>
    <xf numFmtId="10" fontId="0" fillId="10" borderId="42" xfId="0" applyNumberFormat="1" applyFill="1" applyBorder="1" applyAlignment="1" applyProtection="1">
      <alignment horizontal="right"/>
      <protection locked="0"/>
    </xf>
    <xf numFmtId="10" fontId="0" fillId="10" borderId="293" xfId="0" applyNumberFormat="1" applyFill="1" applyBorder="1" applyAlignment="1" applyProtection="1">
      <alignment horizontal="right"/>
      <protection locked="0"/>
    </xf>
    <xf numFmtId="10" fontId="0" fillId="10" borderId="162" xfId="0" applyNumberFormat="1" applyFill="1" applyBorder="1" applyAlignment="1" applyProtection="1">
      <alignment horizontal="right"/>
      <protection locked="0"/>
    </xf>
    <xf numFmtId="10" fontId="0" fillId="10" borderId="38" xfId="0" applyNumberFormat="1" applyFill="1" applyBorder="1" applyAlignment="1" applyProtection="1">
      <alignment horizontal="right"/>
      <protection locked="0"/>
    </xf>
    <xf numFmtId="10" fontId="0" fillId="10" borderId="73" xfId="0" applyNumberFormat="1" applyFill="1" applyBorder="1" applyAlignment="1" applyProtection="1">
      <alignment horizontal="right"/>
      <protection locked="0"/>
    </xf>
    <xf numFmtId="10" fontId="0" fillId="10" borderId="17" xfId="0" applyNumberFormat="1" applyFill="1" applyBorder="1" applyAlignment="1" applyProtection="1">
      <alignment horizontal="right"/>
      <protection locked="0"/>
    </xf>
    <xf numFmtId="10" fontId="0" fillId="10" borderId="92" xfId="0" applyNumberFormat="1" applyFill="1" applyBorder="1" applyAlignment="1" applyProtection="1">
      <alignment horizontal="right"/>
      <protection locked="0"/>
    </xf>
    <xf numFmtId="10" fontId="0" fillId="10" borderId="91" xfId="0" applyNumberFormat="1" applyFill="1" applyBorder="1" applyAlignment="1" applyProtection="1">
      <alignment horizontal="right"/>
      <protection locked="0"/>
    </xf>
    <xf numFmtId="10" fontId="0" fillId="10" borderId="10" xfId="0" applyNumberFormat="1" applyFill="1" applyBorder="1" applyAlignment="1" applyProtection="1">
      <alignment horizontal="right"/>
      <protection locked="0"/>
    </xf>
    <xf numFmtId="10" fontId="0" fillId="10" borderId="74" xfId="0" applyNumberFormat="1" applyFill="1" applyBorder="1" applyAlignment="1" applyProtection="1">
      <alignment horizontal="right"/>
      <protection locked="0"/>
    </xf>
    <xf numFmtId="10" fontId="0" fillId="10" borderId="81" xfId="0" applyNumberFormat="1" applyFill="1" applyBorder="1" applyAlignment="1" applyProtection="1">
      <alignment horizontal="right"/>
      <protection locked="0"/>
    </xf>
    <xf numFmtId="10" fontId="0" fillId="10" borderId="149" xfId="0" applyNumberFormat="1" applyFill="1" applyBorder="1" applyAlignment="1" applyProtection="1">
      <alignment horizontal="right"/>
      <protection locked="0"/>
    </xf>
    <xf numFmtId="10" fontId="0" fillId="10" borderId="150" xfId="0" applyNumberFormat="1" applyFill="1" applyBorder="1" applyAlignment="1" applyProtection="1">
      <alignment horizontal="right"/>
      <protection locked="0"/>
    </xf>
    <xf numFmtId="10" fontId="0" fillId="10" borderId="82" xfId="0" applyNumberFormat="1" applyFill="1" applyBorder="1" applyAlignment="1" applyProtection="1">
      <alignment horizontal="right"/>
      <protection locked="0"/>
    </xf>
    <xf numFmtId="10" fontId="0" fillId="10" borderId="83" xfId="0" applyNumberFormat="1" applyFill="1" applyBorder="1" applyAlignment="1" applyProtection="1">
      <alignment horizontal="right"/>
      <protection locked="0"/>
    </xf>
    <xf numFmtId="10" fontId="0" fillId="10" borderId="18" xfId="0" applyNumberFormat="1" applyFill="1" applyBorder="1" applyAlignment="1" applyProtection="1">
      <alignment horizontal="right"/>
      <protection locked="0"/>
    </xf>
    <xf numFmtId="10" fontId="0" fillId="10" borderId="94" xfId="0" applyNumberFormat="1" applyFill="1" applyBorder="1" applyAlignment="1" applyProtection="1">
      <alignment horizontal="right"/>
      <protection locked="0"/>
    </xf>
    <xf numFmtId="10" fontId="0" fillId="10" borderId="93" xfId="0" applyNumberFormat="1" applyFill="1" applyBorder="1" applyAlignment="1" applyProtection="1">
      <alignment horizontal="right"/>
      <protection locked="0"/>
    </xf>
    <xf numFmtId="10" fontId="0" fillId="10" borderId="11" xfId="0" applyNumberFormat="1" applyFill="1" applyBorder="1" applyAlignment="1" applyProtection="1">
      <alignment horizontal="right"/>
      <protection locked="0"/>
    </xf>
    <xf numFmtId="10" fontId="0" fillId="10" borderId="84" xfId="0" applyNumberFormat="1" applyFill="1" applyBorder="1" applyAlignment="1" applyProtection="1">
      <alignment horizontal="right"/>
      <protection locked="0"/>
    </xf>
    <xf numFmtId="164" fontId="0" fillId="2" borderId="101" xfId="0" applyNumberFormat="1" applyFill="1" applyBorder="1" applyAlignment="1">
      <alignment horizontal="right"/>
    </xf>
    <xf numFmtId="164" fontId="0" fillId="2" borderId="102" xfId="0" applyNumberFormat="1" applyFill="1" applyBorder="1" applyAlignment="1">
      <alignment horizontal="right"/>
    </xf>
    <xf numFmtId="164" fontId="0" fillId="2" borderId="105" xfId="0" applyNumberFormat="1" applyFill="1" applyBorder="1" applyAlignment="1">
      <alignment horizontal="right"/>
    </xf>
    <xf numFmtId="164" fontId="0" fillId="2" borderId="106" xfId="0" applyNumberFormat="1" applyFill="1" applyBorder="1" applyAlignment="1">
      <alignment horizontal="right"/>
    </xf>
    <xf numFmtId="164" fontId="0" fillId="2" borderId="14" xfId="0" applyNumberFormat="1" applyFill="1" applyBorder="1" applyAlignment="1">
      <alignment horizontal="right"/>
    </xf>
    <xf numFmtId="164" fontId="0" fillId="2" borderId="96" xfId="0" applyNumberFormat="1" applyFill="1" applyBorder="1" applyAlignment="1">
      <alignment horizontal="right"/>
    </xf>
    <xf numFmtId="164" fontId="0" fillId="2" borderId="97" xfId="0" applyNumberFormat="1" applyFill="1" applyBorder="1" applyAlignment="1">
      <alignment horizontal="right"/>
    </xf>
    <xf numFmtId="164" fontId="0" fillId="2" borderId="104" xfId="0" applyNumberFormat="1" applyFill="1" applyBorder="1" applyAlignment="1">
      <alignment horizontal="right"/>
    </xf>
    <xf numFmtId="164" fontId="0" fillId="2" borderId="108" xfId="0" applyNumberFormat="1" applyFill="1" applyBorder="1" applyAlignment="1">
      <alignment horizontal="right"/>
    </xf>
    <xf numFmtId="164" fontId="0" fillId="2" borderId="95" xfId="0" applyNumberFormat="1" applyFill="1" applyBorder="1" applyAlignment="1">
      <alignment horizontal="right"/>
    </xf>
    <xf numFmtId="164" fontId="0" fillId="2" borderId="116" xfId="0" applyNumberFormat="1" applyFill="1" applyBorder="1" applyAlignment="1">
      <alignment horizontal="right"/>
    </xf>
    <xf numFmtId="164" fontId="0" fillId="2" borderId="120" xfId="0" applyNumberFormat="1" applyFill="1" applyBorder="1" applyAlignment="1">
      <alignment horizontal="right"/>
    </xf>
    <xf numFmtId="164" fontId="0" fillId="2" borderId="118" xfId="0" applyNumberFormat="1" applyFill="1" applyBorder="1" applyAlignment="1">
      <alignment horizontal="right"/>
    </xf>
    <xf numFmtId="164" fontId="0" fillId="2" borderId="119" xfId="0" applyNumberFormat="1" applyFill="1" applyBorder="1" applyAlignment="1">
      <alignment horizontal="right"/>
    </xf>
    <xf numFmtId="0" fontId="4" fillId="3" borderId="17" xfId="0" applyFont="1" applyFill="1" applyBorder="1" applyAlignment="1">
      <alignment horizontal="left" vertical="center"/>
    </xf>
    <xf numFmtId="168" fontId="4" fillId="3" borderId="11" xfId="0" applyNumberFormat="1" applyFont="1" applyFill="1" applyBorder="1" applyProtection="1">
      <protection locked="0"/>
    </xf>
    <xf numFmtId="168" fontId="4" fillId="3" borderId="94" xfId="0" applyNumberFormat="1" applyFont="1" applyFill="1" applyBorder="1" applyProtection="1">
      <protection locked="0"/>
    </xf>
    <xf numFmtId="168" fontId="4" fillId="3" borderId="93" xfId="0" applyNumberFormat="1" applyFont="1" applyFill="1" applyBorder="1" applyProtection="1">
      <protection locked="0"/>
    </xf>
    <xf numFmtId="168" fontId="4" fillId="3" borderId="84" xfId="0" applyNumberFormat="1" applyFont="1" applyFill="1" applyBorder="1" applyProtection="1">
      <protection locked="0"/>
    </xf>
    <xf numFmtId="0" fontId="0" fillId="6" borderId="173" xfId="0" applyFill="1" applyBorder="1" applyAlignment="1">
      <alignment vertical="center"/>
    </xf>
    <xf numFmtId="0" fontId="0" fillId="6" borderId="238" xfId="0" applyFill="1" applyBorder="1" applyAlignment="1">
      <alignment vertical="center"/>
    </xf>
    <xf numFmtId="0" fontId="1" fillId="34" borderId="0" xfId="0" applyFont="1" applyFill="1" applyAlignment="1">
      <alignment horizontal="right" vertical="center" wrapText="1"/>
    </xf>
    <xf numFmtId="0" fontId="8" fillId="4" borderId="0" xfId="0" applyFont="1" applyFill="1" applyAlignment="1" applyProtection="1">
      <alignment horizontal="left" wrapText="1"/>
      <protection locked="0"/>
    </xf>
    <xf numFmtId="0" fontId="8" fillId="4" borderId="6" xfId="0" applyFont="1" applyFill="1" applyBorder="1" applyAlignment="1" applyProtection="1">
      <alignment horizontal="left" wrapText="1"/>
      <protection locked="0"/>
    </xf>
    <xf numFmtId="49" fontId="8" fillId="13" borderId="138" xfId="0" applyNumberFormat="1" applyFont="1" applyFill="1" applyBorder="1" applyAlignment="1">
      <alignment horizontal="center" vertical="center" wrapText="1"/>
    </xf>
    <xf numFmtId="0" fontId="8" fillId="18" borderId="16" xfId="0" applyFont="1" applyFill="1" applyBorder="1" applyAlignment="1">
      <alignment horizontal="center" vertical="center" wrapText="1"/>
    </xf>
    <xf numFmtId="165" fontId="1" fillId="3" borderId="19" xfId="0" applyNumberFormat="1" applyFont="1" applyFill="1" applyBorder="1" applyAlignment="1">
      <alignment horizontal="right" vertical="center"/>
    </xf>
    <xf numFmtId="49" fontId="4" fillId="17" borderId="10" xfId="0" applyNumberFormat="1" applyFont="1" applyFill="1" applyBorder="1" applyProtection="1">
      <protection locked="0"/>
    </xf>
    <xf numFmtId="170" fontId="4" fillId="17" borderId="0" xfId="0" applyNumberFormat="1" applyFont="1" applyFill="1" applyProtection="1">
      <protection locked="0"/>
    </xf>
    <xf numFmtId="0" fontId="50" fillId="46" borderId="0" xfId="0" applyFont="1" applyFill="1" applyAlignment="1">
      <alignment horizontal="left" vertical="center"/>
    </xf>
    <xf numFmtId="0" fontId="50" fillId="2" borderId="0" xfId="0" applyFont="1" applyFill="1" applyAlignment="1">
      <alignment vertical="center"/>
    </xf>
    <xf numFmtId="0" fontId="32" fillId="47" borderId="0" xfId="0" applyFont="1" applyFill="1" applyAlignment="1">
      <alignment vertical="center"/>
    </xf>
    <xf numFmtId="0" fontId="53" fillId="25" borderId="267" xfId="0" applyFont="1" applyFill="1" applyBorder="1" applyAlignment="1">
      <alignment horizontal="center"/>
    </xf>
    <xf numFmtId="0" fontId="53" fillId="25" borderId="294" xfId="0" applyFont="1" applyFill="1" applyBorder="1" applyAlignment="1">
      <alignment horizontal="center"/>
    </xf>
    <xf numFmtId="0" fontId="53" fillId="25" borderId="295" xfId="0" applyFont="1" applyFill="1" applyBorder="1" applyAlignment="1">
      <alignment horizontal="center"/>
    </xf>
    <xf numFmtId="0" fontId="4" fillId="48" borderId="295" xfId="0" applyFont="1" applyFill="1" applyBorder="1" applyAlignment="1">
      <alignment vertical="top"/>
    </xf>
    <xf numFmtId="0" fontId="53" fillId="25" borderId="121" xfId="0" applyFont="1" applyFill="1" applyBorder="1" applyAlignment="1">
      <alignment horizontal="center"/>
    </xf>
    <xf numFmtId="0" fontId="53" fillId="25" borderId="296" xfId="0" applyFont="1" applyFill="1" applyBorder="1" applyAlignment="1">
      <alignment horizontal="center"/>
    </xf>
    <xf numFmtId="0" fontId="4" fillId="48" borderId="229" xfId="0" applyFont="1" applyFill="1" applyBorder="1" applyAlignment="1">
      <alignment vertical="top"/>
    </xf>
    <xf numFmtId="0" fontId="0" fillId="0" borderId="0" xfId="0" applyAlignment="1">
      <alignment horizontal="right" vertical="top" wrapText="1"/>
    </xf>
    <xf numFmtId="0" fontId="53" fillId="0" borderId="0" xfId="0" applyFont="1"/>
    <xf numFmtId="0" fontId="53" fillId="5" borderId="28" xfId="0" quotePrefix="1" applyFont="1" applyFill="1" applyBorder="1" applyAlignment="1">
      <alignment horizontal="left" vertical="top"/>
    </xf>
    <xf numFmtId="0" fontId="81" fillId="0" borderId="0" xfId="0" applyFont="1" applyAlignment="1">
      <alignment horizontal="left"/>
    </xf>
    <xf numFmtId="0" fontId="53" fillId="5" borderId="58" xfId="0" applyFont="1" applyFill="1" applyBorder="1" applyAlignment="1">
      <alignment horizontal="left" vertical="top"/>
    </xf>
    <xf numFmtId="0" fontId="53" fillId="5" borderId="28" xfId="0" applyFont="1" applyFill="1" applyBorder="1" applyAlignment="1">
      <alignment horizontal="left" vertical="top"/>
    </xf>
    <xf numFmtId="49" fontId="53" fillId="5" borderId="28" xfId="0" quotePrefix="1" applyNumberFormat="1" applyFont="1" applyFill="1" applyBorder="1" applyAlignment="1">
      <alignment horizontal="left" vertical="top"/>
    </xf>
    <xf numFmtId="0" fontId="82" fillId="5" borderId="28" xfId="0" applyFont="1" applyFill="1" applyBorder="1" applyAlignment="1">
      <alignment horizontal="center" vertical="top"/>
    </xf>
    <xf numFmtId="0" fontId="82" fillId="5" borderId="161" xfId="0" applyFont="1" applyFill="1" applyBorder="1" applyAlignment="1">
      <alignment horizontal="center" vertical="top"/>
    </xf>
    <xf numFmtId="0" fontId="58" fillId="0" borderId="11" xfId="0" applyFont="1" applyBorder="1" applyAlignment="1">
      <alignment vertical="center"/>
    </xf>
    <xf numFmtId="0" fontId="58" fillId="0" borderId="84" xfId="0" applyFont="1" applyBorder="1" applyAlignment="1">
      <alignment vertical="center"/>
    </xf>
    <xf numFmtId="0" fontId="58" fillId="0" borderId="18" xfId="0" applyFont="1" applyBorder="1" applyAlignment="1">
      <alignment vertical="center"/>
    </xf>
    <xf numFmtId="0" fontId="58" fillId="0" borderId="10" xfId="0" applyFont="1" applyBorder="1" applyAlignment="1">
      <alignment vertical="center"/>
    </xf>
    <xf numFmtId="0" fontId="58" fillId="0" borderId="74" xfId="0" applyFont="1" applyBorder="1" applyAlignment="1">
      <alignment vertical="center"/>
    </xf>
    <xf numFmtId="0" fontId="58" fillId="0" borderId="17" xfId="0" applyFont="1" applyBorder="1" applyAlignment="1">
      <alignment vertical="center"/>
    </xf>
    <xf numFmtId="0" fontId="58" fillId="14" borderId="17" xfId="0" applyFont="1" applyFill="1" applyBorder="1" applyAlignment="1">
      <alignment vertical="center"/>
    </xf>
    <xf numFmtId="0" fontId="58" fillId="14" borderId="74" xfId="0" applyFont="1" applyFill="1" applyBorder="1" applyAlignment="1">
      <alignment vertical="center"/>
    </xf>
    <xf numFmtId="0" fontId="58" fillId="14" borderId="86" xfId="0" applyFont="1" applyFill="1" applyBorder="1" applyAlignment="1">
      <alignment vertical="center"/>
    </xf>
    <xf numFmtId="0" fontId="58" fillId="14" borderId="16" xfId="0" applyFont="1" applyFill="1" applyBorder="1" applyAlignment="1">
      <alignment vertical="center"/>
    </xf>
    <xf numFmtId="0" fontId="0" fillId="49" borderId="0" xfId="0" applyFill="1"/>
    <xf numFmtId="0" fontId="2" fillId="49" borderId="0" xfId="0" applyFont="1" applyFill="1"/>
    <xf numFmtId="0" fontId="1" fillId="33" borderId="20" xfId="0" applyFont="1" applyFill="1" applyBorder="1" applyAlignment="1">
      <alignment horizontal="centerContinuous" vertical="center" wrapText="1"/>
    </xf>
    <xf numFmtId="0" fontId="1" fillId="33" borderId="12" xfId="0" applyFont="1" applyFill="1" applyBorder="1" applyAlignment="1">
      <alignment horizontal="centerContinuous" vertical="center" wrapText="1"/>
    </xf>
    <xf numFmtId="0" fontId="83" fillId="18" borderId="143" xfId="0" quotePrefix="1" applyFont="1" applyFill="1" applyBorder="1" applyAlignment="1">
      <alignment horizontal="left"/>
    </xf>
    <xf numFmtId="0" fontId="83" fillId="18" borderId="140" xfId="0" quotePrefix="1" applyFont="1" applyFill="1" applyBorder="1" applyAlignment="1">
      <alignment horizontal="left"/>
    </xf>
    <xf numFmtId="0" fontId="83" fillId="18" borderId="141" xfId="0" quotePrefix="1" applyFont="1" applyFill="1" applyBorder="1" applyAlignment="1">
      <alignment horizontal="left"/>
    </xf>
    <xf numFmtId="0" fontId="83" fillId="18" borderId="142" xfId="0" quotePrefix="1" applyFont="1" applyFill="1" applyBorder="1" applyAlignment="1">
      <alignment horizontal="left"/>
    </xf>
    <xf numFmtId="0" fontId="83" fillId="18" borderId="192" xfId="0" quotePrefix="1" applyFont="1" applyFill="1" applyBorder="1" applyAlignment="1">
      <alignment horizontal="left"/>
    </xf>
    <xf numFmtId="0" fontId="83" fillId="18" borderId="5" xfId="0" quotePrefix="1" applyFont="1" applyFill="1" applyBorder="1" applyAlignment="1">
      <alignment horizontal="left"/>
    </xf>
    <xf numFmtId="0" fontId="83" fillId="18" borderId="279" xfId="0" quotePrefix="1" applyFont="1" applyFill="1" applyBorder="1" applyAlignment="1">
      <alignment horizontal="left"/>
    </xf>
    <xf numFmtId="0" fontId="83" fillId="18" borderId="8" xfId="0" quotePrefix="1" applyFont="1" applyFill="1" applyBorder="1" applyAlignment="1">
      <alignment horizontal="left"/>
    </xf>
    <xf numFmtId="0" fontId="83" fillId="18" borderId="112" xfId="0" quotePrefix="1" applyFont="1" applyFill="1" applyBorder="1" applyAlignment="1">
      <alignment horizontal="left"/>
    </xf>
    <xf numFmtId="49" fontId="0" fillId="3" borderId="84" xfId="0" applyNumberFormat="1" applyFill="1" applyBorder="1" applyAlignment="1">
      <alignment horizontal="center"/>
    </xf>
    <xf numFmtId="49" fontId="0" fillId="3" borderId="74" xfId="0" applyNumberFormat="1" applyFill="1" applyBorder="1" applyAlignment="1">
      <alignment horizontal="center"/>
    </xf>
    <xf numFmtId="49" fontId="0" fillId="3" borderId="86" xfId="0" applyNumberFormat="1" applyFill="1" applyBorder="1" applyAlignment="1">
      <alignment horizontal="center"/>
    </xf>
    <xf numFmtId="0" fontId="5" fillId="0" borderId="297" xfId="0" applyFont="1" applyBorder="1"/>
    <xf numFmtId="0" fontId="4" fillId="0" borderId="7" xfId="0" applyFont="1" applyBorder="1"/>
    <xf numFmtId="0" fontId="5" fillId="0" borderId="7" xfId="0" applyFont="1" applyBorder="1"/>
    <xf numFmtId="0" fontId="5" fillId="0" borderId="8" xfId="0" applyFont="1" applyBorder="1"/>
    <xf numFmtId="171" fontId="4" fillId="0" borderId="7" xfId="0" applyNumberFormat="1"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top"/>
    </xf>
    <xf numFmtId="0" fontId="4" fillId="0" borderId="267" xfId="0" applyFont="1" applyBorder="1" applyAlignment="1">
      <alignment horizontal="center" vertical="top"/>
    </xf>
    <xf numFmtId="1" fontId="4" fillId="0" borderId="267" xfId="0" applyNumberFormat="1" applyFont="1" applyBorder="1" applyAlignment="1">
      <alignment horizontal="center" vertical="top"/>
    </xf>
    <xf numFmtId="1" fontId="4" fillId="0" borderId="7" xfId="0" applyNumberFormat="1" applyFont="1" applyBorder="1" applyAlignment="1">
      <alignment horizontal="center" vertical="top"/>
    </xf>
    <xf numFmtId="0" fontId="4" fillId="0" borderId="8" xfId="0" applyFont="1" applyBorder="1" applyAlignment="1">
      <alignment horizontal="center" vertical="top"/>
    </xf>
    <xf numFmtId="0" fontId="4" fillId="0" borderId="8" xfId="0" applyFont="1" applyBorder="1" applyAlignment="1">
      <alignment horizontal="left" vertical="top"/>
    </xf>
    <xf numFmtId="172" fontId="4" fillId="0" borderId="298" xfId="0" applyNumberFormat="1" applyFont="1" applyBorder="1" applyAlignment="1">
      <alignment horizontal="right" vertical="top" indent="1"/>
    </xf>
    <xf numFmtId="0" fontId="3" fillId="0" borderId="221" xfId="0" applyFont="1" applyBorder="1" applyAlignment="1">
      <alignment vertical="top"/>
    </xf>
    <xf numFmtId="0" fontId="5" fillId="7" borderId="297" xfId="0" applyFont="1" applyFill="1" applyBorder="1"/>
    <xf numFmtId="171" fontId="4" fillId="7" borderId="7" xfId="0" applyNumberFormat="1" applyFont="1" applyFill="1" applyBorder="1" applyAlignment="1">
      <alignment horizontal="center" vertical="center"/>
    </xf>
    <xf numFmtId="172" fontId="4" fillId="7" borderId="298" xfId="0" applyNumberFormat="1" applyFont="1" applyFill="1" applyBorder="1" applyAlignment="1">
      <alignment horizontal="right" vertical="top" indent="1"/>
    </xf>
    <xf numFmtId="0" fontId="3" fillId="7" borderId="221" xfId="0" applyFont="1" applyFill="1" applyBorder="1" applyAlignment="1">
      <alignment vertical="top"/>
    </xf>
    <xf numFmtId="1" fontId="3" fillId="0" borderId="267" xfId="0" applyNumberFormat="1" applyFont="1" applyBorder="1" applyAlignment="1">
      <alignment horizontal="center" vertical="top"/>
    </xf>
    <xf numFmtId="1" fontId="3" fillId="0" borderId="7" xfId="0" applyNumberFormat="1" applyFont="1" applyBorder="1" applyAlignment="1">
      <alignment horizontal="center" vertical="top"/>
    </xf>
    <xf numFmtId="0" fontId="6" fillId="0" borderId="7" xfId="0" applyFont="1" applyBorder="1" applyAlignment="1">
      <alignment vertical="top"/>
    </xf>
    <xf numFmtId="173" fontId="4" fillId="7" borderId="298" xfId="0" applyNumberFormat="1" applyFont="1" applyFill="1" applyBorder="1" applyAlignment="1">
      <alignment horizontal="right" vertical="top" indent="1"/>
    </xf>
    <xf numFmtId="171" fontId="4" fillId="0" borderId="7" xfId="0" applyNumberFormat="1" applyFont="1" applyBorder="1" applyAlignment="1">
      <alignment horizontal="center"/>
    </xf>
    <xf numFmtId="0" fontId="4" fillId="0" borderId="7" xfId="0" applyFont="1" applyBorder="1" applyAlignment="1">
      <alignment horizontal="center" vertical="top"/>
    </xf>
    <xf numFmtId="171" fontId="4" fillId="7" borderId="7" xfId="0" applyNumberFormat="1" applyFont="1" applyFill="1" applyBorder="1" applyAlignment="1">
      <alignment horizontal="center"/>
    </xf>
    <xf numFmtId="0" fontId="4" fillId="0" borderId="8" xfId="0" applyFont="1" applyBorder="1"/>
    <xf numFmtId="0" fontId="0" fillId="0" borderId="8" xfId="0" applyBorder="1" applyAlignment="1">
      <alignment horizontal="left" vertical="top"/>
    </xf>
    <xf numFmtId="172" fontId="4" fillId="3" borderId="298" xfId="0" applyNumberFormat="1" applyFont="1" applyFill="1" applyBorder="1" applyAlignment="1">
      <alignment horizontal="right" vertical="top" indent="1"/>
    </xf>
    <xf numFmtId="0" fontId="3" fillId="3" borderId="221" xfId="0" applyFont="1" applyFill="1" applyBorder="1" applyAlignment="1">
      <alignment vertical="top"/>
    </xf>
    <xf numFmtId="0" fontId="0" fillId="7" borderId="8" xfId="0" applyFill="1" applyBorder="1" applyAlignment="1">
      <alignment horizontal="left" vertical="top"/>
    </xf>
    <xf numFmtId="0" fontId="27" fillId="7" borderId="8" xfId="0" applyFont="1" applyFill="1" applyBorder="1" applyAlignment="1">
      <alignment horizontal="center" vertical="top"/>
    </xf>
    <xf numFmtId="173" fontId="4" fillId="0" borderId="298" xfId="0" applyNumberFormat="1" applyFont="1" applyBorder="1" applyAlignment="1">
      <alignment horizontal="right" vertical="top" indent="1"/>
    </xf>
    <xf numFmtId="0" fontId="0" fillId="5" borderId="58" xfId="0" applyFill="1" applyBorder="1"/>
    <xf numFmtId="0" fontId="0" fillId="5" borderId="28" xfId="0" applyFill="1" applyBorder="1"/>
    <xf numFmtId="0" fontId="0" fillId="5" borderId="161" xfId="0" applyFill="1" applyBorder="1"/>
    <xf numFmtId="0" fontId="2" fillId="4" borderId="58" xfId="0" applyFont="1" applyFill="1" applyBorder="1" applyAlignment="1">
      <alignment horizontal="center"/>
    </xf>
    <xf numFmtId="0" fontId="2" fillId="4" borderId="28" xfId="0" applyFont="1" applyFill="1" applyBorder="1"/>
    <xf numFmtId="0" fontId="2" fillId="4" borderId="161" xfId="0" applyFont="1" applyFill="1" applyBorder="1"/>
    <xf numFmtId="0" fontId="0" fillId="3" borderId="28" xfId="0" applyFill="1" applyBorder="1"/>
    <xf numFmtId="0" fontId="0" fillId="3" borderId="28" xfId="0" applyFill="1" applyBorder="1" applyAlignment="1">
      <alignment vertical="center"/>
    </xf>
    <xf numFmtId="1" fontId="3" fillId="3" borderId="28" xfId="0" applyNumberFormat="1" applyFont="1" applyFill="1" applyBorder="1"/>
    <xf numFmtId="0" fontId="3" fillId="3" borderId="28" xfId="0" applyFont="1" applyFill="1" applyBorder="1"/>
    <xf numFmtId="0" fontId="3" fillId="3" borderId="28" xfId="0" applyFont="1" applyFill="1" applyBorder="1" applyAlignment="1">
      <alignment horizontal="center"/>
    </xf>
    <xf numFmtId="0" fontId="0" fillId="3" borderId="28" xfId="0" applyFill="1" applyBorder="1" applyAlignment="1">
      <alignment horizontal="left"/>
    </xf>
    <xf numFmtId="49" fontId="3" fillId="3" borderId="28" xfId="0" applyNumberFormat="1" applyFont="1" applyFill="1" applyBorder="1"/>
    <xf numFmtId="0" fontId="3" fillId="3" borderId="161" xfId="0" applyFont="1" applyFill="1" applyBorder="1"/>
    <xf numFmtId="0" fontId="0" fillId="3" borderId="0" xfId="0" applyFill="1"/>
    <xf numFmtId="0" fontId="0" fillId="3" borderId="0" xfId="0" applyFill="1" applyAlignment="1">
      <alignment vertical="center"/>
    </xf>
    <xf numFmtId="0" fontId="0" fillId="3" borderId="5" xfId="0" applyFill="1" applyBorder="1"/>
    <xf numFmtId="0" fontId="0" fillId="3" borderId="121" xfId="0" applyFill="1" applyBorder="1"/>
    <xf numFmtId="0" fontId="0" fillId="3" borderId="121" xfId="0" applyFill="1" applyBorder="1" applyAlignment="1">
      <alignment vertical="center"/>
    </xf>
    <xf numFmtId="0" fontId="0" fillId="3" borderId="112" xfId="0" applyFill="1" applyBorder="1"/>
    <xf numFmtId="0" fontId="3" fillId="50" borderId="58" xfId="0" applyFont="1" applyFill="1" applyBorder="1" applyAlignment="1">
      <alignment vertical="top"/>
    </xf>
    <xf numFmtId="0" fontId="3" fillId="50" borderId="28" xfId="0" applyFont="1" applyFill="1" applyBorder="1" applyAlignment="1">
      <alignment vertical="top"/>
    </xf>
    <xf numFmtId="0" fontId="3" fillId="50" borderId="28" xfId="0" applyFont="1" applyFill="1" applyBorder="1" applyAlignment="1">
      <alignment horizontal="left" vertical="top"/>
    </xf>
    <xf numFmtId="0" fontId="3" fillId="50" borderId="161" xfId="0" applyFont="1" applyFill="1" applyBorder="1" applyAlignment="1">
      <alignment vertical="top"/>
    </xf>
    <xf numFmtId="0" fontId="3" fillId="50" borderId="6" xfId="0" applyFont="1" applyFill="1" applyBorder="1" applyAlignment="1">
      <alignment vertical="top"/>
    </xf>
    <xf numFmtId="0" fontId="3" fillId="50" borderId="0" xfId="0" applyFont="1" applyFill="1" applyAlignment="1">
      <alignment vertical="top"/>
    </xf>
    <xf numFmtId="0" fontId="3" fillId="50" borderId="0" xfId="0" applyFont="1" applyFill="1" applyAlignment="1">
      <alignment horizontal="left" vertical="top"/>
    </xf>
    <xf numFmtId="14" fontId="3" fillId="50" borderId="0" xfId="0" applyNumberFormat="1" applyFont="1" applyFill="1" applyAlignment="1">
      <alignment horizontal="left" vertical="top"/>
    </xf>
    <xf numFmtId="0" fontId="3" fillId="50" borderId="5" xfId="0" applyFont="1" applyFill="1" applyBorder="1" applyAlignment="1">
      <alignment vertical="top"/>
    </xf>
    <xf numFmtId="49" fontId="8" fillId="50" borderId="5" xfId="0" applyNumberFormat="1" applyFont="1" applyFill="1" applyBorder="1" applyAlignment="1">
      <alignment horizontal="right" vertical="top"/>
    </xf>
    <xf numFmtId="0" fontId="8" fillId="50" borderId="4" xfId="0" applyFont="1" applyFill="1" applyBorder="1" applyAlignment="1">
      <alignment horizontal="center" vertical="top"/>
    </xf>
    <xf numFmtId="0" fontId="8" fillId="50" borderId="121" xfId="0" applyFont="1" applyFill="1" applyBorder="1" applyAlignment="1">
      <alignment horizontal="center" vertical="top"/>
    </xf>
    <xf numFmtId="0" fontId="8" fillId="50" borderId="112" xfId="0" applyFont="1" applyFill="1" applyBorder="1" applyAlignment="1">
      <alignment horizontal="left" vertical="top"/>
    </xf>
    <xf numFmtId="168" fontId="4" fillId="3" borderId="38" xfId="0" applyNumberFormat="1" applyFont="1" applyFill="1" applyBorder="1" applyProtection="1">
      <protection locked="0"/>
    </xf>
    <xf numFmtId="168" fontId="4" fillId="3" borderId="293" xfId="0" applyNumberFormat="1" applyFont="1" applyFill="1" applyBorder="1" applyProtection="1">
      <protection locked="0"/>
    </xf>
    <xf numFmtId="49" fontId="8" fillId="13" borderId="145" xfId="0" applyNumberFormat="1" applyFont="1" applyFill="1" applyBorder="1" applyAlignment="1">
      <alignment horizontal="centerContinuous" vertical="center" wrapText="1"/>
    </xf>
    <xf numFmtId="49" fontId="8" fillId="13" borderId="146" xfId="0" applyNumberFormat="1" applyFont="1" applyFill="1" applyBorder="1" applyAlignment="1">
      <alignment horizontal="centerContinuous" vertical="center" wrapText="1"/>
    </xf>
    <xf numFmtId="49" fontId="8" fillId="13" borderId="203" xfId="0" applyNumberFormat="1" applyFont="1" applyFill="1" applyBorder="1" applyAlignment="1">
      <alignment horizontal="centerContinuous" vertical="center" wrapText="1"/>
    </xf>
    <xf numFmtId="0" fontId="8" fillId="18" borderId="42" xfId="0" applyFont="1" applyFill="1" applyBorder="1" applyAlignment="1">
      <alignment horizontal="centerContinuous" vertical="center" wrapText="1"/>
    </xf>
    <xf numFmtId="0" fontId="8" fillId="18" borderId="16" xfId="0" applyFont="1" applyFill="1" applyBorder="1" applyAlignment="1">
      <alignment horizontal="centerContinuous" vertical="center" wrapText="1"/>
    </xf>
    <xf numFmtId="0" fontId="8" fillId="18" borderId="113" xfId="0" applyFont="1" applyFill="1" applyBorder="1" applyAlignment="1">
      <alignment horizontal="centerContinuous" vertical="center" wrapText="1"/>
    </xf>
    <xf numFmtId="0" fontId="8" fillId="18" borderId="231" xfId="0" applyFont="1" applyFill="1" applyBorder="1" applyAlignment="1">
      <alignment horizontal="centerContinuous" vertical="center" wrapText="1"/>
    </xf>
    <xf numFmtId="49" fontId="8" fillId="13" borderId="16" xfId="0" applyNumberFormat="1" applyFont="1" applyFill="1" applyBorder="1" applyAlignment="1">
      <alignment horizontal="centerContinuous" vertical="center" wrapText="1"/>
    </xf>
    <xf numFmtId="49" fontId="8" fillId="13" borderId="13" xfId="0" applyNumberFormat="1" applyFont="1" applyFill="1" applyBorder="1" applyAlignment="1">
      <alignment horizontal="centerContinuous" vertical="center" wrapText="1"/>
    </xf>
    <xf numFmtId="49" fontId="8" fillId="13" borderId="86" xfId="0" applyNumberFormat="1" applyFont="1" applyFill="1" applyBorder="1" applyAlignment="1">
      <alignment horizontal="centerContinuous" vertical="center" wrapText="1"/>
    </xf>
    <xf numFmtId="0" fontId="10" fillId="8" borderId="0" xfId="0" applyFont="1" applyFill="1" applyAlignment="1">
      <alignment horizontal="centerContinuous" vertical="center"/>
    </xf>
    <xf numFmtId="0" fontId="69" fillId="8" borderId="0" xfId="0" applyFont="1" applyFill="1" applyAlignment="1">
      <alignment horizontal="centerContinuous" vertical="center"/>
    </xf>
    <xf numFmtId="49" fontId="69" fillId="8" borderId="0" xfId="0" applyNumberFormat="1" applyFont="1" applyFill="1" applyAlignment="1">
      <alignment horizontal="centerContinuous" vertical="center"/>
    </xf>
    <xf numFmtId="0" fontId="84" fillId="26" borderId="0" xfId="0" applyFont="1" applyFill="1" applyAlignment="1">
      <alignment horizontal="centerContinuous"/>
    </xf>
    <xf numFmtId="0" fontId="84" fillId="26" borderId="0" xfId="0" applyFont="1" applyFill="1" applyAlignment="1">
      <alignment horizontal="centerContinuous" wrapText="1"/>
    </xf>
    <xf numFmtId="0" fontId="85" fillId="26" borderId="0" xfId="0" applyFont="1" applyFill="1" applyAlignment="1">
      <alignment horizontal="right" indent="3"/>
    </xf>
    <xf numFmtId="49" fontId="39" fillId="26" borderId="0" xfId="0" quotePrefix="1" applyNumberFormat="1" applyFont="1" applyFill="1"/>
    <xf numFmtId="0" fontId="86" fillId="0" borderId="0" xfId="0" applyFont="1"/>
    <xf numFmtId="0" fontId="8" fillId="14" borderId="57" xfId="0" applyFont="1" applyFill="1" applyBorder="1" applyAlignment="1">
      <alignment horizontal="center" vertical="center" wrapText="1"/>
    </xf>
    <xf numFmtId="0" fontId="8" fillId="14" borderId="79" xfId="0" applyFont="1" applyFill="1" applyBorder="1" applyAlignment="1">
      <alignment horizontal="right" vertical="center" wrapText="1" indent="1"/>
    </xf>
    <xf numFmtId="0" fontId="8" fillId="14" borderId="23" xfId="0" applyFont="1" applyFill="1" applyBorder="1" applyAlignment="1">
      <alignment horizontal="right" vertical="center" wrapText="1" indent="1"/>
    </xf>
    <xf numFmtId="0" fontId="8" fillId="14" borderId="24" xfId="0" applyFont="1" applyFill="1" applyBorder="1" applyAlignment="1">
      <alignment horizontal="right" vertical="center" wrapText="1" indent="1"/>
    </xf>
    <xf numFmtId="164" fontId="0" fillId="2" borderId="14" xfId="0" applyNumberFormat="1" applyFill="1" applyBorder="1" applyAlignment="1" applyProtection="1">
      <alignment horizontal="right"/>
      <protection locked="0"/>
    </xf>
    <xf numFmtId="164" fontId="0" fillId="2" borderId="96" xfId="0" applyNumberFormat="1" applyFill="1" applyBorder="1" applyAlignment="1" applyProtection="1">
      <alignment horizontal="right"/>
      <protection locked="0"/>
    </xf>
    <xf numFmtId="164" fontId="0" fillId="2" borderId="97" xfId="0" applyNumberFormat="1" applyFill="1" applyBorder="1" applyAlignment="1" applyProtection="1">
      <alignment horizontal="right"/>
      <protection locked="0"/>
    </xf>
    <xf numFmtId="174" fontId="4" fillId="7" borderId="298" xfId="0" applyNumberFormat="1" applyFont="1" applyFill="1" applyBorder="1" applyAlignment="1">
      <alignment horizontal="right" vertical="top" indent="1"/>
    </xf>
    <xf numFmtId="0" fontId="5" fillId="7" borderId="8" xfId="0" applyFont="1" applyFill="1" applyBorder="1" applyAlignment="1">
      <alignment horizontal="left" vertical="center"/>
    </xf>
    <xf numFmtId="0" fontId="5" fillId="7" borderId="7" xfId="0" applyFont="1" applyFill="1" applyBorder="1" applyAlignment="1">
      <alignment vertical="center"/>
    </xf>
    <xf numFmtId="0" fontId="5" fillId="7" borderId="7" xfId="0" applyFont="1" applyFill="1" applyBorder="1" applyAlignment="1">
      <alignment horizontal="left" vertical="center"/>
    </xf>
    <xf numFmtId="0" fontId="2" fillId="51" borderId="112" xfId="0" applyFont="1" applyFill="1" applyBorder="1" applyAlignment="1">
      <alignment horizontal="right" vertical="top" wrapText="1"/>
    </xf>
    <xf numFmtId="0" fontId="1" fillId="51" borderId="112" xfId="0" applyFont="1" applyFill="1" applyBorder="1" applyAlignment="1">
      <alignment horizontal="right" vertical="top" wrapText="1"/>
    </xf>
    <xf numFmtId="0" fontId="1" fillId="51" borderId="299" xfId="0" applyFont="1" applyFill="1" applyBorder="1" applyAlignment="1">
      <alignment horizontal="right" vertical="top" wrapText="1"/>
    </xf>
    <xf numFmtId="0" fontId="2" fillId="43" borderId="121" xfId="0" applyFont="1" applyFill="1" applyBorder="1" applyAlignment="1">
      <alignment horizontal="right" vertical="top" wrapText="1"/>
    </xf>
    <xf numFmtId="0" fontId="2" fillId="52" borderId="121" xfId="0" applyFont="1" applyFill="1" applyBorder="1" applyAlignment="1">
      <alignment horizontal="right" vertical="top" wrapText="1"/>
    </xf>
    <xf numFmtId="0" fontId="1" fillId="53" borderId="121" xfId="0" applyFont="1" applyFill="1" applyBorder="1" applyAlignment="1">
      <alignment horizontal="right" vertical="top" wrapText="1"/>
    </xf>
    <xf numFmtId="0" fontId="1" fillId="51" borderId="121" xfId="0" applyFont="1" applyFill="1" applyBorder="1" applyAlignment="1">
      <alignment horizontal="right" vertical="top" wrapText="1"/>
    </xf>
    <xf numFmtId="0" fontId="1" fillId="54" borderId="121" xfId="0" applyFont="1" applyFill="1" applyBorder="1" applyAlignment="1">
      <alignment horizontal="right" vertical="top" wrapText="1"/>
    </xf>
    <xf numFmtId="0" fontId="1" fillId="54" borderId="112" xfId="0" applyFont="1" applyFill="1" applyBorder="1" applyAlignment="1">
      <alignment horizontal="right" vertical="top" wrapText="1"/>
    </xf>
    <xf numFmtId="0" fontId="1" fillId="49" borderId="15" xfId="0" applyFont="1" applyFill="1" applyBorder="1" applyAlignment="1">
      <alignment horizontal="right" vertical="top" wrapText="1"/>
    </xf>
    <xf numFmtId="0" fontId="3" fillId="48" borderId="112" xfId="0" applyFont="1" applyFill="1" applyBorder="1" applyAlignment="1">
      <alignment vertical="top"/>
    </xf>
    <xf numFmtId="0" fontId="53" fillId="25" borderId="300" xfId="0" applyFont="1" applyFill="1" applyBorder="1" applyAlignment="1">
      <alignment horizontal="center"/>
    </xf>
    <xf numFmtId="0" fontId="3" fillId="49" borderId="294" xfId="0" applyFont="1" applyFill="1" applyBorder="1" applyAlignment="1">
      <alignment vertical="top"/>
    </xf>
    <xf numFmtId="0" fontId="53" fillId="25" borderId="271" xfId="0" applyFont="1" applyFill="1" applyBorder="1" applyAlignment="1">
      <alignment horizontal="center"/>
    </xf>
    <xf numFmtId="0" fontId="3" fillId="18" borderId="143" xfId="0" applyFont="1" applyFill="1" applyBorder="1" applyAlignment="1">
      <alignment vertical="top"/>
    </xf>
    <xf numFmtId="0" fontId="4" fillId="55" borderId="32" xfId="0" applyFont="1" applyFill="1" applyBorder="1" applyAlignment="1">
      <alignment vertical="top"/>
    </xf>
    <xf numFmtId="0" fontId="53" fillId="25" borderId="143" xfId="0" applyFont="1" applyFill="1" applyBorder="1" applyAlignment="1">
      <alignment horizontal="center"/>
    </xf>
    <xf numFmtId="0" fontId="53" fillId="25" borderId="32" xfId="0" applyFont="1" applyFill="1" applyBorder="1" applyAlignment="1">
      <alignment horizontal="center"/>
    </xf>
    <xf numFmtId="0" fontId="53" fillId="25" borderId="33" xfId="0" applyFont="1" applyFill="1" applyBorder="1" applyAlignment="1">
      <alignment horizontal="center"/>
    </xf>
    <xf numFmtId="0" fontId="53" fillId="25" borderId="115" xfId="0" applyFont="1" applyFill="1" applyBorder="1" applyAlignment="1">
      <alignment horizontal="center"/>
    </xf>
    <xf numFmtId="0" fontId="8" fillId="14" borderId="3" xfId="0" applyFont="1" applyFill="1" applyBorder="1" applyAlignment="1">
      <alignment horizontal="centerContinuous" vertical="center" wrapText="1"/>
    </xf>
    <xf numFmtId="0" fontId="8" fillId="14" borderId="57" xfId="0" applyFont="1" applyFill="1" applyBorder="1" applyAlignment="1">
      <alignment horizontal="centerContinuous" vertical="center" wrapText="1"/>
    </xf>
    <xf numFmtId="0" fontId="8" fillId="13" borderId="57" xfId="0" applyFont="1" applyFill="1" applyBorder="1" applyAlignment="1">
      <alignment horizontal="centerContinuous" vertical="center" wrapText="1"/>
    </xf>
    <xf numFmtId="0" fontId="8" fillId="13" borderId="78" xfId="0" applyFont="1" applyFill="1" applyBorder="1" applyAlignment="1">
      <alignment horizontal="centerContinuous" vertical="center" wrapText="1"/>
    </xf>
    <xf numFmtId="164" fontId="0" fillId="10" borderId="301" xfId="0" applyNumberFormat="1" applyFill="1" applyBorder="1" applyAlignment="1" applyProtection="1">
      <alignment horizontal="centerContinuous"/>
      <protection locked="0"/>
    </xf>
    <xf numFmtId="164" fontId="0" fillId="10" borderId="302" xfId="0" applyNumberFormat="1" applyFill="1" applyBorder="1" applyAlignment="1" applyProtection="1">
      <alignment horizontal="centerContinuous"/>
      <protection locked="0"/>
    </xf>
    <xf numFmtId="164" fontId="0" fillId="10" borderId="74" xfId="0" applyNumberFormat="1" applyFill="1" applyBorder="1" applyAlignment="1" applyProtection="1">
      <alignment horizontal="centerContinuous"/>
      <protection locked="0"/>
    </xf>
    <xf numFmtId="164" fontId="0" fillId="10" borderId="17" xfId="0" applyNumberFormat="1" applyFill="1" applyBorder="1" applyAlignment="1" applyProtection="1">
      <alignment horizontal="centerContinuous"/>
      <protection locked="0"/>
    </xf>
    <xf numFmtId="164" fontId="0" fillId="10" borderId="10" xfId="0" applyNumberFormat="1" applyFill="1" applyBorder="1" applyAlignment="1" applyProtection="1">
      <alignment horizontal="centerContinuous"/>
      <protection locked="0"/>
    </xf>
    <xf numFmtId="164" fontId="0" fillId="10" borderId="87" xfId="0" applyNumberFormat="1" applyFill="1" applyBorder="1" applyAlignment="1" applyProtection="1">
      <alignment horizontal="centerContinuous"/>
      <protection locked="0"/>
    </xf>
    <xf numFmtId="164" fontId="0" fillId="10" borderId="18" xfId="0" applyNumberFormat="1" applyFill="1" applyBorder="1" applyAlignment="1" applyProtection="1">
      <alignment horizontal="centerContinuous"/>
      <protection locked="0"/>
    </xf>
    <xf numFmtId="164" fontId="0" fillId="10" borderId="11" xfId="0" applyNumberFormat="1" applyFill="1" applyBorder="1" applyAlignment="1" applyProtection="1">
      <alignment horizontal="centerContinuous"/>
      <protection locked="0"/>
    </xf>
    <xf numFmtId="164" fontId="0" fillId="10" borderId="88" xfId="0" applyNumberFormat="1" applyFill="1" applyBorder="1" applyAlignment="1" applyProtection="1">
      <alignment horizontal="centerContinuous"/>
      <protection locked="0"/>
    </xf>
    <xf numFmtId="164" fontId="0" fillId="10" borderId="84" xfId="0" applyNumberFormat="1" applyFill="1" applyBorder="1" applyAlignment="1" applyProtection="1">
      <alignment horizontal="centerContinuous"/>
      <protection locked="0"/>
    </xf>
    <xf numFmtId="0" fontId="0" fillId="0" borderId="0" xfId="0" applyAlignment="1">
      <alignment horizontal="centerContinuous"/>
    </xf>
    <xf numFmtId="0" fontId="1" fillId="9" borderId="19" xfId="0" applyFont="1" applyFill="1" applyBorder="1" applyAlignment="1">
      <alignment horizontal="centerContinuous" vertical="center"/>
    </xf>
    <xf numFmtId="0" fontId="1" fillId="9" borderId="20" xfId="0" applyFont="1" applyFill="1" applyBorder="1" applyAlignment="1">
      <alignment horizontal="centerContinuous" vertical="center"/>
    </xf>
    <xf numFmtId="0" fontId="7" fillId="8" borderId="12" xfId="0" applyFont="1" applyFill="1" applyBorder="1" applyAlignment="1">
      <alignment horizontal="centerContinuous" vertical="center"/>
    </xf>
    <xf numFmtId="165" fontId="1" fillId="26" borderId="19" xfId="0" applyNumberFormat="1" applyFont="1" applyFill="1" applyBorder="1" applyAlignment="1" applyProtection="1">
      <alignment horizontal="right" vertical="center"/>
      <protection locked="0"/>
    </xf>
    <xf numFmtId="0" fontId="4" fillId="0" borderId="193" xfId="0" applyFont="1" applyBorder="1" applyAlignment="1">
      <alignment horizontal="left" vertical="center" wrapText="1" indent="1"/>
    </xf>
    <xf numFmtId="165" fontId="1" fillId="26" borderId="20" xfId="0" applyNumberFormat="1" applyFont="1" applyFill="1" applyBorder="1" applyAlignment="1" applyProtection="1">
      <alignment horizontal="right" vertical="center"/>
      <protection locked="0"/>
    </xf>
    <xf numFmtId="165" fontId="1" fillId="26" borderId="12" xfId="0" applyNumberFormat="1" applyFont="1" applyFill="1" applyBorder="1" applyAlignment="1" applyProtection="1">
      <alignment horizontal="right" vertical="center"/>
      <protection locked="0"/>
    </xf>
    <xf numFmtId="164" fontId="0" fillId="2" borderId="219" xfId="0" applyNumberFormat="1" applyFill="1" applyBorder="1" applyAlignment="1">
      <alignment horizontal="right"/>
    </xf>
    <xf numFmtId="0" fontId="4" fillId="0" borderId="221" xfId="0" applyFont="1" applyBorder="1" applyAlignment="1">
      <alignment horizontal="left" vertical="center" wrapText="1" indent="1"/>
    </xf>
    <xf numFmtId="164" fontId="0" fillId="10" borderId="81" xfId="0" applyNumberFormat="1" applyFill="1" applyBorder="1" applyAlignment="1" applyProtection="1">
      <alignment horizontal="centerContinuous"/>
      <protection locked="0"/>
    </xf>
    <xf numFmtId="164" fontId="0" fillId="10" borderId="82" xfId="0" applyNumberFormat="1" applyFill="1" applyBorder="1" applyAlignment="1" applyProtection="1">
      <alignment horizontal="centerContinuous"/>
      <protection locked="0"/>
    </xf>
    <xf numFmtId="164" fontId="0" fillId="10" borderId="225" xfId="0" applyNumberFormat="1" applyFill="1" applyBorder="1" applyAlignment="1" applyProtection="1">
      <alignment horizontal="centerContinuous"/>
      <protection locked="0"/>
    </xf>
    <xf numFmtId="164" fontId="0" fillId="10" borderId="83" xfId="0" applyNumberFormat="1" applyFill="1" applyBorder="1" applyAlignment="1" applyProtection="1">
      <alignment horizontal="centerContinuous"/>
      <protection locked="0"/>
    </xf>
    <xf numFmtId="0" fontId="87" fillId="0" borderId="0" xfId="0" applyFont="1" applyAlignment="1" applyProtection="1">
      <alignment vertical="center"/>
      <protection locked="0"/>
    </xf>
    <xf numFmtId="0" fontId="87" fillId="0" borderId="0" xfId="0" applyFont="1" applyAlignment="1" applyProtection="1">
      <alignment horizontal="center" vertical="center"/>
      <protection locked="0"/>
    </xf>
    <xf numFmtId="0" fontId="0" fillId="0" borderId="0" xfId="0" applyProtection="1">
      <protection locked="0"/>
    </xf>
    <xf numFmtId="0" fontId="74" fillId="0" borderId="4" xfId="0" applyFont="1" applyBorder="1" applyAlignment="1">
      <alignment vertical="top" wrapText="1"/>
    </xf>
    <xf numFmtId="0" fontId="4" fillId="0" borderId="0" xfId="0" quotePrefix="1" applyFont="1" applyAlignment="1">
      <alignment vertical="center"/>
    </xf>
    <xf numFmtId="2" fontId="88" fillId="56" borderId="303" xfId="0" applyNumberFormat="1" applyFont="1" applyFill="1" applyBorder="1" applyAlignment="1">
      <alignment horizontal="center" vertical="center" wrapText="1"/>
    </xf>
    <xf numFmtId="0" fontId="89" fillId="7" borderId="304" xfId="0" applyFont="1" applyFill="1" applyBorder="1" applyAlignment="1">
      <alignment vertical="top"/>
    </xf>
    <xf numFmtId="0" fontId="89" fillId="0" borderId="304" xfId="0" applyFont="1" applyBorder="1" applyAlignment="1">
      <alignment vertical="top"/>
    </xf>
    <xf numFmtId="0" fontId="3" fillId="3" borderId="304" xfId="0" applyFont="1" applyFill="1" applyBorder="1" applyAlignment="1">
      <alignment vertical="top"/>
    </xf>
    <xf numFmtId="0" fontId="8" fillId="26" borderId="0" xfId="0" applyFont="1" applyFill="1" applyAlignment="1">
      <alignment vertical="center" wrapText="1"/>
    </xf>
    <xf numFmtId="0" fontId="8" fillId="26" borderId="171" xfId="0" applyFont="1" applyFill="1" applyBorder="1" applyAlignment="1">
      <alignment vertical="center" wrapText="1"/>
    </xf>
    <xf numFmtId="49" fontId="8" fillId="26" borderId="171" xfId="0" applyNumberFormat="1" applyFont="1" applyFill="1" applyBorder="1" applyAlignment="1">
      <alignment vertical="center" wrapText="1"/>
    </xf>
    <xf numFmtId="0" fontId="1" fillId="40" borderId="5" xfId="0" applyFont="1" applyFill="1" applyBorder="1" applyAlignment="1">
      <alignment horizontal="left" vertical="center" wrapText="1"/>
    </xf>
    <xf numFmtId="0" fontId="1" fillId="40" borderId="171" xfId="0" applyFont="1" applyFill="1" applyBorder="1" applyAlignment="1">
      <alignment horizontal="center" vertical="center" wrapText="1"/>
    </xf>
    <xf numFmtId="0" fontId="59" fillId="57" borderId="171" xfId="0" applyFont="1" applyFill="1" applyBorder="1" applyAlignment="1">
      <alignment horizontal="center" vertical="center" wrapText="1"/>
    </xf>
    <xf numFmtId="1" fontId="59" fillId="57" borderId="171" xfId="0" applyNumberFormat="1" applyFont="1" applyFill="1" applyBorder="1" applyAlignment="1">
      <alignment horizontal="center" vertical="center" wrapText="1"/>
    </xf>
    <xf numFmtId="0" fontId="1" fillId="51" borderId="5" xfId="0" applyFont="1" applyFill="1" applyBorder="1" applyAlignment="1">
      <alignment horizontal="center" vertical="center" wrapText="1"/>
    </xf>
    <xf numFmtId="0" fontId="1" fillId="51" borderId="44" xfId="0" applyFont="1" applyFill="1" applyBorder="1" applyAlignment="1">
      <alignment horizontal="center" vertical="center" wrapText="1"/>
    </xf>
    <xf numFmtId="0" fontId="1" fillId="14" borderId="171" xfId="0" applyFont="1" applyFill="1" applyBorder="1" applyAlignment="1">
      <alignment vertical="center" wrapText="1"/>
    </xf>
    <xf numFmtId="0" fontId="1" fillId="14" borderId="44" xfId="0" applyFont="1" applyFill="1" applyBorder="1" applyAlignment="1">
      <alignment vertical="center" wrapText="1"/>
    </xf>
    <xf numFmtId="0" fontId="1" fillId="13" borderId="44" xfId="0" applyFont="1" applyFill="1" applyBorder="1" applyAlignment="1">
      <alignment vertical="center" wrapText="1"/>
    </xf>
    <xf numFmtId="0" fontId="1" fillId="44" borderId="0" xfId="0" applyFont="1" applyFill="1" applyAlignment="1">
      <alignment vertical="center" wrapText="1"/>
    </xf>
    <xf numFmtId="0" fontId="1" fillId="44" borderId="5" xfId="0" applyFont="1" applyFill="1" applyBorder="1" applyAlignment="1">
      <alignment vertical="center" wrapText="1"/>
    </xf>
    <xf numFmtId="0" fontId="1" fillId="44" borderId="171" xfId="0" applyFont="1" applyFill="1" applyBorder="1" applyAlignment="1">
      <alignment vertical="center" wrapText="1"/>
    </xf>
    <xf numFmtId="0" fontId="4" fillId="7" borderId="8" xfId="0" applyFont="1" applyFill="1" applyBorder="1" applyAlignment="1">
      <alignment horizontal="center"/>
    </xf>
    <xf numFmtId="0" fontId="4" fillId="0" borderId="8" xfId="0" applyFont="1" applyBorder="1" applyAlignment="1">
      <alignment horizontal="center"/>
    </xf>
    <xf numFmtId="172" fontId="4" fillId="7" borderId="0" xfId="0" applyNumberFormat="1" applyFont="1" applyFill="1" applyAlignment="1">
      <alignment horizontal="right" vertical="top" indent="1"/>
    </xf>
    <xf numFmtId="172" fontId="4" fillId="0" borderId="0" xfId="0" applyNumberFormat="1" applyFont="1" applyAlignment="1">
      <alignment horizontal="right" vertical="top" indent="1"/>
    </xf>
    <xf numFmtId="172" fontId="4" fillId="3" borderId="0" xfId="0" applyNumberFormat="1" applyFont="1" applyFill="1" applyAlignment="1">
      <alignment horizontal="right" vertical="top" indent="1"/>
    </xf>
    <xf numFmtId="0" fontId="89" fillId="7" borderId="305" xfId="0" applyFont="1" applyFill="1" applyBorder="1" applyAlignment="1">
      <alignment vertical="top"/>
    </xf>
    <xf numFmtId="49" fontId="8" fillId="26" borderId="0" xfId="0" applyNumberFormat="1" applyFont="1" applyFill="1" applyAlignment="1">
      <alignment vertical="center" wrapText="1"/>
    </xf>
    <xf numFmtId="0" fontId="1" fillId="12" borderId="5" xfId="0" applyFont="1" applyFill="1" applyBorder="1" applyAlignment="1">
      <alignment vertical="center" wrapText="1"/>
    </xf>
    <xf numFmtId="0" fontId="1" fillId="58" borderId="5" xfId="0" applyFont="1" applyFill="1" applyBorder="1" applyAlignment="1">
      <alignment vertical="center" wrapText="1"/>
    </xf>
    <xf numFmtId="172" fontId="4" fillId="0" borderId="6" xfId="0" applyNumberFormat="1" applyFont="1" applyBorder="1" applyAlignment="1">
      <alignment horizontal="right" vertical="top" indent="1"/>
    </xf>
    <xf numFmtId="172" fontId="4" fillId="59" borderId="0" xfId="0" applyNumberFormat="1" applyFont="1" applyFill="1" applyAlignment="1">
      <alignment horizontal="right" vertical="top" indent="1"/>
    </xf>
    <xf numFmtId="0" fontId="90" fillId="60" borderId="0" xfId="0" applyFont="1" applyFill="1" applyAlignment="1">
      <alignment horizontal="centerContinuous" vertical="center"/>
    </xf>
    <xf numFmtId="164" fontId="0" fillId="28" borderId="97" xfId="0" applyNumberFormat="1" applyFill="1" applyBorder="1" applyAlignment="1" applyProtection="1">
      <alignment horizontal="right"/>
      <protection locked="0"/>
    </xf>
    <xf numFmtId="164" fontId="0" fillId="28" borderId="14" xfId="0" applyNumberFormat="1" applyFill="1" applyBorder="1" applyAlignment="1" applyProtection="1">
      <alignment horizontal="right"/>
      <protection locked="0"/>
    </xf>
    <xf numFmtId="164" fontId="0" fillId="10" borderId="306" xfId="0" applyNumberFormat="1" applyFill="1" applyBorder="1" applyAlignment="1" applyProtection="1">
      <alignment horizontal="right"/>
      <protection locked="0"/>
    </xf>
    <xf numFmtId="164" fontId="0" fillId="10" borderId="307" xfId="0" applyNumberFormat="1" applyFill="1" applyBorder="1" applyAlignment="1" applyProtection="1">
      <alignment horizontal="right"/>
      <protection locked="0"/>
    </xf>
    <xf numFmtId="0" fontId="4" fillId="6" borderId="144" xfId="0" applyFont="1" applyFill="1" applyBorder="1" applyAlignment="1">
      <alignment horizontal="left" vertical="center" wrapText="1" indent="2"/>
    </xf>
    <xf numFmtId="0" fontId="4" fillId="0" borderId="0" xfId="0" applyFont="1" applyAlignment="1">
      <alignment horizontal="left" vertical="center" wrapText="1" indent="1"/>
    </xf>
    <xf numFmtId="164" fontId="0" fillId="10" borderId="308" xfId="0" applyNumberFormat="1" applyFill="1" applyBorder="1" applyAlignment="1" applyProtection="1">
      <alignment horizontal="centerContinuous"/>
      <protection locked="0"/>
    </xf>
    <xf numFmtId="164" fontId="0" fillId="10" borderId="90" xfId="0" applyNumberFormat="1" applyFill="1" applyBorder="1" applyAlignment="1" applyProtection="1">
      <alignment horizontal="centerContinuous"/>
      <protection locked="0"/>
    </xf>
    <xf numFmtId="49" fontId="4" fillId="17" borderId="42" xfId="0" applyNumberFormat="1" applyFont="1" applyFill="1" applyBorder="1" applyAlignment="1" applyProtection="1">
      <alignment horizontal="left" vertical="center"/>
      <protection locked="0"/>
    </xf>
    <xf numFmtId="0" fontId="0" fillId="14" borderId="74" xfId="0" applyFill="1" applyBorder="1" applyAlignment="1">
      <alignment horizontal="left"/>
    </xf>
    <xf numFmtId="14" fontId="4" fillId="17" borderId="28" xfId="0" applyNumberFormat="1" applyFont="1" applyFill="1" applyBorder="1" applyAlignment="1" applyProtection="1">
      <alignment horizontal="left" vertical="top"/>
      <protection locked="0"/>
    </xf>
    <xf numFmtId="0" fontId="4" fillId="4" borderId="38" xfId="0" applyFont="1" applyFill="1" applyBorder="1" applyAlignment="1">
      <alignment horizontal="center" vertical="center"/>
    </xf>
    <xf numFmtId="0" fontId="1" fillId="44" borderId="38" xfId="0" applyFont="1" applyFill="1" applyBorder="1" applyAlignment="1">
      <alignment horizontal="center"/>
    </xf>
    <xf numFmtId="0" fontId="11" fillId="44" borderId="38" xfId="0" applyFont="1" applyFill="1" applyBorder="1" applyAlignment="1">
      <alignment horizontal="center" vertical="top"/>
    </xf>
    <xf numFmtId="0" fontId="11" fillId="44" borderId="10" xfId="0" applyFont="1" applyFill="1" applyBorder="1" applyAlignment="1">
      <alignment horizontal="center" vertical="top"/>
    </xf>
    <xf numFmtId="0" fontId="4" fillId="44" borderId="29" xfId="0" applyFont="1" applyFill="1" applyBorder="1" applyAlignment="1">
      <alignment horizontal="center" vertical="top"/>
    </xf>
    <xf numFmtId="0" fontId="4" fillId="44" borderId="45" xfId="0" applyFont="1" applyFill="1" applyBorder="1" applyAlignment="1">
      <alignment horizontal="center" vertical="top"/>
    </xf>
    <xf numFmtId="0" fontId="1" fillId="4" borderId="38" xfId="0" applyFont="1" applyFill="1" applyBorder="1" applyAlignment="1">
      <alignment horizontal="center" wrapText="1"/>
    </xf>
    <xf numFmtId="0" fontId="1" fillId="4" borderId="45" xfId="0" applyFont="1" applyFill="1" applyBorder="1" applyAlignment="1">
      <alignment horizontal="center" wrapText="1"/>
    </xf>
    <xf numFmtId="14" fontId="4" fillId="4" borderId="43" xfId="0" applyNumberFormat="1" applyFont="1" applyFill="1" applyBorder="1" applyAlignment="1">
      <alignment horizontal="center" vertical="top" wrapText="1"/>
    </xf>
    <xf numFmtId="0" fontId="11" fillId="4" borderId="44" xfId="0" applyFont="1" applyFill="1" applyBorder="1" applyAlignment="1">
      <alignment horizontal="center" vertical="center"/>
    </xf>
    <xf numFmtId="0" fontId="8" fillId="4" borderId="52" xfId="0" applyFont="1" applyFill="1" applyBorder="1" applyAlignment="1">
      <alignment horizontal="center" vertical="top"/>
    </xf>
    <xf numFmtId="0" fontId="12" fillId="4" borderId="43" xfId="0" applyFont="1" applyFill="1" applyBorder="1" applyAlignment="1">
      <alignment horizontal="left"/>
    </xf>
    <xf numFmtId="0" fontId="8" fillId="4" borderId="43" xfId="0" applyFont="1" applyFill="1" applyBorder="1" applyAlignment="1">
      <alignment horizontal="center" vertical="top"/>
    </xf>
    <xf numFmtId="0" fontId="4" fillId="4" borderId="45" xfId="0" applyFont="1" applyFill="1" applyBorder="1" applyAlignment="1">
      <alignment horizontal="center" vertical="top"/>
    </xf>
    <xf numFmtId="0" fontId="11" fillId="4" borderId="44" xfId="0" applyFont="1" applyFill="1" applyBorder="1" applyAlignment="1">
      <alignment horizontal="center" vertical="top"/>
    </xf>
    <xf numFmtId="0" fontId="11" fillId="4" borderId="62" xfId="0" applyFont="1" applyFill="1" applyBorder="1" applyAlignment="1">
      <alignment horizontal="center" vertical="top"/>
    </xf>
    <xf numFmtId="0" fontId="4" fillId="4" borderId="69" xfId="0" applyFont="1" applyFill="1" applyBorder="1" applyAlignment="1">
      <alignment horizontal="center" vertical="top"/>
    </xf>
    <xf numFmtId="164" fontId="0" fillId="63" borderId="108" xfId="0" applyNumberFormat="1" applyFill="1" applyBorder="1" applyAlignment="1" applyProtection="1">
      <alignment horizontal="right"/>
      <protection locked="0"/>
    </xf>
    <xf numFmtId="164" fontId="0" fillId="63" borderId="157" xfId="0" applyNumberFormat="1" applyFill="1" applyBorder="1" applyAlignment="1" applyProtection="1">
      <alignment horizontal="right"/>
      <protection locked="0"/>
    </xf>
    <xf numFmtId="164" fontId="0" fillId="63" borderId="158" xfId="0" applyNumberFormat="1" applyFill="1" applyBorder="1" applyAlignment="1" applyProtection="1">
      <alignment horizontal="right"/>
      <protection locked="0"/>
    </xf>
    <xf numFmtId="164" fontId="0" fillId="63" borderId="107" xfId="0" applyNumberFormat="1" applyFill="1" applyBorder="1" applyAlignment="1" applyProtection="1">
      <alignment horizontal="right"/>
      <protection locked="0"/>
    </xf>
    <xf numFmtId="164" fontId="0" fillId="63" borderId="109" xfId="0" applyNumberFormat="1" applyFill="1" applyBorder="1" applyAlignment="1" applyProtection="1">
      <alignment horizontal="right"/>
      <protection locked="0"/>
    </xf>
    <xf numFmtId="164" fontId="0" fillId="63" borderId="111" xfId="0" applyNumberFormat="1" applyFill="1" applyBorder="1" applyAlignment="1" applyProtection="1">
      <alignment horizontal="right"/>
      <protection locked="0"/>
    </xf>
    <xf numFmtId="164" fontId="0" fillId="63" borderId="322" xfId="0" applyNumberFormat="1" applyFill="1" applyBorder="1" applyAlignment="1" applyProtection="1">
      <alignment horizontal="right"/>
      <protection locked="0"/>
    </xf>
    <xf numFmtId="164" fontId="0" fillId="63" borderId="125" xfId="0" applyNumberFormat="1" applyFill="1" applyBorder="1" applyAlignment="1" applyProtection="1">
      <alignment horizontal="right"/>
      <protection locked="0"/>
    </xf>
    <xf numFmtId="164" fontId="0" fillId="63" borderId="99" xfId="0" applyNumberFormat="1" applyFill="1" applyBorder="1" applyAlignment="1" applyProtection="1">
      <alignment horizontal="right"/>
      <protection locked="0"/>
    </xf>
    <xf numFmtId="164" fontId="0" fillId="63" borderId="100" xfId="0" applyNumberFormat="1" applyFill="1" applyBorder="1" applyAlignment="1" applyProtection="1">
      <alignment horizontal="right"/>
      <protection locked="0"/>
    </xf>
    <xf numFmtId="164" fontId="0" fillId="63" borderId="185" xfId="0" applyNumberFormat="1" applyFill="1" applyBorder="1" applyAlignment="1" applyProtection="1">
      <alignment horizontal="right"/>
      <protection locked="0"/>
    </xf>
    <xf numFmtId="164" fontId="0" fillId="63" borderId="38" xfId="0" applyNumberFormat="1" applyFill="1" applyBorder="1" applyAlignment="1" applyProtection="1">
      <alignment horizontal="right"/>
      <protection locked="0"/>
    </xf>
    <xf numFmtId="164" fontId="0" fillId="63" borderId="73" xfId="0" applyNumberFormat="1" applyFill="1" applyBorder="1" applyAlignment="1" applyProtection="1">
      <alignment horizontal="right"/>
      <protection locked="0"/>
    </xf>
    <xf numFmtId="0" fontId="47" fillId="8" borderId="258" xfId="0" applyFont="1" applyFill="1" applyBorder="1" applyAlignment="1">
      <alignment horizontal="right" vertical="center" indent="2"/>
    </xf>
    <xf numFmtId="0" fontId="47" fillId="8" borderId="309" xfId="0" applyFont="1" applyFill="1" applyBorder="1" applyAlignment="1">
      <alignment horizontal="right" vertical="center" indent="2"/>
    </xf>
    <xf numFmtId="0" fontId="47" fillId="8" borderId="310" xfId="0" applyFont="1" applyFill="1" applyBorder="1" applyAlignment="1">
      <alignment horizontal="right" vertical="center" indent="2"/>
    </xf>
    <xf numFmtId="0" fontId="70" fillId="6" borderId="299" xfId="0" quotePrefix="1" applyFont="1" applyFill="1" applyBorder="1" applyAlignment="1">
      <alignment horizontal="left" vertical="top" wrapText="1"/>
    </xf>
    <xf numFmtId="0" fontId="32" fillId="6" borderId="121" xfId="0" quotePrefix="1" applyFont="1" applyFill="1" applyBorder="1" applyAlignment="1">
      <alignment horizontal="left" vertical="top" wrapText="1"/>
    </xf>
    <xf numFmtId="0" fontId="32" fillId="6" borderId="4" xfId="0" quotePrefix="1" applyFont="1" applyFill="1" applyBorder="1" applyAlignment="1">
      <alignment horizontal="left" vertical="top" wrapText="1"/>
    </xf>
    <xf numFmtId="0" fontId="87" fillId="0" borderId="112" xfId="0" applyFont="1" applyBorder="1" applyAlignment="1">
      <alignment horizontal="center" vertical="center"/>
    </xf>
    <xf numFmtId="0" fontId="87" fillId="0" borderId="121" xfId="0" applyFont="1" applyBorder="1" applyAlignment="1">
      <alignment horizontal="center" vertical="center"/>
    </xf>
    <xf numFmtId="0" fontId="87" fillId="0" borderId="4" xfId="0" applyFont="1" applyBorder="1" applyAlignment="1">
      <alignment horizontal="center" vertical="center"/>
    </xf>
    <xf numFmtId="0" fontId="91" fillId="61" borderId="5" xfId="0" applyFont="1" applyFill="1" applyBorder="1" applyAlignment="1">
      <alignment horizontal="center" vertical="center"/>
    </xf>
    <xf numFmtId="0" fontId="91" fillId="61" borderId="0" xfId="0" applyFont="1" applyFill="1" applyAlignment="1">
      <alignment horizontal="center" vertical="center"/>
    </xf>
    <xf numFmtId="0" fontId="91" fillId="61" borderId="6" xfId="0" applyFont="1" applyFill="1" applyBorder="1" applyAlignment="1">
      <alignment horizontal="center" vertical="center"/>
    </xf>
    <xf numFmtId="0" fontId="70" fillId="0" borderId="161" xfId="0" applyFont="1" applyBorder="1" applyAlignment="1">
      <alignment horizontal="center" vertical="center"/>
    </xf>
    <xf numFmtId="0" fontId="70" fillId="0" borderId="28" xfId="0" applyFont="1" applyBorder="1" applyAlignment="1">
      <alignment horizontal="center" vertical="center"/>
    </xf>
    <xf numFmtId="0" fontId="70" fillId="0" borderId="58" xfId="0" applyFont="1" applyBorder="1" applyAlignment="1">
      <alignment horizontal="center" vertical="center"/>
    </xf>
    <xf numFmtId="0" fontId="92" fillId="8" borderId="12" xfId="0" applyFont="1" applyFill="1" applyBorder="1" applyAlignment="1" applyProtection="1">
      <alignment horizontal="center" vertical="center"/>
      <protection locked="0"/>
    </xf>
    <xf numFmtId="0" fontId="92" fillId="8" borderId="19" xfId="0" applyFont="1" applyFill="1" applyBorder="1" applyAlignment="1" applyProtection="1">
      <alignment horizontal="center" vertical="center"/>
      <protection locked="0"/>
    </xf>
    <xf numFmtId="0" fontId="92" fillId="8" borderId="20" xfId="0" applyFont="1" applyFill="1" applyBorder="1" applyAlignment="1" applyProtection="1">
      <alignment horizontal="center" vertical="center"/>
      <protection locked="0"/>
    </xf>
    <xf numFmtId="0" fontId="74" fillId="0" borderId="22" xfId="0" applyFont="1" applyBorder="1" applyAlignment="1">
      <alignment horizontal="left" vertical="center" wrapText="1" indent="1"/>
    </xf>
    <xf numFmtId="0" fontId="74" fillId="0" borderId="19" xfId="0" applyFont="1" applyBorder="1" applyAlignment="1">
      <alignment horizontal="left" vertical="center" wrapText="1" indent="1"/>
    </xf>
    <xf numFmtId="0" fontId="74" fillId="0" borderId="20" xfId="0" applyFont="1" applyBorder="1" applyAlignment="1">
      <alignment horizontal="left" vertical="center" wrapText="1" indent="1"/>
    </xf>
    <xf numFmtId="0" fontId="93" fillId="0" borderId="299" xfId="0" applyFont="1" applyBorder="1" applyAlignment="1">
      <alignment horizontal="left" vertical="top" wrapText="1" indent="1"/>
    </xf>
    <xf numFmtId="0" fontId="93" fillId="0" borderId="121" xfId="0" applyFont="1" applyBorder="1" applyAlignment="1">
      <alignment horizontal="left" vertical="top" wrapText="1" indent="1"/>
    </xf>
    <xf numFmtId="0" fontId="29" fillId="0" borderId="175" xfId="0" quotePrefix="1" applyFont="1" applyBorder="1" applyAlignment="1">
      <alignment horizontal="left" vertical="top" wrapText="1" indent="1"/>
    </xf>
    <xf numFmtId="0" fontId="29" fillId="0" borderId="28" xfId="0" quotePrefix="1" applyFont="1" applyBorder="1" applyAlignment="1">
      <alignment horizontal="left" vertical="top" wrapText="1" indent="1"/>
    </xf>
    <xf numFmtId="0" fontId="29" fillId="0" borderId="58" xfId="0" quotePrefix="1" applyFont="1" applyBorder="1" applyAlignment="1">
      <alignment horizontal="left" vertical="top" wrapText="1" indent="1"/>
    </xf>
    <xf numFmtId="0" fontId="47" fillId="8" borderId="258" xfId="0" applyFont="1" applyFill="1" applyBorder="1" applyAlignment="1">
      <alignment horizontal="right" vertical="center" wrapText="1" indent="2"/>
    </xf>
    <xf numFmtId="0" fontId="47" fillId="8" borderId="310" xfId="0" applyFont="1" applyFill="1" applyBorder="1" applyAlignment="1">
      <alignment horizontal="right" vertical="center" wrapText="1" indent="2"/>
    </xf>
    <xf numFmtId="0" fontId="32" fillId="6" borderId="22" xfId="0" quotePrefix="1" applyFont="1" applyFill="1" applyBorder="1" applyAlignment="1">
      <alignment horizontal="left" vertical="top" wrapText="1" indent="1"/>
    </xf>
    <xf numFmtId="0" fontId="29" fillId="6" borderId="19" xfId="0" quotePrefix="1" applyFont="1" applyFill="1" applyBorder="1" applyAlignment="1">
      <alignment horizontal="left" vertical="top" wrapText="1" indent="1"/>
    </xf>
    <xf numFmtId="0" fontId="29" fillId="6" borderId="20" xfId="0" quotePrefix="1" applyFont="1" applyFill="1" applyBorder="1" applyAlignment="1">
      <alignment horizontal="left" vertical="top" wrapText="1" indent="1"/>
    </xf>
    <xf numFmtId="0" fontId="70" fillId="0" borderId="22" xfId="0" quotePrefix="1" applyFont="1" applyBorder="1" applyAlignment="1">
      <alignment horizontal="left" vertical="top" wrapText="1" indent="1"/>
    </xf>
    <xf numFmtId="0" fontId="70" fillId="0" borderId="19" xfId="0" quotePrefix="1" applyFont="1" applyBorder="1" applyAlignment="1">
      <alignment horizontal="left" vertical="top" wrapText="1" indent="1"/>
    </xf>
    <xf numFmtId="0" fontId="70" fillId="0" borderId="20" xfId="0" quotePrefix="1" applyFont="1" applyBorder="1" applyAlignment="1">
      <alignment horizontal="left" vertical="top" wrapText="1" indent="1"/>
    </xf>
    <xf numFmtId="0" fontId="32" fillId="9" borderId="0" xfId="0" applyFont="1" applyFill="1" applyAlignment="1">
      <alignment horizontal="center" vertical="center"/>
    </xf>
    <xf numFmtId="0" fontId="32" fillId="9" borderId="0" xfId="0" quotePrefix="1" applyFont="1" applyFill="1" applyAlignment="1">
      <alignment horizontal="center" vertical="center"/>
    </xf>
    <xf numFmtId="0" fontId="7" fillId="45" borderId="0" xfId="0" applyFont="1" applyFill="1" applyAlignment="1">
      <alignment horizontal="right" vertical="top"/>
    </xf>
    <xf numFmtId="0" fontId="8" fillId="33" borderId="0" xfId="0" applyFont="1" applyFill="1" applyAlignment="1">
      <alignment horizontal="left" vertical="top" indent="1"/>
    </xf>
    <xf numFmtId="0" fontId="7" fillId="45" borderId="0" xfId="0" applyFont="1" applyFill="1" applyAlignment="1">
      <alignment horizontal="right" vertical="top" wrapText="1"/>
    </xf>
    <xf numFmtId="0" fontId="3" fillId="17" borderId="0" xfId="0" applyFont="1" applyFill="1" applyAlignment="1" applyProtection="1">
      <alignment horizontal="left" vertical="top" indent="1"/>
      <protection locked="0"/>
    </xf>
    <xf numFmtId="14" fontId="8" fillId="17" borderId="0" xfId="0" quotePrefix="1" applyNumberFormat="1" applyFont="1" applyFill="1" applyAlignment="1" applyProtection="1">
      <alignment horizontal="left" vertical="top" indent="1"/>
      <protection locked="0"/>
    </xf>
    <xf numFmtId="14" fontId="8" fillId="17" borderId="0" xfId="0" applyNumberFormat="1" applyFont="1" applyFill="1" applyAlignment="1" applyProtection="1">
      <alignment horizontal="left" vertical="top" indent="1"/>
      <protection locked="0"/>
    </xf>
    <xf numFmtId="0" fontId="8" fillId="17" borderId="0" xfId="0" applyFont="1" applyFill="1" applyAlignment="1" applyProtection="1">
      <alignment horizontal="left" vertical="top" indent="1"/>
      <protection locked="0"/>
    </xf>
    <xf numFmtId="0" fontId="32" fillId="17" borderId="0" xfId="0" applyFont="1" applyFill="1" applyAlignment="1" applyProtection="1">
      <alignment horizontal="center" vertical="top"/>
      <protection locked="0"/>
    </xf>
    <xf numFmtId="0" fontId="32" fillId="33" borderId="0" xfId="0" applyFont="1" applyFill="1" applyAlignment="1">
      <alignment horizontal="center" vertical="top"/>
    </xf>
    <xf numFmtId="0" fontId="28" fillId="45" borderId="0" xfId="0" applyFont="1" applyFill="1" applyAlignment="1">
      <alignment horizontal="right"/>
    </xf>
    <xf numFmtId="0" fontId="3" fillId="17" borderId="0" xfId="0" quotePrefix="1" applyFont="1" applyFill="1" applyProtection="1">
      <protection locked="0"/>
    </xf>
    <xf numFmtId="0" fontId="3" fillId="17" borderId="162" xfId="0" applyFont="1" applyFill="1" applyBorder="1" applyAlignment="1" applyProtection="1">
      <alignment horizontal="left"/>
      <protection locked="0"/>
    </xf>
    <xf numFmtId="0" fontId="3" fillId="17" borderId="38" xfId="0" applyFont="1" applyFill="1" applyBorder="1" applyAlignment="1" applyProtection="1">
      <alignment horizontal="left"/>
      <protection locked="0"/>
    </xf>
    <xf numFmtId="0" fontId="3" fillId="17" borderId="39" xfId="0" applyFont="1" applyFill="1" applyBorder="1" applyAlignment="1" applyProtection="1">
      <alignment horizontal="left"/>
      <protection locked="0"/>
    </xf>
    <xf numFmtId="0" fontId="3" fillId="17" borderId="0" xfId="0" applyFont="1" applyFill="1" applyProtection="1">
      <protection locked="0"/>
    </xf>
    <xf numFmtId="0" fontId="3" fillId="33" borderId="0" xfId="0" applyFont="1" applyFill="1" applyAlignment="1">
      <alignment horizontal="left"/>
    </xf>
    <xf numFmtId="0" fontId="3" fillId="17" borderId="0" xfId="0" applyFont="1" applyFill="1" applyAlignment="1" applyProtection="1">
      <alignment horizontal="left"/>
      <protection locked="0"/>
    </xf>
    <xf numFmtId="175" fontId="3" fillId="17" borderId="0" xfId="0" quotePrefix="1" applyNumberFormat="1" applyFont="1" applyFill="1" applyAlignment="1" applyProtection="1">
      <alignment horizontal="left"/>
      <protection locked="0"/>
    </xf>
    <xf numFmtId="49" fontId="10" fillId="8" borderId="0" xfId="0" applyNumberFormat="1" applyFont="1" applyFill="1" applyAlignment="1">
      <alignment horizontal="center" vertical="center"/>
    </xf>
    <xf numFmtId="0" fontId="10" fillId="19" borderId="0" xfId="0" applyFont="1" applyFill="1" applyAlignment="1">
      <alignment vertical="center"/>
    </xf>
    <xf numFmtId="0" fontId="29" fillId="3" borderId="0" xfId="0" applyFont="1" applyFill="1" applyAlignment="1">
      <alignment horizontal="justify" vertical="center" wrapText="1"/>
    </xf>
    <xf numFmtId="49" fontId="71" fillId="8" borderId="0" xfId="0" applyNumberFormat="1" applyFont="1" applyFill="1" applyAlignment="1">
      <alignment horizontal="center" vertical="center"/>
    </xf>
    <xf numFmtId="0" fontId="28" fillId="45" borderId="0" xfId="0" applyFont="1" applyFill="1" applyAlignment="1">
      <alignment horizontal="right" vertical="center"/>
    </xf>
    <xf numFmtId="0" fontId="74" fillId="17" borderId="0" xfId="0" applyFont="1" applyFill="1" applyAlignment="1" applyProtection="1">
      <alignment vertical="center"/>
      <protection locked="0"/>
    </xf>
    <xf numFmtId="0" fontId="73" fillId="45" borderId="0" xfId="0" quotePrefix="1" applyFont="1" applyFill="1" applyAlignment="1">
      <alignment horizontal="right" vertical="center"/>
    </xf>
    <xf numFmtId="0" fontId="73" fillId="45" borderId="0" xfId="0" applyFont="1" applyFill="1" applyAlignment="1">
      <alignment horizontal="right" vertical="center"/>
    </xf>
    <xf numFmtId="172" fontId="74" fillId="33" borderId="0" xfId="0" applyNumberFormat="1" applyFont="1" applyFill="1" applyAlignment="1">
      <alignment horizontal="left" vertical="center" wrapText="1"/>
    </xf>
    <xf numFmtId="0" fontId="8" fillId="13" borderId="16"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11" xfId="0" applyFont="1" applyFill="1" applyBorder="1" applyAlignment="1">
      <alignment horizontal="center" vertical="center" wrapText="1"/>
    </xf>
    <xf numFmtId="165" fontId="1" fillId="3" borderId="12" xfId="0" applyNumberFormat="1" applyFont="1" applyFill="1" applyBorder="1" applyAlignment="1" applyProtection="1">
      <alignment horizontal="right" vertical="center"/>
      <protection locked="0"/>
    </xf>
    <xf numFmtId="165" fontId="1" fillId="3" borderId="19" xfId="0" applyNumberFormat="1" applyFont="1" applyFill="1" applyBorder="1" applyAlignment="1" applyProtection="1">
      <alignment horizontal="right" vertical="center"/>
      <protection locked="0"/>
    </xf>
    <xf numFmtId="0" fontId="94" fillId="62" borderId="12" xfId="0" applyFont="1" applyFill="1" applyBorder="1" applyAlignment="1">
      <alignment horizontal="center" vertical="center" wrapText="1"/>
    </xf>
    <xf numFmtId="0" fontId="94" fillId="62" borderId="19" xfId="0" applyFont="1" applyFill="1" applyBorder="1" applyAlignment="1">
      <alignment horizontal="center" vertical="center"/>
    </xf>
    <xf numFmtId="0" fontId="94" fillId="62" borderId="20" xfId="0" applyFont="1" applyFill="1" applyBorder="1" applyAlignment="1">
      <alignment horizontal="center" vertical="center"/>
    </xf>
    <xf numFmtId="0" fontId="95" fillId="62" borderId="112" xfId="0" applyFont="1" applyFill="1" applyBorder="1" applyAlignment="1">
      <alignment horizontal="center" vertical="center" wrapText="1"/>
    </xf>
    <xf numFmtId="0" fontId="95" fillId="62" borderId="121" xfId="0" applyFont="1" applyFill="1" applyBorder="1" applyAlignment="1">
      <alignment horizontal="center" vertical="center" wrapText="1"/>
    </xf>
    <xf numFmtId="0" fontId="96" fillId="20" borderId="4" xfId="0" applyFont="1" applyFill="1" applyBorder="1" applyAlignment="1" applyProtection="1">
      <alignment horizontal="center" vertical="center"/>
      <protection locked="0"/>
    </xf>
    <xf numFmtId="0" fontId="96" fillId="20" borderId="58" xfId="0" applyFont="1" applyFill="1" applyBorder="1" applyAlignment="1" applyProtection="1">
      <alignment horizontal="center" vertical="center"/>
      <protection locked="0"/>
    </xf>
    <xf numFmtId="0" fontId="97" fillId="62" borderId="161" xfId="0" applyFont="1" applyFill="1" applyBorder="1" applyAlignment="1">
      <alignment horizontal="center" vertical="center" wrapText="1"/>
    </xf>
    <xf numFmtId="0" fontId="97" fillId="62" borderId="28" xfId="0" applyFont="1" applyFill="1" applyBorder="1" applyAlignment="1">
      <alignment horizontal="center" vertical="center" wrapText="1"/>
    </xf>
    <xf numFmtId="0" fontId="95" fillId="62" borderId="12" xfId="0" applyFont="1" applyFill="1" applyBorder="1" applyAlignment="1">
      <alignment horizontal="center" vertical="center" wrapText="1"/>
    </xf>
    <xf numFmtId="0" fontId="95" fillId="62" borderId="19" xfId="0" applyFont="1" applyFill="1" applyBorder="1" applyAlignment="1">
      <alignment horizontal="center" vertical="center" wrapText="1"/>
    </xf>
    <xf numFmtId="0" fontId="98" fillId="0" borderId="6" xfId="0" applyFont="1" applyBorder="1" applyAlignment="1">
      <alignment horizontal="right" vertical="center" wrapText="1" indent="1"/>
    </xf>
    <xf numFmtId="0" fontId="0" fillId="0" borderId="0" xfId="0"/>
    <xf numFmtId="0" fontId="2" fillId="5" borderId="5" xfId="0" applyFont="1" applyFill="1" applyBorder="1" applyAlignment="1">
      <alignment horizontal="center" vertical="top"/>
    </xf>
    <xf numFmtId="0" fontId="2" fillId="5" borderId="0" xfId="0" applyFont="1" applyFill="1" applyAlignment="1">
      <alignment horizontal="center" vertical="top"/>
    </xf>
    <xf numFmtId="0" fontId="1" fillId="34" borderId="0" xfId="0" applyFont="1" applyFill="1" applyAlignment="1">
      <alignment horizontal="right" vertical="center" wrapText="1"/>
    </xf>
    <xf numFmtId="0" fontId="99" fillId="35" borderId="246" xfId="0" applyFont="1" applyFill="1" applyBorder="1" applyAlignment="1">
      <alignment horizontal="right" vertical="center" wrapText="1"/>
    </xf>
    <xf numFmtId="0" fontId="99" fillId="35" borderId="314" xfId="0" applyFont="1" applyFill="1" applyBorder="1" applyAlignment="1">
      <alignment horizontal="right" vertical="center" wrapText="1"/>
    </xf>
    <xf numFmtId="0" fontId="99" fillId="35" borderId="315" xfId="0" applyFont="1" applyFill="1" applyBorder="1" applyAlignment="1">
      <alignment horizontal="right" vertical="center" wrapText="1"/>
    </xf>
    <xf numFmtId="0" fontId="99" fillId="35" borderId="6" xfId="0" applyFont="1" applyFill="1" applyBorder="1" applyAlignment="1">
      <alignment horizontal="right" vertical="center" wrapText="1"/>
    </xf>
    <xf numFmtId="0" fontId="99" fillId="37" borderId="6" xfId="0" applyFont="1" applyFill="1" applyBorder="1" applyAlignment="1">
      <alignment horizontal="right" vertical="center" wrapText="1"/>
    </xf>
    <xf numFmtId="0" fontId="99" fillId="37" borderId="0" xfId="0" applyFont="1" applyFill="1" applyAlignment="1">
      <alignment horizontal="right" vertical="center" wrapText="1"/>
    </xf>
    <xf numFmtId="0" fontId="99" fillId="39" borderId="0" xfId="0" applyFont="1" applyFill="1" applyAlignment="1">
      <alignment horizontal="right" vertical="center"/>
    </xf>
    <xf numFmtId="0" fontId="99" fillId="39" borderId="6" xfId="0" applyFont="1" applyFill="1" applyBorder="1" applyAlignment="1">
      <alignment horizontal="right" vertical="center"/>
    </xf>
    <xf numFmtId="0" fontId="100" fillId="34" borderId="6" xfId="0" applyFont="1" applyFill="1" applyBorder="1" applyAlignment="1">
      <alignment horizontal="right" vertical="center" wrapText="1"/>
    </xf>
    <xf numFmtId="0" fontId="100" fillId="34" borderId="0" xfId="0" applyFont="1" applyFill="1" applyAlignment="1">
      <alignment horizontal="right" vertical="center" wrapText="1"/>
    </xf>
    <xf numFmtId="0" fontId="99" fillId="35" borderId="312" xfId="0" applyFont="1" applyFill="1" applyBorder="1" applyAlignment="1">
      <alignment horizontal="right" vertical="center" wrapText="1"/>
    </xf>
    <xf numFmtId="0" fontId="99" fillId="35" borderId="313" xfId="0" applyFont="1" applyFill="1" applyBorder="1" applyAlignment="1">
      <alignment horizontal="right" vertical="center" wrapText="1"/>
    </xf>
    <xf numFmtId="0" fontId="99" fillId="29" borderId="0" xfId="0" applyFont="1" applyFill="1" applyAlignment="1">
      <alignment horizontal="right" vertical="center" wrapText="1"/>
    </xf>
    <xf numFmtId="0" fontId="0" fillId="6" borderId="15" xfId="0" applyFill="1" applyBorder="1" applyAlignment="1">
      <alignment vertical="center"/>
    </xf>
    <xf numFmtId="0" fontId="0" fillId="6" borderId="173" xfId="0" applyFill="1" applyBorder="1" applyAlignment="1">
      <alignment vertical="center"/>
    </xf>
    <xf numFmtId="0" fontId="0" fillId="6" borderId="238" xfId="0" applyFill="1" applyBorder="1" applyAlignment="1">
      <alignment vertical="center"/>
    </xf>
    <xf numFmtId="0" fontId="0" fillId="6" borderId="311" xfId="0" applyFill="1" applyBorder="1" applyAlignment="1">
      <alignment vertical="center"/>
    </xf>
    <xf numFmtId="0" fontId="3" fillId="41" borderId="12" xfId="0" applyFont="1" applyFill="1" applyBorder="1" applyAlignment="1">
      <alignment horizontal="left" vertical="top" wrapText="1"/>
    </xf>
    <xf numFmtId="0" fontId="3" fillId="41" borderId="19" xfId="0" applyFont="1" applyFill="1" applyBorder="1" applyAlignment="1">
      <alignment horizontal="left" vertical="top" wrapText="1"/>
    </xf>
    <xf numFmtId="0" fontId="45" fillId="33" borderId="121" xfId="0" applyFont="1" applyFill="1" applyBorder="1" applyAlignment="1">
      <alignment horizontal="center"/>
    </xf>
    <xf numFmtId="0" fontId="1" fillId="4" borderId="112" xfId="0" applyFont="1" applyFill="1" applyBorder="1" applyAlignment="1">
      <alignment horizontal="center"/>
    </xf>
    <xf numFmtId="0" fontId="1" fillId="4" borderId="121" xfId="0" applyFont="1" applyFill="1" applyBorder="1" applyAlignment="1">
      <alignment horizontal="center"/>
    </xf>
    <xf numFmtId="0" fontId="2" fillId="5" borderId="112" xfId="0" applyFont="1" applyFill="1" applyBorder="1" applyAlignment="1">
      <alignment horizontal="center"/>
    </xf>
    <xf numFmtId="0" fontId="2" fillId="5" borderId="121" xfId="0" applyFont="1" applyFill="1" applyBorder="1" applyAlignment="1">
      <alignment horizontal="center"/>
    </xf>
    <xf numFmtId="0" fontId="2" fillId="5" borderId="4" xfId="0" applyFont="1" applyFill="1" applyBorder="1" applyAlignment="1">
      <alignment horizontal="center"/>
    </xf>
    <xf numFmtId="0" fontId="1" fillId="12" borderId="15" xfId="0" applyFont="1" applyFill="1" applyBorder="1" applyAlignment="1">
      <alignment horizontal="center"/>
    </xf>
    <xf numFmtId="0" fontId="1" fillId="12" borderId="173" xfId="0" applyFont="1" applyFill="1" applyBorder="1" applyAlignment="1">
      <alignment horizontal="center"/>
    </xf>
    <xf numFmtId="0" fontId="1" fillId="12" borderId="316" xfId="0" applyFont="1" applyFill="1" applyBorder="1" applyAlignment="1">
      <alignment horizontal="center"/>
    </xf>
    <xf numFmtId="0" fontId="0" fillId="0" borderId="321" xfId="0" applyBorder="1" applyAlignment="1">
      <alignment horizontal="right" vertical="center" wrapText="1"/>
    </xf>
    <xf numFmtId="0" fontId="0" fillId="0" borderId="6" xfId="0" applyBorder="1" applyAlignment="1">
      <alignment horizontal="right" vertical="center" wrapText="1"/>
    </xf>
    <xf numFmtId="0" fontId="4" fillId="44" borderId="47" xfId="0" applyFont="1" applyFill="1" applyBorder="1" applyAlignment="1">
      <alignment horizontal="left" vertical="center" indent="4"/>
    </xf>
    <xf numFmtId="0" fontId="4" fillId="44" borderId="42" xfId="0" applyFont="1" applyFill="1" applyBorder="1" applyAlignment="1">
      <alignment horizontal="left" vertical="center" indent="4"/>
    </xf>
    <xf numFmtId="0" fontId="0" fillId="0" borderId="317" xfId="0" applyBorder="1" applyAlignment="1">
      <alignment horizontal="right" vertical="center"/>
    </xf>
    <xf numFmtId="0" fontId="0" fillId="0" borderId="171" xfId="0" applyBorder="1" applyAlignment="1">
      <alignment horizontal="right" vertical="center"/>
    </xf>
    <xf numFmtId="0" fontId="0" fillId="0" borderId="318" xfId="0" applyBorder="1" applyAlignment="1">
      <alignment horizontal="right" vertical="center"/>
    </xf>
    <xf numFmtId="0" fontId="8" fillId="4" borderId="0" xfId="0" applyFont="1" applyFill="1" applyAlignment="1" applyProtection="1">
      <alignment horizontal="left" wrapText="1"/>
      <protection locked="0"/>
    </xf>
    <xf numFmtId="0" fontId="8" fillId="4" borderId="6" xfId="0" applyFont="1" applyFill="1" applyBorder="1" applyAlignment="1" applyProtection="1">
      <alignment horizontal="left" wrapText="1"/>
      <protection locked="0"/>
    </xf>
    <xf numFmtId="0" fontId="4" fillId="17" borderId="0" xfId="0" applyFont="1" applyFill="1" applyAlignment="1" applyProtection="1">
      <alignment horizontal="left" vertical="top" wrapText="1"/>
      <protection locked="0"/>
    </xf>
    <xf numFmtId="0" fontId="0" fillId="0" borderId="319" xfId="0" applyBorder="1" applyAlignment="1">
      <alignment horizontal="right" vertical="center"/>
    </xf>
    <xf numFmtId="0" fontId="0" fillId="0" borderId="320" xfId="0" applyBorder="1" applyAlignment="1">
      <alignment horizontal="right" vertical="center"/>
    </xf>
    <xf numFmtId="0" fontId="0" fillId="0" borderId="303" xfId="0" applyBorder="1" applyAlignment="1">
      <alignment horizontal="right" vertical="center"/>
    </xf>
    <xf numFmtId="0" fontId="0" fillId="0" borderId="319" xfId="0" applyBorder="1" applyAlignment="1">
      <alignment horizontal="right" vertical="center" wrapText="1"/>
    </xf>
    <xf numFmtId="0" fontId="0" fillId="0" borderId="171" xfId="0" applyBorder="1" applyAlignment="1">
      <alignment horizontal="right" vertical="center" wrapText="1"/>
    </xf>
    <xf numFmtId="0" fontId="0" fillId="0" borderId="318" xfId="0" applyBorder="1" applyAlignment="1">
      <alignment horizontal="right" vertical="center" wrapText="1"/>
    </xf>
  </cellXfs>
  <cellStyles count="1">
    <cellStyle name="Normal" xfId="0" builtinId="0"/>
  </cellStyles>
  <dxfs count="70">
    <dxf>
      <fill>
        <patternFill>
          <bgColor rgb="FFFFFF00"/>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ill>
        <patternFill>
          <bgColor rgb="FFFFFF00"/>
        </patternFill>
      </fill>
    </dxf>
    <dxf>
      <font>
        <b/>
        <i val="0"/>
        <color rgb="FFFF0000"/>
      </font>
    </dxf>
    <dxf>
      <font>
        <b/>
        <i val="0"/>
        <color rgb="FFC0504D"/>
      </font>
    </dxf>
    <dxf>
      <font>
        <b/>
        <i val="0"/>
        <color rgb="FFFF0000"/>
      </font>
    </dxf>
    <dxf>
      <font>
        <b/>
        <i val="0"/>
        <color rgb="FFFF0000"/>
      </font>
      <fill>
        <patternFill patternType="solid">
          <bgColor rgb="FFBFBFBF"/>
        </patternFill>
      </fill>
    </dxf>
    <dxf>
      <font>
        <b/>
        <i val="0"/>
        <color rgb="FFFF0000"/>
      </font>
    </dxf>
    <dxf>
      <font>
        <b/>
        <i val="0"/>
        <color rgb="FFFF0000"/>
      </font>
    </dxf>
    <dxf>
      <fill>
        <patternFill>
          <bgColor rgb="FFD7E4BD"/>
        </patternFill>
      </fill>
    </dxf>
    <dxf>
      <fill>
        <patternFill>
          <bgColor rgb="FFFFFF99"/>
        </patternFill>
      </fill>
    </dxf>
    <dxf>
      <fill>
        <patternFill>
          <bgColor rgb="FFBFBFBF"/>
        </patternFill>
      </fill>
    </dxf>
    <dxf>
      <fill>
        <patternFill>
          <bgColor rgb="FFBFBFBF"/>
        </patternFill>
      </fill>
    </dxf>
    <dxf>
      <fill>
        <patternFill>
          <bgColor rgb="FFFFFFCC"/>
        </patternFill>
      </fill>
    </dxf>
    <dxf>
      <fill>
        <patternFill>
          <bgColor rgb="FFD9D9D9"/>
        </patternFill>
      </fill>
    </dxf>
    <dxf>
      <fill>
        <patternFill>
          <bgColor rgb="FFFFFFCC"/>
        </patternFill>
      </fill>
    </dxf>
    <dxf>
      <fill>
        <patternFill>
          <bgColor rgb="FFFFFFCC"/>
        </patternFill>
      </fill>
    </dxf>
    <dxf>
      <fill>
        <patternFill>
          <bgColor rgb="FFD9D9D9"/>
        </patternFill>
      </fill>
    </dxf>
    <dxf>
      <fill>
        <patternFill>
          <bgColor rgb="FFFFFFCC"/>
        </patternFill>
      </fill>
    </dxf>
    <dxf>
      <fill>
        <patternFill>
          <bgColor rgb="FFD9D9D9"/>
        </patternFill>
      </fill>
    </dxf>
    <dxf>
      <fill>
        <patternFill>
          <bgColor rgb="FFBFBFBF"/>
        </patternFill>
      </fill>
    </dxf>
    <dxf>
      <fill>
        <patternFill>
          <bgColor rgb="FFD9D9D9"/>
        </patternFill>
      </fill>
    </dxf>
    <dxf>
      <fill>
        <patternFill>
          <bgColor rgb="FFBFBFBF"/>
        </patternFill>
      </fill>
    </dxf>
    <dxf>
      <fill>
        <patternFill>
          <bgColor rgb="FFD9D9D9"/>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b/>
        <i val="0"/>
        <color rgb="FFFF0000"/>
      </font>
      <fill>
        <patternFill patternType="solid">
          <bgColor rgb="FFFFFFCC"/>
        </patternFill>
      </fill>
    </dxf>
    <dxf>
      <font>
        <b/>
        <i val="0"/>
        <color rgb="FFE46C0A"/>
      </font>
    </dxf>
    <dxf>
      <font>
        <b/>
        <i val="0"/>
        <color rgb="FFE46C0A"/>
      </font>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38100</xdr:rowOff>
    </xdr:from>
    <xdr:to>
      <xdr:col>5</xdr:col>
      <xdr:colOff>9525</xdr:colOff>
      <xdr:row>0</xdr:row>
      <xdr:rowOff>2695575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1296650" cy="26574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2" ref="B15:AL29">
  <autoFilter ref="B15:AL29" xr:uid="{00000000-0009-0000-0100-000001000000}"/>
  <tableColumns count="37">
    <tableColumn id="1" xr3:uid="{00000000-0010-0000-0000-000001000000}" name="dms_TradingName_List"/>
    <tableColumn id="2" xr3:uid="{00000000-0010-0000-0000-000002000000}" name="dms_TradingNameFull_List"/>
    <tableColumn id="3" xr3:uid="{00000000-0010-0000-0000-000003000000}" name="dms_ABN_List"/>
    <tableColumn id="4" xr3:uid="{00000000-0010-0000-0000-000004000000}" name="dms_UniqueID_List"/>
    <tableColumn id="5" xr3:uid="{00000000-0010-0000-0000-000005000000}" name="dms_JurisdictionList"/>
    <tableColumn id="6" xr3:uid="{00000000-0010-0000-0000-000006000000}" name="dms_Sector_List"/>
    <tableColumn id="7" xr3:uid="{00000000-0010-0000-0000-000007000000}" name="dms_Segment_List"/>
    <tableColumn id="8" xr3:uid="{00000000-0010-0000-0000-000008000000}" name="dms_FormControl_List"/>
    <tableColumn id="9" xr3:uid="{00000000-0010-0000-0000-000009000000}" name="dms_RPT_List"/>
    <tableColumn id="10" xr3:uid="{00000000-0010-0000-0000-00000A000000}" name="dms_RPTMonth_List"/>
    <tableColumn id="11" xr3:uid="{00000000-0010-0000-0000-00000B000000}" name="dms_CRCPlength_List"/>
    <tableColumn id="12" xr3:uid="{00000000-0010-0000-0000-00000C000000}" name="dms_FRCPlength_List"/>
    <tableColumn id="13" xr3:uid="{00000000-0010-0000-0000-00000D000000}" name="dms_PRCPlength_List"/>
    <tableColumn id="14" xr3:uid="{00000000-0010-0000-0000-00000E000000}" name="dms_663_List"/>
    <tableColumn id="15" xr3:uid="{00000000-0010-0000-0000-00000F000000}" name="dms_DeterminationRef_List"/>
    <tableColumn id="16" xr3:uid="{00000000-0010-0000-0000-000010000000}" name="dms_Addr1_List"/>
    <tableColumn id="17" xr3:uid="{00000000-0010-0000-0000-000011000000}" name="dms_Addr2_List"/>
    <tableColumn id="18" xr3:uid="{00000000-0010-0000-0000-000012000000}" name="dms_Suburb_List"/>
    <tableColumn id="19" xr3:uid="{00000000-0010-0000-0000-000013000000}" name="dms_State_List"/>
    <tableColumn id="20" xr3:uid="{00000000-0010-0000-0000-000014000000}" name="dms_PostCode_List"/>
    <tableColumn id="21" xr3:uid="{00000000-0010-0000-0000-000015000000}" name="dms_PAddr1_List"/>
    <tableColumn id="22" xr3:uid="{00000000-0010-0000-0000-000016000000}" name="dms_PAddr2_List"/>
    <tableColumn id="23" xr3:uid="{00000000-0010-0000-0000-000017000000}" name="dms_PSuburb_List"/>
    <tableColumn id="24" xr3:uid="{00000000-0010-0000-0000-000018000000}" name="dms_PState_List"/>
    <tableColumn id="25" xr3:uid="{00000000-0010-0000-0000-000019000000}" name="dms_PPostCode_List"/>
    <tableColumn id="26" xr3:uid="{00000000-0010-0000-0000-00001A000000}" name="dms_CBD_flag"/>
    <tableColumn id="27" xr3:uid="{00000000-0010-0000-0000-00001B000000}" name="dms_Urban_flag"/>
    <tableColumn id="28" xr3:uid="{00000000-0010-0000-0000-00001C000000}" name="dms_ShortRural_flag"/>
    <tableColumn id="29" xr3:uid="{00000000-0010-0000-0000-00001D000000}" name="dms_LongRural_flag"/>
    <tableColumn id="30" xr3:uid="{00000000-0010-0000-0000-00001E000000}" name="dms_FeederType_5_flag"/>
    <tableColumn id="31" xr3:uid="{00000000-0010-0000-0000-00001F000000}" name="dms_FeederName_1"/>
    <tableColumn id="32" xr3:uid="{00000000-0010-0000-0000-000020000000}" name="dms_FeederName_2"/>
    <tableColumn id="33" xr3:uid="{00000000-0010-0000-0000-000021000000}" name="dms_FeederName_3"/>
    <tableColumn id="34" xr3:uid="{00000000-0010-0000-0000-000022000000}" name="dms_FeederName_4"/>
    <tableColumn id="35" xr3:uid="{00000000-0010-0000-0000-000023000000}" name="dms_FeederName_5"/>
    <tableColumn id="36" xr3:uid="{00000000-0010-0000-0000-000024000000}" name="dms_Public_Lighting_List"/>
    <tableColumn id="37" xr3:uid="{00000000-0010-0000-0000-000025000000}" name="Name">
      <calculatedColumnFormula>B16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5.bin"/><Relationship Id="rId4" Type="http://schemas.openxmlformats.org/officeDocument/2006/relationships/comments" Target="../comments1.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46C0A"/>
  </sheetPr>
  <dimension ref="B1:P34"/>
  <sheetViews>
    <sheetView showGridLines="0" zoomScale="70" zoomScaleNormal="70" workbookViewId="0">
      <selection activeCell="B3" sqref="B3:E3"/>
    </sheetView>
  </sheetViews>
  <sheetFormatPr defaultColWidth="0" defaultRowHeight="28.5" customHeight="1" zeroHeight="1" x14ac:dyDescent="0.25"/>
  <cols>
    <col min="1" max="1" width="69.140625" customWidth="1"/>
    <col min="2" max="2" width="59.7109375" style="450" customWidth="1"/>
    <col min="3" max="3" width="20.7109375" customWidth="1"/>
    <col min="4" max="4" width="68.28515625" customWidth="1"/>
    <col min="5" max="5" width="20.7109375" customWidth="1"/>
    <col min="6" max="6" width="71.42578125" customWidth="1"/>
    <col min="7" max="7" width="9.140625" customWidth="1"/>
    <col min="16" max="16" width="9.140625" hidden="1" customWidth="1"/>
  </cols>
  <sheetData>
    <row r="1" spans="2:10" s="301" customFormat="1" ht="214.5" customHeight="1" x14ac:dyDescent="0.25">
      <c r="B1" s="450"/>
    </row>
    <row r="2" spans="2:10" s="301" customFormat="1" ht="39.75" customHeight="1" x14ac:dyDescent="0.25">
      <c r="B2" s="1488" t="str">
        <f>CONCATENATE(dms_Sector," ",dms_Segment," ", "Network Service Provider")</f>
        <v>Gas Distribution Network Service Provider</v>
      </c>
      <c r="C2" s="1489"/>
      <c r="D2" s="1489"/>
      <c r="E2" s="1490"/>
      <c r="F2" s="1405"/>
    </row>
    <row r="3" spans="2:10" s="301" customFormat="1" ht="51.75" customHeight="1" x14ac:dyDescent="0.25">
      <c r="B3" s="1491" t="str">
        <f>IF(dms_Model="Reset","Regulatory Proposal RIN Template","Annual Reporting RIN")</f>
        <v>Regulatory Proposal RIN Template</v>
      </c>
      <c r="C3" s="1492"/>
      <c r="D3" s="1492"/>
      <c r="E3" s="1493"/>
      <c r="F3" s="1405"/>
    </row>
    <row r="4" spans="2:10" s="301" customFormat="1" ht="49.5" customHeight="1" x14ac:dyDescent="0.25">
      <c r="B4" s="1494" t="str">
        <f>CONCATENATE("This template is to be used by ",INDEX(dms_TradingNameFull_List,MATCH(dms_TradingName,dms_TradingName_List))," to fulfil its reporting obligations to the AER.")</f>
        <v>This template is to be used by Icon Distribution Investments Limited (ABN 83 073 025 224) and Jemena Networks (ACT) Pty Ltd (ABN 24 008 552 663) to fulfil its reporting obligations to the AER.</v>
      </c>
      <c r="C4" s="1495"/>
      <c r="D4" s="1495"/>
      <c r="E4" s="1496"/>
      <c r="F4" s="1406"/>
    </row>
    <row r="5" spans="2:10" s="301" customFormat="1" ht="39.75" customHeight="1" x14ac:dyDescent="0.25">
      <c r="B5" s="1497" t="s">
        <v>0</v>
      </c>
      <c r="C5" s="1498"/>
      <c r="D5" s="1498"/>
      <c r="E5" s="1499"/>
      <c r="F5" s="1407"/>
    </row>
    <row r="6" spans="2:10" s="301" customFormat="1" ht="114.75" customHeight="1" x14ac:dyDescent="0.25">
      <c r="B6" s="451" t="s">
        <v>1</v>
      </c>
      <c r="C6" s="1500" t="s">
        <v>2</v>
      </c>
      <c r="D6" s="1501"/>
      <c r="E6" s="1502"/>
    </row>
    <row r="7" spans="2:10" s="301" customFormat="1" ht="15" customHeight="1" x14ac:dyDescent="0.25">
      <c r="B7" s="450"/>
    </row>
    <row r="8" spans="2:10" s="301" customFormat="1" ht="126.75" customHeight="1" x14ac:dyDescent="0.3">
      <c r="B8" s="1482" t="s">
        <v>3</v>
      </c>
      <c r="C8" s="1503" t="s">
        <v>4</v>
      </c>
      <c r="D8" s="1504"/>
      <c r="E8" s="1408"/>
      <c r="F8" s="397"/>
      <c r="J8" s="1409"/>
    </row>
    <row r="9" spans="2:10" s="301" customFormat="1" ht="100.5" customHeight="1" x14ac:dyDescent="0.25">
      <c r="B9" s="1484"/>
      <c r="C9" s="1505" t="s">
        <v>5</v>
      </c>
      <c r="D9" s="1506"/>
      <c r="E9" s="1507"/>
    </row>
    <row r="10" spans="2:10" s="301" customFormat="1" ht="15" customHeight="1" x14ac:dyDescent="0.25">
      <c r="B10" s="450"/>
    </row>
    <row r="11" spans="2:10" s="301" customFormat="1" ht="159" customHeight="1" x14ac:dyDescent="0.25">
      <c r="B11" s="1508" t="s">
        <v>6</v>
      </c>
      <c r="C11" s="1503" t="s">
        <v>7</v>
      </c>
      <c r="D11" s="1504"/>
      <c r="E11" s="1408"/>
      <c r="J11" s="1409"/>
    </row>
    <row r="12" spans="2:10" s="301" customFormat="1" ht="100.5" customHeight="1" x14ac:dyDescent="0.25">
      <c r="B12" s="1509"/>
      <c r="C12" s="1505" t="s">
        <v>8</v>
      </c>
      <c r="D12" s="1506"/>
      <c r="E12" s="1507"/>
    </row>
    <row r="13" spans="2:10" s="301" customFormat="1" ht="15" customHeight="1" x14ac:dyDescent="0.25">
      <c r="B13" s="450"/>
    </row>
    <row r="14" spans="2:10" s="301" customFormat="1" ht="200.25" customHeight="1" x14ac:dyDescent="0.25">
      <c r="B14" s="451" t="s">
        <v>9</v>
      </c>
      <c r="C14" s="1510" t="s">
        <v>10</v>
      </c>
      <c r="D14" s="1511"/>
      <c r="E14" s="1512"/>
    </row>
    <row r="15" spans="2:10" s="301" customFormat="1" ht="15" customHeight="1" x14ac:dyDescent="0.25">
      <c r="B15" s="450"/>
    </row>
    <row r="16" spans="2:10" s="301" customFormat="1" ht="15" customHeight="1" x14ac:dyDescent="0.25">
      <c r="B16" s="450"/>
    </row>
    <row r="17" spans="2:5" s="301" customFormat="1" ht="74.25" customHeight="1" x14ac:dyDescent="0.25">
      <c r="B17" s="451" t="s">
        <v>11</v>
      </c>
      <c r="C17" s="1513" t="s">
        <v>12</v>
      </c>
      <c r="D17" s="1514"/>
      <c r="E17" s="1515"/>
    </row>
    <row r="18" spans="2:5" s="301" customFormat="1" ht="15" customHeight="1" x14ac:dyDescent="0.25">
      <c r="B18" s="450"/>
    </row>
    <row r="19" spans="2:5" s="301" customFormat="1" ht="27.75" customHeight="1" x14ac:dyDescent="0.25">
      <c r="B19" s="1482" t="s">
        <v>13</v>
      </c>
      <c r="C19" s="1485"/>
      <c r="D19" s="1486"/>
      <c r="E19" s="1487"/>
    </row>
    <row r="20" spans="2:5" s="301" customFormat="1" ht="24" customHeight="1" x14ac:dyDescent="0.25">
      <c r="B20" s="1483"/>
      <c r="C20" s="452"/>
      <c r="D20" s="453" t="s">
        <v>14</v>
      </c>
      <c r="E20" s="454"/>
    </row>
    <row r="21" spans="2:5" s="301" customFormat="1" ht="24" customHeight="1" x14ac:dyDescent="0.25">
      <c r="B21" s="1483"/>
      <c r="C21" s="452"/>
      <c r="D21" s="455" t="s">
        <v>15</v>
      </c>
      <c r="E21" s="454"/>
    </row>
    <row r="22" spans="2:5" s="301" customFormat="1" ht="24" customHeight="1" x14ac:dyDescent="0.25">
      <c r="B22" s="1483"/>
      <c r="C22" s="452"/>
      <c r="D22" s="456" t="s">
        <v>16</v>
      </c>
      <c r="E22" s="454"/>
    </row>
    <row r="23" spans="2:5" s="301" customFormat="1" ht="24" customHeight="1" x14ac:dyDescent="0.25">
      <c r="B23" s="1483"/>
      <c r="C23" s="452"/>
      <c r="D23" s="457" t="s">
        <v>17</v>
      </c>
      <c r="E23" s="454"/>
    </row>
    <row r="24" spans="2:5" s="301" customFormat="1" ht="85.5" customHeight="1" x14ac:dyDescent="0.25">
      <c r="B24" s="1483"/>
      <c r="C24" s="452"/>
      <c r="D24" s="1410" t="s">
        <v>18</v>
      </c>
      <c r="E24" s="454"/>
    </row>
    <row r="25" spans="2:5" s="301" customFormat="1" ht="21.75" customHeight="1" x14ac:dyDescent="0.25">
      <c r="B25" s="1484"/>
      <c r="C25" s="458"/>
      <c r="D25" s="459"/>
      <c r="E25" s="460"/>
    </row>
    <row r="26" spans="2:5" s="301" customFormat="1" ht="15" customHeight="1" x14ac:dyDescent="0.25">
      <c r="B26" s="450"/>
    </row>
    <row r="27" spans="2:5" ht="28.9" customHeight="1" x14ac:dyDescent="0.25">
      <c r="C27" s="238"/>
      <c r="D27" s="238"/>
      <c r="E27" s="238"/>
    </row>
    <row r="28" spans="2:5" ht="28.9" hidden="1" customHeight="1" x14ac:dyDescent="0.25">
      <c r="C28" s="238"/>
      <c r="D28" s="238"/>
      <c r="E28" s="238"/>
    </row>
    <row r="29" spans="2:5" ht="28.9" hidden="1" customHeight="1" x14ac:dyDescent="0.25">
      <c r="C29" s="238"/>
      <c r="D29" s="238"/>
      <c r="E29" s="238"/>
    </row>
    <row r="30" spans="2:5" ht="28.9" customHeight="1" x14ac:dyDescent="0.25"/>
    <row r="31" spans="2:5" ht="28.9" customHeight="1" x14ac:dyDescent="0.25"/>
    <row r="32" spans="2:5" ht="28.9" customHeight="1" x14ac:dyDescent="0.25"/>
    <row r="33" ht="28.9" customHeight="1" x14ac:dyDescent="0.25"/>
    <row r="34" ht="28.9" customHeight="1" x14ac:dyDescent="0.25"/>
  </sheetData>
  <sheetProtection algorithmName="SHA-256" hashValue="Ogf1vlc7ICLsjuVMvp+tSBViIedjOvn+KxmrerTJibQ=" saltValue="i6h19e9GeO1ZOcLjdLTWCw==" spinCount="100000" sheet="1" objects="1" scenarios="1"/>
  <mergeCells count="15">
    <mergeCell ref="B19:B25"/>
    <mergeCell ref="C19:E19"/>
    <mergeCell ref="B2:E2"/>
    <mergeCell ref="B3:E3"/>
    <mergeCell ref="B4:E4"/>
    <mergeCell ref="B5:E5"/>
    <mergeCell ref="C6:E6"/>
    <mergeCell ref="B8:B9"/>
    <mergeCell ref="C8:D8"/>
    <mergeCell ref="C9:E9"/>
    <mergeCell ref="B11:B12"/>
    <mergeCell ref="C11:D11"/>
    <mergeCell ref="C12:E12"/>
    <mergeCell ref="C14:E14"/>
    <mergeCell ref="C17:E17"/>
  </mergeCells>
  <pageMargins left="0.7" right="0.7" top="0.75" bottom="0.75" header="0.3" footer="0.3"/>
  <pageSetup paperSize="9" orientation="portrait" r:id="rId1"/>
  <headerFooter>
    <oddFooter>&amp;C_x000D_&amp;1#&amp;"Calibri"&amp;10&amp;K000000 Ringfenced Confidential - Commercially Sensitive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7375E"/>
  </sheetPr>
  <dimension ref="A1:I34"/>
  <sheetViews>
    <sheetView showGridLines="0" workbookViewId="0">
      <selection activeCell="N7" sqref="N7"/>
    </sheetView>
  </sheetViews>
  <sheetFormatPr defaultColWidth="9.140625" defaultRowHeight="15" outlineLevelRow="1" x14ac:dyDescent="0.25"/>
  <cols>
    <col min="1" max="1" width="22.7109375" customWidth="1"/>
    <col min="2" max="2" width="46.42578125" customWidth="1"/>
    <col min="3" max="9" width="20.71093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241</v>
      </c>
      <c r="C4" s="383"/>
      <c r="D4" s="383"/>
      <c r="E4" s="383"/>
      <c r="F4" s="383"/>
      <c r="G4" s="383"/>
      <c r="H4" s="383"/>
      <c r="I4" s="383"/>
    </row>
    <row r="5" spans="1:9" ht="30" customHeight="1" x14ac:dyDescent="0.25">
      <c r="B5" s="1440" t="s">
        <v>96</v>
      </c>
      <c r="C5" s="1440"/>
      <c r="D5" s="1440"/>
      <c r="E5" s="1440"/>
      <c r="F5" s="1440"/>
      <c r="G5" s="1440"/>
      <c r="H5" s="1440"/>
      <c r="I5" s="1440"/>
    </row>
    <row r="6" spans="1:9" ht="15" customHeight="1" x14ac:dyDescent="0.25"/>
    <row r="7" spans="1:9" s="41" customFormat="1" ht="24.75" customHeight="1" x14ac:dyDescent="0.2">
      <c r="B7" s="31" t="s">
        <v>242</v>
      </c>
      <c r="C7" s="31"/>
      <c r="D7" s="31"/>
      <c r="E7" s="31"/>
      <c r="F7" s="31"/>
      <c r="G7" s="31"/>
      <c r="H7" s="31"/>
      <c r="I7" s="31"/>
    </row>
    <row r="8" spans="1:9" s="41" customFormat="1" ht="15" customHeight="1" outlineLevel="1" x14ac:dyDescent="0.2">
      <c r="C8" s="1331" t="s">
        <v>24</v>
      </c>
      <c r="D8" s="1331"/>
      <c r="E8" s="1331"/>
      <c r="F8" s="1331"/>
      <c r="G8" s="1331"/>
      <c r="H8" s="1331"/>
      <c r="I8" s="1331"/>
    </row>
    <row r="9" spans="1:9" s="41" customFormat="1" ht="15" customHeight="1" outlineLevel="1" x14ac:dyDescent="0.2">
      <c r="C9" s="1331" t="str">
        <f ca="1">CONCATENATE("$, real ",dms_DollarReal)</f>
        <v>$, real June 2026</v>
      </c>
      <c r="D9" s="1331"/>
      <c r="E9" s="1331"/>
      <c r="F9" s="1331"/>
      <c r="G9" s="1331"/>
      <c r="H9" s="1331"/>
      <c r="I9" s="1331"/>
    </row>
    <row r="10" spans="1:9" s="41" customFormat="1" ht="15.75" customHeight="1" outlineLevel="1" x14ac:dyDescent="0.2">
      <c r="C10" s="298" t="str">
        <f ca="1">dms_y1</f>
        <v>2024-25</v>
      </c>
      <c r="D10" s="298" t="str">
        <f ca="1">dms_y2</f>
        <v>2025-26</v>
      </c>
      <c r="E10" s="298" t="str">
        <f ca="1">dms_y3</f>
        <v>2026-27</v>
      </c>
      <c r="F10" s="298" t="str">
        <f ca="1">dms_y4</f>
        <v>2027-28</v>
      </c>
      <c r="G10" s="298" t="str">
        <f ca="1">dms_y5</f>
        <v>2028-29</v>
      </c>
      <c r="H10" s="298" t="str">
        <f ca="1">dms_y6</f>
        <v>2029-30</v>
      </c>
      <c r="I10" s="298" t="str">
        <f ca="1">dms_y7</f>
        <v>2030-31</v>
      </c>
    </row>
    <row r="11" spans="1:9" s="41" customFormat="1" ht="24.75" customHeight="1" outlineLevel="1" x14ac:dyDescent="0.2">
      <c r="A11" s="276"/>
      <c r="B11" s="235" t="s">
        <v>243</v>
      </c>
      <c r="C11" s="236"/>
      <c r="D11" s="236"/>
      <c r="E11" s="236"/>
      <c r="F11" s="236"/>
      <c r="G11" s="236"/>
      <c r="H11" s="236"/>
      <c r="I11" s="237"/>
    </row>
    <row r="12" spans="1:9" s="41" customFormat="1" ht="16.5" customHeight="1" outlineLevel="1" x14ac:dyDescent="0.25">
      <c r="A12" s="276"/>
      <c r="B12" s="35" t="s">
        <v>244</v>
      </c>
      <c r="C12" s="348">
        <v>0</v>
      </c>
      <c r="D12" s="351">
        <v>0</v>
      </c>
      <c r="E12" s="241">
        <v>0</v>
      </c>
      <c r="F12" s="242">
        <v>0</v>
      </c>
      <c r="G12" s="242">
        <v>0</v>
      </c>
      <c r="H12" s="242">
        <v>0</v>
      </c>
      <c r="I12" s="243">
        <v>0</v>
      </c>
    </row>
    <row r="13" spans="1:9" s="41" customFormat="1" ht="16.5" customHeight="1" outlineLevel="1" x14ac:dyDescent="0.25">
      <c r="A13" s="276"/>
      <c r="B13" s="35" t="s">
        <v>245</v>
      </c>
      <c r="C13" s="349"/>
      <c r="D13" s="352"/>
      <c r="E13" s="353"/>
      <c r="F13" s="350"/>
      <c r="G13" s="350"/>
      <c r="H13" s="350"/>
      <c r="I13" s="560"/>
    </row>
    <row r="14" spans="1:9" s="38" customFormat="1" ht="13.9" customHeight="1" outlineLevel="1" x14ac:dyDescent="0.2">
      <c r="A14" s="288"/>
      <c r="B14" s="518" t="s">
        <v>112</v>
      </c>
      <c r="C14" s="519">
        <f t="shared" ref="C14:I14" si="0">SUM(C12:C13)</f>
        <v>0</v>
      </c>
      <c r="D14" s="519">
        <f t="shared" si="0"/>
        <v>0</v>
      </c>
      <c r="E14" s="519">
        <f t="shared" si="0"/>
        <v>0</v>
      </c>
      <c r="F14" s="519">
        <f t="shared" si="0"/>
        <v>0</v>
      </c>
      <c r="G14" s="519">
        <f t="shared" si="0"/>
        <v>0</v>
      </c>
      <c r="H14" s="519">
        <f t="shared" si="0"/>
        <v>0</v>
      </c>
      <c r="I14" s="520">
        <f t="shared" si="0"/>
        <v>0</v>
      </c>
    </row>
    <row r="15" spans="1:9" s="41" customFormat="1" ht="24.75" customHeight="1" outlineLevel="1" x14ac:dyDescent="0.2">
      <c r="A15" s="276"/>
      <c r="B15" s="235" t="s">
        <v>246</v>
      </c>
      <c r="C15" s="236"/>
      <c r="D15" s="236"/>
      <c r="E15" s="236"/>
      <c r="F15" s="236"/>
      <c r="G15" s="236"/>
      <c r="H15" s="236"/>
      <c r="I15" s="237"/>
    </row>
    <row r="16" spans="1:9" s="41" customFormat="1" ht="16.5" customHeight="1" outlineLevel="1" x14ac:dyDescent="0.25">
      <c r="A16" s="276"/>
      <c r="B16" s="35" t="s">
        <v>244</v>
      </c>
      <c r="C16" s="348">
        <v>0</v>
      </c>
      <c r="D16" s="351">
        <v>0</v>
      </c>
      <c r="E16" s="241">
        <v>0</v>
      </c>
      <c r="F16" s="242">
        <v>0</v>
      </c>
      <c r="G16" s="242">
        <v>0</v>
      </c>
      <c r="H16" s="242">
        <v>0</v>
      </c>
      <c r="I16" s="243">
        <v>0</v>
      </c>
    </row>
    <row r="17" spans="1:9" s="41" customFormat="1" ht="16.5" customHeight="1" outlineLevel="1" x14ac:dyDescent="0.25">
      <c r="A17" s="276"/>
      <c r="B17" s="35" t="s">
        <v>245</v>
      </c>
      <c r="C17" s="349"/>
      <c r="D17" s="352"/>
      <c r="E17" s="353"/>
      <c r="F17" s="350"/>
      <c r="G17" s="350"/>
      <c r="H17" s="350"/>
      <c r="I17" s="560"/>
    </row>
    <row r="18" spans="1:9" s="38" customFormat="1" ht="13.9" customHeight="1" outlineLevel="1" x14ac:dyDescent="0.2">
      <c r="A18" s="288"/>
      <c r="B18" s="518" t="s">
        <v>112</v>
      </c>
      <c r="C18" s="519">
        <f t="shared" ref="C18:I18" si="1">SUM(C16:C17)</f>
        <v>0</v>
      </c>
      <c r="D18" s="519">
        <f t="shared" si="1"/>
        <v>0</v>
      </c>
      <c r="E18" s="519">
        <f t="shared" si="1"/>
        <v>0</v>
      </c>
      <c r="F18" s="519">
        <f t="shared" si="1"/>
        <v>0</v>
      </c>
      <c r="G18" s="519">
        <f t="shared" si="1"/>
        <v>0</v>
      </c>
      <c r="H18" s="519">
        <f t="shared" si="1"/>
        <v>0</v>
      </c>
      <c r="I18" s="520">
        <f t="shared" si="1"/>
        <v>0</v>
      </c>
    </row>
    <row r="19" spans="1:9" outlineLevel="1" x14ac:dyDescent="0.25"/>
    <row r="21" spans="1:9" ht="15" customHeight="1" x14ac:dyDescent="0.25"/>
    <row r="22" spans="1:9" s="41" customFormat="1" ht="24.75" customHeight="1" x14ac:dyDescent="0.2">
      <c r="A22" s="276"/>
      <c r="B22" s="31" t="s">
        <v>247</v>
      </c>
      <c r="C22" s="31"/>
      <c r="D22" s="31"/>
      <c r="E22" s="31"/>
      <c r="F22" s="31"/>
      <c r="G22" s="31"/>
      <c r="H22" s="31"/>
      <c r="I22" s="31"/>
    </row>
    <row r="23" spans="1:9" s="41" customFormat="1" ht="15" customHeight="1" outlineLevel="1" x14ac:dyDescent="0.2">
      <c r="C23" s="1331" t="s">
        <v>24</v>
      </c>
      <c r="D23" s="1331"/>
      <c r="E23" s="1331"/>
      <c r="F23" s="1331"/>
      <c r="G23" s="1331"/>
      <c r="H23" s="1331"/>
      <c r="I23" s="1331"/>
    </row>
    <row r="24" spans="1:9" s="41" customFormat="1" ht="15" customHeight="1" outlineLevel="1" x14ac:dyDescent="0.2">
      <c r="C24" s="1331" t="str">
        <f ca="1">CONCATENATE("$, real ",dms_DollarReal)</f>
        <v>$, real June 2026</v>
      </c>
      <c r="D24" s="1331"/>
      <c r="E24" s="1331"/>
      <c r="F24" s="1331"/>
      <c r="G24" s="1331"/>
      <c r="H24" s="1331"/>
      <c r="I24" s="1331"/>
    </row>
    <row r="25" spans="1:9" s="41" customFormat="1" ht="15.75" customHeight="1" outlineLevel="1" x14ac:dyDescent="0.2">
      <c r="C25" s="298" t="str">
        <f ca="1">dms_y1</f>
        <v>2024-25</v>
      </c>
      <c r="D25" s="298" t="str">
        <f ca="1">dms_y2</f>
        <v>2025-26</v>
      </c>
      <c r="E25" s="298" t="str">
        <f ca="1">dms_y3</f>
        <v>2026-27</v>
      </c>
      <c r="F25" s="298" t="str">
        <f ca="1">dms_y4</f>
        <v>2027-28</v>
      </c>
      <c r="G25" s="298" t="str">
        <f ca="1">dms_y5</f>
        <v>2028-29</v>
      </c>
      <c r="H25" s="298" t="str">
        <f ca="1">dms_y6</f>
        <v>2029-30</v>
      </c>
      <c r="I25" s="298" t="str">
        <f ca="1">dms_y7</f>
        <v>2030-31</v>
      </c>
    </row>
    <row r="26" spans="1:9" s="41" customFormat="1" ht="24.75" customHeight="1" outlineLevel="1" x14ac:dyDescent="0.2">
      <c r="A26" s="276"/>
      <c r="B26" s="235" t="s">
        <v>248</v>
      </c>
      <c r="C26" s="236"/>
      <c r="D26" s="236"/>
      <c r="E26" s="236"/>
      <c r="F26" s="236"/>
      <c r="G26" s="236"/>
      <c r="H26" s="236"/>
      <c r="I26" s="237"/>
    </row>
    <row r="27" spans="1:9" s="41" customFormat="1" outlineLevel="1" x14ac:dyDescent="0.25">
      <c r="A27" s="276"/>
      <c r="B27" s="35" t="s">
        <v>244</v>
      </c>
      <c r="C27" s="348">
        <v>4761662</v>
      </c>
      <c r="D27" s="351">
        <v>4303172</v>
      </c>
      <c r="E27" s="241">
        <v>4065332</v>
      </c>
      <c r="F27" s="242">
        <v>4064422</v>
      </c>
      <c r="G27" s="242">
        <v>4062923</v>
      </c>
      <c r="H27" s="242">
        <v>4061108</v>
      </c>
      <c r="I27" s="243">
        <v>4059651</v>
      </c>
    </row>
    <row r="28" spans="1:9" s="41" customFormat="1" outlineLevel="1" x14ac:dyDescent="0.25">
      <c r="A28" s="276"/>
      <c r="B28" s="35" t="s">
        <v>245</v>
      </c>
      <c r="C28" s="349"/>
      <c r="D28" s="352"/>
      <c r="E28" s="353"/>
      <c r="F28" s="350"/>
      <c r="G28" s="350"/>
      <c r="H28" s="350"/>
      <c r="I28" s="560"/>
    </row>
    <row r="29" spans="1:9" s="38" customFormat="1" ht="13.9" customHeight="1" outlineLevel="1" x14ac:dyDescent="0.2">
      <c r="A29" s="288"/>
      <c r="B29" s="518" t="s">
        <v>112</v>
      </c>
      <c r="C29" s="519">
        <f t="shared" ref="C29:I29" si="2">SUM(C27:C28)</f>
        <v>4761662</v>
      </c>
      <c r="D29" s="519">
        <f t="shared" si="2"/>
        <v>4303172</v>
      </c>
      <c r="E29" s="519">
        <f t="shared" si="2"/>
        <v>4065332</v>
      </c>
      <c r="F29" s="519">
        <f t="shared" si="2"/>
        <v>4064422</v>
      </c>
      <c r="G29" s="519">
        <f t="shared" si="2"/>
        <v>4062923</v>
      </c>
      <c r="H29" s="519">
        <f t="shared" si="2"/>
        <v>4061108</v>
      </c>
      <c r="I29" s="520">
        <f t="shared" si="2"/>
        <v>4059651</v>
      </c>
    </row>
    <row r="30" spans="1:9" s="41" customFormat="1" ht="24.75" customHeight="1" outlineLevel="1" x14ac:dyDescent="0.2">
      <c r="A30" s="276"/>
      <c r="B30" s="235" t="s">
        <v>249</v>
      </c>
      <c r="C30" s="236"/>
      <c r="D30" s="236"/>
      <c r="E30" s="236"/>
      <c r="F30" s="236"/>
      <c r="G30" s="236"/>
      <c r="H30" s="236"/>
      <c r="I30" s="237"/>
    </row>
    <row r="31" spans="1:9" s="41" customFormat="1" outlineLevel="1" x14ac:dyDescent="0.25">
      <c r="A31" s="276"/>
      <c r="B31" s="35" t="s">
        <v>244</v>
      </c>
      <c r="C31" s="348">
        <v>790339</v>
      </c>
      <c r="D31" s="351">
        <v>547169</v>
      </c>
      <c r="E31" s="241">
        <v>664586</v>
      </c>
      <c r="F31" s="242">
        <v>517800</v>
      </c>
      <c r="G31" s="242">
        <v>514153</v>
      </c>
      <c r="H31" s="242">
        <v>575547</v>
      </c>
      <c r="I31" s="243">
        <v>649094</v>
      </c>
    </row>
    <row r="32" spans="1:9" s="41" customFormat="1" outlineLevel="1" x14ac:dyDescent="0.25">
      <c r="A32" s="276"/>
      <c r="B32" s="35" t="s">
        <v>245</v>
      </c>
      <c r="C32" s="349"/>
      <c r="D32" s="352"/>
      <c r="E32" s="353"/>
      <c r="F32" s="350"/>
      <c r="G32" s="350"/>
      <c r="H32" s="350"/>
      <c r="I32" s="560"/>
    </row>
    <row r="33" spans="1:9" s="38" customFormat="1" ht="13.9" customHeight="1" outlineLevel="1" x14ac:dyDescent="0.2">
      <c r="A33" s="288"/>
      <c r="B33" s="518" t="s">
        <v>112</v>
      </c>
      <c r="C33" s="519">
        <f t="shared" ref="C33:I33" si="3">SUM(C31:C32)</f>
        <v>790339</v>
      </c>
      <c r="D33" s="519">
        <f t="shared" si="3"/>
        <v>547169</v>
      </c>
      <c r="E33" s="519">
        <f t="shared" si="3"/>
        <v>664586</v>
      </c>
      <c r="F33" s="519">
        <f t="shared" si="3"/>
        <v>517800</v>
      </c>
      <c r="G33" s="519">
        <f t="shared" si="3"/>
        <v>514153</v>
      </c>
      <c r="H33" s="519">
        <f t="shared" si="3"/>
        <v>575547</v>
      </c>
      <c r="I33" s="520">
        <f t="shared" si="3"/>
        <v>649094</v>
      </c>
    </row>
    <row r="34" spans="1:9" s="41" customFormat="1" ht="21" customHeight="1" x14ac:dyDescent="0.3">
      <c r="A34" s="276"/>
      <c r="B34" s="276"/>
      <c r="C34" s="312"/>
      <c r="D34" s="312"/>
      <c r="E34" s="312"/>
      <c r="F34" s="276"/>
      <c r="G34" s="276"/>
      <c r="H34" s="276"/>
      <c r="I34" s="276"/>
    </row>
  </sheetData>
  <sheetProtection algorithmName="SHA-256" hashValue="weUhjOpVuaHE9IpsA50Y/jTPtwL6pOQVCyDy64uPEc0=" saltValue="9zs2heYeCfiwfvsCA89lcA=="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17375E"/>
  </sheetPr>
  <dimension ref="A1:K142"/>
  <sheetViews>
    <sheetView showGridLines="0" zoomScale="75" zoomScaleNormal="75" workbookViewId="0">
      <selection activeCell="B29" sqref="B29"/>
    </sheetView>
  </sheetViews>
  <sheetFormatPr defaultColWidth="9.140625" defaultRowHeight="15" outlineLevelRow="1" x14ac:dyDescent="0.25"/>
  <cols>
    <col min="1" max="1" width="22.7109375" customWidth="1"/>
    <col min="2" max="2" width="91.140625" customWidth="1"/>
    <col min="3" max="9" width="20.855468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250</v>
      </c>
      <c r="C4" s="383"/>
      <c r="D4" s="383"/>
      <c r="E4" s="383"/>
      <c r="F4" s="383"/>
      <c r="G4" s="383"/>
      <c r="H4" s="383"/>
      <c r="I4" s="383"/>
    </row>
    <row r="5" spans="1:9" ht="30" customHeight="1" x14ac:dyDescent="0.25">
      <c r="B5" s="1440" t="s">
        <v>96</v>
      </c>
      <c r="C5" s="1440"/>
      <c r="D5" s="1440"/>
      <c r="E5" s="1440"/>
      <c r="F5" s="1440"/>
      <c r="G5" s="1440"/>
      <c r="H5" s="1440"/>
      <c r="I5" s="1440"/>
    </row>
    <row r="7" spans="1:9" ht="18.600000000000001" customHeight="1" x14ac:dyDescent="0.3">
      <c r="B7" s="493" t="s">
        <v>125</v>
      </c>
    </row>
    <row r="8" spans="1:9" x14ac:dyDescent="0.25">
      <c r="B8" s="1118" t="s">
        <v>163</v>
      </c>
    </row>
    <row r="9" spans="1:9" x14ac:dyDescent="0.25">
      <c r="B9" s="1120"/>
    </row>
    <row r="10" spans="1:9" x14ac:dyDescent="0.25">
      <c r="B10" s="1120"/>
    </row>
    <row r="11" spans="1:9" x14ac:dyDescent="0.25">
      <c r="B11" s="1120"/>
    </row>
    <row r="12" spans="1:9" x14ac:dyDescent="0.25">
      <c r="B12" s="1120"/>
    </row>
    <row r="13" spans="1:9" x14ac:dyDescent="0.25">
      <c r="B13" s="1120"/>
    </row>
    <row r="14" spans="1:9" x14ac:dyDescent="0.25">
      <c r="B14" s="1120"/>
    </row>
    <row r="15" spans="1:9" x14ac:dyDescent="0.25">
      <c r="B15" s="1120"/>
    </row>
    <row r="16" spans="1:9" x14ac:dyDescent="0.25">
      <c r="B16" s="1120"/>
    </row>
    <row r="17" spans="1:9" x14ac:dyDescent="0.25">
      <c r="B17" s="1120"/>
    </row>
    <row r="18" spans="1:9" x14ac:dyDescent="0.25">
      <c r="B18" s="1120"/>
    </row>
    <row r="19" spans="1:9" x14ac:dyDescent="0.25">
      <c r="B19" s="1120"/>
    </row>
    <row r="20" spans="1:9" x14ac:dyDescent="0.25">
      <c r="B20" s="1120"/>
    </row>
    <row r="21" spans="1:9" x14ac:dyDescent="0.25">
      <c r="B21" s="1120"/>
    </row>
    <row r="22" spans="1:9" ht="15" customHeight="1" x14ac:dyDescent="0.25">
      <c r="B22" s="1124"/>
    </row>
    <row r="23" spans="1:9" ht="15" customHeight="1" x14ac:dyDescent="0.25"/>
    <row r="24" spans="1:9" s="41" customFormat="1" ht="28.5" customHeight="1" x14ac:dyDescent="0.2">
      <c r="B24" s="31" t="s">
        <v>251</v>
      </c>
      <c r="C24" s="31"/>
      <c r="D24" s="31"/>
      <c r="E24" s="31"/>
      <c r="F24" s="31"/>
      <c r="G24" s="31"/>
      <c r="H24" s="31"/>
      <c r="I24" s="31"/>
    </row>
    <row r="25" spans="1:9" ht="21.75" customHeight="1" x14ac:dyDescent="0.25">
      <c r="B25" s="235" t="s">
        <v>135</v>
      </c>
      <c r="C25" s="236"/>
      <c r="D25" s="236"/>
      <c r="E25" s="236"/>
      <c r="F25" s="236"/>
      <c r="G25" s="236"/>
      <c r="H25" s="236"/>
      <c r="I25" s="237"/>
    </row>
    <row r="26" spans="1:9" ht="24.75" customHeight="1" outlineLevel="1" x14ac:dyDescent="0.25">
      <c r="C26" s="1331" t="s">
        <v>24</v>
      </c>
      <c r="D26" s="1331"/>
      <c r="E26" s="1331"/>
      <c r="F26" s="1331"/>
      <c r="G26" s="1331"/>
      <c r="H26" s="1331"/>
      <c r="I26" s="1331"/>
    </row>
    <row r="27" spans="1:9" s="41" customFormat="1" ht="12.75" customHeight="1" outlineLevel="1" x14ac:dyDescent="0.2">
      <c r="A27" s="276"/>
      <c r="C27" s="1331" t="str">
        <f ca="1">CONCATENATE("$, real ",dms_DollarReal)</f>
        <v>$, real June 2026</v>
      </c>
      <c r="D27" s="1331"/>
      <c r="E27" s="1331"/>
      <c r="F27" s="1331"/>
      <c r="G27" s="1331"/>
      <c r="H27" s="1331"/>
      <c r="I27" s="1331"/>
    </row>
    <row r="28" spans="1:9" s="41" customFormat="1" ht="15" customHeight="1" outlineLevel="1" x14ac:dyDescent="0.25">
      <c r="A28" s="276"/>
      <c r="B28" s="77"/>
      <c r="C28" s="298" t="str">
        <f ca="1">dms_y1</f>
        <v>2024-25</v>
      </c>
      <c r="D28" s="298" t="str">
        <f ca="1">dms_y2</f>
        <v>2025-26</v>
      </c>
      <c r="E28" s="298" t="str">
        <f ca="1">dms_y3</f>
        <v>2026-27</v>
      </c>
      <c r="F28" s="298" t="str">
        <f ca="1">dms_y4</f>
        <v>2027-28</v>
      </c>
      <c r="G28" s="298" t="str">
        <f ca="1">dms_y5</f>
        <v>2028-29</v>
      </c>
      <c r="H28" s="298" t="str">
        <f ca="1">dms_y6</f>
        <v>2029-30</v>
      </c>
      <c r="I28" s="298" t="str">
        <f ca="1">dms_y7</f>
        <v>2030-31</v>
      </c>
    </row>
    <row r="29" spans="1:9" ht="15.75" customHeight="1" outlineLevel="1" x14ac:dyDescent="0.25">
      <c r="B29" s="527" t="s">
        <v>163</v>
      </c>
      <c r="C29" s="261">
        <v>0</v>
      </c>
      <c r="D29" s="263">
        <v>0</v>
      </c>
      <c r="E29" s="294">
        <v>0</v>
      </c>
      <c r="F29" s="262">
        <v>0</v>
      </c>
      <c r="G29" s="262">
        <v>0</v>
      </c>
      <c r="H29" s="262">
        <v>0</v>
      </c>
      <c r="I29" s="265">
        <v>0</v>
      </c>
    </row>
    <row r="30" spans="1:9" ht="15.75" customHeight="1" outlineLevel="1" x14ac:dyDescent="0.25">
      <c r="B30" s="506"/>
      <c r="C30" s="270"/>
      <c r="D30" s="271"/>
      <c r="E30" s="295"/>
      <c r="F30" s="256"/>
      <c r="G30" s="256"/>
      <c r="H30" s="256"/>
      <c r="I30" s="257"/>
    </row>
    <row r="31" spans="1:9" ht="15.75" customHeight="1" outlineLevel="1" x14ac:dyDescent="0.25">
      <c r="B31" s="506"/>
      <c r="C31" s="270"/>
      <c r="D31" s="271"/>
      <c r="E31" s="295"/>
      <c r="F31" s="256"/>
      <c r="G31" s="256"/>
      <c r="H31" s="256"/>
      <c r="I31" s="257"/>
    </row>
    <row r="32" spans="1:9" ht="15.75" customHeight="1" outlineLevel="1" x14ac:dyDescent="0.25">
      <c r="B32" s="506"/>
      <c r="C32" s="270"/>
      <c r="D32" s="271"/>
      <c r="E32" s="295"/>
      <c r="F32" s="256"/>
      <c r="G32" s="256"/>
      <c r="H32" s="256"/>
      <c r="I32" s="257"/>
    </row>
    <row r="33" spans="2:9" ht="15.75" customHeight="1" outlineLevel="1" x14ac:dyDescent="0.25">
      <c r="B33" s="506"/>
      <c r="C33" s="270"/>
      <c r="D33" s="271"/>
      <c r="E33" s="295"/>
      <c r="F33" s="256"/>
      <c r="G33" s="256"/>
      <c r="H33" s="256"/>
      <c r="I33" s="257"/>
    </row>
    <row r="34" spans="2:9" ht="15.75" customHeight="1" outlineLevel="1" x14ac:dyDescent="0.25">
      <c r="B34" s="506"/>
      <c r="C34" s="270"/>
      <c r="D34" s="271"/>
      <c r="E34" s="295"/>
      <c r="F34" s="256"/>
      <c r="G34" s="256"/>
      <c r="H34" s="256"/>
      <c r="I34" s="257"/>
    </row>
    <row r="35" spans="2:9" ht="15.75" customHeight="1" outlineLevel="1" x14ac:dyDescent="0.25">
      <c r="B35" s="506"/>
      <c r="C35" s="270"/>
      <c r="D35" s="271"/>
      <c r="E35" s="295"/>
      <c r="F35" s="256"/>
      <c r="G35" s="256"/>
      <c r="H35" s="256"/>
      <c r="I35" s="257"/>
    </row>
    <row r="36" spans="2:9" ht="15.75" customHeight="1" outlineLevel="1" x14ac:dyDescent="0.25">
      <c r="B36" s="506"/>
      <c r="C36" s="270"/>
      <c r="D36" s="271"/>
      <c r="E36" s="295"/>
      <c r="F36" s="256"/>
      <c r="G36" s="256"/>
      <c r="H36" s="256"/>
      <c r="I36" s="257"/>
    </row>
    <row r="37" spans="2:9" ht="15.75" customHeight="1" outlineLevel="1" x14ac:dyDescent="0.25">
      <c r="B37" s="506"/>
      <c r="C37" s="270"/>
      <c r="D37" s="271"/>
      <c r="E37" s="295"/>
      <c r="F37" s="256"/>
      <c r="G37" s="256"/>
      <c r="H37" s="256"/>
      <c r="I37" s="257"/>
    </row>
    <row r="38" spans="2:9" ht="15.75" customHeight="1" outlineLevel="1" x14ac:dyDescent="0.25">
      <c r="B38" s="506"/>
      <c r="C38" s="270"/>
      <c r="D38" s="271"/>
      <c r="E38" s="295"/>
      <c r="F38" s="256"/>
      <c r="G38" s="256"/>
      <c r="H38" s="256"/>
      <c r="I38" s="257"/>
    </row>
    <row r="39" spans="2:9" ht="15.75" customHeight="1" outlineLevel="1" x14ac:dyDescent="0.25">
      <c r="B39" s="506"/>
      <c r="C39" s="270"/>
      <c r="D39" s="271"/>
      <c r="E39" s="295"/>
      <c r="F39" s="256"/>
      <c r="G39" s="256"/>
      <c r="H39" s="256"/>
      <c r="I39" s="257"/>
    </row>
    <row r="40" spans="2:9" ht="15.75" customHeight="1" outlineLevel="1" x14ac:dyDescent="0.25">
      <c r="B40" s="506"/>
      <c r="C40" s="270"/>
      <c r="D40" s="271"/>
      <c r="E40" s="295"/>
      <c r="F40" s="256"/>
      <c r="G40" s="256"/>
      <c r="H40" s="256"/>
      <c r="I40" s="257"/>
    </row>
    <row r="41" spans="2:9" ht="15.75" customHeight="1" outlineLevel="1" x14ac:dyDescent="0.25">
      <c r="B41" s="506"/>
      <c r="C41" s="270"/>
      <c r="D41" s="271"/>
      <c r="E41" s="295"/>
      <c r="F41" s="256"/>
      <c r="G41" s="256"/>
      <c r="H41" s="256"/>
      <c r="I41" s="257"/>
    </row>
    <row r="42" spans="2:9" ht="15.75" customHeight="1" outlineLevel="1" x14ac:dyDescent="0.25">
      <c r="B42" s="506"/>
      <c r="C42" s="270"/>
      <c r="D42" s="271"/>
      <c r="E42" s="295"/>
      <c r="F42" s="256"/>
      <c r="G42" s="256"/>
      <c r="H42" s="256"/>
      <c r="I42" s="257"/>
    </row>
    <row r="43" spans="2:9" ht="15.75" customHeight="1" outlineLevel="1" x14ac:dyDescent="0.25">
      <c r="B43" s="506"/>
      <c r="C43" s="270"/>
      <c r="D43" s="271"/>
      <c r="E43" s="295"/>
      <c r="F43" s="256"/>
      <c r="G43" s="256"/>
      <c r="H43" s="256"/>
      <c r="I43" s="257"/>
    </row>
    <row r="44" spans="2:9" ht="15.75" customHeight="1" outlineLevel="1" x14ac:dyDescent="0.25">
      <c r="B44" s="511" t="s">
        <v>151</v>
      </c>
      <c r="C44" s="272"/>
      <c r="D44" s="546"/>
      <c r="E44" s="296"/>
      <c r="F44" s="259"/>
      <c r="G44" s="259"/>
      <c r="H44" s="259"/>
      <c r="I44" s="260"/>
    </row>
    <row r="45" spans="2:9" ht="15.75" customHeight="1" outlineLevel="1" collapsed="1" x14ac:dyDescent="0.25">
      <c r="B45" s="306" t="s">
        <v>112</v>
      </c>
      <c r="C45" s="2">
        <f t="shared" ref="C45:I45" si="0">SUM(C29:C44)</f>
        <v>0</v>
      </c>
      <c r="D45" s="2">
        <f t="shared" si="0"/>
        <v>0</v>
      </c>
      <c r="E45" s="2">
        <f t="shared" si="0"/>
        <v>0</v>
      </c>
      <c r="F45" s="2">
        <f t="shared" si="0"/>
        <v>0</v>
      </c>
      <c r="G45" s="2">
        <f t="shared" si="0"/>
        <v>0</v>
      </c>
      <c r="H45" s="2">
        <f t="shared" si="0"/>
        <v>0</v>
      </c>
      <c r="I45" s="532">
        <f t="shared" si="0"/>
        <v>0</v>
      </c>
    </row>
    <row r="46" spans="2:9" ht="15.75" customHeight="1" x14ac:dyDescent="0.25">
      <c r="B46" s="74"/>
    </row>
    <row r="47" spans="2:9" ht="21.75" customHeight="1" x14ac:dyDescent="0.25">
      <c r="B47" s="235" t="s">
        <v>137</v>
      </c>
      <c r="C47" s="236"/>
      <c r="D47" s="236"/>
      <c r="E47" s="236"/>
      <c r="F47" s="236"/>
      <c r="G47" s="236"/>
      <c r="H47" s="236"/>
      <c r="I47" s="237"/>
    </row>
    <row r="48" spans="2:9" ht="15.75" customHeight="1" outlineLevel="1" x14ac:dyDescent="0.25">
      <c r="B48" s="527"/>
      <c r="C48" s="261">
        <v>0</v>
      </c>
      <c r="D48" s="263">
        <v>0</v>
      </c>
      <c r="E48" s="294">
        <v>0</v>
      </c>
      <c r="F48" s="262">
        <v>0</v>
      </c>
      <c r="G48" s="262">
        <v>0</v>
      </c>
      <c r="H48" s="262">
        <v>0</v>
      </c>
      <c r="I48" s="265">
        <v>0</v>
      </c>
    </row>
    <row r="49" spans="2:9" ht="15.75" customHeight="1" outlineLevel="1" x14ac:dyDescent="0.25">
      <c r="B49" s="506"/>
      <c r="C49" s="270"/>
      <c r="D49" s="271"/>
      <c r="E49" s="295"/>
      <c r="F49" s="256"/>
      <c r="G49" s="256"/>
      <c r="H49" s="256"/>
      <c r="I49" s="257"/>
    </row>
    <row r="50" spans="2:9" ht="15.75" customHeight="1" outlineLevel="1" x14ac:dyDescent="0.25">
      <c r="B50" s="506"/>
      <c r="C50" s="270"/>
      <c r="D50" s="271"/>
      <c r="E50" s="295"/>
      <c r="F50" s="256"/>
      <c r="G50" s="256"/>
      <c r="H50" s="256"/>
      <c r="I50" s="257"/>
    </row>
    <row r="51" spans="2:9" ht="15.75" customHeight="1" outlineLevel="1" x14ac:dyDescent="0.25">
      <c r="B51" s="506"/>
      <c r="C51" s="270"/>
      <c r="D51" s="271"/>
      <c r="E51" s="295"/>
      <c r="F51" s="256"/>
      <c r="G51" s="256"/>
      <c r="H51" s="256"/>
      <c r="I51" s="257"/>
    </row>
    <row r="52" spans="2:9" ht="15.75" customHeight="1" outlineLevel="1" x14ac:dyDescent="0.25">
      <c r="B52" s="506"/>
      <c r="C52" s="270"/>
      <c r="D52" s="271"/>
      <c r="E52" s="295"/>
      <c r="F52" s="256"/>
      <c r="G52" s="256"/>
      <c r="H52" s="256"/>
      <c r="I52" s="257"/>
    </row>
    <row r="53" spans="2:9" ht="15.75" customHeight="1" outlineLevel="1" x14ac:dyDescent="0.25">
      <c r="B53" s="506"/>
      <c r="C53" s="270"/>
      <c r="D53" s="271"/>
      <c r="E53" s="295"/>
      <c r="F53" s="256"/>
      <c r="G53" s="256"/>
      <c r="H53" s="256"/>
      <c r="I53" s="257"/>
    </row>
    <row r="54" spans="2:9" ht="15.75" customHeight="1" outlineLevel="1" x14ac:dyDescent="0.25">
      <c r="B54" s="506"/>
      <c r="C54" s="270"/>
      <c r="D54" s="271"/>
      <c r="E54" s="295"/>
      <c r="F54" s="256"/>
      <c r="G54" s="256"/>
      <c r="H54" s="256"/>
      <c r="I54" s="257"/>
    </row>
    <row r="55" spans="2:9" ht="15.75" customHeight="1" outlineLevel="1" x14ac:dyDescent="0.25">
      <c r="B55" s="506"/>
      <c r="C55" s="270"/>
      <c r="D55" s="271"/>
      <c r="E55" s="295"/>
      <c r="F55" s="256"/>
      <c r="G55" s="256"/>
      <c r="H55" s="256"/>
      <c r="I55" s="257"/>
    </row>
    <row r="56" spans="2:9" ht="15.75" customHeight="1" outlineLevel="1" x14ac:dyDescent="0.25">
      <c r="B56" s="506"/>
      <c r="C56" s="270"/>
      <c r="D56" s="271"/>
      <c r="E56" s="295"/>
      <c r="F56" s="256"/>
      <c r="G56" s="256"/>
      <c r="H56" s="256"/>
      <c r="I56" s="257"/>
    </row>
    <row r="57" spans="2:9" ht="15.75" customHeight="1" outlineLevel="1" x14ac:dyDescent="0.25">
      <c r="B57" s="506"/>
      <c r="C57" s="270"/>
      <c r="D57" s="271"/>
      <c r="E57" s="295"/>
      <c r="F57" s="256"/>
      <c r="G57" s="256"/>
      <c r="H57" s="256"/>
      <c r="I57" s="257"/>
    </row>
    <row r="58" spans="2:9" ht="15.75" customHeight="1" outlineLevel="1" x14ac:dyDescent="0.25">
      <c r="B58" s="506"/>
      <c r="C58" s="270"/>
      <c r="D58" s="271"/>
      <c r="E58" s="295"/>
      <c r="F58" s="256"/>
      <c r="G58" s="256"/>
      <c r="H58" s="256"/>
      <c r="I58" s="257"/>
    </row>
    <row r="59" spans="2:9" ht="15.75" customHeight="1" outlineLevel="1" x14ac:dyDescent="0.25">
      <c r="B59" s="506"/>
      <c r="C59" s="270"/>
      <c r="D59" s="271"/>
      <c r="E59" s="295"/>
      <c r="F59" s="256"/>
      <c r="G59" s="256"/>
      <c r="H59" s="256"/>
      <c r="I59" s="257"/>
    </row>
    <row r="60" spans="2:9" ht="15.75" customHeight="1" outlineLevel="1" x14ac:dyDescent="0.25">
      <c r="B60" s="506"/>
      <c r="C60" s="270"/>
      <c r="D60" s="271"/>
      <c r="E60" s="295"/>
      <c r="F60" s="256"/>
      <c r="G60" s="256"/>
      <c r="H60" s="256"/>
      <c r="I60" s="257"/>
    </row>
    <row r="61" spans="2:9" ht="15.75" customHeight="1" outlineLevel="1" x14ac:dyDescent="0.25">
      <c r="B61" s="506"/>
      <c r="C61" s="270"/>
      <c r="D61" s="271"/>
      <c r="E61" s="295"/>
      <c r="F61" s="256"/>
      <c r="G61" s="256"/>
      <c r="H61" s="256"/>
      <c r="I61" s="257"/>
    </row>
    <row r="62" spans="2:9" ht="15.75" customHeight="1" outlineLevel="1" x14ac:dyDescent="0.25">
      <c r="B62" s="506"/>
      <c r="C62" s="270"/>
      <c r="D62" s="271"/>
      <c r="E62" s="295"/>
      <c r="F62" s="256"/>
      <c r="G62" s="256"/>
      <c r="H62" s="256"/>
      <c r="I62" s="257"/>
    </row>
    <row r="63" spans="2:9" ht="15.75" customHeight="1" outlineLevel="1" x14ac:dyDescent="0.25">
      <c r="B63" s="511" t="s">
        <v>151</v>
      </c>
      <c r="C63" s="272">
        <v>21713</v>
      </c>
      <c r="D63" s="546">
        <v>0</v>
      </c>
      <c r="E63" s="296">
        <v>0</v>
      </c>
      <c r="F63" s="259">
        <v>0</v>
      </c>
      <c r="G63" s="259">
        <v>0</v>
      </c>
      <c r="H63" s="259">
        <v>106798</v>
      </c>
      <c r="I63" s="260">
        <v>0</v>
      </c>
    </row>
    <row r="64" spans="2:9" ht="15.75" customHeight="1" outlineLevel="1" collapsed="1" x14ac:dyDescent="0.25">
      <c r="B64" s="306" t="s">
        <v>112</v>
      </c>
      <c r="C64" s="2">
        <f t="shared" ref="C64:I64" si="1">SUM(C48:C63)</f>
        <v>21713</v>
      </c>
      <c r="D64" s="2">
        <f t="shared" si="1"/>
        <v>0</v>
      </c>
      <c r="E64" s="2">
        <f t="shared" si="1"/>
        <v>0</v>
      </c>
      <c r="F64" s="2">
        <f t="shared" si="1"/>
        <v>0</v>
      </c>
      <c r="G64" s="2">
        <f t="shared" si="1"/>
        <v>0</v>
      </c>
      <c r="H64" s="2">
        <f t="shared" si="1"/>
        <v>106798</v>
      </c>
      <c r="I64" s="532">
        <f t="shared" si="1"/>
        <v>0</v>
      </c>
    </row>
    <row r="65" spans="2:9" ht="15.75" customHeight="1" x14ac:dyDescent="0.25"/>
    <row r="66" spans="2:9" ht="21.75" customHeight="1" x14ac:dyDescent="0.25">
      <c r="B66" s="235" t="s">
        <v>138</v>
      </c>
      <c r="C66" s="236"/>
      <c r="D66" s="236"/>
      <c r="E66" s="236"/>
      <c r="F66" s="236"/>
      <c r="G66" s="236"/>
      <c r="H66" s="236"/>
      <c r="I66" s="237"/>
    </row>
    <row r="67" spans="2:9" ht="15.75" customHeight="1" outlineLevel="1" x14ac:dyDescent="0.25">
      <c r="B67" s="527"/>
      <c r="C67" s="261">
        <v>0</v>
      </c>
      <c r="D67" s="263">
        <v>0</v>
      </c>
      <c r="E67" s="294">
        <v>0</v>
      </c>
      <c r="F67" s="262">
        <v>0</v>
      </c>
      <c r="G67" s="262">
        <v>0</v>
      </c>
      <c r="H67" s="262">
        <v>0</v>
      </c>
      <c r="I67" s="265">
        <v>0</v>
      </c>
    </row>
    <row r="68" spans="2:9" ht="15.75" customHeight="1" outlineLevel="1" x14ac:dyDescent="0.25">
      <c r="B68" s="506"/>
      <c r="C68" s="270"/>
      <c r="D68" s="271"/>
      <c r="E68" s="295"/>
      <c r="F68" s="256"/>
      <c r="G68" s="256"/>
      <c r="H68" s="256"/>
      <c r="I68" s="257"/>
    </row>
    <row r="69" spans="2:9" ht="15.75" customHeight="1" outlineLevel="1" x14ac:dyDescent="0.25">
      <c r="B69" s="506"/>
      <c r="C69" s="270"/>
      <c r="D69" s="271"/>
      <c r="E69" s="295"/>
      <c r="F69" s="256"/>
      <c r="G69" s="256"/>
      <c r="H69" s="256"/>
      <c r="I69" s="257"/>
    </row>
    <row r="70" spans="2:9" ht="15.75" customHeight="1" outlineLevel="1" x14ac:dyDescent="0.25">
      <c r="B70" s="506"/>
      <c r="C70" s="270"/>
      <c r="D70" s="271"/>
      <c r="E70" s="295"/>
      <c r="F70" s="256"/>
      <c r="G70" s="256"/>
      <c r="H70" s="256"/>
      <c r="I70" s="257"/>
    </row>
    <row r="71" spans="2:9" ht="15.75" customHeight="1" outlineLevel="1" x14ac:dyDescent="0.25">
      <c r="B71" s="506"/>
      <c r="C71" s="270"/>
      <c r="D71" s="271"/>
      <c r="E71" s="295"/>
      <c r="F71" s="256"/>
      <c r="G71" s="256"/>
      <c r="H71" s="256"/>
      <c r="I71" s="257"/>
    </row>
    <row r="72" spans="2:9" ht="15.75" customHeight="1" outlineLevel="1" x14ac:dyDescent="0.25">
      <c r="B72" s="506"/>
      <c r="C72" s="270"/>
      <c r="D72" s="271"/>
      <c r="E72" s="295"/>
      <c r="F72" s="256"/>
      <c r="G72" s="256"/>
      <c r="H72" s="256"/>
      <c r="I72" s="257"/>
    </row>
    <row r="73" spans="2:9" ht="15.75" customHeight="1" outlineLevel="1" x14ac:dyDescent="0.25">
      <c r="B73" s="506"/>
      <c r="C73" s="270"/>
      <c r="D73" s="271"/>
      <c r="E73" s="295"/>
      <c r="F73" s="256"/>
      <c r="G73" s="256"/>
      <c r="H73" s="256"/>
      <c r="I73" s="257"/>
    </row>
    <row r="74" spans="2:9" ht="15.75" customHeight="1" outlineLevel="1" x14ac:dyDescent="0.25">
      <c r="B74" s="506"/>
      <c r="C74" s="270"/>
      <c r="D74" s="271"/>
      <c r="E74" s="295"/>
      <c r="F74" s="256"/>
      <c r="G74" s="256"/>
      <c r="H74" s="256"/>
      <c r="I74" s="257"/>
    </row>
    <row r="75" spans="2:9" ht="15.75" customHeight="1" outlineLevel="1" x14ac:dyDescent="0.25">
      <c r="B75" s="506"/>
      <c r="C75" s="270"/>
      <c r="D75" s="271"/>
      <c r="E75" s="295"/>
      <c r="F75" s="256"/>
      <c r="G75" s="256"/>
      <c r="H75" s="256"/>
      <c r="I75" s="257"/>
    </row>
    <row r="76" spans="2:9" ht="15.75" customHeight="1" outlineLevel="1" x14ac:dyDescent="0.25">
      <c r="B76" s="506"/>
      <c r="C76" s="270"/>
      <c r="D76" s="271"/>
      <c r="E76" s="295"/>
      <c r="F76" s="256"/>
      <c r="G76" s="256"/>
      <c r="H76" s="256"/>
      <c r="I76" s="257"/>
    </row>
    <row r="77" spans="2:9" ht="15.75" customHeight="1" outlineLevel="1" x14ac:dyDescent="0.25">
      <c r="B77" s="506"/>
      <c r="C77" s="270"/>
      <c r="D77" s="271"/>
      <c r="E77" s="295"/>
      <c r="F77" s="256"/>
      <c r="G77" s="256"/>
      <c r="H77" s="256"/>
      <c r="I77" s="257"/>
    </row>
    <row r="78" spans="2:9" ht="15.75" customHeight="1" outlineLevel="1" x14ac:dyDescent="0.25">
      <c r="B78" s="506"/>
      <c r="C78" s="270"/>
      <c r="D78" s="271"/>
      <c r="E78" s="295"/>
      <c r="F78" s="256"/>
      <c r="G78" s="256"/>
      <c r="H78" s="256"/>
      <c r="I78" s="257"/>
    </row>
    <row r="79" spans="2:9" ht="15.75" customHeight="1" outlineLevel="1" x14ac:dyDescent="0.25">
      <c r="B79" s="506"/>
      <c r="C79" s="270"/>
      <c r="D79" s="271"/>
      <c r="E79" s="295"/>
      <c r="F79" s="256"/>
      <c r="G79" s="256"/>
      <c r="H79" s="256"/>
      <c r="I79" s="257"/>
    </row>
    <row r="80" spans="2:9" ht="15.75" customHeight="1" outlineLevel="1" x14ac:dyDescent="0.25">
      <c r="B80" s="506"/>
      <c r="C80" s="270"/>
      <c r="D80" s="271"/>
      <c r="E80" s="295"/>
      <c r="F80" s="256"/>
      <c r="G80" s="256"/>
      <c r="H80" s="256"/>
      <c r="I80" s="257"/>
    </row>
    <row r="81" spans="2:9" ht="15.75" customHeight="1" outlineLevel="1" x14ac:dyDescent="0.25">
      <c r="B81" s="506"/>
      <c r="C81" s="270"/>
      <c r="D81" s="271"/>
      <c r="E81" s="295"/>
      <c r="F81" s="256"/>
      <c r="G81" s="256"/>
      <c r="H81" s="256"/>
      <c r="I81" s="257"/>
    </row>
    <row r="82" spans="2:9" ht="15.75" customHeight="1" outlineLevel="1" x14ac:dyDescent="0.25">
      <c r="B82" s="511" t="s">
        <v>151</v>
      </c>
      <c r="C82" s="272"/>
      <c r="D82" s="546"/>
      <c r="E82" s="296"/>
      <c r="F82" s="259"/>
      <c r="G82" s="259"/>
      <c r="H82" s="259"/>
      <c r="I82" s="260"/>
    </row>
    <row r="83" spans="2:9" ht="15.75" customHeight="1" outlineLevel="1" collapsed="1" x14ac:dyDescent="0.25">
      <c r="B83" s="306" t="s">
        <v>112</v>
      </c>
      <c r="C83" s="2">
        <f t="shared" ref="C83:I83" si="2">SUM(C67:C82)</f>
        <v>0</v>
      </c>
      <c r="D83" s="2">
        <f t="shared" si="2"/>
        <v>0</v>
      </c>
      <c r="E83" s="2">
        <f t="shared" si="2"/>
        <v>0</v>
      </c>
      <c r="F83" s="2">
        <f t="shared" si="2"/>
        <v>0</v>
      </c>
      <c r="G83" s="2">
        <f t="shared" si="2"/>
        <v>0</v>
      </c>
      <c r="H83" s="2">
        <f t="shared" si="2"/>
        <v>0</v>
      </c>
      <c r="I83" s="532">
        <f t="shared" si="2"/>
        <v>0</v>
      </c>
    </row>
    <row r="84" spans="2:9" ht="15.75" customHeight="1" x14ac:dyDescent="0.25">
      <c r="B84" s="74"/>
    </row>
    <row r="85" spans="2:9" ht="21.75" customHeight="1" x14ac:dyDescent="0.25">
      <c r="B85" s="235" t="s">
        <v>139</v>
      </c>
      <c r="C85" s="236"/>
      <c r="D85" s="236"/>
      <c r="E85" s="236"/>
      <c r="F85" s="236"/>
      <c r="G85" s="236"/>
      <c r="H85" s="236"/>
      <c r="I85" s="237"/>
    </row>
    <row r="86" spans="2:9" ht="15.75" customHeight="1" outlineLevel="1" x14ac:dyDescent="0.25">
      <c r="B86" s="527"/>
      <c r="C86" s="261">
        <v>0</v>
      </c>
      <c r="D86" s="263">
        <v>0</v>
      </c>
      <c r="E86" s="294">
        <v>0</v>
      </c>
      <c r="F86" s="262">
        <v>0</v>
      </c>
      <c r="G86" s="262">
        <v>0</v>
      </c>
      <c r="H86" s="262">
        <v>0</v>
      </c>
      <c r="I86" s="265">
        <v>0</v>
      </c>
    </row>
    <row r="87" spans="2:9" ht="15.75" customHeight="1" outlineLevel="1" x14ac:dyDescent="0.25">
      <c r="B87" s="506"/>
      <c r="C87" s="270"/>
      <c r="D87" s="271"/>
      <c r="E87" s="295"/>
      <c r="F87" s="256"/>
      <c r="G87" s="256"/>
      <c r="H87" s="256"/>
      <c r="I87" s="257"/>
    </row>
    <row r="88" spans="2:9" ht="15.75" customHeight="1" outlineLevel="1" x14ac:dyDescent="0.25">
      <c r="B88" s="506"/>
      <c r="C88" s="270"/>
      <c r="D88" s="271"/>
      <c r="E88" s="295"/>
      <c r="F88" s="256"/>
      <c r="G88" s="256"/>
      <c r="H88" s="256"/>
      <c r="I88" s="257"/>
    </row>
    <row r="89" spans="2:9" ht="15.75" customHeight="1" outlineLevel="1" x14ac:dyDescent="0.25">
      <c r="B89" s="506"/>
      <c r="C89" s="270"/>
      <c r="D89" s="271"/>
      <c r="E89" s="295"/>
      <c r="F89" s="256"/>
      <c r="G89" s="256"/>
      <c r="H89" s="256"/>
      <c r="I89" s="257"/>
    </row>
    <row r="90" spans="2:9" ht="15.75" customHeight="1" outlineLevel="1" x14ac:dyDescent="0.25">
      <c r="B90" s="506"/>
      <c r="C90" s="270"/>
      <c r="D90" s="271"/>
      <c r="E90" s="295"/>
      <c r="F90" s="256"/>
      <c r="G90" s="256"/>
      <c r="H90" s="256"/>
      <c r="I90" s="257"/>
    </row>
    <row r="91" spans="2:9" ht="15.75" customHeight="1" outlineLevel="1" x14ac:dyDescent="0.25">
      <c r="B91" s="506"/>
      <c r="C91" s="270"/>
      <c r="D91" s="271"/>
      <c r="E91" s="295"/>
      <c r="F91" s="256"/>
      <c r="G91" s="256"/>
      <c r="H91" s="256"/>
      <c r="I91" s="257"/>
    </row>
    <row r="92" spans="2:9" ht="15.75" customHeight="1" outlineLevel="1" x14ac:dyDescent="0.25">
      <c r="B92" s="506"/>
      <c r="C92" s="270"/>
      <c r="D92" s="271"/>
      <c r="E92" s="295"/>
      <c r="F92" s="256"/>
      <c r="G92" s="256"/>
      <c r="H92" s="256"/>
      <c r="I92" s="257"/>
    </row>
    <row r="93" spans="2:9" ht="15.75" customHeight="1" outlineLevel="1" x14ac:dyDescent="0.25">
      <c r="B93" s="506"/>
      <c r="C93" s="270"/>
      <c r="D93" s="271"/>
      <c r="E93" s="295"/>
      <c r="F93" s="256"/>
      <c r="G93" s="256"/>
      <c r="H93" s="256"/>
      <c r="I93" s="257"/>
    </row>
    <row r="94" spans="2:9" ht="15.75" customHeight="1" outlineLevel="1" x14ac:dyDescent="0.25">
      <c r="B94" s="506"/>
      <c r="C94" s="270"/>
      <c r="D94" s="271"/>
      <c r="E94" s="295"/>
      <c r="F94" s="256"/>
      <c r="G94" s="256"/>
      <c r="H94" s="256"/>
      <c r="I94" s="257"/>
    </row>
    <row r="95" spans="2:9" ht="15.75" customHeight="1" outlineLevel="1" x14ac:dyDescent="0.25">
      <c r="B95" s="506"/>
      <c r="C95" s="270"/>
      <c r="D95" s="271"/>
      <c r="E95" s="295"/>
      <c r="F95" s="256"/>
      <c r="G95" s="256"/>
      <c r="H95" s="256"/>
      <c r="I95" s="257"/>
    </row>
    <row r="96" spans="2:9" ht="15.75" customHeight="1" outlineLevel="1" x14ac:dyDescent="0.25">
      <c r="B96" s="506"/>
      <c r="C96" s="270"/>
      <c r="D96" s="271"/>
      <c r="E96" s="295"/>
      <c r="F96" s="256"/>
      <c r="G96" s="256"/>
      <c r="H96" s="256"/>
      <c r="I96" s="257"/>
    </row>
    <row r="97" spans="2:9" ht="15.75" customHeight="1" outlineLevel="1" x14ac:dyDescent="0.25">
      <c r="B97" s="506"/>
      <c r="C97" s="270"/>
      <c r="D97" s="271"/>
      <c r="E97" s="295"/>
      <c r="F97" s="256"/>
      <c r="G97" s="256"/>
      <c r="H97" s="256"/>
      <c r="I97" s="257"/>
    </row>
    <row r="98" spans="2:9" ht="15.75" customHeight="1" outlineLevel="1" x14ac:dyDescent="0.25">
      <c r="B98" s="506"/>
      <c r="C98" s="270"/>
      <c r="D98" s="271"/>
      <c r="E98" s="295"/>
      <c r="F98" s="256"/>
      <c r="G98" s="256"/>
      <c r="H98" s="256"/>
      <c r="I98" s="257"/>
    </row>
    <row r="99" spans="2:9" ht="15.75" customHeight="1" outlineLevel="1" x14ac:dyDescent="0.25">
      <c r="B99" s="506"/>
      <c r="C99" s="270"/>
      <c r="D99" s="271"/>
      <c r="E99" s="295"/>
      <c r="F99" s="256"/>
      <c r="G99" s="256"/>
      <c r="H99" s="256"/>
      <c r="I99" s="257"/>
    </row>
    <row r="100" spans="2:9" ht="15.75" customHeight="1" outlineLevel="1" x14ac:dyDescent="0.25">
      <c r="B100" s="506"/>
      <c r="C100" s="270"/>
      <c r="D100" s="271"/>
      <c r="E100" s="295"/>
      <c r="F100" s="256"/>
      <c r="G100" s="256"/>
      <c r="H100" s="256"/>
      <c r="I100" s="257"/>
    </row>
    <row r="101" spans="2:9" ht="15.75" customHeight="1" outlineLevel="1" x14ac:dyDescent="0.25">
      <c r="B101" s="511" t="s">
        <v>151</v>
      </c>
      <c r="C101" s="272"/>
      <c r="D101" s="546"/>
      <c r="E101" s="296"/>
      <c r="F101" s="259"/>
      <c r="G101" s="259"/>
      <c r="H101" s="259"/>
      <c r="I101" s="260"/>
    </row>
    <row r="102" spans="2:9" ht="15.75" customHeight="1" outlineLevel="1" collapsed="1" x14ac:dyDescent="0.25">
      <c r="B102" s="306" t="s">
        <v>112</v>
      </c>
      <c r="C102" s="2">
        <f t="shared" ref="C102:I102" si="3">SUM(C86:C101)</f>
        <v>0</v>
      </c>
      <c r="D102" s="2">
        <f t="shared" si="3"/>
        <v>0</v>
      </c>
      <c r="E102" s="2">
        <f t="shared" si="3"/>
        <v>0</v>
      </c>
      <c r="F102" s="2">
        <f t="shared" si="3"/>
        <v>0</v>
      </c>
      <c r="G102" s="2">
        <f t="shared" si="3"/>
        <v>0</v>
      </c>
      <c r="H102" s="2">
        <f t="shared" si="3"/>
        <v>0</v>
      </c>
      <c r="I102" s="532">
        <f t="shared" si="3"/>
        <v>0</v>
      </c>
    </row>
    <row r="103" spans="2:9" ht="15.75" customHeight="1" x14ac:dyDescent="0.25">
      <c r="B103" s="74"/>
    </row>
    <row r="104" spans="2:9" ht="21.75" customHeight="1" x14ac:dyDescent="0.25">
      <c r="B104" s="235" t="s">
        <v>140</v>
      </c>
      <c r="C104" s="236"/>
      <c r="D104" s="236"/>
      <c r="E104" s="236"/>
      <c r="F104" s="236"/>
      <c r="G104" s="236"/>
      <c r="H104" s="236"/>
      <c r="I104" s="237"/>
    </row>
    <row r="105" spans="2:9" ht="15.75" customHeight="1" outlineLevel="1" x14ac:dyDescent="0.25">
      <c r="B105" s="511" t="s">
        <v>112</v>
      </c>
      <c r="C105" s="272">
        <v>0</v>
      </c>
      <c r="D105" s="546">
        <v>0</v>
      </c>
      <c r="E105" s="296">
        <v>0</v>
      </c>
      <c r="F105" s="259">
        <v>0</v>
      </c>
      <c r="G105" s="259">
        <v>0</v>
      </c>
      <c r="H105" s="259">
        <v>0</v>
      </c>
      <c r="I105" s="260">
        <v>0</v>
      </c>
    </row>
    <row r="106" spans="2:9" ht="15.75" customHeight="1" outlineLevel="1" collapsed="1" x14ac:dyDescent="0.25">
      <c r="B106" s="306" t="s">
        <v>112</v>
      </c>
      <c r="C106" s="2">
        <f t="shared" ref="C106:I106" si="4">SUM(C105:C105)</f>
        <v>0</v>
      </c>
      <c r="D106" s="2">
        <f t="shared" si="4"/>
        <v>0</v>
      </c>
      <c r="E106" s="2">
        <f t="shared" si="4"/>
        <v>0</v>
      </c>
      <c r="F106" s="2">
        <f t="shared" si="4"/>
        <v>0</v>
      </c>
      <c r="G106" s="2">
        <f t="shared" si="4"/>
        <v>0</v>
      </c>
      <c r="H106" s="2">
        <f t="shared" si="4"/>
        <v>0</v>
      </c>
      <c r="I106" s="532">
        <f t="shared" si="4"/>
        <v>0</v>
      </c>
    </row>
    <row r="107" spans="2:9" ht="15.75" customHeight="1" x14ac:dyDescent="0.25">
      <c r="B107" s="74"/>
    </row>
    <row r="108" spans="2:9" ht="21.75" customHeight="1" x14ac:dyDescent="0.25">
      <c r="B108" s="235" t="s">
        <v>141</v>
      </c>
      <c r="C108" s="236"/>
      <c r="D108" s="236"/>
      <c r="E108" s="236"/>
      <c r="F108" s="236"/>
      <c r="G108" s="236"/>
      <c r="H108" s="236"/>
      <c r="I108" s="237"/>
    </row>
    <row r="109" spans="2:9" ht="15.75" customHeight="1" outlineLevel="1" x14ac:dyDescent="0.25">
      <c r="B109" s="527"/>
      <c r="C109" s="261">
        <v>0</v>
      </c>
      <c r="D109" s="263">
        <v>0</v>
      </c>
      <c r="E109" s="294">
        <v>0</v>
      </c>
      <c r="F109" s="262">
        <v>0</v>
      </c>
      <c r="G109" s="262">
        <v>0</v>
      </c>
      <c r="H109" s="262">
        <v>0</v>
      </c>
      <c r="I109" s="265">
        <v>0</v>
      </c>
    </row>
    <row r="110" spans="2:9" ht="15.75" customHeight="1" outlineLevel="1" x14ac:dyDescent="0.25">
      <c r="B110" s="506"/>
      <c r="C110" s="270"/>
      <c r="D110" s="271"/>
      <c r="E110" s="295"/>
      <c r="F110" s="256"/>
      <c r="G110" s="256"/>
      <c r="H110" s="256"/>
      <c r="I110" s="257"/>
    </row>
    <row r="111" spans="2:9" ht="15.75" customHeight="1" outlineLevel="1" x14ac:dyDescent="0.25">
      <c r="B111" s="506"/>
      <c r="C111" s="270"/>
      <c r="D111" s="271"/>
      <c r="E111" s="295"/>
      <c r="F111" s="256"/>
      <c r="G111" s="256"/>
      <c r="H111" s="256"/>
      <c r="I111" s="257"/>
    </row>
    <row r="112" spans="2:9" ht="15.75" customHeight="1" outlineLevel="1" x14ac:dyDescent="0.25">
      <c r="B112" s="506"/>
      <c r="C112" s="270"/>
      <c r="D112" s="271"/>
      <c r="E112" s="295"/>
      <c r="F112" s="256"/>
      <c r="G112" s="256"/>
      <c r="H112" s="256"/>
      <c r="I112" s="257"/>
    </row>
    <row r="113" spans="2:9" ht="15.75" customHeight="1" outlineLevel="1" x14ac:dyDescent="0.25">
      <c r="B113" s="506"/>
      <c r="C113" s="270"/>
      <c r="D113" s="271"/>
      <c r="E113" s="295"/>
      <c r="F113" s="256"/>
      <c r="G113" s="256"/>
      <c r="H113" s="256"/>
      <c r="I113" s="257"/>
    </row>
    <row r="114" spans="2:9" ht="15.75" customHeight="1" outlineLevel="1" x14ac:dyDescent="0.25">
      <c r="B114" s="506"/>
      <c r="C114" s="270"/>
      <c r="D114" s="271"/>
      <c r="E114" s="295"/>
      <c r="F114" s="256"/>
      <c r="G114" s="256"/>
      <c r="H114" s="256"/>
      <c r="I114" s="257"/>
    </row>
    <row r="115" spans="2:9" ht="15.75" customHeight="1" outlineLevel="1" x14ac:dyDescent="0.25">
      <c r="B115" s="506"/>
      <c r="C115" s="270"/>
      <c r="D115" s="271"/>
      <c r="E115" s="295"/>
      <c r="F115" s="256"/>
      <c r="G115" s="256"/>
      <c r="H115" s="256"/>
      <c r="I115" s="257"/>
    </row>
    <row r="116" spans="2:9" ht="15.75" customHeight="1" outlineLevel="1" x14ac:dyDescent="0.25">
      <c r="B116" s="506"/>
      <c r="C116" s="270"/>
      <c r="D116" s="271"/>
      <c r="E116" s="295"/>
      <c r="F116" s="256"/>
      <c r="G116" s="256"/>
      <c r="H116" s="256"/>
      <c r="I116" s="257"/>
    </row>
    <row r="117" spans="2:9" ht="15.75" customHeight="1" outlineLevel="1" x14ac:dyDescent="0.25">
      <c r="B117" s="506"/>
      <c r="C117" s="270"/>
      <c r="D117" s="271"/>
      <c r="E117" s="295"/>
      <c r="F117" s="256"/>
      <c r="G117" s="256"/>
      <c r="H117" s="256"/>
      <c r="I117" s="257"/>
    </row>
    <row r="118" spans="2:9" ht="15.75" customHeight="1" outlineLevel="1" x14ac:dyDescent="0.25">
      <c r="B118" s="506"/>
      <c r="C118" s="270"/>
      <c r="D118" s="271"/>
      <c r="E118" s="295"/>
      <c r="F118" s="256"/>
      <c r="G118" s="256"/>
      <c r="H118" s="256"/>
      <c r="I118" s="257"/>
    </row>
    <row r="119" spans="2:9" ht="15.75" customHeight="1" outlineLevel="1" x14ac:dyDescent="0.25">
      <c r="B119" s="506"/>
      <c r="C119" s="270"/>
      <c r="D119" s="271"/>
      <c r="E119" s="295"/>
      <c r="F119" s="256"/>
      <c r="G119" s="256"/>
      <c r="H119" s="256"/>
      <c r="I119" s="257"/>
    </row>
    <row r="120" spans="2:9" ht="15.75" customHeight="1" outlineLevel="1" x14ac:dyDescent="0.25">
      <c r="B120" s="506"/>
      <c r="C120" s="270"/>
      <c r="D120" s="271"/>
      <c r="E120" s="295"/>
      <c r="F120" s="256"/>
      <c r="G120" s="256"/>
      <c r="H120" s="256"/>
      <c r="I120" s="257"/>
    </row>
    <row r="121" spans="2:9" ht="15.75" customHeight="1" outlineLevel="1" x14ac:dyDescent="0.25">
      <c r="B121" s="506"/>
      <c r="C121" s="270"/>
      <c r="D121" s="271"/>
      <c r="E121" s="295"/>
      <c r="F121" s="256"/>
      <c r="G121" s="256"/>
      <c r="H121" s="256"/>
      <c r="I121" s="257"/>
    </row>
    <row r="122" spans="2:9" ht="15.75" customHeight="1" outlineLevel="1" x14ac:dyDescent="0.25">
      <c r="B122" s="506"/>
      <c r="C122" s="270"/>
      <c r="D122" s="271"/>
      <c r="E122" s="295"/>
      <c r="F122" s="256"/>
      <c r="G122" s="256"/>
      <c r="H122" s="256"/>
      <c r="I122" s="257"/>
    </row>
    <row r="123" spans="2:9" ht="15.75" customHeight="1" outlineLevel="1" x14ac:dyDescent="0.25">
      <c r="B123" s="506"/>
      <c r="C123" s="270"/>
      <c r="D123" s="271"/>
      <c r="E123" s="295"/>
      <c r="F123" s="256"/>
      <c r="G123" s="256"/>
      <c r="H123" s="256"/>
      <c r="I123" s="257"/>
    </row>
    <row r="124" spans="2:9" ht="15.75" customHeight="1" outlineLevel="1" x14ac:dyDescent="0.25">
      <c r="B124" s="511" t="s">
        <v>151</v>
      </c>
      <c r="C124" s="272"/>
      <c r="D124" s="546"/>
      <c r="E124" s="296"/>
      <c r="F124" s="259"/>
      <c r="G124" s="259"/>
      <c r="H124" s="259"/>
      <c r="I124" s="260"/>
    </row>
    <row r="125" spans="2:9" ht="15.75" customHeight="1" outlineLevel="1" collapsed="1" x14ac:dyDescent="0.25">
      <c r="B125" s="306" t="s">
        <v>112</v>
      </c>
      <c r="C125" s="2">
        <f t="shared" ref="C125:I125" si="5">SUM(C109:C124)</f>
        <v>0</v>
      </c>
      <c r="D125" s="2">
        <f t="shared" si="5"/>
        <v>0</v>
      </c>
      <c r="E125" s="2">
        <f t="shared" si="5"/>
        <v>0</v>
      </c>
      <c r="F125" s="2">
        <f t="shared" si="5"/>
        <v>0</v>
      </c>
      <c r="G125" s="2">
        <f t="shared" si="5"/>
        <v>0</v>
      </c>
      <c r="H125" s="2">
        <f t="shared" si="5"/>
        <v>0</v>
      </c>
      <c r="I125" s="532">
        <f t="shared" si="5"/>
        <v>0</v>
      </c>
    </row>
    <row r="126" spans="2:9" ht="15.75" customHeight="1" x14ac:dyDescent="0.25">
      <c r="B126" s="74"/>
    </row>
    <row r="129" spans="1:11" ht="15" customHeight="1" x14ac:dyDescent="0.25"/>
    <row r="130" spans="1:11" s="41" customFormat="1" ht="24" customHeight="1" x14ac:dyDescent="0.2">
      <c r="B130" s="31" t="s">
        <v>252</v>
      </c>
      <c r="C130" s="31"/>
      <c r="D130" s="31"/>
      <c r="E130" s="31"/>
      <c r="F130" s="31"/>
      <c r="G130" s="31"/>
      <c r="H130" s="31"/>
      <c r="I130" s="31"/>
      <c r="J130" s="299"/>
      <c r="K130" s="299"/>
    </row>
    <row r="131" spans="1:11" s="41" customFormat="1" ht="15" customHeight="1" outlineLevel="1" x14ac:dyDescent="0.2">
      <c r="A131" s="276"/>
      <c r="C131" s="1331" t="s">
        <v>24</v>
      </c>
      <c r="D131" s="1331"/>
      <c r="E131" s="1331"/>
      <c r="F131" s="1331"/>
      <c r="G131" s="1331"/>
      <c r="H131" s="1331"/>
      <c r="I131" s="1331"/>
      <c r="J131" s="299"/>
      <c r="K131" s="299"/>
    </row>
    <row r="132" spans="1:11" s="41" customFormat="1" ht="15" customHeight="1" outlineLevel="1" x14ac:dyDescent="0.2">
      <c r="A132" s="276"/>
      <c r="C132" s="1331" t="str">
        <f ca="1">CONCATENATE("$, real ",dms_DollarReal)</f>
        <v>$, real June 2026</v>
      </c>
      <c r="D132" s="1331"/>
      <c r="E132" s="1331"/>
      <c r="F132" s="1331"/>
      <c r="G132" s="1331"/>
      <c r="H132" s="1331"/>
      <c r="I132" s="1331"/>
      <c r="J132" s="299"/>
      <c r="K132" s="299"/>
    </row>
    <row r="133" spans="1:11" s="41" customFormat="1" ht="15.75" customHeight="1" outlineLevel="1" x14ac:dyDescent="0.25">
      <c r="A133" s="276"/>
      <c r="B133" s="302"/>
      <c r="C133" s="298" t="str">
        <f ca="1">dms_y1</f>
        <v>2024-25</v>
      </c>
      <c r="D133" s="298" t="str">
        <f ca="1">dms_y2</f>
        <v>2025-26</v>
      </c>
      <c r="E133" s="298" t="str">
        <f ca="1">dms_y3</f>
        <v>2026-27</v>
      </c>
      <c r="F133" s="298" t="str">
        <f ca="1">dms_y4</f>
        <v>2027-28</v>
      </c>
      <c r="G133" s="298" t="str">
        <f ca="1">dms_y5</f>
        <v>2028-29</v>
      </c>
      <c r="H133" s="298" t="str">
        <f ca="1">dms_y6</f>
        <v>2029-30</v>
      </c>
      <c r="I133" s="298" t="str">
        <f ca="1">dms_y7</f>
        <v>2030-31</v>
      </c>
      <c r="K133" s="299"/>
    </row>
    <row r="134" spans="1:11" ht="21.75" customHeight="1" outlineLevel="1" x14ac:dyDescent="0.25">
      <c r="B134" s="235" t="s">
        <v>237</v>
      </c>
      <c r="C134" s="236"/>
      <c r="D134" s="236"/>
      <c r="E134" s="236"/>
      <c r="F134" s="236"/>
      <c r="G134" s="236"/>
      <c r="H134" s="236"/>
      <c r="I134" s="236"/>
    </row>
    <row r="135" spans="1:11" ht="15.75" customHeight="1" outlineLevel="1" x14ac:dyDescent="0.25">
      <c r="B135" s="527" t="s">
        <v>238</v>
      </c>
      <c r="C135" s="261"/>
      <c r="D135" s="263"/>
      <c r="E135" s="294"/>
      <c r="F135" s="262"/>
      <c r="G135" s="262"/>
      <c r="H135" s="262"/>
      <c r="I135" s="265"/>
    </row>
    <row r="136" spans="1:11" ht="15.75" customHeight="1" outlineLevel="1" x14ac:dyDescent="0.25">
      <c r="B136" s="506" t="s">
        <v>239</v>
      </c>
      <c r="C136" s="270"/>
      <c r="D136" s="271"/>
      <c r="E136" s="295"/>
      <c r="F136" s="256"/>
      <c r="G136" s="256"/>
      <c r="H136" s="256"/>
      <c r="I136" s="257"/>
    </row>
    <row r="137" spans="1:11" ht="15.75" customHeight="1" outlineLevel="1" x14ac:dyDescent="0.25">
      <c r="B137" s="280" t="s">
        <v>112</v>
      </c>
      <c r="C137" s="281">
        <f t="shared" ref="C137:I137" ca="1" si="6">SUM(C121:C136)</f>
        <v>0</v>
      </c>
      <c r="D137" s="281">
        <f t="shared" ca="1" si="6"/>
        <v>0</v>
      </c>
      <c r="E137" s="281">
        <f t="shared" ca="1" si="6"/>
        <v>0</v>
      </c>
      <c r="F137" s="281">
        <f t="shared" ca="1" si="6"/>
        <v>0</v>
      </c>
      <c r="G137" s="281">
        <f t="shared" ca="1" si="6"/>
        <v>0</v>
      </c>
      <c r="H137" s="281">
        <f t="shared" ca="1" si="6"/>
        <v>0</v>
      </c>
      <c r="I137" s="282">
        <f t="shared" ca="1" si="6"/>
        <v>0</v>
      </c>
    </row>
    <row r="138" spans="1:11" ht="21.75" customHeight="1" outlineLevel="1" x14ac:dyDescent="0.25">
      <c r="B138" s="235" t="s">
        <v>240</v>
      </c>
      <c r="C138" s="236"/>
      <c r="D138" s="236"/>
      <c r="E138" s="236"/>
      <c r="F138" s="236"/>
      <c r="G138" s="236"/>
      <c r="H138" s="236"/>
      <c r="I138" s="236"/>
    </row>
    <row r="139" spans="1:11" ht="15.75" customHeight="1" outlineLevel="1" x14ac:dyDescent="0.25">
      <c r="B139" s="527" t="s">
        <v>238</v>
      </c>
      <c r="C139" s="261"/>
      <c r="D139" s="263"/>
      <c r="E139" s="294"/>
      <c r="F139" s="262"/>
      <c r="G139" s="262"/>
      <c r="H139" s="262"/>
      <c r="I139" s="265"/>
    </row>
    <row r="140" spans="1:11" ht="15.75" customHeight="1" outlineLevel="1" x14ac:dyDescent="0.25">
      <c r="B140" s="506" t="s">
        <v>239</v>
      </c>
      <c r="C140" s="270">
        <v>21713</v>
      </c>
      <c r="D140" s="271">
        <v>0</v>
      </c>
      <c r="E140" s="295">
        <v>0</v>
      </c>
      <c r="F140" s="256">
        <v>0</v>
      </c>
      <c r="G140" s="256">
        <v>0</v>
      </c>
      <c r="H140" s="256">
        <v>106798</v>
      </c>
      <c r="I140" s="257">
        <v>0</v>
      </c>
    </row>
    <row r="141" spans="1:11" ht="15.75" customHeight="1" outlineLevel="1" x14ac:dyDescent="0.25">
      <c r="B141" s="280" t="s">
        <v>112</v>
      </c>
      <c r="C141" s="281">
        <f t="shared" ref="C141:I141" ca="1" si="7">SUM(C125:C140)</f>
        <v>21713</v>
      </c>
      <c r="D141" s="281">
        <f t="shared" ca="1" si="7"/>
        <v>0</v>
      </c>
      <c r="E141" s="281">
        <f t="shared" ca="1" si="7"/>
        <v>0</v>
      </c>
      <c r="F141" s="281">
        <f t="shared" ca="1" si="7"/>
        <v>0</v>
      </c>
      <c r="G141" s="281">
        <f t="shared" ca="1" si="7"/>
        <v>0</v>
      </c>
      <c r="H141" s="281">
        <f t="shared" ca="1" si="7"/>
        <v>106798</v>
      </c>
      <c r="I141" s="282">
        <f t="shared" ca="1" si="7"/>
        <v>0</v>
      </c>
    </row>
    <row r="142" spans="1:11" outlineLevel="1" x14ac:dyDescent="0.25"/>
  </sheetData>
  <sheetProtection algorithmName="SHA-256" hashValue="5aVvRhf/1M67lfgJJlIffU44qOIbJrmsdyUg/mI2OKI=" saltValue="jtdbt/XZBTKEr8ABDN1Dsw=="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17375E"/>
  </sheetPr>
  <dimension ref="A1:I126"/>
  <sheetViews>
    <sheetView showGridLines="0" zoomScale="85" zoomScaleNormal="85" workbookViewId="0">
      <selection activeCell="B29" sqref="B29"/>
    </sheetView>
  </sheetViews>
  <sheetFormatPr defaultColWidth="9.140625" defaultRowHeight="15" outlineLevelRow="2" x14ac:dyDescent="0.25"/>
  <cols>
    <col min="1" max="1" width="22.7109375" customWidth="1"/>
    <col min="2" max="2" width="85.140625" customWidth="1"/>
    <col min="3" max="9" width="18.71093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253</v>
      </c>
      <c r="C4" s="383"/>
      <c r="D4" s="383"/>
      <c r="E4" s="383"/>
      <c r="F4" s="383"/>
      <c r="G4" s="383"/>
      <c r="H4" s="383"/>
      <c r="I4" s="383"/>
    </row>
    <row r="5" spans="1:9" ht="30" customHeight="1" x14ac:dyDescent="0.25">
      <c r="B5" s="1440" t="s">
        <v>96</v>
      </c>
      <c r="C5" s="1440"/>
      <c r="D5" s="1440"/>
      <c r="E5" s="1440"/>
      <c r="F5" s="1440"/>
      <c r="G5" s="1440"/>
      <c r="H5" s="1440"/>
      <c r="I5" s="1440"/>
    </row>
    <row r="7" spans="1:9" ht="18" customHeight="1" x14ac:dyDescent="0.3">
      <c r="B7" s="493" t="s">
        <v>125</v>
      </c>
    </row>
    <row r="8" spans="1:9" x14ac:dyDescent="0.25">
      <c r="B8" s="613" t="s">
        <v>254</v>
      </c>
    </row>
    <row r="9" spans="1:9" x14ac:dyDescent="0.25">
      <c r="B9" s="614" t="s">
        <v>255</v>
      </c>
    </row>
    <row r="10" spans="1:9" x14ac:dyDescent="0.25">
      <c r="B10" s="614" t="s">
        <v>256</v>
      </c>
    </row>
    <row r="11" spans="1:9" x14ac:dyDescent="0.25">
      <c r="B11" s="614" t="s">
        <v>257</v>
      </c>
    </row>
    <row r="12" spans="1:9" x14ac:dyDescent="0.25">
      <c r="B12" s="614"/>
    </row>
    <row r="13" spans="1:9" x14ac:dyDescent="0.25">
      <c r="B13" s="614"/>
    </row>
    <row r="14" spans="1:9" x14ac:dyDescent="0.25">
      <c r="B14" s="614"/>
    </row>
    <row r="15" spans="1:9" x14ac:dyDescent="0.25">
      <c r="B15" s="614"/>
    </row>
    <row r="16" spans="1:9" x14ac:dyDescent="0.25">
      <c r="B16" s="614"/>
    </row>
    <row r="17" spans="1:9" x14ac:dyDescent="0.25">
      <c r="B17" s="614"/>
    </row>
    <row r="18" spans="1:9" x14ac:dyDescent="0.25">
      <c r="B18" s="614"/>
    </row>
    <row r="19" spans="1:9" x14ac:dyDescent="0.25">
      <c r="B19" s="614"/>
    </row>
    <row r="20" spans="1:9" x14ac:dyDescent="0.25">
      <c r="B20" s="614"/>
    </row>
    <row r="21" spans="1:9" x14ac:dyDescent="0.25">
      <c r="B21" s="614"/>
    </row>
    <row r="22" spans="1:9" x14ac:dyDescent="0.25">
      <c r="B22" s="615"/>
    </row>
    <row r="23" spans="1:9" ht="15" customHeight="1" x14ac:dyDescent="0.25"/>
    <row r="24" spans="1:9" s="41" customFormat="1" ht="24.75" customHeight="1" x14ac:dyDescent="0.2">
      <c r="A24" s="61"/>
      <c r="B24" s="31" t="s">
        <v>258</v>
      </c>
      <c r="C24" s="31"/>
      <c r="D24" s="31"/>
      <c r="E24" s="31"/>
      <c r="F24" s="31"/>
      <c r="G24" s="31"/>
      <c r="H24" s="31"/>
      <c r="I24" s="31"/>
    </row>
    <row r="25" spans="1:9" ht="24.75" customHeight="1" outlineLevel="1" x14ac:dyDescent="0.25">
      <c r="C25" s="1331" t="s">
        <v>24</v>
      </c>
      <c r="D25" s="1331"/>
      <c r="E25" s="1331"/>
      <c r="F25" s="1331"/>
      <c r="G25" s="1331"/>
      <c r="H25" s="1331"/>
      <c r="I25" s="1331"/>
    </row>
    <row r="26" spans="1:9" s="41" customFormat="1" ht="12.75" customHeight="1" outlineLevel="1" x14ac:dyDescent="0.2">
      <c r="A26" s="276"/>
      <c r="C26" s="1331" t="str">
        <f ca="1">CONCATENATE("$, real ",dms_DollarReal)</f>
        <v>$, real June 2026</v>
      </c>
      <c r="D26" s="1331"/>
      <c r="E26" s="1331"/>
      <c r="F26" s="1331"/>
      <c r="G26" s="1331"/>
      <c r="H26" s="1331"/>
      <c r="I26" s="1331"/>
    </row>
    <row r="27" spans="1:9" s="41" customFormat="1" ht="21" customHeight="1" outlineLevel="1" x14ac:dyDescent="0.25">
      <c r="A27" s="276"/>
      <c r="B27" s="77"/>
      <c r="C27" s="298" t="str">
        <f ca="1">dms_y1</f>
        <v>2024-25</v>
      </c>
      <c r="D27" s="298" t="str">
        <f ca="1">dms_y2</f>
        <v>2025-26</v>
      </c>
      <c r="E27" s="298" t="str">
        <f ca="1">dms_y3</f>
        <v>2026-27</v>
      </c>
      <c r="F27" s="298" t="str">
        <f ca="1">dms_y4</f>
        <v>2027-28</v>
      </c>
      <c r="G27" s="298" t="str">
        <f ca="1">dms_y5</f>
        <v>2028-29</v>
      </c>
      <c r="H27" s="298" t="str">
        <f ca="1">dms_y6</f>
        <v>2029-30</v>
      </c>
      <c r="I27" s="298" t="str">
        <f ca="1">dms_y7</f>
        <v>2030-31</v>
      </c>
    </row>
    <row r="28" spans="1:9" ht="21.75" customHeight="1" outlineLevel="1" x14ac:dyDescent="0.25">
      <c r="B28" s="235" t="s">
        <v>135</v>
      </c>
      <c r="C28" s="236"/>
      <c r="D28" s="236"/>
      <c r="E28" s="236"/>
      <c r="F28" s="236"/>
      <c r="G28" s="236"/>
      <c r="H28" s="236"/>
      <c r="I28" s="237"/>
    </row>
    <row r="29" spans="1:9" ht="15.75" customHeight="1" outlineLevel="2" x14ac:dyDescent="0.25">
      <c r="B29" s="527" t="s">
        <v>254</v>
      </c>
      <c r="C29" s="261">
        <v>0</v>
      </c>
      <c r="D29" s="263">
        <v>0</v>
      </c>
      <c r="E29" s="294">
        <v>0</v>
      </c>
      <c r="F29" s="262">
        <v>0</v>
      </c>
      <c r="G29" s="262">
        <v>0</v>
      </c>
      <c r="H29" s="262">
        <v>0</v>
      </c>
      <c r="I29" s="265">
        <v>0</v>
      </c>
    </row>
    <row r="30" spans="1:9" ht="15.75" customHeight="1" outlineLevel="2" x14ac:dyDescent="0.25">
      <c r="B30" s="506" t="s">
        <v>255</v>
      </c>
      <c r="C30" s="270">
        <v>0</v>
      </c>
      <c r="D30" s="271">
        <v>0</v>
      </c>
      <c r="E30" s="295">
        <v>0</v>
      </c>
      <c r="F30" s="256">
        <v>0</v>
      </c>
      <c r="G30" s="256">
        <v>0</v>
      </c>
      <c r="H30" s="256">
        <v>0</v>
      </c>
      <c r="I30" s="257">
        <v>0</v>
      </c>
    </row>
    <row r="31" spans="1:9" ht="15.75" customHeight="1" outlineLevel="2" x14ac:dyDescent="0.25">
      <c r="B31" s="506" t="s">
        <v>256</v>
      </c>
      <c r="C31" s="270">
        <v>0</v>
      </c>
      <c r="D31" s="271">
        <v>0</v>
      </c>
      <c r="E31" s="295">
        <v>0</v>
      </c>
      <c r="F31" s="256">
        <v>0</v>
      </c>
      <c r="G31" s="256">
        <v>0</v>
      </c>
      <c r="H31" s="256">
        <v>0</v>
      </c>
      <c r="I31" s="257">
        <v>0</v>
      </c>
    </row>
    <row r="32" spans="1:9" ht="15.75" customHeight="1" outlineLevel="2" x14ac:dyDescent="0.25">
      <c r="B32" s="506" t="s">
        <v>257</v>
      </c>
      <c r="C32" s="270">
        <v>0</v>
      </c>
      <c r="D32" s="271">
        <v>0</v>
      </c>
      <c r="E32" s="295">
        <v>0</v>
      </c>
      <c r="F32" s="256">
        <v>0</v>
      </c>
      <c r="G32" s="256">
        <v>0</v>
      </c>
      <c r="H32" s="256">
        <v>0</v>
      </c>
      <c r="I32" s="257">
        <v>0</v>
      </c>
    </row>
    <row r="33" spans="2:9" ht="15.75" customHeight="1" outlineLevel="2" x14ac:dyDescent="0.25">
      <c r="B33" s="506"/>
      <c r="C33" s="270"/>
      <c r="D33" s="271"/>
      <c r="E33" s="295"/>
      <c r="F33" s="256"/>
      <c r="G33" s="256"/>
      <c r="H33" s="256"/>
      <c r="I33" s="257"/>
    </row>
    <row r="34" spans="2:9" ht="15.75" customHeight="1" outlineLevel="2" x14ac:dyDescent="0.25">
      <c r="B34" s="506"/>
      <c r="C34" s="270"/>
      <c r="D34" s="271"/>
      <c r="E34" s="295"/>
      <c r="F34" s="256"/>
      <c r="G34" s="256"/>
      <c r="H34" s="256"/>
      <c r="I34" s="257"/>
    </row>
    <row r="35" spans="2:9" ht="15.75" customHeight="1" outlineLevel="2" x14ac:dyDescent="0.25">
      <c r="B35" s="506"/>
      <c r="C35" s="270"/>
      <c r="D35" s="271"/>
      <c r="E35" s="295"/>
      <c r="F35" s="256"/>
      <c r="G35" s="256"/>
      <c r="H35" s="256"/>
      <c r="I35" s="257"/>
    </row>
    <row r="36" spans="2:9" ht="15.75" customHeight="1" outlineLevel="2" x14ac:dyDescent="0.25">
      <c r="B36" s="506"/>
      <c r="C36" s="270"/>
      <c r="D36" s="271"/>
      <c r="E36" s="295"/>
      <c r="F36" s="256"/>
      <c r="G36" s="256"/>
      <c r="H36" s="256"/>
      <c r="I36" s="257"/>
    </row>
    <row r="37" spans="2:9" ht="15.75" customHeight="1" outlineLevel="2" x14ac:dyDescent="0.25">
      <c r="B37" s="506"/>
      <c r="C37" s="270"/>
      <c r="D37" s="271"/>
      <c r="E37" s="295"/>
      <c r="F37" s="256"/>
      <c r="G37" s="256"/>
      <c r="H37" s="256"/>
      <c r="I37" s="257"/>
    </row>
    <row r="38" spans="2:9" ht="15.75" customHeight="1" outlineLevel="2" x14ac:dyDescent="0.25">
      <c r="B38" s="506"/>
      <c r="C38" s="270"/>
      <c r="D38" s="271"/>
      <c r="E38" s="295"/>
      <c r="F38" s="256"/>
      <c r="G38" s="256"/>
      <c r="H38" s="256"/>
      <c r="I38" s="257"/>
    </row>
    <row r="39" spans="2:9" ht="15.75" customHeight="1" outlineLevel="2" x14ac:dyDescent="0.25">
      <c r="B39" s="506"/>
      <c r="C39" s="270"/>
      <c r="D39" s="271"/>
      <c r="E39" s="295"/>
      <c r="F39" s="256"/>
      <c r="G39" s="256"/>
      <c r="H39" s="256"/>
      <c r="I39" s="257"/>
    </row>
    <row r="40" spans="2:9" ht="15.75" customHeight="1" outlineLevel="2" x14ac:dyDescent="0.25">
      <c r="B40" s="506"/>
      <c r="C40" s="270"/>
      <c r="D40" s="271"/>
      <c r="E40" s="295"/>
      <c r="F40" s="256"/>
      <c r="G40" s="256"/>
      <c r="H40" s="256"/>
      <c r="I40" s="257"/>
    </row>
    <row r="41" spans="2:9" ht="15.75" customHeight="1" outlineLevel="2" x14ac:dyDescent="0.25">
      <c r="B41" s="506"/>
      <c r="C41" s="270"/>
      <c r="D41" s="271"/>
      <c r="E41" s="295"/>
      <c r="F41" s="256"/>
      <c r="G41" s="256"/>
      <c r="H41" s="256"/>
      <c r="I41" s="257"/>
    </row>
    <row r="42" spans="2:9" ht="15.75" customHeight="1" outlineLevel="2" x14ac:dyDescent="0.25">
      <c r="B42" s="506"/>
      <c r="C42" s="270"/>
      <c r="D42" s="271"/>
      <c r="E42" s="295"/>
      <c r="F42" s="256"/>
      <c r="G42" s="256"/>
      <c r="H42" s="256"/>
      <c r="I42" s="257"/>
    </row>
    <row r="43" spans="2:9" ht="15.75" customHeight="1" outlineLevel="2" x14ac:dyDescent="0.25">
      <c r="B43" s="506"/>
      <c r="C43" s="270"/>
      <c r="D43" s="271"/>
      <c r="E43" s="295"/>
      <c r="F43" s="256"/>
      <c r="G43" s="256"/>
      <c r="H43" s="256"/>
      <c r="I43" s="257"/>
    </row>
    <row r="44" spans="2:9" ht="15.75" customHeight="1" outlineLevel="2" x14ac:dyDescent="0.25">
      <c r="B44" s="511" t="s">
        <v>151</v>
      </c>
      <c r="C44" s="272"/>
      <c r="D44" s="546"/>
      <c r="E44" s="296"/>
      <c r="F44" s="259"/>
      <c r="G44" s="259"/>
      <c r="H44" s="259"/>
      <c r="I44" s="260"/>
    </row>
    <row r="45" spans="2:9" ht="15.75" customHeight="1" outlineLevel="2" collapsed="1" x14ac:dyDescent="0.25">
      <c r="B45" s="2" t="s">
        <v>112</v>
      </c>
      <c r="C45" s="2">
        <f t="shared" ref="C45:I45" si="0">SUM(C29:C44)</f>
        <v>0</v>
      </c>
      <c r="D45" s="2">
        <f t="shared" si="0"/>
        <v>0</v>
      </c>
      <c r="E45" s="2">
        <f t="shared" si="0"/>
        <v>0</v>
      </c>
      <c r="F45" s="2">
        <f t="shared" si="0"/>
        <v>0</v>
      </c>
      <c r="G45" s="2">
        <f t="shared" si="0"/>
        <v>0</v>
      </c>
      <c r="H45" s="2">
        <f t="shared" si="0"/>
        <v>0</v>
      </c>
      <c r="I45" s="532">
        <f t="shared" si="0"/>
        <v>0</v>
      </c>
    </row>
    <row r="46" spans="2:9" ht="15.75" customHeight="1" outlineLevel="1" x14ac:dyDescent="0.25">
      <c r="B46" s="74"/>
    </row>
    <row r="47" spans="2:9" ht="21.75" customHeight="1" outlineLevel="1" x14ac:dyDescent="0.25">
      <c r="B47" s="235" t="s">
        <v>137</v>
      </c>
      <c r="C47" s="236"/>
      <c r="D47" s="236"/>
      <c r="E47" s="236"/>
      <c r="F47" s="236"/>
      <c r="G47" s="236"/>
      <c r="H47" s="236"/>
      <c r="I47" s="237"/>
    </row>
    <row r="48" spans="2:9" ht="15.75" customHeight="1" outlineLevel="2" x14ac:dyDescent="0.25">
      <c r="B48" s="527" t="s">
        <v>254</v>
      </c>
      <c r="C48" s="261">
        <v>204881</v>
      </c>
      <c r="D48" s="263">
        <v>816102</v>
      </c>
      <c r="E48" s="294">
        <v>0</v>
      </c>
      <c r="F48" s="262">
        <v>0</v>
      </c>
      <c r="G48" s="262">
        <v>0</v>
      </c>
      <c r="H48" s="262">
        <v>0</v>
      </c>
      <c r="I48" s="265">
        <v>0</v>
      </c>
    </row>
    <row r="49" spans="2:9" ht="15.75" customHeight="1" outlineLevel="2" x14ac:dyDescent="0.25">
      <c r="B49" s="506" t="s">
        <v>255</v>
      </c>
      <c r="C49" s="270">
        <v>204708</v>
      </c>
      <c r="D49" s="271">
        <v>1044398</v>
      </c>
      <c r="E49" s="295">
        <v>0</v>
      </c>
      <c r="F49" s="256">
        <v>0</v>
      </c>
      <c r="G49" s="256">
        <v>0</v>
      </c>
      <c r="H49" s="256">
        <v>0</v>
      </c>
      <c r="I49" s="257">
        <v>0</v>
      </c>
    </row>
    <row r="50" spans="2:9" ht="15.75" customHeight="1" outlineLevel="2" x14ac:dyDescent="0.25">
      <c r="B50" s="506" t="s">
        <v>256</v>
      </c>
      <c r="C50" s="270">
        <v>0</v>
      </c>
      <c r="D50" s="271">
        <v>432832</v>
      </c>
      <c r="E50" s="295">
        <v>1198475</v>
      </c>
      <c r="F50" s="256">
        <v>56068</v>
      </c>
      <c r="G50" s="256">
        <v>0</v>
      </c>
      <c r="H50" s="256">
        <v>0</v>
      </c>
      <c r="I50" s="257">
        <v>0</v>
      </c>
    </row>
    <row r="51" spans="2:9" ht="15.75" customHeight="1" outlineLevel="2" x14ac:dyDescent="0.25">
      <c r="B51" s="506" t="s">
        <v>257</v>
      </c>
      <c r="C51" s="270">
        <v>826449</v>
      </c>
      <c r="D51" s="271">
        <v>0</v>
      </c>
      <c r="E51" s="295">
        <v>0</v>
      </c>
      <c r="F51" s="256">
        <v>0</v>
      </c>
      <c r="G51" s="256">
        <v>0</v>
      </c>
      <c r="H51" s="256">
        <v>0</v>
      </c>
      <c r="I51" s="257">
        <v>0</v>
      </c>
    </row>
    <row r="52" spans="2:9" ht="15.75" customHeight="1" outlineLevel="2" x14ac:dyDescent="0.25">
      <c r="B52" s="506"/>
      <c r="C52" s="270"/>
      <c r="D52" s="271"/>
      <c r="E52" s="295"/>
      <c r="F52" s="256"/>
      <c r="G52" s="256"/>
      <c r="H52" s="256"/>
      <c r="I52" s="257"/>
    </row>
    <row r="53" spans="2:9" ht="15.75" customHeight="1" outlineLevel="2" x14ac:dyDescent="0.25">
      <c r="B53" s="506"/>
      <c r="C53" s="270"/>
      <c r="D53" s="271"/>
      <c r="E53" s="295"/>
      <c r="F53" s="256"/>
      <c r="G53" s="256"/>
      <c r="H53" s="256"/>
      <c r="I53" s="257"/>
    </row>
    <row r="54" spans="2:9" ht="15.75" customHeight="1" outlineLevel="2" x14ac:dyDescent="0.25">
      <c r="B54" s="506"/>
      <c r="C54" s="270"/>
      <c r="D54" s="271"/>
      <c r="E54" s="295"/>
      <c r="F54" s="256"/>
      <c r="G54" s="256"/>
      <c r="H54" s="256"/>
      <c r="I54" s="257"/>
    </row>
    <row r="55" spans="2:9" ht="15.75" customHeight="1" outlineLevel="2" x14ac:dyDescent="0.25">
      <c r="B55" s="506"/>
      <c r="C55" s="270"/>
      <c r="D55" s="271"/>
      <c r="E55" s="295"/>
      <c r="F55" s="256"/>
      <c r="G55" s="256"/>
      <c r="H55" s="256"/>
      <c r="I55" s="257"/>
    </row>
    <row r="56" spans="2:9" ht="15.75" customHeight="1" outlineLevel="2" x14ac:dyDescent="0.25">
      <c r="B56" s="506"/>
      <c r="C56" s="270"/>
      <c r="D56" s="271"/>
      <c r="E56" s="295"/>
      <c r="F56" s="256"/>
      <c r="G56" s="256"/>
      <c r="H56" s="256"/>
      <c r="I56" s="257"/>
    </row>
    <row r="57" spans="2:9" ht="15.75" customHeight="1" outlineLevel="2" x14ac:dyDescent="0.25">
      <c r="B57" s="506"/>
      <c r="C57" s="270"/>
      <c r="D57" s="271"/>
      <c r="E57" s="295"/>
      <c r="F57" s="256"/>
      <c r="G57" s="256"/>
      <c r="H57" s="256"/>
      <c r="I57" s="257"/>
    </row>
    <row r="58" spans="2:9" ht="15.75" customHeight="1" outlineLevel="2" x14ac:dyDescent="0.25">
      <c r="B58" s="506"/>
      <c r="C58" s="270"/>
      <c r="D58" s="271"/>
      <c r="E58" s="295"/>
      <c r="F58" s="256"/>
      <c r="G58" s="256"/>
      <c r="H58" s="256"/>
      <c r="I58" s="257"/>
    </row>
    <row r="59" spans="2:9" ht="15.75" customHeight="1" outlineLevel="2" x14ac:dyDescent="0.25">
      <c r="B59" s="506"/>
      <c r="C59" s="270"/>
      <c r="D59" s="271"/>
      <c r="E59" s="295"/>
      <c r="F59" s="256"/>
      <c r="G59" s="256"/>
      <c r="H59" s="256"/>
      <c r="I59" s="257"/>
    </row>
    <row r="60" spans="2:9" ht="15.75" customHeight="1" outlineLevel="2" x14ac:dyDescent="0.25">
      <c r="B60" s="506"/>
      <c r="C60" s="270"/>
      <c r="D60" s="271"/>
      <c r="E60" s="295"/>
      <c r="F60" s="256"/>
      <c r="G60" s="256"/>
      <c r="H60" s="256"/>
      <c r="I60" s="257"/>
    </row>
    <row r="61" spans="2:9" ht="15.75" customHeight="1" outlineLevel="2" x14ac:dyDescent="0.25">
      <c r="B61" s="506"/>
      <c r="C61" s="270"/>
      <c r="D61" s="271"/>
      <c r="E61" s="295"/>
      <c r="F61" s="256"/>
      <c r="G61" s="256"/>
      <c r="H61" s="256"/>
      <c r="I61" s="257"/>
    </row>
    <row r="62" spans="2:9" ht="15.75" customHeight="1" outlineLevel="2" x14ac:dyDescent="0.25">
      <c r="B62" s="506"/>
      <c r="C62" s="270"/>
      <c r="D62" s="271"/>
      <c r="E62" s="295"/>
      <c r="F62" s="256"/>
      <c r="G62" s="256"/>
      <c r="H62" s="256"/>
      <c r="I62" s="257"/>
    </row>
    <row r="63" spans="2:9" ht="15.75" customHeight="1" outlineLevel="2" x14ac:dyDescent="0.25">
      <c r="B63" s="511" t="s">
        <v>151</v>
      </c>
      <c r="C63" s="272">
        <v>253228</v>
      </c>
      <c r="D63" s="546">
        <v>1107549</v>
      </c>
      <c r="E63" s="296">
        <v>43446</v>
      </c>
      <c r="F63" s="259">
        <v>50966</v>
      </c>
      <c r="G63" s="259">
        <v>51762</v>
      </c>
      <c r="H63" s="259">
        <v>52191</v>
      </c>
      <c r="I63" s="260">
        <v>52658</v>
      </c>
    </row>
    <row r="64" spans="2:9" ht="15.75" customHeight="1" outlineLevel="2" collapsed="1" x14ac:dyDescent="0.25">
      <c r="B64" s="2" t="s">
        <v>112</v>
      </c>
      <c r="C64" s="2">
        <f t="shared" ref="C64:I64" si="1">SUM(C48:C63)</f>
        <v>1489266</v>
      </c>
      <c r="D64" s="2">
        <f t="shared" si="1"/>
        <v>3400881</v>
      </c>
      <c r="E64" s="2">
        <f t="shared" si="1"/>
        <v>1241921</v>
      </c>
      <c r="F64" s="2">
        <f t="shared" si="1"/>
        <v>107034</v>
      </c>
      <c r="G64" s="2">
        <f t="shared" si="1"/>
        <v>51762</v>
      </c>
      <c r="H64" s="2">
        <f t="shared" si="1"/>
        <v>52191</v>
      </c>
      <c r="I64" s="532">
        <f t="shared" si="1"/>
        <v>52658</v>
      </c>
    </row>
    <row r="65" spans="2:9" ht="15.75" customHeight="1" outlineLevel="1" x14ac:dyDescent="0.25"/>
    <row r="66" spans="2:9" ht="21.75" customHeight="1" outlineLevel="1" x14ac:dyDescent="0.25">
      <c r="B66" s="235" t="s">
        <v>138</v>
      </c>
      <c r="C66" s="236"/>
      <c r="D66" s="236"/>
      <c r="E66" s="236"/>
      <c r="F66" s="236"/>
      <c r="G66" s="236"/>
      <c r="H66" s="236"/>
      <c r="I66" s="237"/>
    </row>
    <row r="67" spans="2:9" ht="15.75" customHeight="1" outlineLevel="2" x14ac:dyDescent="0.25">
      <c r="B67" s="527" t="s">
        <v>254</v>
      </c>
      <c r="C67" s="261">
        <v>0</v>
      </c>
      <c r="D67" s="263">
        <v>0</v>
      </c>
      <c r="E67" s="294">
        <v>0</v>
      </c>
      <c r="F67" s="262">
        <v>0</v>
      </c>
      <c r="G67" s="262">
        <v>0</v>
      </c>
      <c r="H67" s="262">
        <v>0</v>
      </c>
      <c r="I67" s="265">
        <v>0</v>
      </c>
    </row>
    <row r="68" spans="2:9" ht="15.75" customHeight="1" outlineLevel="2" x14ac:dyDescent="0.25">
      <c r="B68" s="506" t="s">
        <v>255</v>
      </c>
      <c r="C68" s="270">
        <v>0</v>
      </c>
      <c r="D68" s="271">
        <v>0</v>
      </c>
      <c r="E68" s="295">
        <v>0</v>
      </c>
      <c r="F68" s="256">
        <v>0</v>
      </c>
      <c r="G68" s="256">
        <v>0</v>
      </c>
      <c r="H68" s="256">
        <v>0</v>
      </c>
      <c r="I68" s="257">
        <v>0</v>
      </c>
    </row>
    <row r="69" spans="2:9" ht="15.75" customHeight="1" outlineLevel="2" x14ac:dyDescent="0.25">
      <c r="B69" s="506" t="s">
        <v>256</v>
      </c>
      <c r="C69" s="270">
        <v>0</v>
      </c>
      <c r="D69" s="271">
        <v>0</v>
      </c>
      <c r="E69" s="295">
        <v>0</v>
      </c>
      <c r="F69" s="256">
        <v>0</v>
      </c>
      <c r="G69" s="256">
        <v>0</v>
      </c>
      <c r="H69" s="256">
        <v>0</v>
      </c>
      <c r="I69" s="257">
        <v>0</v>
      </c>
    </row>
    <row r="70" spans="2:9" ht="15.75" customHeight="1" outlineLevel="2" x14ac:dyDescent="0.25">
      <c r="B70" s="506" t="s">
        <v>257</v>
      </c>
      <c r="C70" s="270">
        <v>0</v>
      </c>
      <c r="D70" s="271">
        <v>0</v>
      </c>
      <c r="E70" s="295">
        <v>0</v>
      </c>
      <c r="F70" s="256">
        <v>0</v>
      </c>
      <c r="G70" s="256">
        <v>0</v>
      </c>
      <c r="H70" s="256">
        <v>0</v>
      </c>
      <c r="I70" s="257">
        <v>0</v>
      </c>
    </row>
    <row r="71" spans="2:9" ht="15.75" customHeight="1" outlineLevel="2" x14ac:dyDescent="0.25">
      <c r="B71" s="506"/>
      <c r="C71" s="270"/>
      <c r="D71" s="271"/>
      <c r="E71" s="295"/>
      <c r="F71" s="256"/>
      <c r="G71" s="256"/>
      <c r="H71" s="256"/>
      <c r="I71" s="257"/>
    </row>
    <row r="72" spans="2:9" ht="15.75" customHeight="1" outlineLevel="2" x14ac:dyDescent="0.25">
      <c r="B72" s="506"/>
      <c r="C72" s="270"/>
      <c r="D72" s="271"/>
      <c r="E72" s="295"/>
      <c r="F72" s="256"/>
      <c r="G72" s="256"/>
      <c r="H72" s="256"/>
      <c r="I72" s="257"/>
    </row>
    <row r="73" spans="2:9" ht="15.75" customHeight="1" outlineLevel="2" x14ac:dyDescent="0.25">
      <c r="B73" s="506"/>
      <c r="C73" s="270"/>
      <c r="D73" s="271"/>
      <c r="E73" s="295"/>
      <c r="F73" s="256"/>
      <c r="G73" s="256"/>
      <c r="H73" s="256"/>
      <c r="I73" s="257"/>
    </row>
    <row r="74" spans="2:9" ht="15.75" customHeight="1" outlineLevel="2" x14ac:dyDescent="0.25">
      <c r="B74" s="506"/>
      <c r="C74" s="270"/>
      <c r="D74" s="271"/>
      <c r="E74" s="295"/>
      <c r="F74" s="256"/>
      <c r="G74" s="256"/>
      <c r="H74" s="256"/>
      <c r="I74" s="257"/>
    </row>
    <row r="75" spans="2:9" ht="15.75" customHeight="1" outlineLevel="2" x14ac:dyDescent="0.25">
      <c r="B75" s="506"/>
      <c r="C75" s="270"/>
      <c r="D75" s="271"/>
      <c r="E75" s="295"/>
      <c r="F75" s="256"/>
      <c r="G75" s="256"/>
      <c r="H75" s="256"/>
      <c r="I75" s="257"/>
    </row>
    <row r="76" spans="2:9" ht="15.75" customHeight="1" outlineLevel="2" x14ac:dyDescent="0.25">
      <c r="B76" s="506"/>
      <c r="C76" s="270"/>
      <c r="D76" s="271"/>
      <c r="E76" s="295"/>
      <c r="F76" s="256"/>
      <c r="G76" s="256"/>
      <c r="H76" s="256"/>
      <c r="I76" s="257"/>
    </row>
    <row r="77" spans="2:9" ht="15.75" customHeight="1" outlineLevel="2" x14ac:dyDescent="0.25">
      <c r="B77" s="506"/>
      <c r="C77" s="270"/>
      <c r="D77" s="271"/>
      <c r="E77" s="295"/>
      <c r="F77" s="256"/>
      <c r="G77" s="256"/>
      <c r="H77" s="256"/>
      <c r="I77" s="257"/>
    </row>
    <row r="78" spans="2:9" ht="15.75" customHeight="1" outlineLevel="2" x14ac:dyDescent="0.25">
      <c r="B78" s="506"/>
      <c r="C78" s="270"/>
      <c r="D78" s="271"/>
      <c r="E78" s="295"/>
      <c r="F78" s="256"/>
      <c r="G78" s="256"/>
      <c r="H78" s="256"/>
      <c r="I78" s="257"/>
    </row>
    <row r="79" spans="2:9" ht="15.75" customHeight="1" outlineLevel="2" x14ac:dyDescent="0.25">
      <c r="B79" s="506"/>
      <c r="C79" s="270"/>
      <c r="D79" s="271"/>
      <c r="E79" s="295"/>
      <c r="F79" s="256"/>
      <c r="G79" s="256"/>
      <c r="H79" s="256"/>
      <c r="I79" s="257"/>
    </row>
    <row r="80" spans="2:9" ht="15.75" customHeight="1" outlineLevel="2" x14ac:dyDescent="0.25">
      <c r="B80" s="506"/>
      <c r="C80" s="270"/>
      <c r="D80" s="271"/>
      <c r="E80" s="295"/>
      <c r="F80" s="256"/>
      <c r="G80" s="256"/>
      <c r="H80" s="256"/>
      <c r="I80" s="257"/>
    </row>
    <row r="81" spans="2:9" ht="15.75" customHeight="1" outlineLevel="2" x14ac:dyDescent="0.25">
      <c r="B81" s="506"/>
      <c r="C81" s="270"/>
      <c r="D81" s="271"/>
      <c r="E81" s="295"/>
      <c r="F81" s="256"/>
      <c r="G81" s="256"/>
      <c r="H81" s="256"/>
      <c r="I81" s="257"/>
    </row>
    <row r="82" spans="2:9" ht="15.75" customHeight="1" outlineLevel="2" x14ac:dyDescent="0.25">
      <c r="B82" s="511" t="s">
        <v>151</v>
      </c>
      <c r="C82" s="272"/>
      <c r="D82" s="546"/>
      <c r="E82" s="296"/>
      <c r="F82" s="259"/>
      <c r="G82" s="259"/>
      <c r="H82" s="259"/>
      <c r="I82" s="260"/>
    </row>
    <row r="83" spans="2:9" ht="15.75" customHeight="1" outlineLevel="2" collapsed="1" x14ac:dyDescent="0.25">
      <c r="B83" s="2" t="s">
        <v>112</v>
      </c>
      <c r="C83" s="2">
        <f t="shared" ref="C83:I83" si="2">SUM(C67:C82)</f>
        <v>0</v>
      </c>
      <c r="D83" s="2">
        <f t="shared" si="2"/>
        <v>0</v>
      </c>
      <c r="E83" s="2">
        <f t="shared" si="2"/>
        <v>0</v>
      </c>
      <c r="F83" s="2">
        <f t="shared" si="2"/>
        <v>0</v>
      </c>
      <c r="G83" s="2">
        <f t="shared" si="2"/>
        <v>0</v>
      </c>
      <c r="H83" s="2">
        <f t="shared" si="2"/>
        <v>0</v>
      </c>
      <c r="I83" s="532">
        <f t="shared" si="2"/>
        <v>0</v>
      </c>
    </row>
    <row r="84" spans="2:9" ht="15.75" customHeight="1" outlineLevel="1" x14ac:dyDescent="0.25">
      <c r="B84" s="74"/>
    </row>
    <row r="85" spans="2:9" ht="21.75" customHeight="1" outlineLevel="1" x14ac:dyDescent="0.25">
      <c r="B85" s="235" t="s">
        <v>139</v>
      </c>
      <c r="C85" s="236"/>
      <c r="D85" s="236"/>
      <c r="E85" s="236"/>
      <c r="F85" s="236"/>
      <c r="G85" s="236"/>
      <c r="H85" s="236"/>
      <c r="I85" s="237"/>
    </row>
    <row r="86" spans="2:9" ht="15.75" customHeight="1" outlineLevel="2" x14ac:dyDescent="0.25">
      <c r="B86" s="527" t="s">
        <v>254</v>
      </c>
      <c r="C86" s="261">
        <v>0</v>
      </c>
      <c r="D86" s="263">
        <v>0</v>
      </c>
      <c r="E86" s="294">
        <v>0</v>
      </c>
      <c r="F86" s="262">
        <v>0</v>
      </c>
      <c r="G86" s="262">
        <v>0</v>
      </c>
      <c r="H86" s="262">
        <v>0</v>
      </c>
      <c r="I86" s="265">
        <v>0</v>
      </c>
    </row>
    <row r="87" spans="2:9" ht="15.75" customHeight="1" outlineLevel="2" x14ac:dyDescent="0.25">
      <c r="B87" s="506" t="s">
        <v>255</v>
      </c>
      <c r="C87" s="270">
        <v>0</v>
      </c>
      <c r="D87" s="271">
        <v>0</v>
      </c>
      <c r="E87" s="295">
        <v>0</v>
      </c>
      <c r="F87" s="256">
        <v>0</v>
      </c>
      <c r="G87" s="256">
        <v>0</v>
      </c>
      <c r="H87" s="256">
        <v>0</v>
      </c>
      <c r="I87" s="257">
        <v>0</v>
      </c>
    </row>
    <row r="88" spans="2:9" ht="15.75" customHeight="1" outlineLevel="2" x14ac:dyDescent="0.25">
      <c r="B88" s="506" t="s">
        <v>256</v>
      </c>
      <c r="C88" s="270">
        <v>0</v>
      </c>
      <c r="D88" s="271">
        <v>0</v>
      </c>
      <c r="E88" s="295">
        <v>0</v>
      </c>
      <c r="F88" s="256">
        <v>0</v>
      </c>
      <c r="G88" s="256">
        <v>0</v>
      </c>
      <c r="H88" s="256">
        <v>0</v>
      </c>
      <c r="I88" s="257">
        <v>0</v>
      </c>
    </row>
    <row r="89" spans="2:9" ht="15.75" customHeight="1" outlineLevel="2" x14ac:dyDescent="0.25">
      <c r="B89" s="506" t="s">
        <v>257</v>
      </c>
      <c r="C89" s="270">
        <v>0</v>
      </c>
      <c r="D89" s="271">
        <v>0</v>
      </c>
      <c r="E89" s="295">
        <v>0</v>
      </c>
      <c r="F89" s="256">
        <v>0</v>
      </c>
      <c r="G89" s="256">
        <v>0</v>
      </c>
      <c r="H89" s="256">
        <v>0</v>
      </c>
      <c r="I89" s="257">
        <v>0</v>
      </c>
    </row>
    <row r="90" spans="2:9" ht="15.75" customHeight="1" outlineLevel="2" x14ac:dyDescent="0.25">
      <c r="B90" s="506"/>
      <c r="C90" s="270"/>
      <c r="D90" s="271"/>
      <c r="E90" s="295"/>
      <c r="F90" s="256"/>
      <c r="G90" s="256"/>
      <c r="H90" s="256"/>
      <c r="I90" s="257"/>
    </row>
    <row r="91" spans="2:9" ht="15.75" customHeight="1" outlineLevel="2" x14ac:dyDescent="0.25">
      <c r="B91" s="506"/>
      <c r="C91" s="270"/>
      <c r="D91" s="271"/>
      <c r="E91" s="295"/>
      <c r="F91" s="256"/>
      <c r="G91" s="256"/>
      <c r="H91" s="256"/>
      <c r="I91" s="257"/>
    </row>
    <row r="92" spans="2:9" ht="15.75" customHeight="1" outlineLevel="2" x14ac:dyDescent="0.25">
      <c r="B92" s="506"/>
      <c r="C92" s="270"/>
      <c r="D92" s="271"/>
      <c r="E92" s="295"/>
      <c r="F92" s="256"/>
      <c r="G92" s="256"/>
      <c r="H92" s="256"/>
      <c r="I92" s="257"/>
    </row>
    <row r="93" spans="2:9" ht="15.75" customHeight="1" outlineLevel="2" x14ac:dyDescent="0.25">
      <c r="B93" s="506"/>
      <c r="C93" s="270"/>
      <c r="D93" s="271"/>
      <c r="E93" s="295"/>
      <c r="F93" s="256"/>
      <c r="G93" s="256"/>
      <c r="H93" s="256"/>
      <c r="I93" s="257"/>
    </row>
    <row r="94" spans="2:9" ht="15.75" customHeight="1" outlineLevel="2" x14ac:dyDescent="0.25">
      <c r="B94" s="506"/>
      <c r="C94" s="270"/>
      <c r="D94" s="271"/>
      <c r="E94" s="295"/>
      <c r="F94" s="256"/>
      <c r="G94" s="256"/>
      <c r="H94" s="256"/>
      <c r="I94" s="257"/>
    </row>
    <row r="95" spans="2:9" ht="15.75" customHeight="1" outlineLevel="2" x14ac:dyDescent="0.25">
      <c r="B95" s="506"/>
      <c r="C95" s="270"/>
      <c r="D95" s="271"/>
      <c r="E95" s="295"/>
      <c r="F95" s="256"/>
      <c r="G95" s="256"/>
      <c r="H95" s="256"/>
      <c r="I95" s="257"/>
    </row>
    <row r="96" spans="2:9" ht="15.75" customHeight="1" outlineLevel="2" x14ac:dyDescent="0.25">
      <c r="B96" s="506"/>
      <c r="C96" s="270"/>
      <c r="D96" s="271"/>
      <c r="E96" s="295"/>
      <c r="F96" s="256"/>
      <c r="G96" s="256"/>
      <c r="H96" s="256"/>
      <c r="I96" s="257"/>
    </row>
    <row r="97" spans="2:9" ht="15.75" customHeight="1" outlineLevel="2" x14ac:dyDescent="0.25">
      <c r="B97" s="506"/>
      <c r="C97" s="270"/>
      <c r="D97" s="271"/>
      <c r="E97" s="295"/>
      <c r="F97" s="256"/>
      <c r="G97" s="256"/>
      <c r="H97" s="256"/>
      <c r="I97" s="257"/>
    </row>
    <row r="98" spans="2:9" ht="15.75" customHeight="1" outlineLevel="2" x14ac:dyDescent="0.25">
      <c r="B98" s="506"/>
      <c r="C98" s="270"/>
      <c r="D98" s="271"/>
      <c r="E98" s="295"/>
      <c r="F98" s="256"/>
      <c r="G98" s="256"/>
      <c r="H98" s="256"/>
      <c r="I98" s="257"/>
    </row>
    <row r="99" spans="2:9" ht="15.75" customHeight="1" outlineLevel="2" x14ac:dyDescent="0.25">
      <c r="B99" s="506"/>
      <c r="C99" s="270"/>
      <c r="D99" s="271"/>
      <c r="E99" s="295"/>
      <c r="F99" s="256"/>
      <c r="G99" s="256"/>
      <c r="H99" s="256"/>
      <c r="I99" s="257"/>
    </row>
    <row r="100" spans="2:9" ht="15.75" customHeight="1" outlineLevel="2" x14ac:dyDescent="0.25">
      <c r="B100" s="506"/>
      <c r="C100" s="270"/>
      <c r="D100" s="271"/>
      <c r="E100" s="295"/>
      <c r="F100" s="256"/>
      <c r="G100" s="256"/>
      <c r="H100" s="256"/>
      <c r="I100" s="257"/>
    </row>
    <row r="101" spans="2:9" ht="15.75" customHeight="1" outlineLevel="2" x14ac:dyDescent="0.25">
      <c r="B101" s="511" t="s">
        <v>151</v>
      </c>
      <c r="C101" s="272"/>
      <c r="D101" s="546"/>
      <c r="E101" s="296"/>
      <c r="F101" s="259"/>
      <c r="G101" s="259"/>
      <c r="H101" s="259"/>
      <c r="I101" s="260"/>
    </row>
    <row r="102" spans="2:9" ht="15.75" customHeight="1" outlineLevel="2" collapsed="1" x14ac:dyDescent="0.25">
      <c r="B102" s="2" t="s">
        <v>112</v>
      </c>
      <c r="C102" s="2">
        <f t="shared" ref="C102:I102" si="3">SUM(C86:C101)</f>
        <v>0</v>
      </c>
      <c r="D102" s="2">
        <f t="shared" si="3"/>
        <v>0</v>
      </c>
      <c r="E102" s="2">
        <f t="shared" si="3"/>
        <v>0</v>
      </c>
      <c r="F102" s="2">
        <f t="shared" si="3"/>
        <v>0</v>
      </c>
      <c r="G102" s="2">
        <f t="shared" si="3"/>
        <v>0</v>
      </c>
      <c r="H102" s="2">
        <f t="shared" si="3"/>
        <v>0</v>
      </c>
      <c r="I102" s="532">
        <f t="shared" si="3"/>
        <v>0</v>
      </c>
    </row>
    <row r="103" spans="2:9" ht="15.75" customHeight="1" outlineLevel="1" x14ac:dyDescent="0.25">
      <c r="B103" s="74"/>
    </row>
    <row r="104" spans="2:9" ht="21.75" customHeight="1" outlineLevel="1" x14ac:dyDescent="0.25">
      <c r="B104" s="235" t="s">
        <v>140</v>
      </c>
      <c r="C104" s="236"/>
      <c r="D104" s="236"/>
      <c r="E104" s="236"/>
      <c r="F104" s="236"/>
      <c r="G104" s="236"/>
      <c r="H104" s="236"/>
      <c r="I104" s="237"/>
    </row>
    <row r="105" spans="2:9" ht="15.75" customHeight="1" outlineLevel="2" x14ac:dyDescent="0.25">
      <c r="B105" s="511" t="s">
        <v>112</v>
      </c>
      <c r="C105" s="272">
        <v>0</v>
      </c>
      <c r="D105" s="546">
        <v>0</v>
      </c>
      <c r="E105" s="296">
        <v>0</v>
      </c>
      <c r="F105" s="259">
        <v>0</v>
      </c>
      <c r="G105" s="259">
        <v>0</v>
      </c>
      <c r="H105" s="259">
        <v>0</v>
      </c>
      <c r="I105" s="260">
        <v>0</v>
      </c>
    </row>
    <row r="106" spans="2:9" ht="15.75" customHeight="1" outlineLevel="2" collapsed="1" x14ac:dyDescent="0.25">
      <c r="B106" s="2" t="s">
        <v>112</v>
      </c>
      <c r="C106" s="2">
        <f t="shared" ref="C106:I106" si="4">SUM(C105:C105)</f>
        <v>0</v>
      </c>
      <c r="D106" s="2">
        <f t="shared" si="4"/>
        <v>0</v>
      </c>
      <c r="E106" s="2">
        <f t="shared" si="4"/>
        <v>0</v>
      </c>
      <c r="F106" s="2">
        <f t="shared" si="4"/>
        <v>0</v>
      </c>
      <c r="G106" s="2">
        <f t="shared" si="4"/>
        <v>0</v>
      </c>
      <c r="H106" s="2">
        <f t="shared" si="4"/>
        <v>0</v>
      </c>
      <c r="I106" s="532">
        <f t="shared" si="4"/>
        <v>0</v>
      </c>
    </row>
    <row r="107" spans="2:9" ht="15.75" customHeight="1" outlineLevel="1" x14ac:dyDescent="0.25">
      <c r="B107" s="74"/>
    </row>
    <row r="108" spans="2:9" ht="21.75" customHeight="1" outlineLevel="1" x14ac:dyDescent="0.25">
      <c r="B108" s="235" t="s">
        <v>141</v>
      </c>
      <c r="C108" s="236"/>
      <c r="D108" s="236"/>
      <c r="E108" s="236"/>
      <c r="F108" s="236"/>
      <c r="G108" s="236"/>
      <c r="H108" s="236"/>
      <c r="I108" s="237"/>
    </row>
    <row r="109" spans="2:9" ht="15.75" customHeight="1" outlineLevel="2" x14ac:dyDescent="0.25">
      <c r="B109" s="527" t="s">
        <v>254</v>
      </c>
      <c r="C109" s="261">
        <v>0</v>
      </c>
      <c r="D109" s="263">
        <v>0</v>
      </c>
      <c r="E109" s="294">
        <v>0</v>
      </c>
      <c r="F109" s="262">
        <v>0</v>
      </c>
      <c r="G109" s="262">
        <v>0</v>
      </c>
      <c r="H109" s="262">
        <v>0</v>
      </c>
      <c r="I109" s="265">
        <v>0</v>
      </c>
    </row>
    <row r="110" spans="2:9" ht="15.75" customHeight="1" outlineLevel="2" x14ac:dyDescent="0.25">
      <c r="B110" s="506" t="s">
        <v>255</v>
      </c>
      <c r="C110" s="270">
        <v>0</v>
      </c>
      <c r="D110" s="271">
        <v>0</v>
      </c>
      <c r="E110" s="295">
        <v>0</v>
      </c>
      <c r="F110" s="256">
        <v>0</v>
      </c>
      <c r="G110" s="256">
        <v>0</v>
      </c>
      <c r="H110" s="256">
        <v>0</v>
      </c>
      <c r="I110" s="257">
        <v>0</v>
      </c>
    </row>
    <row r="111" spans="2:9" ht="15.75" customHeight="1" outlineLevel="2" x14ac:dyDescent="0.25">
      <c r="B111" s="506" t="s">
        <v>256</v>
      </c>
      <c r="C111" s="270">
        <v>0</v>
      </c>
      <c r="D111" s="271">
        <v>0</v>
      </c>
      <c r="E111" s="295">
        <v>0</v>
      </c>
      <c r="F111" s="256">
        <v>0</v>
      </c>
      <c r="G111" s="256">
        <v>0</v>
      </c>
      <c r="H111" s="256">
        <v>0</v>
      </c>
      <c r="I111" s="257">
        <v>0</v>
      </c>
    </row>
    <row r="112" spans="2:9" ht="15.75" customHeight="1" outlineLevel="2" x14ac:dyDescent="0.25">
      <c r="B112" s="506" t="s">
        <v>257</v>
      </c>
      <c r="C112" s="270">
        <v>0</v>
      </c>
      <c r="D112" s="271">
        <v>0</v>
      </c>
      <c r="E112" s="295">
        <v>0</v>
      </c>
      <c r="F112" s="256">
        <v>0</v>
      </c>
      <c r="G112" s="256">
        <v>0</v>
      </c>
      <c r="H112" s="256">
        <v>0</v>
      </c>
      <c r="I112" s="257">
        <v>0</v>
      </c>
    </row>
    <row r="113" spans="2:9" ht="15.75" customHeight="1" outlineLevel="2" x14ac:dyDescent="0.25">
      <c r="B113" s="506"/>
      <c r="C113" s="270"/>
      <c r="D113" s="271"/>
      <c r="E113" s="295"/>
      <c r="F113" s="256"/>
      <c r="G113" s="256"/>
      <c r="H113" s="256"/>
      <c r="I113" s="257"/>
    </row>
    <row r="114" spans="2:9" ht="15.75" customHeight="1" outlineLevel="2" x14ac:dyDescent="0.25">
      <c r="B114" s="506"/>
      <c r="C114" s="270"/>
      <c r="D114" s="271"/>
      <c r="E114" s="295"/>
      <c r="F114" s="256"/>
      <c r="G114" s="256"/>
      <c r="H114" s="256"/>
      <c r="I114" s="257"/>
    </row>
    <row r="115" spans="2:9" ht="15.75" customHeight="1" outlineLevel="2" x14ac:dyDescent="0.25">
      <c r="B115" s="506"/>
      <c r="C115" s="270"/>
      <c r="D115" s="271"/>
      <c r="E115" s="295"/>
      <c r="F115" s="256"/>
      <c r="G115" s="256"/>
      <c r="H115" s="256"/>
      <c r="I115" s="257"/>
    </row>
    <row r="116" spans="2:9" ht="15.75" customHeight="1" outlineLevel="2" x14ac:dyDescent="0.25">
      <c r="B116" s="506"/>
      <c r="C116" s="270"/>
      <c r="D116" s="271"/>
      <c r="E116" s="295"/>
      <c r="F116" s="256"/>
      <c r="G116" s="256"/>
      <c r="H116" s="256"/>
      <c r="I116" s="257"/>
    </row>
    <row r="117" spans="2:9" ht="15.75" customHeight="1" outlineLevel="2" x14ac:dyDescent="0.25">
      <c r="B117" s="506"/>
      <c r="C117" s="270"/>
      <c r="D117" s="271"/>
      <c r="E117" s="295"/>
      <c r="F117" s="256"/>
      <c r="G117" s="256"/>
      <c r="H117" s="256"/>
      <c r="I117" s="257"/>
    </row>
    <row r="118" spans="2:9" ht="15.75" customHeight="1" outlineLevel="2" x14ac:dyDescent="0.25">
      <c r="B118" s="506"/>
      <c r="C118" s="270"/>
      <c r="D118" s="271"/>
      <c r="E118" s="295"/>
      <c r="F118" s="256"/>
      <c r="G118" s="256"/>
      <c r="H118" s="256"/>
      <c r="I118" s="257"/>
    </row>
    <row r="119" spans="2:9" ht="15.75" customHeight="1" outlineLevel="2" x14ac:dyDescent="0.25">
      <c r="B119" s="506"/>
      <c r="C119" s="270"/>
      <c r="D119" s="271"/>
      <c r="E119" s="295"/>
      <c r="F119" s="256"/>
      <c r="G119" s="256"/>
      <c r="H119" s="256"/>
      <c r="I119" s="257"/>
    </row>
    <row r="120" spans="2:9" ht="15.75" customHeight="1" outlineLevel="2" x14ac:dyDescent="0.25">
      <c r="B120" s="506"/>
      <c r="C120" s="270"/>
      <c r="D120" s="271"/>
      <c r="E120" s="295"/>
      <c r="F120" s="256"/>
      <c r="G120" s="256"/>
      <c r="H120" s="256"/>
      <c r="I120" s="257"/>
    </row>
    <row r="121" spans="2:9" ht="15.75" customHeight="1" outlineLevel="2" x14ac:dyDescent="0.25">
      <c r="B121" s="506"/>
      <c r="C121" s="270"/>
      <c r="D121" s="271"/>
      <c r="E121" s="295"/>
      <c r="F121" s="256"/>
      <c r="G121" s="256"/>
      <c r="H121" s="256"/>
      <c r="I121" s="257"/>
    </row>
    <row r="122" spans="2:9" ht="15.75" customHeight="1" outlineLevel="2" x14ac:dyDescent="0.25">
      <c r="B122" s="506"/>
      <c r="C122" s="270"/>
      <c r="D122" s="271"/>
      <c r="E122" s="295"/>
      <c r="F122" s="256"/>
      <c r="G122" s="256"/>
      <c r="H122" s="256"/>
      <c r="I122" s="257"/>
    </row>
    <row r="123" spans="2:9" ht="15.75" customHeight="1" outlineLevel="2" x14ac:dyDescent="0.25">
      <c r="B123" s="506"/>
      <c r="C123" s="270"/>
      <c r="D123" s="271"/>
      <c r="E123" s="295"/>
      <c r="F123" s="256"/>
      <c r="G123" s="256"/>
      <c r="H123" s="256"/>
      <c r="I123" s="257"/>
    </row>
    <row r="124" spans="2:9" ht="15.75" customHeight="1" outlineLevel="2" x14ac:dyDescent="0.25">
      <c r="B124" s="511" t="s">
        <v>151</v>
      </c>
      <c r="C124" s="272"/>
      <c r="D124" s="546"/>
      <c r="E124" s="296"/>
      <c r="F124" s="259"/>
      <c r="G124" s="259"/>
      <c r="H124" s="259"/>
      <c r="I124" s="260"/>
    </row>
    <row r="125" spans="2:9" ht="15.75" customHeight="1" outlineLevel="2" collapsed="1" x14ac:dyDescent="0.25">
      <c r="B125" s="2" t="s">
        <v>112</v>
      </c>
      <c r="C125" s="2">
        <f t="shared" ref="C125:I125" si="5">SUM(C109:C124)</f>
        <v>0</v>
      </c>
      <c r="D125" s="2">
        <f t="shared" si="5"/>
        <v>0</v>
      </c>
      <c r="E125" s="2">
        <f t="shared" si="5"/>
        <v>0</v>
      </c>
      <c r="F125" s="2">
        <f t="shared" si="5"/>
        <v>0</v>
      </c>
      <c r="G125" s="2">
        <f t="shared" si="5"/>
        <v>0</v>
      </c>
      <c r="H125" s="2">
        <f t="shared" si="5"/>
        <v>0</v>
      </c>
      <c r="I125" s="532">
        <f t="shared" si="5"/>
        <v>0</v>
      </c>
    </row>
    <row r="126" spans="2:9" ht="15.75" customHeight="1" outlineLevel="1" x14ac:dyDescent="0.25">
      <c r="B126" s="74"/>
    </row>
  </sheetData>
  <sheetProtection algorithmName="SHA-256" hashValue="MFqwZ0BdCFMd0pFVDh6cS4w2biGVs6XzZpRJYH4R9V8=" saltValue="UVD94ncbKsnAmDcAUOXE6w=="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17375E"/>
  </sheetPr>
  <dimension ref="A1:J71"/>
  <sheetViews>
    <sheetView showGridLines="0" workbookViewId="0">
      <selection activeCell="B1" sqref="B1"/>
    </sheetView>
  </sheetViews>
  <sheetFormatPr defaultColWidth="9.140625" defaultRowHeight="15" outlineLevelRow="1" x14ac:dyDescent="0.25"/>
  <cols>
    <col min="1" max="1" width="22.7109375" customWidth="1"/>
    <col min="2" max="2" width="67.5703125" customWidth="1"/>
    <col min="3" max="3" width="63.7109375" customWidth="1"/>
    <col min="4" max="10" width="20.7109375" customWidth="1"/>
  </cols>
  <sheetData>
    <row r="1" spans="1:10" ht="30" customHeight="1" x14ac:dyDescent="0.25">
      <c r="A1" s="1068"/>
      <c r="B1" s="1069" t="str">
        <f>INDEX(dms_Worksheet_List,MATCH(dms_Model,dms_Model_List))</f>
        <v>REGULATORY REPORTING STATEMENT</v>
      </c>
      <c r="C1" s="25"/>
      <c r="D1" s="25"/>
      <c r="E1" s="25"/>
      <c r="F1" s="25"/>
      <c r="G1" s="25"/>
      <c r="H1" s="25"/>
      <c r="I1" s="25"/>
      <c r="J1" s="25"/>
    </row>
    <row r="2" spans="1:10" ht="30" customHeight="1" x14ac:dyDescent="0.25">
      <c r="A2" s="1069"/>
      <c r="B2" s="1069" t="str">
        <f>dms_TradingNameFull</f>
        <v>Icon Distribution Investments Limited (ABN 83 073 025 224) and Jemena Networks (ACT) Pty Ltd (ABN 24 008 552 663)</v>
      </c>
      <c r="C2" s="25"/>
      <c r="D2" s="25"/>
      <c r="E2" s="25"/>
      <c r="F2" s="25"/>
      <c r="G2" s="25"/>
      <c r="H2" s="25"/>
      <c r="I2" s="25"/>
      <c r="J2" s="25"/>
    </row>
    <row r="3" spans="1:10" ht="30" customHeight="1" x14ac:dyDescent="0.25">
      <c r="A3" s="1071"/>
      <c r="B3" s="1071" t="str">
        <f ca="1">dms_Header_Span</f>
        <v>2024-25 to 2030-31</v>
      </c>
      <c r="C3" s="25"/>
      <c r="D3" s="25"/>
      <c r="E3" s="25"/>
      <c r="F3" s="25"/>
      <c r="G3" s="25"/>
      <c r="H3" s="25"/>
      <c r="I3" s="25"/>
      <c r="J3" s="25"/>
    </row>
    <row r="4" spans="1:10" ht="30" customHeight="1" x14ac:dyDescent="0.25">
      <c r="A4" s="383"/>
      <c r="B4" s="383" t="s">
        <v>259</v>
      </c>
      <c r="C4" s="383"/>
      <c r="D4" s="383"/>
      <c r="E4" s="383"/>
      <c r="F4" s="383"/>
      <c r="G4" s="383"/>
      <c r="H4" s="383"/>
      <c r="I4" s="383"/>
      <c r="J4" s="383"/>
    </row>
    <row r="5" spans="1:10" ht="30" customHeight="1" x14ac:dyDescent="0.25">
      <c r="B5" s="1440" t="s">
        <v>96</v>
      </c>
      <c r="C5" s="1440"/>
      <c r="D5" s="1440"/>
      <c r="E5" s="1440"/>
      <c r="F5" s="1440"/>
      <c r="G5" s="1440"/>
      <c r="H5" s="1440"/>
      <c r="I5" s="1440"/>
      <c r="J5" s="1440"/>
    </row>
    <row r="6" spans="1:10" ht="15" customHeight="1" x14ac:dyDescent="0.25"/>
    <row r="7" spans="1:10" s="393" customFormat="1" ht="24.95" customHeight="1" x14ac:dyDescent="0.25">
      <c r="A7" s="392"/>
      <c r="B7" s="31" t="s">
        <v>260</v>
      </c>
      <c r="C7" s="31"/>
      <c r="D7" s="31"/>
      <c r="E7" s="31"/>
      <c r="F7" s="31"/>
      <c r="G7" s="31"/>
      <c r="H7" s="31"/>
      <c r="I7" s="31"/>
      <c r="J7" s="31"/>
    </row>
    <row r="8" spans="1:10" s="397" customFormat="1" ht="29.25" customHeight="1" x14ac:dyDescent="0.3">
      <c r="A8" s="394"/>
      <c r="B8" s="395" t="s">
        <v>261</v>
      </c>
      <c r="C8" s="248"/>
      <c r="D8" s="248"/>
      <c r="E8" s="248"/>
      <c r="F8" s="248"/>
      <c r="G8" s="248"/>
      <c r="H8" s="248"/>
      <c r="I8" s="248"/>
      <c r="J8" s="396"/>
    </row>
    <row r="9" spans="1:10" s="399" customFormat="1" ht="21.75" customHeight="1" outlineLevel="1" x14ac:dyDescent="0.25">
      <c r="A9" s="42"/>
      <c r="B9" s="398"/>
      <c r="C9" s="398"/>
      <c r="D9" s="1332" t="s">
        <v>24</v>
      </c>
      <c r="E9" s="1332"/>
      <c r="F9" s="1332"/>
      <c r="G9" s="1332"/>
      <c r="H9" s="1332"/>
      <c r="I9" s="1332"/>
      <c r="J9" s="1333"/>
    </row>
    <row r="10" spans="1:10" s="399" customFormat="1" ht="29.25" customHeight="1" outlineLevel="1" x14ac:dyDescent="0.25">
      <c r="A10" s="42"/>
      <c r="B10" s="398"/>
      <c r="D10" s="1331" t="str">
        <f ca="1">CONCATENATE("$, real ",dms_DollarReal)</f>
        <v>$, real June 2026</v>
      </c>
      <c r="E10" s="1331"/>
      <c r="F10" s="1331"/>
      <c r="G10" s="1331"/>
      <c r="H10" s="1331"/>
      <c r="I10" s="1331"/>
      <c r="J10" s="1334"/>
    </row>
    <row r="11" spans="1:10" s="399" customFormat="1" ht="22.5" customHeight="1" outlineLevel="1" x14ac:dyDescent="0.25">
      <c r="A11" s="42"/>
      <c r="B11" s="477" t="s">
        <v>262</v>
      </c>
      <c r="C11" s="478" t="s">
        <v>263</v>
      </c>
      <c r="D11" s="298" t="str">
        <f ca="1">dms_y1</f>
        <v>2024-25</v>
      </c>
      <c r="E11" s="298" t="str">
        <f ca="1">dms_y2</f>
        <v>2025-26</v>
      </c>
      <c r="F11" s="298" t="str">
        <f ca="1">dms_y3</f>
        <v>2026-27</v>
      </c>
      <c r="G11" s="298" t="str">
        <f ca="1">dms_y4</f>
        <v>2027-28</v>
      </c>
      <c r="H11" s="298" t="str">
        <f ca="1">dms_y5</f>
        <v>2028-29</v>
      </c>
      <c r="I11" s="298" t="str">
        <f ca="1">dms_y6</f>
        <v>2029-30</v>
      </c>
      <c r="J11" s="298" t="str">
        <f ca="1">dms_y7</f>
        <v>2030-31</v>
      </c>
    </row>
    <row r="12" spans="1:10" s="399" customFormat="1" outlineLevel="1" x14ac:dyDescent="0.25">
      <c r="A12" s="42"/>
      <c r="B12" s="616"/>
      <c r="C12" s="403"/>
      <c r="D12" s="400"/>
      <c r="E12" s="250"/>
      <c r="F12" s="400"/>
      <c r="G12" s="361"/>
      <c r="H12" s="361"/>
      <c r="I12" s="361"/>
      <c r="J12" s="401"/>
    </row>
    <row r="13" spans="1:10" s="399" customFormat="1" outlineLevel="1" x14ac:dyDescent="0.25">
      <c r="A13" s="42"/>
      <c r="B13" s="617"/>
      <c r="C13" s="404"/>
      <c r="D13" s="251"/>
      <c r="E13" s="252"/>
      <c r="F13" s="251"/>
      <c r="G13" s="245"/>
      <c r="H13" s="245"/>
      <c r="I13" s="245"/>
      <c r="J13" s="230"/>
    </row>
    <row r="14" spans="1:10" s="399" customFormat="1" outlineLevel="1" x14ac:dyDescent="0.25">
      <c r="A14" s="42"/>
      <c r="B14" s="617"/>
      <c r="C14" s="404"/>
      <c r="D14" s="251"/>
      <c r="E14" s="252"/>
      <c r="F14" s="251"/>
      <c r="G14" s="245"/>
      <c r="H14" s="245"/>
      <c r="I14" s="245"/>
      <c r="J14" s="230"/>
    </row>
    <row r="15" spans="1:10" s="399" customFormat="1" outlineLevel="1" x14ac:dyDescent="0.25">
      <c r="A15" s="42"/>
      <c r="B15" s="617"/>
      <c r="C15" s="404"/>
      <c r="D15" s="251"/>
      <c r="E15" s="252"/>
      <c r="F15" s="251"/>
      <c r="G15" s="245"/>
      <c r="H15" s="245"/>
      <c r="I15" s="245"/>
      <c r="J15" s="230"/>
    </row>
    <row r="16" spans="1:10" s="399" customFormat="1" outlineLevel="1" x14ac:dyDescent="0.25">
      <c r="A16" s="42"/>
      <c r="B16" s="617"/>
      <c r="C16" s="404"/>
      <c r="D16" s="251"/>
      <c r="E16" s="252"/>
      <c r="F16" s="251"/>
      <c r="G16" s="245"/>
      <c r="H16" s="245"/>
      <c r="I16" s="245"/>
      <c r="J16" s="230"/>
    </row>
    <row r="17" spans="1:10" s="399" customFormat="1" outlineLevel="1" x14ac:dyDescent="0.25">
      <c r="A17" s="42"/>
      <c r="B17" s="617"/>
      <c r="C17" s="404"/>
      <c r="D17" s="251"/>
      <c r="E17" s="252"/>
      <c r="F17" s="251"/>
      <c r="G17" s="245"/>
      <c r="H17" s="245"/>
      <c r="I17" s="245"/>
      <c r="J17" s="230"/>
    </row>
    <row r="18" spans="1:10" s="399" customFormat="1" outlineLevel="1" x14ac:dyDescent="0.25">
      <c r="A18" s="42"/>
      <c r="B18" s="617"/>
      <c r="C18" s="404"/>
      <c r="D18" s="251"/>
      <c r="E18" s="252"/>
      <c r="F18" s="251"/>
      <c r="G18" s="245"/>
      <c r="H18" s="245"/>
      <c r="I18" s="245"/>
      <c r="J18" s="230"/>
    </row>
    <row r="19" spans="1:10" s="399" customFormat="1" outlineLevel="1" x14ac:dyDescent="0.25">
      <c r="A19" s="42"/>
      <c r="B19" s="617"/>
      <c r="C19" s="404"/>
      <c r="D19" s="251"/>
      <c r="E19" s="252"/>
      <c r="F19" s="251"/>
      <c r="G19" s="245"/>
      <c r="H19" s="245"/>
      <c r="I19" s="245"/>
      <c r="J19" s="230"/>
    </row>
    <row r="20" spans="1:10" s="399" customFormat="1" outlineLevel="1" x14ac:dyDescent="0.25">
      <c r="A20" s="42"/>
      <c r="B20" s="617"/>
      <c r="C20" s="404"/>
      <c r="D20" s="251"/>
      <c r="E20" s="252"/>
      <c r="F20" s="251"/>
      <c r="G20" s="245"/>
      <c r="H20" s="245"/>
      <c r="I20" s="245"/>
      <c r="J20" s="230"/>
    </row>
    <row r="21" spans="1:10" s="399" customFormat="1" ht="15" customHeight="1" outlineLevel="1" x14ac:dyDescent="0.25">
      <c r="A21" s="42"/>
      <c r="B21" s="618"/>
      <c r="C21" s="405"/>
      <c r="D21" s="370"/>
      <c r="E21" s="369"/>
      <c r="F21" s="370"/>
      <c r="G21" s="368"/>
      <c r="H21" s="368"/>
      <c r="I21" s="368"/>
      <c r="J21" s="402"/>
    </row>
    <row r="22" spans="1:10" s="399" customFormat="1" ht="15" customHeight="1" outlineLevel="1" x14ac:dyDescent="0.25">
      <c r="A22" s="42"/>
      <c r="B22" s="1549" t="s">
        <v>112</v>
      </c>
      <c r="C22" s="1550"/>
      <c r="D22" s="281">
        <f t="shared" ref="D22:J22" si="0">SUM(D12:D21)</f>
        <v>0</v>
      </c>
      <c r="E22" s="281">
        <f t="shared" si="0"/>
        <v>0</v>
      </c>
      <c r="F22" s="281">
        <f t="shared" si="0"/>
        <v>0</v>
      </c>
      <c r="G22" s="281">
        <f t="shared" si="0"/>
        <v>0</v>
      </c>
      <c r="H22" s="281">
        <f t="shared" si="0"/>
        <v>0</v>
      </c>
      <c r="I22" s="281">
        <f t="shared" si="0"/>
        <v>0</v>
      </c>
      <c r="J22" s="282">
        <f t="shared" si="0"/>
        <v>0</v>
      </c>
    </row>
    <row r="23" spans="1:10" ht="15" customHeight="1" x14ac:dyDescent="0.25">
      <c r="B23" s="73"/>
    </row>
    <row r="24" spans="1:10" s="397" customFormat="1" ht="29.25" customHeight="1" x14ac:dyDescent="0.3">
      <c r="A24" s="394"/>
      <c r="B24" s="235" t="s">
        <v>264</v>
      </c>
      <c r="C24" s="236"/>
      <c r="D24" s="236"/>
      <c r="E24" s="236"/>
      <c r="F24" s="236"/>
      <c r="G24" s="236"/>
      <c r="H24" s="236"/>
      <c r="I24" s="236"/>
      <c r="J24" s="237"/>
    </row>
    <row r="25" spans="1:10" s="399" customFormat="1" ht="22.5" customHeight="1" outlineLevel="1" x14ac:dyDescent="0.25">
      <c r="A25" s="42"/>
      <c r="B25" s="398"/>
      <c r="C25" s="398"/>
      <c r="D25" s="1331" t="s">
        <v>24</v>
      </c>
      <c r="E25" s="1331"/>
      <c r="F25" s="1331"/>
      <c r="G25" s="1331"/>
      <c r="H25" s="1331"/>
      <c r="I25" s="1331"/>
      <c r="J25" s="1331"/>
    </row>
    <row r="26" spans="1:10" s="399" customFormat="1" ht="29.25" customHeight="1" outlineLevel="1" x14ac:dyDescent="0.25">
      <c r="A26" s="42"/>
      <c r="B26" s="398"/>
      <c r="D26" s="1331" t="str">
        <f ca="1">CONCATENATE("$, real ", dms_DollarReal)</f>
        <v>$, real June 2026</v>
      </c>
      <c r="E26" s="1331"/>
      <c r="F26" s="1331"/>
      <c r="G26" s="1331"/>
      <c r="H26" s="1331"/>
      <c r="I26" s="1331"/>
      <c r="J26" s="1331"/>
    </row>
    <row r="27" spans="1:10" s="399" customFormat="1" ht="22.5" customHeight="1" outlineLevel="1" x14ac:dyDescent="0.25">
      <c r="A27" s="42"/>
      <c r="B27" s="477" t="s">
        <v>262</v>
      </c>
      <c r="C27" s="478" t="s">
        <v>263</v>
      </c>
      <c r="D27" s="298" t="str">
        <f ca="1">dms_y1</f>
        <v>2024-25</v>
      </c>
      <c r="E27" s="298" t="str">
        <f ca="1">dms_y2</f>
        <v>2025-26</v>
      </c>
      <c r="F27" s="298" t="str">
        <f ca="1">dms_y3</f>
        <v>2026-27</v>
      </c>
      <c r="G27" s="298" t="str">
        <f ca="1">dms_y4</f>
        <v>2027-28</v>
      </c>
      <c r="H27" s="298" t="str">
        <f ca="1">dms_y5</f>
        <v>2028-29</v>
      </c>
      <c r="I27" s="298" t="str">
        <f ca="1">dms_y6</f>
        <v>2029-30</v>
      </c>
      <c r="J27" s="298" t="str">
        <f ca="1">dms_y7</f>
        <v>2030-31</v>
      </c>
    </row>
    <row r="28" spans="1:10" s="399" customFormat="1" outlineLevel="1" x14ac:dyDescent="0.25">
      <c r="A28" s="42"/>
      <c r="B28" s="616"/>
      <c r="C28" s="403"/>
      <c r="D28" s="400"/>
      <c r="E28" s="250"/>
      <c r="F28" s="400"/>
      <c r="G28" s="361"/>
      <c r="H28" s="361"/>
      <c r="I28" s="361"/>
      <c r="J28" s="401"/>
    </row>
    <row r="29" spans="1:10" s="399" customFormat="1" outlineLevel="1" x14ac:dyDescent="0.25">
      <c r="A29" s="42"/>
      <c r="B29" s="617"/>
      <c r="C29" s="404"/>
      <c r="D29" s="251"/>
      <c r="E29" s="252"/>
      <c r="F29" s="251"/>
      <c r="G29" s="245"/>
      <c r="H29" s="245"/>
      <c r="I29" s="245"/>
      <c r="J29" s="230"/>
    </row>
    <row r="30" spans="1:10" s="399" customFormat="1" outlineLevel="1" x14ac:dyDescent="0.25">
      <c r="A30" s="42"/>
      <c r="B30" s="617"/>
      <c r="C30" s="404"/>
      <c r="D30" s="251"/>
      <c r="E30" s="252"/>
      <c r="F30" s="251"/>
      <c r="G30" s="245"/>
      <c r="H30" s="245"/>
      <c r="I30" s="245"/>
      <c r="J30" s="230"/>
    </row>
    <row r="31" spans="1:10" s="399" customFormat="1" outlineLevel="1" x14ac:dyDescent="0.25">
      <c r="A31" s="42"/>
      <c r="B31" s="617"/>
      <c r="C31" s="404"/>
      <c r="D31" s="251"/>
      <c r="E31" s="252"/>
      <c r="F31" s="251"/>
      <c r="G31" s="245"/>
      <c r="H31" s="245"/>
      <c r="I31" s="245"/>
      <c r="J31" s="230"/>
    </row>
    <row r="32" spans="1:10" s="399" customFormat="1" outlineLevel="1" x14ac:dyDescent="0.25">
      <c r="A32" s="42"/>
      <c r="B32" s="617"/>
      <c r="C32" s="404"/>
      <c r="D32" s="251"/>
      <c r="E32" s="252"/>
      <c r="F32" s="251"/>
      <c r="G32" s="245"/>
      <c r="H32" s="245"/>
      <c r="I32" s="245"/>
      <c r="J32" s="230"/>
    </row>
    <row r="33" spans="1:10" s="399" customFormat="1" outlineLevel="1" x14ac:dyDescent="0.25">
      <c r="A33" s="42"/>
      <c r="B33" s="617"/>
      <c r="C33" s="404"/>
      <c r="D33" s="251"/>
      <c r="E33" s="252"/>
      <c r="F33" s="251"/>
      <c r="G33" s="245"/>
      <c r="H33" s="245"/>
      <c r="I33" s="245"/>
      <c r="J33" s="230"/>
    </row>
    <row r="34" spans="1:10" s="399" customFormat="1" outlineLevel="1" x14ac:dyDescent="0.25">
      <c r="A34" s="42"/>
      <c r="B34" s="617"/>
      <c r="C34" s="404"/>
      <c r="D34" s="251"/>
      <c r="E34" s="252"/>
      <c r="F34" s="251"/>
      <c r="G34" s="245"/>
      <c r="H34" s="245"/>
      <c r="I34" s="245"/>
      <c r="J34" s="230"/>
    </row>
    <row r="35" spans="1:10" s="399" customFormat="1" outlineLevel="1" x14ac:dyDescent="0.25">
      <c r="A35" s="42"/>
      <c r="B35" s="617"/>
      <c r="C35" s="404"/>
      <c r="D35" s="251"/>
      <c r="E35" s="252"/>
      <c r="F35" s="251"/>
      <c r="G35" s="245"/>
      <c r="H35" s="245"/>
      <c r="I35" s="245"/>
      <c r="J35" s="230"/>
    </row>
    <row r="36" spans="1:10" s="399" customFormat="1" outlineLevel="1" x14ac:dyDescent="0.25">
      <c r="A36" s="42"/>
      <c r="B36" s="617"/>
      <c r="C36" s="404"/>
      <c r="D36" s="251"/>
      <c r="E36" s="252"/>
      <c r="F36" s="251"/>
      <c r="G36" s="245"/>
      <c r="H36" s="245"/>
      <c r="I36" s="245"/>
      <c r="J36" s="230"/>
    </row>
    <row r="37" spans="1:10" s="399" customFormat="1" ht="15" customHeight="1" outlineLevel="1" x14ac:dyDescent="0.25">
      <c r="A37" s="42"/>
      <c r="B37" s="618"/>
      <c r="C37" s="405"/>
      <c r="D37" s="370"/>
      <c r="E37" s="369"/>
      <c r="F37" s="370"/>
      <c r="G37" s="368"/>
      <c r="H37" s="368"/>
      <c r="I37" s="368"/>
      <c r="J37" s="402"/>
    </row>
    <row r="38" spans="1:10" s="399" customFormat="1" ht="15" customHeight="1" outlineLevel="1" x14ac:dyDescent="0.25">
      <c r="A38" s="42"/>
      <c r="B38" s="1549" t="s">
        <v>112</v>
      </c>
      <c r="C38" s="1550"/>
      <c r="D38" s="281">
        <f t="shared" ref="D38:J38" si="1">SUM(D28:D37)</f>
        <v>0</v>
      </c>
      <c r="E38" s="281">
        <f t="shared" si="1"/>
        <v>0</v>
      </c>
      <c r="F38" s="281">
        <f t="shared" si="1"/>
        <v>0</v>
      </c>
      <c r="G38" s="281">
        <f t="shared" si="1"/>
        <v>0</v>
      </c>
      <c r="H38" s="281">
        <f t="shared" si="1"/>
        <v>0</v>
      </c>
      <c r="I38" s="281">
        <f t="shared" si="1"/>
        <v>0</v>
      </c>
      <c r="J38" s="282">
        <f t="shared" si="1"/>
        <v>0</v>
      </c>
    </row>
    <row r="39" spans="1:10" x14ac:dyDescent="0.25">
      <c r="B39" s="73"/>
    </row>
    <row r="41" spans="1:10" ht="15" customHeight="1" x14ac:dyDescent="0.25"/>
    <row r="42" spans="1:10" s="393" customFormat="1" ht="24.95" customHeight="1" x14ac:dyDescent="0.25">
      <c r="A42" s="392"/>
      <c r="B42" s="31" t="s">
        <v>265</v>
      </c>
      <c r="C42" s="31"/>
      <c r="D42" s="31"/>
      <c r="E42" s="31"/>
      <c r="F42" s="31"/>
      <c r="G42" s="31"/>
      <c r="H42" s="31"/>
      <c r="I42" s="31"/>
      <c r="J42" s="31"/>
    </row>
    <row r="43" spans="1:10" s="399" customFormat="1" ht="20.25" customHeight="1" outlineLevel="1" x14ac:dyDescent="0.25">
      <c r="A43" s="42"/>
      <c r="B43" s="398"/>
      <c r="C43" s="398"/>
      <c r="D43" s="1331" t="s">
        <v>24</v>
      </c>
      <c r="E43" s="1331"/>
      <c r="F43" s="1331"/>
      <c r="G43" s="1331"/>
      <c r="H43" s="1331"/>
      <c r="I43" s="1331"/>
      <c r="J43" s="1331"/>
    </row>
    <row r="44" spans="1:10" s="399" customFormat="1" ht="29.25" customHeight="1" outlineLevel="1" x14ac:dyDescent="0.25">
      <c r="A44" s="42"/>
      <c r="B44" s="398"/>
      <c r="D44" s="1331" t="str">
        <f ca="1">CONCATENATE("$, real ",dms_DollarReal)</f>
        <v>$, real June 2026</v>
      </c>
      <c r="E44" s="1331"/>
      <c r="F44" s="1331"/>
      <c r="G44" s="1331"/>
      <c r="H44" s="1331"/>
      <c r="I44" s="1331"/>
      <c r="J44" s="1331"/>
    </row>
    <row r="45" spans="1:10" s="399" customFormat="1" ht="22.5" customHeight="1" outlineLevel="1" x14ac:dyDescent="0.25">
      <c r="A45" s="42"/>
      <c r="B45" s="479" t="s">
        <v>266</v>
      </c>
      <c r="C45" s="480"/>
      <c r="D45" s="298" t="str">
        <f ca="1">dms_y1</f>
        <v>2024-25</v>
      </c>
      <c r="E45" s="298" t="str">
        <f ca="1">dms_y2</f>
        <v>2025-26</v>
      </c>
      <c r="F45" s="298" t="str">
        <f ca="1">dms_y3</f>
        <v>2026-27</v>
      </c>
      <c r="G45" s="298" t="str">
        <f ca="1">dms_y4</f>
        <v>2027-28</v>
      </c>
      <c r="H45" s="298" t="str">
        <f ca="1">dms_y5</f>
        <v>2028-29</v>
      </c>
      <c r="I45" s="298" t="str">
        <f ca="1">dms_y6</f>
        <v>2029-30</v>
      </c>
      <c r="J45" s="298" t="str">
        <f ca="1">dms_y7</f>
        <v>2030-31</v>
      </c>
    </row>
    <row r="46" spans="1:10" s="399" customFormat="1" outlineLevel="1" x14ac:dyDescent="0.25">
      <c r="A46" s="42"/>
      <c r="B46" s="484" t="s">
        <v>267</v>
      </c>
      <c r="C46" s="481"/>
      <c r="D46" s="400">
        <v>0</v>
      </c>
      <c r="E46" s="250">
        <v>0</v>
      </c>
      <c r="F46" s="400">
        <v>2345642</v>
      </c>
      <c r="G46" s="361">
        <v>2029200</v>
      </c>
      <c r="H46" s="361">
        <v>1886247</v>
      </c>
      <c r="I46" s="361">
        <v>1670562</v>
      </c>
      <c r="J46" s="401">
        <v>1490273</v>
      </c>
    </row>
    <row r="47" spans="1:10" s="399" customFormat="1" outlineLevel="1" x14ac:dyDescent="0.25">
      <c r="A47" s="42"/>
      <c r="B47" s="485" t="s">
        <v>268</v>
      </c>
      <c r="C47" s="482"/>
      <c r="D47" s="251">
        <v>0</v>
      </c>
      <c r="E47" s="252">
        <v>0</v>
      </c>
      <c r="F47" s="251">
        <v>200325</v>
      </c>
      <c r="G47" s="245">
        <v>183941</v>
      </c>
      <c r="H47" s="245">
        <v>166696</v>
      </c>
      <c r="I47" s="245">
        <v>149213</v>
      </c>
      <c r="J47" s="230">
        <v>132593</v>
      </c>
    </row>
    <row r="48" spans="1:10" s="399" customFormat="1" outlineLevel="1" x14ac:dyDescent="0.25">
      <c r="A48" s="42"/>
      <c r="B48" s="485"/>
      <c r="C48" s="482"/>
      <c r="D48" s="251"/>
      <c r="E48" s="252"/>
      <c r="F48" s="251"/>
      <c r="G48" s="245"/>
      <c r="H48" s="245"/>
      <c r="I48" s="245"/>
      <c r="J48" s="230"/>
    </row>
    <row r="49" spans="1:10" s="399" customFormat="1" outlineLevel="1" x14ac:dyDescent="0.25">
      <c r="A49" s="42"/>
      <c r="B49" s="485"/>
      <c r="C49" s="482"/>
      <c r="D49" s="251"/>
      <c r="E49" s="252"/>
      <c r="F49" s="251"/>
      <c r="G49" s="245"/>
      <c r="H49" s="245"/>
      <c r="I49" s="245"/>
      <c r="J49" s="230"/>
    </row>
    <row r="50" spans="1:10" s="399" customFormat="1" outlineLevel="1" x14ac:dyDescent="0.25">
      <c r="A50" s="42"/>
      <c r="B50" s="485"/>
      <c r="C50" s="482"/>
      <c r="D50" s="251"/>
      <c r="E50" s="252"/>
      <c r="F50" s="251"/>
      <c r="G50" s="245"/>
      <c r="H50" s="245"/>
      <c r="I50" s="245"/>
      <c r="J50" s="230"/>
    </row>
    <row r="51" spans="1:10" s="399" customFormat="1" outlineLevel="1" x14ac:dyDescent="0.25">
      <c r="A51" s="42"/>
      <c r="B51" s="485"/>
      <c r="C51" s="482"/>
      <c r="D51" s="251"/>
      <c r="E51" s="252"/>
      <c r="F51" s="251"/>
      <c r="G51" s="245"/>
      <c r="H51" s="245"/>
      <c r="I51" s="245"/>
      <c r="J51" s="230"/>
    </row>
    <row r="52" spans="1:10" s="399" customFormat="1" outlineLevel="1" x14ac:dyDescent="0.25">
      <c r="A52" s="42"/>
      <c r="B52" s="485"/>
      <c r="C52" s="482"/>
      <c r="D52" s="251"/>
      <c r="E52" s="252"/>
      <c r="F52" s="251"/>
      <c r="G52" s="245"/>
      <c r="H52" s="245"/>
      <c r="I52" s="245"/>
      <c r="J52" s="230"/>
    </row>
    <row r="53" spans="1:10" s="399" customFormat="1" outlineLevel="1" x14ac:dyDescent="0.25">
      <c r="A53" s="42"/>
      <c r="B53" s="485"/>
      <c r="C53" s="482"/>
      <c r="D53" s="251"/>
      <c r="E53" s="252"/>
      <c r="F53" s="251"/>
      <c r="G53" s="245"/>
      <c r="H53" s="245"/>
      <c r="I53" s="245"/>
      <c r="J53" s="230"/>
    </row>
    <row r="54" spans="1:10" s="399" customFormat="1" outlineLevel="1" x14ac:dyDescent="0.25">
      <c r="A54" s="42"/>
      <c r="B54" s="485"/>
      <c r="C54" s="482"/>
      <c r="D54" s="251"/>
      <c r="E54" s="252"/>
      <c r="F54" s="251"/>
      <c r="G54" s="245"/>
      <c r="H54" s="245"/>
      <c r="I54" s="245"/>
      <c r="J54" s="230"/>
    </row>
    <row r="55" spans="1:10" s="399" customFormat="1" outlineLevel="1" x14ac:dyDescent="0.25">
      <c r="A55" s="42"/>
      <c r="B55" s="485"/>
      <c r="C55" s="482"/>
      <c r="D55" s="251"/>
      <c r="E55" s="252"/>
      <c r="F55" s="251"/>
      <c r="G55" s="245"/>
      <c r="H55" s="245"/>
      <c r="I55" s="245"/>
      <c r="J55" s="230"/>
    </row>
    <row r="56" spans="1:10" s="399" customFormat="1" outlineLevel="1" x14ac:dyDescent="0.25">
      <c r="A56" s="42"/>
      <c r="B56" s="485"/>
      <c r="C56" s="482"/>
      <c r="D56" s="251"/>
      <c r="E56" s="252"/>
      <c r="F56" s="251"/>
      <c r="G56" s="245"/>
      <c r="H56" s="245"/>
      <c r="I56" s="245"/>
      <c r="J56" s="230"/>
    </row>
    <row r="57" spans="1:10" s="399" customFormat="1" outlineLevel="1" x14ac:dyDescent="0.25">
      <c r="A57" s="42"/>
      <c r="B57" s="485"/>
      <c r="C57" s="482"/>
      <c r="D57" s="251"/>
      <c r="E57" s="252"/>
      <c r="F57" s="251"/>
      <c r="G57" s="245"/>
      <c r="H57" s="245"/>
      <c r="I57" s="245"/>
      <c r="J57" s="230"/>
    </row>
    <row r="58" spans="1:10" s="399" customFormat="1" outlineLevel="1" x14ac:dyDescent="0.25">
      <c r="A58" s="42"/>
      <c r="B58" s="485"/>
      <c r="C58" s="482"/>
      <c r="D58" s="251"/>
      <c r="E58" s="252"/>
      <c r="F58" s="251"/>
      <c r="G58" s="245"/>
      <c r="H58" s="245"/>
      <c r="I58" s="245"/>
      <c r="J58" s="230"/>
    </row>
    <row r="59" spans="1:10" s="399" customFormat="1" outlineLevel="1" x14ac:dyDescent="0.25">
      <c r="A59" s="42"/>
      <c r="B59" s="485"/>
      <c r="C59" s="482"/>
      <c r="D59" s="251"/>
      <c r="E59" s="252"/>
      <c r="F59" s="251"/>
      <c r="G59" s="245"/>
      <c r="H59" s="245"/>
      <c r="I59" s="245"/>
      <c r="J59" s="230"/>
    </row>
    <row r="60" spans="1:10" s="399" customFormat="1" outlineLevel="1" x14ac:dyDescent="0.25">
      <c r="A60" s="42"/>
      <c r="B60" s="485"/>
      <c r="C60" s="482"/>
      <c r="D60" s="251"/>
      <c r="E60" s="252"/>
      <c r="F60" s="251"/>
      <c r="G60" s="245"/>
      <c r="H60" s="245"/>
      <c r="I60" s="245"/>
      <c r="J60" s="230"/>
    </row>
    <row r="61" spans="1:10" s="399" customFormat="1" outlineLevel="1" x14ac:dyDescent="0.25">
      <c r="A61" s="42"/>
      <c r="B61" s="485"/>
      <c r="C61" s="482"/>
      <c r="D61" s="251"/>
      <c r="E61" s="252"/>
      <c r="F61" s="251"/>
      <c r="G61" s="245"/>
      <c r="H61" s="245"/>
      <c r="I61" s="245"/>
      <c r="J61" s="230"/>
    </row>
    <row r="62" spans="1:10" s="399" customFormat="1" outlineLevel="1" x14ac:dyDescent="0.25">
      <c r="A62" s="42"/>
      <c r="B62" s="485"/>
      <c r="C62" s="482"/>
      <c r="D62" s="251"/>
      <c r="E62" s="252"/>
      <c r="F62" s="251"/>
      <c r="G62" s="245"/>
      <c r="H62" s="245"/>
      <c r="I62" s="245"/>
      <c r="J62" s="230"/>
    </row>
    <row r="63" spans="1:10" s="399" customFormat="1" outlineLevel="1" x14ac:dyDescent="0.25">
      <c r="A63" s="42"/>
      <c r="B63" s="485"/>
      <c r="C63" s="482"/>
      <c r="D63" s="251"/>
      <c r="E63" s="252"/>
      <c r="F63" s="251"/>
      <c r="G63" s="245"/>
      <c r="H63" s="245"/>
      <c r="I63" s="245"/>
      <c r="J63" s="230"/>
    </row>
    <row r="64" spans="1:10" s="399" customFormat="1" outlineLevel="1" x14ac:dyDescent="0.25">
      <c r="A64" s="42"/>
      <c r="B64" s="485"/>
      <c r="C64" s="482"/>
      <c r="D64" s="251"/>
      <c r="E64" s="252"/>
      <c r="F64" s="251"/>
      <c r="G64" s="245"/>
      <c r="H64" s="245"/>
      <c r="I64" s="245"/>
      <c r="J64" s="230"/>
    </row>
    <row r="65" spans="1:10" s="399" customFormat="1" outlineLevel="1" x14ac:dyDescent="0.25">
      <c r="A65" s="42"/>
      <c r="B65" s="485"/>
      <c r="C65" s="482"/>
      <c r="D65" s="251"/>
      <c r="E65" s="252"/>
      <c r="F65" s="251"/>
      <c r="G65" s="245"/>
      <c r="H65" s="245"/>
      <c r="I65" s="245"/>
      <c r="J65" s="230"/>
    </row>
    <row r="66" spans="1:10" s="399" customFormat="1" outlineLevel="1" x14ac:dyDescent="0.25">
      <c r="A66" s="42"/>
      <c r="B66" s="485"/>
      <c r="C66" s="482"/>
      <c r="D66" s="251"/>
      <c r="E66" s="252"/>
      <c r="F66" s="251"/>
      <c r="G66" s="245"/>
      <c r="H66" s="245"/>
      <c r="I66" s="245"/>
      <c r="J66" s="230"/>
    </row>
    <row r="67" spans="1:10" s="399" customFormat="1" outlineLevel="1" x14ac:dyDescent="0.25">
      <c r="A67" s="42"/>
      <c r="B67" s="485"/>
      <c r="C67" s="482"/>
      <c r="D67" s="251"/>
      <c r="E67" s="252"/>
      <c r="F67" s="251"/>
      <c r="G67" s="245"/>
      <c r="H67" s="245"/>
      <c r="I67" s="245"/>
      <c r="J67" s="230"/>
    </row>
    <row r="68" spans="1:10" s="399" customFormat="1" outlineLevel="1" x14ac:dyDescent="0.25">
      <c r="A68" s="42"/>
      <c r="B68" s="485"/>
      <c r="C68" s="482"/>
      <c r="D68" s="251"/>
      <c r="E68" s="252"/>
      <c r="F68" s="251"/>
      <c r="G68" s="245"/>
      <c r="H68" s="245"/>
      <c r="I68" s="245"/>
      <c r="J68" s="230"/>
    </row>
    <row r="69" spans="1:10" s="399" customFormat="1" outlineLevel="1" x14ac:dyDescent="0.25">
      <c r="A69" s="42"/>
      <c r="B69" s="485"/>
      <c r="C69" s="482"/>
      <c r="D69" s="251"/>
      <c r="E69" s="252"/>
      <c r="F69" s="251"/>
      <c r="G69" s="245"/>
      <c r="H69" s="245"/>
      <c r="I69" s="245"/>
      <c r="J69" s="230"/>
    </row>
    <row r="70" spans="1:10" s="399" customFormat="1" ht="15" customHeight="1" outlineLevel="1" x14ac:dyDescent="0.25">
      <c r="A70" s="42"/>
      <c r="B70" s="486"/>
      <c r="C70" s="483"/>
      <c r="D70" s="370"/>
      <c r="E70" s="369"/>
      <c r="F70" s="370"/>
      <c r="G70" s="368"/>
      <c r="H70" s="368"/>
      <c r="I70" s="368"/>
      <c r="J70" s="402"/>
    </row>
    <row r="71" spans="1:10" s="399" customFormat="1" ht="15" customHeight="1" outlineLevel="1" x14ac:dyDescent="0.25">
      <c r="A71" s="42"/>
      <c r="B71" s="1549" t="s">
        <v>112</v>
      </c>
      <c r="C71" s="1550"/>
      <c r="D71" s="281">
        <f t="shared" ref="D71:J71" si="2">SUM(D46:D70)</f>
        <v>0</v>
      </c>
      <c r="E71" s="281">
        <f t="shared" si="2"/>
        <v>0</v>
      </c>
      <c r="F71" s="281">
        <f t="shared" si="2"/>
        <v>2545967</v>
      </c>
      <c r="G71" s="281">
        <f t="shared" si="2"/>
        <v>2213141</v>
      </c>
      <c r="H71" s="281">
        <f t="shared" si="2"/>
        <v>2052943</v>
      </c>
      <c r="I71" s="281">
        <f t="shared" si="2"/>
        <v>1819775</v>
      </c>
      <c r="J71" s="282">
        <f t="shared" si="2"/>
        <v>1622866</v>
      </c>
    </row>
  </sheetData>
  <sheetProtection algorithmName="SHA-256" hashValue="WqjfJiv81WmN6iOU2WB4pKIT9JLZEajHJZjnFcZ3WcA=" saltValue="mi99oqnWLw7Koef7S8EZsA==" spinCount="100000" sheet="1" objects="1" scenarios="1"/>
  <mergeCells count="3">
    <mergeCell ref="B71:C71"/>
    <mergeCell ref="B38:C38"/>
    <mergeCell ref="B22:C22"/>
  </mergeCells>
  <conditionalFormatting sqref="H12:H21">
    <cfRule type="expression" dxfId="35" priority="16">
      <formula>(dms_FRCPlength_Num)&lt;3</formula>
    </cfRule>
  </conditionalFormatting>
  <conditionalFormatting sqref="H28:H37">
    <cfRule type="expression" dxfId="34" priority="8">
      <formula>(dms_FRCPlength_Num)&lt;3</formula>
    </cfRule>
  </conditionalFormatting>
  <conditionalFormatting sqref="H46:H70">
    <cfRule type="expression" dxfId="33" priority="4">
      <formula>(dms_FRCPlength_Num)&lt;3</formula>
    </cfRule>
  </conditionalFormatting>
  <conditionalFormatting sqref="I12:I21">
    <cfRule type="expression" dxfId="32" priority="15">
      <formula>(dms_FRCPlength_Num)&lt;4</formula>
    </cfRule>
  </conditionalFormatting>
  <conditionalFormatting sqref="I28:I37">
    <cfRule type="expression" dxfId="31" priority="7">
      <formula>(dms_FRCPlength_Num)&lt;4</formula>
    </cfRule>
  </conditionalFormatting>
  <conditionalFormatting sqref="I46:I70">
    <cfRule type="expression" dxfId="30" priority="3">
      <formula>(dms_FRCPlength_Num)&lt;4</formula>
    </cfRule>
  </conditionalFormatting>
  <conditionalFormatting sqref="J12:J21">
    <cfRule type="expression" dxfId="29" priority="14">
      <formula>(dms_FRCPlength_Num)&lt;5</formula>
    </cfRule>
  </conditionalFormatting>
  <conditionalFormatting sqref="J22">
    <cfRule type="expression" dxfId="28" priority="13">
      <formula>(dms_FRCPlength_Num)&lt;5</formula>
    </cfRule>
  </conditionalFormatting>
  <conditionalFormatting sqref="J28:J37">
    <cfRule type="expression" dxfId="27" priority="6">
      <formula>(dms_FRCPlength_Num)&lt;5</formula>
    </cfRule>
  </conditionalFormatting>
  <conditionalFormatting sqref="J38">
    <cfRule type="expression" dxfId="26" priority="5">
      <formula>(dms_FRCPlength_Num)&lt;5</formula>
    </cfRule>
  </conditionalFormatting>
  <conditionalFormatting sqref="J46:J70">
    <cfRule type="expression" dxfId="25" priority="2">
      <formula>(dms_FRCPlength_Num)&lt;5</formula>
    </cfRule>
  </conditionalFormatting>
  <conditionalFormatting sqref="J71">
    <cfRule type="expression" dxfId="24" priority="1">
      <formula>(dms_FRCPlength_Num)&lt;5</formula>
    </cfRule>
  </conditionalFormatting>
  <dataValidations count="3">
    <dataValidation type="textLength" operator="greaterThanOrEqual" allowBlank="1" showInputMessage="1" showErrorMessage="1" promptTitle="Step change" prompt="Enter description of step change" sqref="C14:C21 C30:C37 C63:C70" xr:uid="{00000000-0002-0000-0C00-000000000000}">
      <formula1>0</formula1>
    </dataValidation>
    <dataValidation type="textLength" operator="greaterThanOrEqual" allowBlank="1" showInputMessage="1" showErrorMessage="1" promptTitle="Step change" prompt="Enter step change" sqref="B12:B21 B28:B37 B46:B70" xr:uid="{00000000-0002-0000-0C00-000001000000}">
      <formula1>0</formula1>
    </dataValidation>
    <dataValidation allowBlank="1" showInputMessage="1" showErrorMessage="1" sqref="D28:J38 D12:J22 D46:J71" xr:uid="{00000000-0002-0000-0C00-000002000000}"/>
  </dataValidations>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17375E"/>
  </sheetPr>
  <dimension ref="A1:L135"/>
  <sheetViews>
    <sheetView showGridLines="0" topLeftCell="A6" zoomScale="55" zoomScaleNormal="55" workbookViewId="0">
      <selection activeCell="O6" sqref="O6"/>
    </sheetView>
  </sheetViews>
  <sheetFormatPr defaultColWidth="9.140625" defaultRowHeight="15" outlineLevelRow="2" x14ac:dyDescent="0.25"/>
  <cols>
    <col min="1" max="1" width="22.5703125" customWidth="1"/>
    <col min="2" max="2" width="52" customWidth="1"/>
    <col min="3" max="12" width="18.7109375" customWidth="1"/>
  </cols>
  <sheetData>
    <row r="1" spans="1:12" ht="30" customHeight="1" x14ac:dyDescent="0.25">
      <c r="A1" s="1068"/>
      <c r="B1" s="1069" t="str">
        <f>INDEX(dms_Worksheet_List,MATCH(dms_Model,dms_Model_List))</f>
        <v>REGULATORY REPORTING STATEMENT</v>
      </c>
      <c r="C1" s="25"/>
      <c r="D1" s="25"/>
      <c r="E1" s="25"/>
      <c r="F1" s="25"/>
      <c r="G1" s="25"/>
      <c r="H1" s="25"/>
      <c r="I1" s="25"/>
      <c r="J1" s="25"/>
      <c r="K1" s="25"/>
      <c r="L1" s="25"/>
    </row>
    <row r="2" spans="1:12" ht="30" customHeight="1" x14ac:dyDescent="0.25">
      <c r="A2" s="1069"/>
      <c r="B2" s="1069" t="str">
        <f>dms_TradingNameFull</f>
        <v>Icon Distribution Investments Limited (ABN 83 073 025 224) and Jemena Networks (ACT) Pty Ltd (ABN 24 008 552 663)</v>
      </c>
      <c r="C2" s="25"/>
      <c r="D2" s="25"/>
      <c r="E2" s="25"/>
      <c r="F2" s="25"/>
      <c r="G2" s="25"/>
      <c r="H2" s="25"/>
      <c r="I2" s="25"/>
      <c r="J2" s="25"/>
      <c r="K2" s="25"/>
      <c r="L2" s="25"/>
    </row>
    <row r="3" spans="1:12" ht="30" customHeight="1" x14ac:dyDescent="0.25">
      <c r="A3" s="1071"/>
      <c r="B3" s="1071" t="str">
        <f ca="1">dms_Header_Span</f>
        <v>2024-25 to 2030-31</v>
      </c>
      <c r="C3" s="25"/>
      <c r="D3" s="25"/>
      <c r="E3" s="25"/>
      <c r="F3" s="25"/>
      <c r="G3" s="25"/>
      <c r="H3" s="25"/>
      <c r="I3" s="25"/>
      <c r="J3" s="25"/>
      <c r="K3" s="25"/>
      <c r="L3" s="25"/>
    </row>
    <row r="4" spans="1:12" ht="30" customHeight="1" x14ac:dyDescent="0.25">
      <c r="A4" s="383"/>
      <c r="B4" s="383" t="s">
        <v>269</v>
      </c>
      <c r="C4" s="383"/>
      <c r="D4" s="383"/>
      <c r="E4" s="383"/>
      <c r="F4" s="383"/>
      <c r="G4" s="383"/>
      <c r="H4" s="383"/>
      <c r="I4" s="383"/>
      <c r="J4" s="383"/>
      <c r="K4" s="383"/>
      <c r="L4" s="383"/>
    </row>
    <row r="5" spans="1:12" ht="30" customHeight="1" x14ac:dyDescent="0.25">
      <c r="B5" s="1440" t="s">
        <v>96</v>
      </c>
      <c r="C5" s="1440"/>
      <c r="D5" s="1440"/>
      <c r="E5" s="1440"/>
      <c r="F5" s="1440"/>
      <c r="G5" s="1440"/>
      <c r="H5" s="1440"/>
      <c r="I5" s="1440"/>
      <c r="J5" s="1440"/>
      <c r="K5" s="1440"/>
      <c r="L5" s="1440"/>
    </row>
    <row r="6" spans="1:12" ht="22.5" customHeight="1" x14ac:dyDescent="0.25">
      <c r="A6" s="238"/>
      <c r="C6" s="1345"/>
      <c r="D6" s="1345"/>
      <c r="E6" s="1345"/>
      <c r="F6" s="1345"/>
      <c r="G6" s="1345"/>
      <c r="H6" s="1345"/>
      <c r="I6" s="1345"/>
      <c r="J6" s="1345"/>
      <c r="K6" s="1345"/>
      <c r="L6" s="1345"/>
    </row>
    <row r="7" spans="1:12" ht="12.75" customHeight="1" x14ac:dyDescent="0.25"/>
    <row r="8" spans="1:12" ht="34.5" customHeight="1" x14ac:dyDescent="0.25">
      <c r="A8" s="238"/>
      <c r="B8" s="1551" t="s">
        <v>270</v>
      </c>
      <c r="C8" s="1552"/>
      <c r="D8" s="1553"/>
      <c r="E8" s="356"/>
    </row>
    <row r="9" spans="1:12" s="68" customFormat="1" ht="51" customHeight="1" x14ac:dyDescent="0.25">
      <c r="A9" s="357"/>
      <c r="B9" s="1554" t="str">
        <f>CONCATENATE("Has ",dms_TradingName," used a base-step-trend model to derive its opex forecast? ")</f>
        <v xml:space="preserve">Has Evoenergy Gas used a base-step-trend model to derive its opex forecast? </v>
      </c>
      <c r="C9" s="1555"/>
      <c r="D9" s="1556" t="s">
        <v>271</v>
      </c>
      <c r="E9" s="358"/>
    </row>
    <row r="10" spans="1:12" s="68" customFormat="1" ht="25.15" customHeight="1" x14ac:dyDescent="0.25">
      <c r="A10" s="357"/>
      <c r="B10" s="1558" t="s">
        <v>272</v>
      </c>
      <c r="C10" s="1559"/>
      <c r="D10" s="1557"/>
      <c r="E10" s="358"/>
    </row>
    <row r="11" spans="1:12" s="68" customFormat="1" ht="28.5" customHeight="1" x14ac:dyDescent="0.25">
      <c r="A11" s="357"/>
      <c r="B11" s="1560" t="s">
        <v>273</v>
      </c>
      <c r="C11" s="1561"/>
      <c r="D11" s="406" t="s">
        <v>274</v>
      </c>
      <c r="E11" s="358"/>
    </row>
    <row r="12" spans="1:12" ht="37.5" customHeight="1" x14ac:dyDescent="0.25">
      <c r="A12" s="238"/>
      <c r="B12" s="238"/>
      <c r="C12" s="238"/>
      <c r="D12" s="238"/>
      <c r="E12" s="407" t="s">
        <v>275</v>
      </c>
      <c r="F12" s="407" t="s">
        <v>276</v>
      </c>
      <c r="G12" s="407" t="s">
        <v>277</v>
      </c>
      <c r="H12" s="407" t="s">
        <v>278</v>
      </c>
      <c r="I12" s="73" t="s">
        <v>279</v>
      </c>
    </row>
    <row r="13" spans="1:12" ht="25.5" customHeight="1" x14ac:dyDescent="0.25">
      <c r="A13" s="238"/>
      <c r="B13" s="273" t="s">
        <v>280</v>
      </c>
      <c r="C13" s="273"/>
      <c r="D13" s="273"/>
      <c r="E13" s="273"/>
      <c r="F13" s="273"/>
      <c r="G13" s="273"/>
      <c r="H13" s="273"/>
      <c r="I13" s="273"/>
      <c r="J13" s="273"/>
      <c r="K13" s="273"/>
      <c r="L13" s="273"/>
    </row>
    <row r="14" spans="1:12" ht="25.5" customHeight="1" outlineLevel="1" x14ac:dyDescent="0.25">
      <c r="A14" s="238"/>
      <c r="B14" s="232" t="s">
        <v>281</v>
      </c>
      <c r="C14" s="233"/>
      <c r="D14" s="233"/>
      <c r="E14" s="233"/>
      <c r="F14" s="233"/>
      <c r="G14" s="233"/>
      <c r="H14" s="233"/>
      <c r="I14" s="233"/>
      <c r="J14" s="233"/>
      <c r="K14" s="233"/>
      <c r="L14" s="234"/>
    </row>
    <row r="15" spans="1:12" ht="24.75" customHeight="1" outlineLevel="2" x14ac:dyDescent="0.25">
      <c r="C15" s="1332" t="s">
        <v>24</v>
      </c>
      <c r="D15" s="1332"/>
      <c r="E15" s="1332"/>
      <c r="F15" s="1332"/>
      <c r="G15" s="1332"/>
      <c r="H15" s="1332"/>
      <c r="I15" s="1332"/>
      <c r="J15" s="1332"/>
      <c r="K15" s="1332"/>
      <c r="L15" s="1333"/>
    </row>
    <row r="16" spans="1:12" ht="24.75" customHeight="1" outlineLevel="2" x14ac:dyDescent="0.25">
      <c r="A16" s="238"/>
      <c r="C16" s="1331" t="str">
        <f ca="1">CONCATENATE("$, real ",dms_DollarReal)</f>
        <v>$, real June 2026</v>
      </c>
      <c r="D16" s="1331"/>
      <c r="E16" s="1331"/>
      <c r="F16" s="1331"/>
      <c r="G16" s="1331"/>
      <c r="H16" s="1331"/>
      <c r="I16" s="1331"/>
      <c r="J16" s="1331"/>
      <c r="K16" s="1331"/>
      <c r="L16" s="1334"/>
    </row>
    <row r="17" spans="1:12" ht="27.75" customHeight="1" outlineLevel="2" x14ac:dyDescent="0.25">
      <c r="A17" s="238"/>
      <c r="B17" s="77"/>
      <c r="C17" s="298" t="str">
        <f ca="1">CRCP_y1</f>
        <v>2021-22</v>
      </c>
      <c r="D17" s="298" t="str">
        <f ca="1">CRCP_y2</f>
        <v>2022-23</v>
      </c>
      <c r="E17" s="298" t="str">
        <f ca="1">CRCP_y3</f>
        <v>2023-24</v>
      </c>
      <c r="F17" s="298" t="str">
        <f ca="1">dms_y1</f>
        <v>2024-25</v>
      </c>
      <c r="G17" s="298" t="str">
        <f ca="1">dms_y2</f>
        <v>2025-26</v>
      </c>
      <c r="H17" s="298" t="str">
        <f ca="1">dms_y3</f>
        <v>2026-27</v>
      </c>
      <c r="I17" s="298" t="str">
        <f ca="1">dms_y4</f>
        <v>2027-28</v>
      </c>
      <c r="J17" s="298" t="str">
        <f ca="1">dms_y5</f>
        <v>2028-29</v>
      </c>
      <c r="K17" s="298" t="str">
        <f ca="1">dms_y6</f>
        <v>2029-30</v>
      </c>
      <c r="L17" s="298" t="str">
        <f ca="1">dms_y7</f>
        <v>2030-31</v>
      </c>
    </row>
    <row r="18" spans="1:12" outlineLevel="2" x14ac:dyDescent="0.25">
      <c r="A18" s="238"/>
      <c r="B18" s="408" t="s">
        <v>282</v>
      </c>
      <c r="C18" s="409">
        <v>0</v>
      </c>
      <c r="D18" s="1326">
        <v>0</v>
      </c>
      <c r="E18" s="1326">
        <v>20194973</v>
      </c>
      <c r="F18" s="1326">
        <v>0</v>
      </c>
      <c r="G18" s="1327">
        <v>0</v>
      </c>
      <c r="H18" s="1145">
        <v>22591875</v>
      </c>
      <c r="I18" s="1144">
        <v>22591875</v>
      </c>
      <c r="J18" s="1144">
        <v>22591875</v>
      </c>
      <c r="K18" s="1144">
        <v>22591875</v>
      </c>
      <c r="L18" s="1146">
        <v>22591875</v>
      </c>
    </row>
    <row r="19" spans="1:12" outlineLevel="2" x14ac:dyDescent="0.25">
      <c r="A19" s="238"/>
      <c r="B19" s="408" t="s">
        <v>283</v>
      </c>
      <c r="C19" s="410">
        <v>0</v>
      </c>
      <c r="D19" s="411">
        <v>0</v>
      </c>
      <c r="E19" s="411">
        <v>0</v>
      </c>
      <c r="F19" s="411">
        <v>0</v>
      </c>
      <c r="G19" s="1147">
        <v>2396902</v>
      </c>
      <c r="H19" s="412">
        <v>0</v>
      </c>
      <c r="I19" s="411">
        <v>0</v>
      </c>
      <c r="J19" s="411">
        <v>0</v>
      </c>
      <c r="K19" s="411">
        <v>0</v>
      </c>
      <c r="L19" s="413">
        <v>0</v>
      </c>
    </row>
    <row r="20" spans="1:12" outlineLevel="2" x14ac:dyDescent="0.25">
      <c r="A20" s="238"/>
      <c r="B20" s="408" t="s">
        <v>284</v>
      </c>
      <c r="C20" s="410">
        <v>0</v>
      </c>
      <c r="D20" s="411">
        <v>0</v>
      </c>
      <c r="E20" s="411">
        <v>0</v>
      </c>
      <c r="F20" s="411">
        <v>0</v>
      </c>
      <c r="G20" s="414">
        <v>0</v>
      </c>
      <c r="H20" s="1148">
        <v>132264</v>
      </c>
      <c r="I20" s="1149">
        <v>252323</v>
      </c>
      <c r="J20" s="1149">
        <v>360716</v>
      </c>
      <c r="K20" s="1149">
        <v>412696</v>
      </c>
      <c r="L20" s="1150">
        <v>388453</v>
      </c>
    </row>
    <row r="21" spans="1:12" outlineLevel="2" x14ac:dyDescent="0.25">
      <c r="A21" s="238"/>
      <c r="B21" s="408" t="s">
        <v>285</v>
      </c>
      <c r="C21" s="410">
        <v>0</v>
      </c>
      <c r="D21" s="411">
        <v>0</v>
      </c>
      <c r="E21" s="411">
        <v>0</v>
      </c>
      <c r="F21" s="411">
        <v>0</v>
      </c>
      <c r="G21" s="414">
        <v>0</v>
      </c>
      <c r="H21" s="1148">
        <v>-75620</v>
      </c>
      <c r="I21" s="1149">
        <v>-200748</v>
      </c>
      <c r="J21" s="1149">
        <v>-317491</v>
      </c>
      <c r="K21" s="1149">
        <v>-379585</v>
      </c>
      <c r="L21" s="1150">
        <v>-363455</v>
      </c>
    </row>
    <row r="22" spans="1:12" outlineLevel="2" x14ac:dyDescent="0.25">
      <c r="A22" s="238"/>
      <c r="B22" s="408" t="s">
        <v>286</v>
      </c>
      <c r="C22" s="410">
        <v>0</v>
      </c>
      <c r="D22" s="411">
        <v>0</v>
      </c>
      <c r="E22" s="411">
        <v>0</v>
      </c>
      <c r="F22" s="411">
        <v>0</v>
      </c>
      <c r="G22" s="414">
        <v>0</v>
      </c>
      <c r="H22" s="1148">
        <v>0</v>
      </c>
      <c r="I22" s="1149">
        <v>0</v>
      </c>
      <c r="J22" s="1149">
        <v>0</v>
      </c>
      <c r="K22" s="1149">
        <v>0</v>
      </c>
      <c r="L22" s="1150">
        <v>0</v>
      </c>
    </row>
    <row r="23" spans="1:12" outlineLevel="2" x14ac:dyDescent="0.25">
      <c r="A23" s="238"/>
      <c r="B23" s="415" t="s">
        <v>287</v>
      </c>
      <c r="C23" s="410">
        <v>0</v>
      </c>
      <c r="D23" s="411">
        <v>0</v>
      </c>
      <c r="E23" s="411">
        <v>0</v>
      </c>
      <c r="F23" s="411">
        <v>0</v>
      </c>
      <c r="G23" s="414">
        <v>0</v>
      </c>
      <c r="H23" s="1148">
        <v>0</v>
      </c>
      <c r="I23" s="1149">
        <v>0</v>
      </c>
      <c r="J23" s="1149">
        <v>0</v>
      </c>
      <c r="K23" s="1149">
        <v>0</v>
      </c>
      <c r="L23" s="1150">
        <v>0</v>
      </c>
    </row>
    <row r="24" spans="1:12" ht="15" customHeight="1" outlineLevel="2" x14ac:dyDescent="0.25">
      <c r="A24" s="238"/>
      <c r="B24" s="416" t="s">
        <v>288</v>
      </c>
      <c r="C24" s="417">
        <v>0</v>
      </c>
      <c r="D24" s="489">
        <v>0</v>
      </c>
      <c r="E24" s="489">
        <v>0</v>
      </c>
      <c r="F24" s="1201">
        <f>IF(ISBLANK('E17. Step changes'!D71),"",'E17. Step changes'!D71)</f>
        <v>0</v>
      </c>
      <c r="G24" s="1202">
        <f>IF(ISBLANK('E17. Step changes'!E71),"",'E17. Step changes'!E71)</f>
        <v>0</v>
      </c>
      <c r="H24" s="1203">
        <f>IF(ISBLANK('E17. Step changes'!F71),"",'E17. Step changes'!F71)</f>
        <v>2545967</v>
      </c>
      <c r="I24" s="1201">
        <f>IF(ISBLANK('E17. Step changes'!G71),"",'E17. Step changes'!G71)</f>
        <v>2213141</v>
      </c>
      <c r="J24" s="1201">
        <f>IF(ISBLANK('E17. Step changes'!H71),"",'E17. Step changes'!H71)</f>
        <v>2052943</v>
      </c>
      <c r="K24" s="1201">
        <f>IF(ISBLANK('E17. Step changes'!I71),"",'E17. Step changes'!I71)</f>
        <v>1819775</v>
      </c>
      <c r="L24" s="1204">
        <f>IF(ISBLANK('E17. Step changes'!J71),"",'E17. Step changes'!J71)</f>
        <v>1622866</v>
      </c>
    </row>
    <row r="25" spans="1:12" ht="15" customHeight="1" outlineLevel="1" x14ac:dyDescent="0.25">
      <c r="B25" s="73"/>
    </row>
    <row r="26" spans="1:12" ht="25.5" customHeight="1" outlineLevel="1" x14ac:dyDescent="0.25">
      <c r="A26" s="238"/>
      <c r="B26" s="232" t="s">
        <v>289</v>
      </c>
      <c r="C26" s="233"/>
      <c r="D26" s="233"/>
      <c r="E26" s="233"/>
      <c r="F26" s="233"/>
      <c r="G26" s="233"/>
      <c r="H26" s="233"/>
      <c r="I26" s="233"/>
      <c r="J26" s="233"/>
      <c r="K26" s="233"/>
      <c r="L26" s="234"/>
    </row>
    <row r="27" spans="1:12" ht="24.75" customHeight="1" outlineLevel="2" x14ac:dyDescent="0.25">
      <c r="C27" s="1332" t="s">
        <v>24</v>
      </c>
      <c r="D27" s="1332"/>
      <c r="E27" s="1332"/>
      <c r="F27" s="1332"/>
      <c r="G27" s="1332"/>
      <c r="H27" s="1332"/>
      <c r="I27" s="1332"/>
      <c r="J27" s="1332"/>
      <c r="K27" s="1332"/>
      <c r="L27" s="1333"/>
    </row>
    <row r="28" spans="1:12" ht="24.75" customHeight="1" outlineLevel="2" x14ac:dyDescent="0.25">
      <c r="A28" s="238"/>
      <c r="C28" s="1331" t="str">
        <f ca="1">CONCATENATE("$, real ",dms_DollarReal)</f>
        <v>$, real June 2026</v>
      </c>
      <c r="D28" s="1331"/>
      <c r="E28" s="1331"/>
      <c r="F28" s="1331"/>
      <c r="G28" s="1331"/>
      <c r="H28" s="1331"/>
      <c r="I28" s="1331"/>
      <c r="J28" s="1331"/>
      <c r="K28" s="1331"/>
      <c r="L28" s="1334"/>
    </row>
    <row r="29" spans="1:12" ht="27.75" customHeight="1" outlineLevel="2" x14ac:dyDescent="0.25">
      <c r="A29" s="238"/>
      <c r="B29" s="77"/>
      <c r="C29" s="298" t="str">
        <f ca="1">CRCP_y1</f>
        <v>2021-22</v>
      </c>
      <c r="D29" s="298" t="str">
        <f ca="1">CRCP_y2</f>
        <v>2022-23</v>
      </c>
      <c r="E29" s="298" t="str">
        <f ca="1">CRCP_y3</f>
        <v>2023-24</v>
      </c>
      <c r="F29" s="298" t="str">
        <f ca="1">dms_y1</f>
        <v>2024-25</v>
      </c>
      <c r="G29" s="298" t="str">
        <f ca="1">dms_y2</f>
        <v>2025-26</v>
      </c>
      <c r="H29" s="298" t="str">
        <f ca="1">dms_y3</f>
        <v>2026-27</v>
      </c>
      <c r="I29" s="298" t="str">
        <f ca="1">dms_y4</f>
        <v>2027-28</v>
      </c>
      <c r="J29" s="298" t="str">
        <f ca="1">dms_y5</f>
        <v>2028-29</v>
      </c>
      <c r="K29" s="298" t="str">
        <f ca="1">dms_y6</f>
        <v>2029-30</v>
      </c>
      <c r="L29" s="298" t="str">
        <f ca="1">dms_y7</f>
        <v>2030-31</v>
      </c>
    </row>
    <row r="30" spans="1:12" outlineLevel="2" x14ac:dyDescent="0.25">
      <c r="A30" s="238"/>
      <c r="B30" s="408" t="s">
        <v>282</v>
      </c>
      <c r="C30" s="409"/>
      <c r="D30" s="1326"/>
      <c r="E30" s="1326"/>
      <c r="F30" s="1326"/>
      <c r="G30" s="1327"/>
      <c r="H30" s="1145"/>
      <c r="I30" s="1144"/>
      <c r="J30" s="1144"/>
      <c r="K30" s="1144"/>
      <c r="L30" s="1146"/>
    </row>
    <row r="31" spans="1:12" outlineLevel="2" x14ac:dyDescent="0.25">
      <c r="A31" s="238"/>
      <c r="B31" s="408" t="s">
        <v>283</v>
      </c>
      <c r="C31" s="410"/>
      <c r="D31" s="411"/>
      <c r="E31" s="411"/>
      <c r="F31" s="411"/>
      <c r="G31" s="1147"/>
      <c r="H31" s="412"/>
      <c r="I31" s="411"/>
      <c r="J31" s="411"/>
      <c r="K31" s="411"/>
      <c r="L31" s="413"/>
    </row>
    <row r="32" spans="1:12" outlineLevel="2" x14ac:dyDescent="0.25">
      <c r="A32" s="238"/>
      <c r="B32" s="408" t="s">
        <v>284</v>
      </c>
      <c r="C32" s="410"/>
      <c r="D32" s="411"/>
      <c r="E32" s="411"/>
      <c r="F32" s="411"/>
      <c r="G32" s="414"/>
      <c r="H32" s="1148"/>
      <c r="I32" s="1149"/>
      <c r="J32" s="1149"/>
      <c r="K32" s="1149"/>
      <c r="L32" s="1150"/>
    </row>
    <row r="33" spans="1:12" outlineLevel="2" x14ac:dyDescent="0.25">
      <c r="A33" s="238"/>
      <c r="B33" s="408" t="s">
        <v>285</v>
      </c>
      <c r="C33" s="410"/>
      <c r="D33" s="411"/>
      <c r="E33" s="411"/>
      <c r="F33" s="411"/>
      <c r="G33" s="414"/>
      <c r="H33" s="1148"/>
      <c r="I33" s="1149"/>
      <c r="J33" s="1149"/>
      <c r="K33" s="1149"/>
      <c r="L33" s="1150"/>
    </row>
    <row r="34" spans="1:12" outlineLevel="2" x14ac:dyDescent="0.25">
      <c r="A34" s="238"/>
      <c r="B34" s="408" t="s">
        <v>286</v>
      </c>
      <c r="C34" s="410"/>
      <c r="D34" s="411"/>
      <c r="E34" s="411"/>
      <c r="F34" s="411"/>
      <c r="G34" s="414"/>
      <c r="H34" s="1148"/>
      <c r="I34" s="1149"/>
      <c r="J34" s="1149"/>
      <c r="K34" s="1149"/>
      <c r="L34" s="1150"/>
    </row>
    <row r="35" spans="1:12" outlineLevel="2" x14ac:dyDescent="0.25">
      <c r="A35" s="238"/>
      <c r="B35" s="415" t="s">
        <v>287</v>
      </c>
      <c r="C35" s="410"/>
      <c r="D35" s="411"/>
      <c r="E35" s="411"/>
      <c r="F35" s="411"/>
      <c r="G35" s="414"/>
      <c r="H35" s="1148"/>
      <c r="I35" s="1149"/>
      <c r="J35" s="1149"/>
      <c r="K35" s="1149"/>
      <c r="L35" s="1150"/>
    </row>
    <row r="36" spans="1:12" ht="15" customHeight="1" outlineLevel="2" x14ac:dyDescent="0.25">
      <c r="A36" s="238"/>
      <c r="B36" s="416" t="s">
        <v>288</v>
      </c>
      <c r="C36" s="417"/>
      <c r="D36" s="489"/>
      <c r="E36" s="489"/>
      <c r="F36" s="489"/>
      <c r="G36" s="490"/>
      <c r="H36" s="491"/>
      <c r="I36" s="489"/>
      <c r="J36" s="489"/>
      <c r="K36" s="489"/>
      <c r="L36" s="492"/>
    </row>
    <row r="37" spans="1:12" outlineLevel="1" x14ac:dyDescent="0.25">
      <c r="B37" s="73"/>
    </row>
    <row r="38" spans="1:12" x14ac:dyDescent="0.25">
      <c r="A38" s="238"/>
    </row>
    <row r="39" spans="1:12" ht="15" customHeight="1" x14ac:dyDescent="0.25">
      <c r="A39" s="238"/>
    </row>
    <row r="40" spans="1:12" ht="25.5" customHeight="1" x14ac:dyDescent="0.25">
      <c r="A40" s="238"/>
      <c r="B40" s="31" t="s">
        <v>290</v>
      </c>
      <c r="C40" s="31"/>
      <c r="D40" s="31"/>
      <c r="E40" s="31"/>
      <c r="F40" s="31"/>
      <c r="G40" s="31"/>
      <c r="H40" s="31"/>
      <c r="I40" s="31"/>
      <c r="J40" s="31"/>
      <c r="K40" s="31"/>
      <c r="L40" s="31"/>
    </row>
    <row r="41" spans="1:12" ht="25.5" customHeight="1" outlineLevel="1" x14ac:dyDescent="0.25">
      <c r="A41" s="238"/>
      <c r="B41" s="232" t="s">
        <v>291</v>
      </c>
      <c r="C41" s="233"/>
      <c r="D41" s="233"/>
      <c r="E41" s="233"/>
      <c r="F41" s="233"/>
      <c r="G41" s="233"/>
      <c r="H41" s="233"/>
      <c r="I41" s="233"/>
      <c r="J41" s="233"/>
      <c r="K41" s="233"/>
      <c r="L41" s="234"/>
    </row>
    <row r="42" spans="1:12" ht="24.75" customHeight="1" outlineLevel="2" x14ac:dyDescent="0.25">
      <c r="C42" s="1332" t="s">
        <v>24</v>
      </c>
      <c r="D42" s="1332"/>
      <c r="E42" s="1332"/>
      <c r="F42" s="1332"/>
      <c r="G42" s="1332"/>
      <c r="H42" s="1332"/>
      <c r="I42" s="1332"/>
      <c r="J42" s="1332"/>
      <c r="K42" s="1332"/>
      <c r="L42" s="1333"/>
    </row>
    <row r="43" spans="1:12" ht="24.75" customHeight="1" outlineLevel="2" x14ac:dyDescent="0.25">
      <c r="A43" s="238"/>
      <c r="C43" s="1331" t="str">
        <f ca="1">CONCATENATE("$, real ",dms_DollarReal)</f>
        <v>$, real June 2026</v>
      </c>
      <c r="D43" s="1331"/>
      <c r="E43" s="1331"/>
      <c r="F43" s="1331"/>
      <c r="G43" s="1331"/>
      <c r="H43" s="1331"/>
      <c r="I43" s="1331"/>
      <c r="J43" s="1331"/>
      <c r="K43" s="1331"/>
      <c r="L43" s="1334"/>
    </row>
    <row r="44" spans="1:12" ht="22.5" customHeight="1" outlineLevel="2" x14ac:dyDescent="0.25">
      <c r="A44" s="76"/>
      <c r="B44" s="302"/>
      <c r="C44" s="298" t="str">
        <f ca="1">CRCP_y1</f>
        <v>2021-22</v>
      </c>
      <c r="D44" s="298" t="str">
        <f ca="1">CRCP_y2</f>
        <v>2022-23</v>
      </c>
      <c r="E44" s="298" t="str">
        <f ca="1">CRCP_y3</f>
        <v>2023-24</v>
      </c>
      <c r="F44" s="298" t="str">
        <f ca="1">dms_y1</f>
        <v>2024-25</v>
      </c>
      <c r="G44" s="298" t="str">
        <f ca="1">dms_y2</f>
        <v>2025-26</v>
      </c>
      <c r="H44" s="298" t="str">
        <f ca="1">dms_y3</f>
        <v>2026-27</v>
      </c>
      <c r="I44" s="298" t="str">
        <f ca="1">dms_y4</f>
        <v>2027-28</v>
      </c>
      <c r="J44" s="298" t="str">
        <f ca="1">dms_y5</f>
        <v>2028-29</v>
      </c>
      <c r="K44" s="298" t="str">
        <f ca="1">dms_y6</f>
        <v>2029-30</v>
      </c>
      <c r="L44" s="298" t="str">
        <f ca="1">dms_y7</f>
        <v>2030-31</v>
      </c>
    </row>
    <row r="45" spans="1:12" outlineLevel="2" x14ac:dyDescent="0.25">
      <c r="B45" s="1134" t="s">
        <v>292</v>
      </c>
      <c r="C45" s="1133"/>
      <c r="D45" s="552"/>
      <c r="E45" s="552"/>
      <c r="F45" s="361"/>
      <c r="G45" s="378"/>
      <c r="H45" s="472"/>
      <c r="I45" s="361"/>
      <c r="J45" s="361"/>
      <c r="K45" s="361"/>
      <c r="L45" s="401"/>
    </row>
    <row r="46" spans="1:12" outlineLevel="2" x14ac:dyDescent="0.25">
      <c r="B46" s="1158" t="s">
        <v>293</v>
      </c>
      <c r="C46" s="1133"/>
      <c r="D46" s="552"/>
      <c r="E46" s="552"/>
      <c r="F46" s="361"/>
      <c r="G46" s="378"/>
      <c r="H46" s="472"/>
      <c r="I46" s="361"/>
      <c r="J46" s="361"/>
      <c r="K46" s="361"/>
      <c r="L46" s="401"/>
    </row>
    <row r="47" spans="1:12" outlineLevel="2" x14ac:dyDescent="0.25">
      <c r="B47" s="1135" t="s">
        <v>294</v>
      </c>
      <c r="C47" s="565"/>
      <c r="D47" s="555"/>
      <c r="E47" s="555"/>
      <c r="F47" s="245"/>
      <c r="G47" s="366"/>
      <c r="H47" s="244"/>
      <c r="I47" s="245"/>
      <c r="J47" s="245"/>
      <c r="K47" s="245"/>
      <c r="L47" s="230"/>
    </row>
    <row r="48" spans="1:12" outlineLevel="2" x14ac:dyDescent="0.25">
      <c r="B48" s="1135" t="s">
        <v>295</v>
      </c>
      <c r="C48" s="565"/>
      <c r="D48" s="555"/>
      <c r="E48" s="555"/>
      <c r="F48" s="245"/>
      <c r="G48" s="366"/>
      <c r="H48" s="244"/>
      <c r="I48" s="245"/>
      <c r="J48" s="245"/>
      <c r="K48" s="245"/>
      <c r="L48" s="230"/>
    </row>
    <row r="49" spans="1:12" outlineLevel="2" x14ac:dyDescent="0.25">
      <c r="B49" s="1135" t="s">
        <v>296</v>
      </c>
      <c r="C49" s="565"/>
      <c r="D49" s="555"/>
      <c r="E49" s="555"/>
      <c r="F49" s="245"/>
      <c r="G49" s="366"/>
      <c r="H49" s="244"/>
      <c r="I49" s="245"/>
      <c r="J49" s="245"/>
      <c r="K49" s="245"/>
      <c r="L49" s="230"/>
    </row>
    <row r="50" spans="1:12" outlineLevel="2" x14ac:dyDescent="0.25">
      <c r="B50" s="1135" t="s">
        <v>297</v>
      </c>
      <c r="C50" s="565"/>
      <c r="D50" s="555"/>
      <c r="E50" s="555"/>
      <c r="F50" s="245"/>
      <c r="G50" s="366"/>
      <c r="H50" s="244"/>
      <c r="I50" s="245"/>
      <c r="J50" s="245"/>
      <c r="K50" s="245"/>
      <c r="L50" s="230"/>
    </row>
    <row r="51" spans="1:12" outlineLevel="2" x14ac:dyDescent="0.25">
      <c r="B51" s="1135" t="s">
        <v>298</v>
      </c>
      <c r="C51" s="565"/>
      <c r="D51" s="555"/>
      <c r="E51" s="555"/>
      <c r="F51" s="245"/>
      <c r="G51" s="366"/>
      <c r="H51" s="244"/>
      <c r="I51" s="245"/>
      <c r="J51" s="245"/>
      <c r="K51" s="245"/>
      <c r="L51" s="230"/>
    </row>
    <row r="52" spans="1:12" outlineLevel="2" x14ac:dyDescent="0.25">
      <c r="B52" s="1136" t="s">
        <v>299</v>
      </c>
      <c r="C52" s="565"/>
      <c r="D52" s="555"/>
      <c r="E52" s="555"/>
      <c r="F52" s="245"/>
      <c r="G52" s="366"/>
      <c r="H52" s="244"/>
      <c r="I52" s="245"/>
      <c r="J52" s="245"/>
      <c r="K52" s="245"/>
      <c r="L52" s="230"/>
    </row>
    <row r="53" spans="1:12" ht="15" customHeight="1" outlineLevel="2" x14ac:dyDescent="0.25">
      <c r="B53" s="306" t="s">
        <v>145</v>
      </c>
      <c r="C53" s="567"/>
      <c r="D53" s="567"/>
      <c r="E53" s="567"/>
      <c r="F53" s="567">
        <f t="shared" ref="F53:L53" si="0">SUM(F45:F52)</f>
        <v>0</v>
      </c>
      <c r="G53" s="567">
        <f t="shared" si="0"/>
        <v>0</v>
      </c>
      <c r="H53" s="567">
        <f t="shared" si="0"/>
        <v>0</v>
      </c>
      <c r="I53" s="567">
        <f t="shared" si="0"/>
        <v>0</v>
      </c>
      <c r="J53" s="567">
        <f t="shared" si="0"/>
        <v>0</v>
      </c>
      <c r="K53" s="567">
        <f t="shared" si="0"/>
        <v>0</v>
      </c>
      <c r="L53" s="567">
        <f t="shared" si="0"/>
        <v>0</v>
      </c>
    </row>
    <row r="54" spans="1:12" ht="15" customHeight="1" outlineLevel="1" x14ac:dyDescent="0.25"/>
    <row r="55" spans="1:12" ht="25.5" customHeight="1" outlineLevel="1" x14ac:dyDescent="0.25">
      <c r="A55" s="238"/>
      <c r="B55" s="232" t="s">
        <v>300</v>
      </c>
      <c r="C55" s="233"/>
      <c r="D55" s="233"/>
      <c r="E55" s="233"/>
      <c r="F55" s="233"/>
      <c r="G55" s="233"/>
      <c r="H55" s="233"/>
      <c r="I55" s="233"/>
      <c r="J55" s="233"/>
      <c r="K55" s="233"/>
      <c r="L55" s="234"/>
    </row>
    <row r="56" spans="1:12" ht="24.75" customHeight="1" outlineLevel="2" x14ac:dyDescent="0.25">
      <c r="C56" s="1332" t="s">
        <v>24</v>
      </c>
      <c r="D56" s="1332"/>
      <c r="E56" s="1332"/>
      <c r="F56" s="1332"/>
      <c r="G56" s="1332"/>
      <c r="H56" s="1332"/>
      <c r="I56" s="1332"/>
      <c r="J56" s="1332"/>
      <c r="K56" s="1332"/>
      <c r="L56" s="1333"/>
    </row>
    <row r="57" spans="1:12" ht="24.75" customHeight="1" outlineLevel="2" x14ac:dyDescent="0.25">
      <c r="A57" s="238"/>
      <c r="C57" s="1331" t="str">
        <f ca="1">CONCATENATE("$, real ",dms_DollarReal)</f>
        <v>$, real June 2026</v>
      </c>
      <c r="D57" s="1331"/>
      <c r="E57" s="1331"/>
      <c r="F57" s="1331"/>
      <c r="G57" s="1331"/>
      <c r="H57" s="1331"/>
      <c r="I57" s="1331"/>
      <c r="J57" s="1331"/>
      <c r="K57" s="1331"/>
      <c r="L57" s="1334"/>
    </row>
    <row r="58" spans="1:12" ht="22.5" customHeight="1" outlineLevel="2" x14ac:dyDescent="0.25">
      <c r="A58" s="76"/>
      <c r="B58" s="62"/>
      <c r="C58" s="298" t="str">
        <f ca="1">CRCP_y1</f>
        <v>2021-22</v>
      </c>
      <c r="D58" s="298" t="str">
        <f ca="1">CRCP_y2</f>
        <v>2022-23</v>
      </c>
      <c r="E58" s="298" t="str">
        <f ca="1">CRCP_y3</f>
        <v>2023-24</v>
      </c>
      <c r="F58" s="298" t="str">
        <f ca="1">dms_y1</f>
        <v>2024-25</v>
      </c>
      <c r="G58" s="298" t="str">
        <f ca="1">dms_y2</f>
        <v>2025-26</v>
      </c>
      <c r="H58" s="298" t="str">
        <f ca="1">dms_y3</f>
        <v>2026-27</v>
      </c>
      <c r="I58" s="298" t="str">
        <f ca="1">dms_y4</f>
        <v>2027-28</v>
      </c>
      <c r="J58" s="298" t="str">
        <f ca="1">dms_y5</f>
        <v>2028-29</v>
      </c>
      <c r="K58" s="298" t="str">
        <f ca="1">dms_y6</f>
        <v>2029-30</v>
      </c>
      <c r="L58" s="298" t="str">
        <f ca="1">dms_y7</f>
        <v>2030-31</v>
      </c>
    </row>
    <row r="59" spans="1:12" outlineLevel="2" x14ac:dyDescent="0.25">
      <c r="A59" s="359"/>
      <c r="B59" s="1137"/>
      <c r="C59" s="564"/>
      <c r="D59" s="550"/>
      <c r="E59" s="550"/>
      <c r="F59" s="242"/>
      <c r="G59" s="351"/>
      <c r="H59" s="241"/>
      <c r="I59" s="242"/>
      <c r="J59" s="242"/>
      <c r="K59" s="242"/>
      <c r="L59" s="243"/>
    </row>
    <row r="60" spans="1:12" outlineLevel="2" x14ac:dyDescent="0.25">
      <c r="A60" s="359"/>
      <c r="B60" s="1138"/>
      <c r="C60" s="565"/>
      <c r="D60" s="555"/>
      <c r="E60" s="555"/>
      <c r="F60" s="245"/>
      <c r="G60" s="366"/>
      <c r="H60" s="244"/>
      <c r="I60" s="245"/>
      <c r="J60" s="245"/>
      <c r="K60" s="245"/>
      <c r="L60" s="230"/>
    </row>
    <row r="61" spans="1:12" outlineLevel="2" x14ac:dyDescent="0.25">
      <c r="A61" s="359"/>
      <c r="B61" s="1138"/>
      <c r="C61" s="565"/>
      <c r="D61" s="555"/>
      <c r="E61" s="555"/>
      <c r="F61" s="245"/>
      <c r="G61" s="366"/>
      <c r="H61" s="244"/>
      <c r="I61" s="245"/>
      <c r="J61" s="245"/>
      <c r="K61" s="245"/>
      <c r="L61" s="230"/>
    </row>
    <row r="62" spans="1:12" outlineLevel="2" x14ac:dyDescent="0.25">
      <c r="A62" s="359"/>
      <c r="B62" s="1138"/>
      <c r="C62" s="565"/>
      <c r="D62" s="555"/>
      <c r="E62" s="555"/>
      <c r="F62" s="245"/>
      <c r="G62" s="366"/>
      <c r="H62" s="244"/>
      <c r="I62" s="245"/>
      <c r="J62" s="245"/>
      <c r="K62" s="245"/>
      <c r="L62" s="230"/>
    </row>
    <row r="63" spans="1:12" outlineLevel="2" x14ac:dyDescent="0.25">
      <c r="A63" s="359"/>
      <c r="B63" s="1138"/>
      <c r="C63" s="565"/>
      <c r="D63" s="555"/>
      <c r="E63" s="555"/>
      <c r="F63" s="245"/>
      <c r="G63" s="366"/>
      <c r="H63" s="244"/>
      <c r="I63" s="245"/>
      <c r="J63" s="245"/>
      <c r="K63" s="245"/>
      <c r="L63" s="230"/>
    </row>
    <row r="64" spans="1:12" outlineLevel="2" x14ac:dyDescent="0.25">
      <c r="A64" s="359"/>
      <c r="B64" s="1138"/>
      <c r="C64" s="565"/>
      <c r="D64" s="555"/>
      <c r="E64" s="555"/>
      <c r="F64" s="245"/>
      <c r="G64" s="366"/>
      <c r="H64" s="244"/>
      <c r="I64" s="245"/>
      <c r="J64" s="245"/>
      <c r="K64" s="245"/>
      <c r="L64" s="230"/>
    </row>
    <row r="65" spans="1:12" outlineLevel="2" x14ac:dyDescent="0.25">
      <c r="A65" s="359"/>
      <c r="B65" s="1138"/>
      <c r="C65" s="565"/>
      <c r="D65" s="555"/>
      <c r="E65" s="555"/>
      <c r="F65" s="245"/>
      <c r="G65" s="366"/>
      <c r="H65" s="244"/>
      <c r="I65" s="245"/>
      <c r="J65" s="245"/>
      <c r="K65" s="245"/>
      <c r="L65" s="230"/>
    </row>
    <row r="66" spans="1:12" outlineLevel="2" x14ac:dyDescent="0.25">
      <c r="A66" s="359"/>
      <c r="B66" s="1138"/>
      <c r="C66" s="565"/>
      <c r="D66" s="555"/>
      <c r="E66" s="555"/>
      <c r="F66" s="245"/>
      <c r="G66" s="366"/>
      <c r="H66" s="244"/>
      <c r="I66" s="245"/>
      <c r="J66" s="245"/>
      <c r="K66" s="245"/>
      <c r="L66" s="230"/>
    </row>
    <row r="67" spans="1:12" outlineLevel="2" x14ac:dyDescent="0.25">
      <c r="A67" s="359"/>
      <c r="B67" s="1138"/>
      <c r="C67" s="565"/>
      <c r="D67" s="555"/>
      <c r="E67" s="555"/>
      <c r="F67" s="245"/>
      <c r="G67" s="366"/>
      <c r="H67" s="244"/>
      <c r="I67" s="245"/>
      <c r="J67" s="245"/>
      <c r="K67" s="245"/>
      <c r="L67" s="230"/>
    </row>
    <row r="68" spans="1:12" outlineLevel="2" x14ac:dyDescent="0.25">
      <c r="A68" s="359"/>
      <c r="B68" s="1138"/>
      <c r="C68" s="565"/>
      <c r="D68" s="555"/>
      <c r="E68" s="555"/>
      <c r="F68" s="245"/>
      <c r="G68" s="366"/>
      <c r="H68" s="244"/>
      <c r="I68" s="245"/>
      <c r="J68" s="245"/>
      <c r="K68" s="245"/>
      <c r="L68" s="230"/>
    </row>
    <row r="69" spans="1:12" outlineLevel="2" x14ac:dyDescent="0.25">
      <c r="A69" s="359"/>
      <c r="B69" s="1138"/>
      <c r="C69" s="565"/>
      <c r="D69" s="555"/>
      <c r="E69" s="555"/>
      <c r="F69" s="245"/>
      <c r="G69" s="366"/>
      <c r="H69" s="244"/>
      <c r="I69" s="245"/>
      <c r="J69" s="245"/>
      <c r="K69" s="245"/>
      <c r="L69" s="230"/>
    </row>
    <row r="70" spans="1:12" outlineLevel="2" x14ac:dyDescent="0.25">
      <c r="A70" s="359"/>
      <c r="B70" s="1138"/>
      <c r="C70" s="565"/>
      <c r="D70" s="555"/>
      <c r="E70" s="555"/>
      <c r="F70" s="245"/>
      <c r="G70" s="366"/>
      <c r="H70" s="244"/>
      <c r="I70" s="245"/>
      <c r="J70" s="245"/>
      <c r="K70" s="245"/>
      <c r="L70" s="230"/>
    </row>
    <row r="71" spans="1:12" outlineLevel="2" x14ac:dyDescent="0.25">
      <c r="A71" s="359"/>
      <c r="B71" s="1138"/>
      <c r="C71" s="565"/>
      <c r="D71" s="555"/>
      <c r="E71" s="555"/>
      <c r="F71" s="245"/>
      <c r="G71" s="366"/>
      <c r="H71" s="244"/>
      <c r="I71" s="245"/>
      <c r="J71" s="245"/>
      <c r="K71" s="245"/>
      <c r="L71" s="230"/>
    </row>
    <row r="72" spans="1:12" outlineLevel="2" x14ac:dyDescent="0.25">
      <c r="A72" s="359"/>
      <c r="B72" s="1138"/>
      <c r="C72" s="565"/>
      <c r="D72" s="555"/>
      <c r="E72" s="555"/>
      <c r="F72" s="245"/>
      <c r="G72" s="366"/>
      <c r="H72" s="244"/>
      <c r="I72" s="245"/>
      <c r="J72" s="245"/>
      <c r="K72" s="245"/>
      <c r="L72" s="230"/>
    </row>
    <row r="73" spans="1:12" outlineLevel="2" x14ac:dyDescent="0.25">
      <c r="A73" s="359"/>
      <c r="B73" s="1138"/>
      <c r="C73" s="565"/>
      <c r="D73" s="555"/>
      <c r="E73" s="555"/>
      <c r="F73" s="245"/>
      <c r="G73" s="366"/>
      <c r="H73" s="244"/>
      <c r="I73" s="245"/>
      <c r="J73" s="245"/>
      <c r="K73" s="245"/>
      <c r="L73" s="230"/>
    </row>
    <row r="74" spans="1:12" outlineLevel="2" x14ac:dyDescent="0.25">
      <c r="A74" s="359"/>
      <c r="B74" s="1138"/>
      <c r="C74" s="565"/>
      <c r="D74" s="555"/>
      <c r="E74" s="555"/>
      <c r="F74" s="245"/>
      <c r="G74" s="366"/>
      <c r="H74" s="244"/>
      <c r="I74" s="245"/>
      <c r="J74" s="245"/>
      <c r="K74" s="245"/>
      <c r="L74" s="230"/>
    </row>
    <row r="75" spans="1:12" outlineLevel="2" x14ac:dyDescent="0.25">
      <c r="A75" s="359"/>
      <c r="B75" s="1138"/>
      <c r="C75" s="565"/>
      <c r="D75" s="555"/>
      <c r="E75" s="555"/>
      <c r="F75" s="245"/>
      <c r="G75" s="366"/>
      <c r="H75" s="244"/>
      <c r="I75" s="245"/>
      <c r="J75" s="245"/>
      <c r="K75" s="245"/>
      <c r="L75" s="230"/>
    </row>
    <row r="76" spans="1:12" outlineLevel="2" x14ac:dyDescent="0.25">
      <c r="A76" s="359"/>
      <c r="B76" s="1138"/>
      <c r="C76" s="565"/>
      <c r="D76" s="555"/>
      <c r="E76" s="555"/>
      <c r="F76" s="245"/>
      <c r="G76" s="366"/>
      <c r="H76" s="244"/>
      <c r="I76" s="245"/>
      <c r="J76" s="245"/>
      <c r="K76" s="245"/>
      <c r="L76" s="230"/>
    </row>
    <row r="77" spans="1:12" outlineLevel="2" x14ac:dyDescent="0.25">
      <c r="A77" s="359"/>
      <c r="B77" s="1138"/>
      <c r="C77" s="565"/>
      <c r="D77" s="555"/>
      <c r="E77" s="555"/>
      <c r="F77" s="245"/>
      <c r="G77" s="366"/>
      <c r="H77" s="244"/>
      <c r="I77" s="245"/>
      <c r="J77" s="245"/>
      <c r="K77" s="245"/>
      <c r="L77" s="230"/>
    </row>
    <row r="78" spans="1:12" outlineLevel="2" x14ac:dyDescent="0.25">
      <c r="A78" s="359"/>
      <c r="B78" s="1138"/>
      <c r="C78" s="565"/>
      <c r="D78" s="555"/>
      <c r="E78" s="555"/>
      <c r="F78" s="245"/>
      <c r="G78" s="366"/>
      <c r="H78" s="244"/>
      <c r="I78" s="245"/>
      <c r="J78" s="245"/>
      <c r="K78" s="245"/>
      <c r="L78" s="230"/>
    </row>
    <row r="79" spans="1:12" outlineLevel="2" x14ac:dyDescent="0.25">
      <c r="A79" s="359"/>
      <c r="B79" s="1138"/>
      <c r="C79" s="565"/>
      <c r="D79" s="555"/>
      <c r="E79" s="555"/>
      <c r="F79" s="245"/>
      <c r="G79" s="366"/>
      <c r="H79" s="244"/>
      <c r="I79" s="245"/>
      <c r="J79" s="245"/>
      <c r="K79" s="245"/>
      <c r="L79" s="230"/>
    </row>
    <row r="80" spans="1:12" outlineLevel="2" x14ac:dyDescent="0.25">
      <c r="A80" s="359"/>
      <c r="B80" s="1138"/>
      <c r="C80" s="565"/>
      <c r="D80" s="555"/>
      <c r="E80" s="555"/>
      <c r="F80" s="245"/>
      <c r="G80" s="366"/>
      <c r="H80" s="244"/>
      <c r="I80" s="245"/>
      <c r="J80" s="245"/>
      <c r="K80" s="245"/>
      <c r="L80" s="230"/>
    </row>
    <row r="81" spans="1:12" outlineLevel="2" x14ac:dyDescent="0.25">
      <c r="A81" s="359"/>
      <c r="B81" s="1138"/>
      <c r="C81" s="565"/>
      <c r="D81" s="555"/>
      <c r="E81" s="555"/>
      <c r="F81" s="245"/>
      <c r="G81" s="366"/>
      <c r="H81" s="244"/>
      <c r="I81" s="245"/>
      <c r="J81" s="245"/>
      <c r="K81" s="245"/>
      <c r="L81" s="230"/>
    </row>
    <row r="82" spans="1:12" outlineLevel="2" x14ac:dyDescent="0.25">
      <c r="A82" s="359"/>
      <c r="B82" s="1138"/>
      <c r="C82" s="565"/>
      <c r="D82" s="555"/>
      <c r="E82" s="555"/>
      <c r="F82" s="245"/>
      <c r="G82" s="366"/>
      <c r="H82" s="244"/>
      <c r="I82" s="245"/>
      <c r="J82" s="245"/>
      <c r="K82" s="245"/>
      <c r="L82" s="230"/>
    </row>
    <row r="83" spans="1:12" outlineLevel="2" x14ac:dyDescent="0.25">
      <c r="A83" s="359"/>
      <c r="B83" s="1139"/>
      <c r="C83" s="566"/>
      <c r="D83" s="557"/>
      <c r="E83" s="557"/>
      <c r="F83" s="350"/>
      <c r="G83" s="352"/>
      <c r="H83" s="353"/>
      <c r="I83" s="350"/>
      <c r="J83" s="350"/>
      <c r="K83" s="350"/>
      <c r="L83" s="560"/>
    </row>
    <row r="84" spans="1:12" ht="15" customHeight="1" outlineLevel="2" x14ac:dyDescent="0.25">
      <c r="A84" s="359"/>
      <c r="B84" s="306" t="s">
        <v>145</v>
      </c>
      <c r="C84" s="567"/>
      <c r="D84" s="567"/>
      <c r="E84" s="567"/>
      <c r="F84" s="567">
        <f t="shared" ref="F84:L84" si="1">SUM(F59:F83)</f>
        <v>0</v>
      </c>
      <c r="G84" s="567">
        <f t="shared" si="1"/>
        <v>0</v>
      </c>
      <c r="H84" s="567">
        <f t="shared" si="1"/>
        <v>0</v>
      </c>
      <c r="I84" s="567">
        <f t="shared" si="1"/>
        <v>0</v>
      </c>
      <c r="J84" s="567">
        <f t="shared" si="1"/>
        <v>0</v>
      </c>
      <c r="K84" s="567">
        <f t="shared" si="1"/>
        <v>0</v>
      </c>
      <c r="L84" s="568">
        <f t="shared" si="1"/>
        <v>0</v>
      </c>
    </row>
    <row r="85" spans="1:12" outlineLevel="1" x14ac:dyDescent="0.25">
      <c r="A85" s="238"/>
    </row>
    <row r="86" spans="1:12" x14ac:dyDescent="0.25">
      <c r="A86" s="238"/>
    </row>
    <row r="87" spans="1:12" ht="15" customHeight="1" x14ac:dyDescent="0.25">
      <c r="A87" s="238"/>
    </row>
    <row r="88" spans="1:12" s="50" customFormat="1" ht="28.5" customHeight="1" x14ac:dyDescent="0.2">
      <c r="A88" s="76"/>
      <c r="B88" s="31" t="s">
        <v>301</v>
      </c>
      <c r="C88" s="31"/>
      <c r="D88" s="31"/>
      <c r="E88" s="31"/>
      <c r="F88" s="31"/>
      <c r="G88" s="31"/>
      <c r="H88" s="31"/>
      <c r="I88" s="31"/>
      <c r="J88" s="31"/>
      <c r="K88" s="31"/>
      <c r="L88" s="31"/>
    </row>
    <row r="89" spans="1:12" ht="24.75" customHeight="1" outlineLevel="1" x14ac:dyDescent="0.25">
      <c r="A89" s="238"/>
      <c r="B89" s="232" t="s">
        <v>302</v>
      </c>
      <c r="C89" s="233"/>
      <c r="D89" s="233"/>
      <c r="E89" s="233"/>
      <c r="F89" s="233"/>
      <c r="G89" s="233"/>
      <c r="H89" s="233"/>
      <c r="I89" s="233"/>
      <c r="J89" s="233"/>
      <c r="K89" s="233"/>
      <c r="L89" s="234"/>
    </row>
    <row r="90" spans="1:12" ht="24.75" customHeight="1" outlineLevel="2" x14ac:dyDescent="0.25">
      <c r="C90" s="1332" t="s">
        <v>24</v>
      </c>
      <c r="D90" s="1332"/>
      <c r="E90" s="1332"/>
      <c r="F90" s="1332"/>
      <c r="G90" s="1332"/>
      <c r="H90" s="1332"/>
      <c r="I90" s="1332"/>
      <c r="J90" s="1332"/>
      <c r="K90" s="1332"/>
      <c r="L90" s="1333"/>
    </row>
    <row r="91" spans="1:12" ht="24.75" customHeight="1" outlineLevel="2" x14ac:dyDescent="0.25">
      <c r="A91" s="238"/>
      <c r="C91" s="1331" t="str">
        <f ca="1">CONCATENATE("$, real ",dms_DollarReal)</f>
        <v>$, real June 2026</v>
      </c>
      <c r="D91" s="1331"/>
      <c r="E91" s="1331"/>
      <c r="F91" s="1331"/>
      <c r="G91" s="1331"/>
      <c r="H91" s="1331"/>
      <c r="I91" s="1331"/>
      <c r="J91" s="1331"/>
      <c r="K91" s="1331"/>
      <c r="L91" s="1334"/>
    </row>
    <row r="92" spans="1:12" ht="18.75" customHeight="1" outlineLevel="2" x14ac:dyDescent="0.25">
      <c r="A92" s="76"/>
      <c r="B92" s="62"/>
      <c r="C92" s="298" t="str">
        <f ca="1">CRCP_y1</f>
        <v>2021-22</v>
      </c>
      <c r="D92" s="298" t="str">
        <f ca="1">CRCP_y2</f>
        <v>2022-23</v>
      </c>
      <c r="E92" s="298" t="str">
        <f ca="1">CRCP_y3</f>
        <v>2023-24</v>
      </c>
      <c r="F92" s="298" t="str">
        <f ca="1">dms_y1</f>
        <v>2024-25</v>
      </c>
      <c r="G92" s="298" t="str">
        <f ca="1">dms_y2</f>
        <v>2025-26</v>
      </c>
      <c r="H92" s="298" t="str">
        <f ca="1">dms_y3</f>
        <v>2026-27</v>
      </c>
      <c r="I92" s="298" t="str">
        <f ca="1">dms_y4</f>
        <v>2027-28</v>
      </c>
      <c r="J92" s="298" t="str">
        <f ca="1">dms_y5</f>
        <v>2028-29</v>
      </c>
      <c r="K92" s="298" t="str">
        <f ca="1">dms_y6</f>
        <v>2029-30</v>
      </c>
      <c r="L92" s="298" t="str">
        <f ca="1">dms_y7</f>
        <v>2030-31</v>
      </c>
    </row>
    <row r="93" spans="1:12" outlineLevel="2" x14ac:dyDescent="0.25">
      <c r="A93" s="359"/>
      <c r="B93" s="1134" t="s">
        <v>292</v>
      </c>
      <c r="C93" s="551"/>
      <c r="D93" s="552"/>
      <c r="E93" s="552"/>
      <c r="F93" s="361"/>
      <c r="G93" s="378"/>
      <c r="H93" s="472"/>
      <c r="I93" s="361"/>
      <c r="J93" s="361"/>
      <c r="K93" s="361"/>
      <c r="L93" s="401"/>
    </row>
    <row r="94" spans="1:12" outlineLevel="2" x14ac:dyDescent="0.25">
      <c r="A94" s="359"/>
      <c r="B94" s="1158" t="s">
        <v>293</v>
      </c>
      <c r="C94" s="551"/>
      <c r="D94" s="552"/>
      <c r="E94" s="552"/>
      <c r="F94" s="361"/>
      <c r="G94" s="378"/>
      <c r="H94" s="472"/>
      <c r="I94" s="361"/>
      <c r="J94" s="361"/>
      <c r="K94" s="361"/>
      <c r="L94" s="401"/>
    </row>
    <row r="95" spans="1:12" outlineLevel="2" x14ac:dyDescent="0.25">
      <c r="A95" s="359"/>
      <c r="B95" s="1135" t="s">
        <v>294</v>
      </c>
      <c r="C95" s="551"/>
      <c r="D95" s="552"/>
      <c r="E95" s="552"/>
      <c r="F95" s="361"/>
      <c r="G95" s="378"/>
      <c r="H95" s="472"/>
      <c r="I95" s="361"/>
      <c r="J95" s="361"/>
      <c r="K95" s="361"/>
      <c r="L95" s="401"/>
    </row>
    <row r="96" spans="1:12" outlineLevel="2" x14ac:dyDescent="0.25">
      <c r="A96" s="359"/>
      <c r="B96" s="1135" t="s">
        <v>295</v>
      </c>
      <c r="C96" s="551"/>
      <c r="D96" s="552"/>
      <c r="E96" s="552"/>
      <c r="F96" s="361"/>
      <c r="G96" s="378"/>
      <c r="H96" s="472"/>
      <c r="I96" s="361"/>
      <c r="J96" s="361"/>
      <c r="K96" s="361"/>
      <c r="L96" s="401"/>
    </row>
    <row r="97" spans="1:12" outlineLevel="2" x14ac:dyDescent="0.25">
      <c r="A97" s="359"/>
      <c r="B97" s="1135" t="s">
        <v>296</v>
      </c>
      <c r="C97" s="551"/>
      <c r="D97" s="552"/>
      <c r="E97" s="552"/>
      <c r="F97" s="361"/>
      <c r="G97" s="378"/>
      <c r="H97" s="472"/>
      <c r="I97" s="361"/>
      <c r="J97" s="361"/>
      <c r="K97" s="361"/>
      <c r="L97" s="401"/>
    </row>
    <row r="98" spans="1:12" outlineLevel="2" x14ac:dyDescent="0.25">
      <c r="A98" s="359"/>
      <c r="B98" s="1135" t="s">
        <v>297</v>
      </c>
      <c r="C98" s="551"/>
      <c r="D98" s="552"/>
      <c r="E98" s="552"/>
      <c r="F98" s="361"/>
      <c r="G98" s="378"/>
      <c r="H98" s="472"/>
      <c r="I98" s="361"/>
      <c r="J98" s="361"/>
      <c r="K98" s="361"/>
      <c r="L98" s="401"/>
    </row>
    <row r="99" spans="1:12" outlineLevel="2" x14ac:dyDescent="0.25">
      <c r="A99" s="359"/>
      <c r="B99" s="1135" t="s">
        <v>298</v>
      </c>
      <c r="C99" s="551"/>
      <c r="D99" s="552"/>
      <c r="E99" s="552"/>
      <c r="F99" s="361"/>
      <c r="G99" s="378"/>
      <c r="H99" s="472"/>
      <c r="I99" s="361"/>
      <c r="J99" s="361"/>
      <c r="K99" s="361"/>
      <c r="L99" s="401"/>
    </row>
    <row r="100" spans="1:12" outlineLevel="2" x14ac:dyDescent="0.25">
      <c r="A100" s="359"/>
      <c r="B100" s="1136" t="s">
        <v>299</v>
      </c>
      <c r="C100" s="551"/>
      <c r="D100" s="552"/>
      <c r="E100" s="552"/>
      <c r="F100" s="361"/>
      <c r="G100" s="378"/>
      <c r="H100" s="472"/>
      <c r="I100" s="361"/>
      <c r="J100" s="361"/>
      <c r="K100" s="361"/>
      <c r="L100" s="401"/>
    </row>
    <row r="101" spans="1:12" ht="15" customHeight="1" outlineLevel="2" x14ac:dyDescent="0.25">
      <c r="A101" s="359"/>
      <c r="B101" s="306" t="s">
        <v>145</v>
      </c>
      <c r="C101" s="2"/>
      <c r="D101" s="2"/>
      <c r="E101" s="2"/>
      <c r="F101" s="2">
        <f t="shared" ref="F101:L101" si="2">SUM(F93:F100)</f>
        <v>0</v>
      </c>
      <c r="G101" s="2">
        <f t="shared" si="2"/>
        <v>0</v>
      </c>
      <c r="H101" s="2">
        <f t="shared" si="2"/>
        <v>0</v>
      </c>
      <c r="I101" s="2">
        <f t="shared" si="2"/>
        <v>0</v>
      </c>
      <c r="J101" s="2">
        <f t="shared" si="2"/>
        <v>0</v>
      </c>
      <c r="K101" s="2">
        <f t="shared" si="2"/>
        <v>0</v>
      </c>
      <c r="L101" s="2">
        <f t="shared" si="2"/>
        <v>0</v>
      </c>
    </row>
    <row r="102" spans="1:12" ht="15" customHeight="1" outlineLevel="1" x14ac:dyDescent="0.25">
      <c r="A102" s="238"/>
    </row>
    <row r="103" spans="1:12" ht="32.25" customHeight="1" outlineLevel="1" x14ac:dyDescent="0.25">
      <c r="A103" s="238"/>
      <c r="B103" s="232" t="s">
        <v>303</v>
      </c>
      <c r="C103" s="233"/>
      <c r="D103" s="233"/>
      <c r="E103" s="233"/>
      <c r="F103" s="233"/>
      <c r="G103" s="233"/>
      <c r="H103" s="233"/>
      <c r="I103" s="233"/>
      <c r="J103" s="233"/>
      <c r="K103" s="233"/>
      <c r="L103" s="234"/>
    </row>
    <row r="104" spans="1:12" ht="24.75" customHeight="1" outlineLevel="2" x14ac:dyDescent="0.25">
      <c r="C104" s="1332" t="s">
        <v>24</v>
      </c>
      <c r="D104" s="1332"/>
      <c r="E104" s="1332"/>
      <c r="F104" s="1332"/>
      <c r="G104" s="1332"/>
      <c r="H104" s="1332"/>
      <c r="I104" s="1332"/>
      <c r="J104" s="1332"/>
      <c r="K104" s="1332"/>
      <c r="L104" s="1333"/>
    </row>
    <row r="105" spans="1:12" ht="24.75" customHeight="1" outlineLevel="2" x14ac:dyDescent="0.25">
      <c r="A105" s="238"/>
      <c r="C105" s="1331" t="str">
        <f ca="1">CONCATENATE("$, real ",dms_DollarReal)</f>
        <v>$, real June 2026</v>
      </c>
      <c r="D105" s="1331"/>
      <c r="E105" s="1331"/>
      <c r="F105" s="1331"/>
      <c r="G105" s="1331"/>
      <c r="H105" s="1331"/>
      <c r="I105" s="1331"/>
      <c r="J105" s="1331"/>
      <c r="K105" s="1331"/>
      <c r="L105" s="1334"/>
    </row>
    <row r="106" spans="1:12" ht="22.5" customHeight="1" outlineLevel="2" x14ac:dyDescent="0.25">
      <c r="A106" s="76"/>
      <c r="B106" s="302"/>
      <c r="C106" s="298" t="str">
        <f ca="1">CRCP_y1</f>
        <v>2021-22</v>
      </c>
      <c r="D106" s="298" t="str">
        <f ca="1">CRCP_y2</f>
        <v>2022-23</v>
      </c>
      <c r="E106" s="298" t="str">
        <f ca="1">CRCP_y3</f>
        <v>2023-24</v>
      </c>
      <c r="F106" s="298" t="str">
        <f ca="1">dms_y1</f>
        <v>2024-25</v>
      </c>
      <c r="G106" s="298" t="str">
        <f ca="1">dms_y2</f>
        <v>2025-26</v>
      </c>
      <c r="H106" s="298" t="str">
        <f ca="1">dms_y3</f>
        <v>2026-27</v>
      </c>
      <c r="I106" s="298" t="str">
        <f ca="1">dms_y4</f>
        <v>2027-28</v>
      </c>
      <c r="J106" s="298" t="str">
        <f ca="1">dms_y5</f>
        <v>2028-29</v>
      </c>
      <c r="K106" s="298" t="str">
        <f ca="1">dms_y6</f>
        <v>2029-30</v>
      </c>
      <c r="L106" s="298" t="str">
        <f ca="1">dms_y7</f>
        <v>2030-31</v>
      </c>
    </row>
    <row r="107" spans="1:12" outlineLevel="2" x14ac:dyDescent="0.25">
      <c r="A107" s="359"/>
      <c r="B107" s="1140"/>
      <c r="C107" s="564"/>
      <c r="D107" s="550"/>
      <c r="E107" s="550"/>
      <c r="F107" s="242"/>
      <c r="G107" s="351"/>
      <c r="H107" s="241"/>
      <c r="I107" s="242"/>
      <c r="J107" s="242"/>
      <c r="K107" s="242"/>
      <c r="L107" s="243"/>
    </row>
    <row r="108" spans="1:12" outlineLevel="2" x14ac:dyDescent="0.25">
      <c r="A108" s="359"/>
      <c r="B108" s="1141"/>
      <c r="C108" s="565"/>
      <c r="D108" s="555"/>
      <c r="E108" s="555"/>
      <c r="F108" s="245"/>
      <c r="G108" s="366"/>
      <c r="H108" s="244"/>
      <c r="I108" s="245"/>
      <c r="J108" s="245"/>
      <c r="K108" s="245"/>
      <c r="L108" s="230"/>
    </row>
    <row r="109" spans="1:12" outlineLevel="2" x14ac:dyDescent="0.25">
      <c r="A109" s="359"/>
      <c r="B109" s="1141"/>
      <c r="C109" s="565"/>
      <c r="D109" s="555"/>
      <c r="E109" s="555"/>
      <c r="F109" s="245"/>
      <c r="G109" s="366"/>
      <c r="H109" s="244"/>
      <c r="I109" s="245"/>
      <c r="J109" s="245"/>
      <c r="K109" s="245"/>
      <c r="L109" s="230"/>
    </row>
    <row r="110" spans="1:12" outlineLevel="2" x14ac:dyDescent="0.25">
      <c r="A110" s="359"/>
      <c r="B110" s="1141"/>
      <c r="C110" s="565"/>
      <c r="D110" s="555"/>
      <c r="E110" s="555"/>
      <c r="F110" s="245"/>
      <c r="G110" s="366"/>
      <c r="H110" s="244"/>
      <c r="I110" s="245"/>
      <c r="J110" s="245"/>
      <c r="K110" s="245"/>
      <c r="L110" s="230"/>
    </row>
    <row r="111" spans="1:12" outlineLevel="2" x14ac:dyDescent="0.25">
      <c r="A111" s="359"/>
      <c r="B111" s="1141"/>
      <c r="C111" s="565"/>
      <c r="D111" s="555"/>
      <c r="E111" s="555"/>
      <c r="F111" s="245"/>
      <c r="G111" s="366"/>
      <c r="H111" s="244"/>
      <c r="I111" s="245"/>
      <c r="J111" s="245"/>
      <c r="K111" s="245"/>
      <c r="L111" s="230"/>
    </row>
    <row r="112" spans="1:12" outlineLevel="2" x14ac:dyDescent="0.25">
      <c r="A112" s="359"/>
      <c r="B112" s="1141"/>
      <c r="C112" s="565"/>
      <c r="D112" s="555"/>
      <c r="E112" s="555"/>
      <c r="F112" s="245"/>
      <c r="G112" s="366"/>
      <c r="H112" s="244"/>
      <c r="I112" s="245"/>
      <c r="J112" s="245"/>
      <c r="K112" s="245"/>
      <c r="L112" s="230"/>
    </row>
    <row r="113" spans="1:12" outlineLevel="2" x14ac:dyDescent="0.25">
      <c r="A113" s="359"/>
      <c r="B113" s="1141"/>
      <c r="C113" s="565"/>
      <c r="D113" s="555"/>
      <c r="E113" s="555"/>
      <c r="F113" s="245"/>
      <c r="G113" s="366"/>
      <c r="H113" s="244"/>
      <c r="I113" s="245"/>
      <c r="J113" s="245"/>
      <c r="K113" s="245"/>
      <c r="L113" s="230"/>
    </row>
    <row r="114" spans="1:12" outlineLevel="2" x14ac:dyDescent="0.25">
      <c r="A114" s="359"/>
      <c r="B114" s="1141"/>
      <c r="C114" s="565"/>
      <c r="D114" s="555"/>
      <c r="E114" s="555"/>
      <c r="F114" s="245"/>
      <c r="G114" s="366"/>
      <c r="H114" s="244"/>
      <c r="I114" s="245"/>
      <c r="J114" s="245"/>
      <c r="K114" s="245"/>
      <c r="L114" s="230"/>
    </row>
    <row r="115" spans="1:12" outlineLevel="2" x14ac:dyDescent="0.25">
      <c r="A115" s="359"/>
      <c r="B115" s="1141"/>
      <c r="C115" s="565"/>
      <c r="D115" s="555"/>
      <c r="E115" s="555"/>
      <c r="F115" s="245"/>
      <c r="G115" s="366"/>
      <c r="H115" s="244"/>
      <c r="I115" s="245"/>
      <c r="J115" s="245"/>
      <c r="K115" s="245"/>
      <c r="L115" s="230"/>
    </row>
    <row r="116" spans="1:12" outlineLevel="2" x14ac:dyDescent="0.25">
      <c r="A116" s="359"/>
      <c r="B116" s="1141"/>
      <c r="C116" s="565"/>
      <c r="D116" s="555"/>
      <c r="E116" s="555"/>
      <c r="F116" s="245"/>
      <c r="G116" s="366"/>
      <c r="H116" s="244"/>
      <c r="I116" s="245"/>
      <c r="J116" s="245"/>
      <c r="K116" s="245"/>
      <c r="L116" s="230"/>
    </row>
    <row r="117" spans="1:12" outlineLevel="2" x14ac:dyDescent="0.25">
      <c r="A117" s="359"/>
      <c r="B117" s="1141"/>
      <c r="C117" s="565"/>
      <c r="D117" s="555"/>
      <c r="E117" s="555"/>
      <c r="F117" s="245"/>
      <c r="G117" s="366"/>
      <c r="H117" s="244"/>
      <c r="I117" s="245"/>
      <c r="J117" s="245"/>
      <c r="K117" s="245"/>
      <c r="L117" s="230"/>
    </row>
    <row r="118" spans="1:12" outlineLevel="2" x14ac:dyDescent="0.25">
      <c r="A118" s="359"/>
      <c r="B118" s="1141"/>
      <c r="C118" s="565"/>
      <c r="D118" s="555"/>
      <c r="E118" s="555"/>
      <c r="F118" s="245"/>
      <c r="G118" s="366"/>
      <c r="H118" s="244"/>
      <c r="I118" s="245"/>
      <c r="J118" s="245"/>
      <c r="K118" s="245"/>
      <c r="L118" s="230"/>
    </row>
    <row r="119" spans="1:12" outlineLevel="2" x14ac:dyDescent="0.25">
      <c r="A119" s="359"/>
      <c r="B119" s="1141"/>
      <c r="C119" s="565"/>
      <c r="D119" s="555"/>
      <c r="E119" s="555"/>
      <c r="F119" s="245"/>
      <c r="G119" s="366"/>
      <c r="H119" s="244"/>
      <c r="I119" s="245"/>
      <c r="J119" s="245"/>
      <c r="K119" s="245"/>
      <c r="L119" s="230"/>
    </row>
    <row r="120" spans="1:12" outlineLevel="2" x14ac:dyDescent="0.25">
      <c r="A120" s="359"/>
      <c r="B120" s="1141"/>
      <c r="C120" s="565"/>
      <c r="D120" s="555"/>
      <c r="E120" s="555"/>
      <c r="F120" s="245"/>
      <c r="G120" s="366"/>
      <c r="H120" s="244"/>
      <c r="I120" s="245"/>
      <c r="J120" s="245"/>
      <c r="K120" s="245"/>
      <c r="L120" s="230"/>
    </row>
    <row r="121" spans="1:12" outlineLevel="2" x14ac:dyDescent="0.25">
      <c r="A121" s="359"/>
      <c r="B121" s="1141"/>
      <c r="C121" s="565"/>
      <c r="D121" s="555"/>
      <c r="E121" s="555"/>
      <c r="F121" s="245"/>
      <c r="G121" s="366"/>
      <c r="H121" s="244"/>
      <c r="I121" s="245"/>
      <c r="J121" s="245"/>
      <c r="K121" s="245"/>
      <c r="L121" s="230"/>
    </row>
    <row r="122" spans="1:12" outlineLevel="2" x14ac:dyDescent="0.25">
      <c r="A122" s="359"/>
      <c r="B122" s="1141"/>
      <c r="C122" s="565"/>
      <c r="D122" s="555"/>
      <c r="E122" s="555"/>
      <c r="F122" s="245"/>
      <c r="G122" s="366"/>
      <c r="H122" s="244"/>
      <c r="I122" s="245"/>
      <c r="J122" s="245"/>
      <c r="K122" s="245"/>
      <c r="L122" s="230"/>
    </row>
    <row r="123" spans="1:12" outlineLevel="2" x14ac:dyDescent="0.25">
      <c r="A123" s="359"/>
      <c r="B123" s="1141"/>
      <c r="C123" s="565"/>
      <c r="D123" s="555"/>
      <c r="E123" s="555"/>
      <c r="F123" s="245"/>
      <c r="G123" s="366"/>
      <c r="H123" s="244"/>
      <c r="I123" s="245"/>
      <c r="J123" s="245"/>
      <c r="K123" s="245"/>
      <c r="L123" s="230"/>
    </row>
    <row r="124" spans="1:12" outlineLevel="2" x14ac:dyDescent="0.25">
      <c r="A124" s="359"/>
      <c r="B124" s="1141"/>
      <c r="C124" s="565"/>
      <c r="D124" s="555"/>
      <c r="E124" s="555"/>
      <c r="F124" s="245"/>
      <c r="G124" s="366"/>
      <c r="H124" s="244"/>
      <c r="I124" s="245"/>
      <c r="J124" s="245"/>
      <c r="K124" s="245"/>
      <c r="L124" s="230"/>
    </row>
    <row r="125" spans="1:12" outlineLevel="2" x14ac:dyDescent="0.25">
      <c r="A125" s="359"/>
      <c r="B125" s="1141"/>
      <c r="C125" s="565"/>
      <c r="D125" s="555"/>
      <c r="E125" s="555"/>
      <c r="F125" s="245"/>
      <c r="G125" s="366"/>
      <c r="H125" s="244"/>
      <c r="I125" s="245"/>
      <c r="J125" s="245"/>
      <c r="K125" s="245"/>
      <c r="L125" s="230"/>
    </row>
    <row r="126" spans="1:12" outlineLevel="2" x14ac:dyDescent="0.25">
      <c r="A126" s="359"/>
      <c r="B126" s="1141"/>
      <c r="C126" s="565"/>
      <c r="D126" s="555"/>
      <c r="E126" s="555"/>
      <c r="F126" s="245"/>
      <c r="G126" s="366"/>
      <c r="H126" s="244"/>
      <c r="I126" s="245"/>
      <c r="J126" s="245"/>
      <c r="K126" s="245"/>
      <c r="L126" s="230"/>
    </row>
    <row r="127" spans="1:12" outlineLevel="2" x14ac:dyDescent="0.25">
      <c r="A127" s="359"/>
      <c r="B127" s="1141"/>
      <c r="C127" s="565"/>
      <c r="D127" s="555"/>
      <c r="E127" s="555"/>
      <c r="F127" s="245"/>
      <c r="G127" s="366"/>
      <c r="H127" s="244"/>
      <c r="I127" s="245"/>
      <c r="J127" s="245"/>
      <c r="K127" s="245"/>
      <c r="L127" s="230"/>
    </row>
    <row r="128" spans="1:12" outlineLevel="2" x14ac:dyDescent="0.25">
      <c r="A128" s="359"/>
      <c r="B128" s="1141"/>
      <c r="C128" s="565"/>
      <c r="D128" s="555"/>
      <c r="E128" s="555"/>
      <c r="F128" s="245"/>
      <c r="G128" s="366"/>
      <c r="H128" s="244"/>
      <c r="I128" s="245"/>
      <c r="J128" s="245"/>
      <c r="K128" s="245"/>
      <c r="L128" s="230"/>
    </row>
    <row r="129" spans="1:12" outlineLevel="2" x14ac:dyDescent="0.25">
      <c r="A129" s="359"/>
      <c r="B129" s="1141"/>
      <c r="C129" s="565"/>
      <c r="D129" s="555"/>
      <c r="E129" s="555"/>
      <c r="F129" s="245"/>
      <c r="G129" s="366"/>
      <c r="H129" s="244"/>
      <c r="I129" s="245"/>
      <c r="J129" s="245"/>
      <c r="K129" s="245"/>
      <c r="L129" s="230"/>
    </row>
    <row r="130" spans="1:12" outlineLevel="2" x14ac:dyDescent="0.25">
      <c r="A130" s="359"/>
      <c r="B130" s="1141"/>
      <c r="C130" s="565"/>
      <c r="D130" s="555"/>
      <c r="E130" s="555"/>
      <c r="F130" s="245"/>
      <c r="G130" s="366"/>
      <c r="H130" s="244"/>
      <c r="I130" s="245"/>
      <c r="J130" s="245"/>
      <c r="K130" s="245"/>
      <c r="L130" s="230"/>
    </row>
    <row r="131" spans="1:12" outlineLevel="2" x14ac:dyDescent="0.25">
      <c r="A131" s="359"/>
      <c r="B131" s="1142"/>
      <c r="C131" s="566"/>
      <c r="D131" s="557"/>
      <c r="E131" s="557"/>
      <c r="F131" s="350"/>
      <c r="G131" s="352"/>
      <c r="H131" s="353"/>
      <c r="I131" s="350"/>
      <c r="J131" s="350"/>
      <c r="K131" s="350"/>
      <c r="L131" s="560"/>
    </row>
    <row r="132" spans="1:12" ht="15" customHeight="1" outlineLevel="2" x14ac:dyDescent="0.25">
      <c r="A132" s="359"/>
      <c r="B132" s="306" t="s">
        <v>145</v>
      </c>
      <c r="C132" s="2"/>
      <c r="D132" s="2"/>
      <c r="E132" s="2"/>
      <c r="F132" s="2">
        <f t="shared" ref="F132:L132" si="3">SUM(F107:F131)</f>
        <v>0</v>
      </c>
      <c r="G132" s="2">
        <f t="shared" si="3"/>
        <v>0</v>
      </c>
      <c r="H132" s="2">
        <f t="shared" si="3"/>
        <v>0</v>
      </c>
      <c r="I132" s="2">
        <f t="shared" si="3"/>
        <v>0</v>
      </c>
      <c r="J132" s="2">
        <f t="shared" si="3"/>
        <v>0</v>
      </c>
      <c r="K132" s="2">
        <f t="shared" si="3"/>
        <v>0</v>
      </c>
      <c r="L132" s="532">
        <f t="shared" si="3"/>
        <v>0</v>
      </c>
    </row>
    <row r="133" spans="1:12" outlineLevel="1" x14ac:dyDescent="0.25">
      <c r="A133" s="238"/>
    </row>
    <row r="134" spans="1:12" x14ac:dyDescent="0.25">
      <c r="B134" s="73"/>
    </row>
    <row r="135" spans="1:12" x14ac:dyDescent="0.25">
      <c r="B135" s="73"/>
    </row>
  </sheetData>
  <sheetProtection algorithmName="SHA-256" hashValue="fXQcPkLPy4uIiCpenivqPDxtbjUIkf/8+iippHBlDP0=" saltValue="MGk7E1P6LTKxGwrYoiMv+Q==" spinCount="100000" sheet="1" objects="1" scenarios="1"/>
  <mergeCells count="5">
    <mergeCell ref="B8:D8"/>
    <mergeCell ref="B9:C9"/>
    <mergeCell ref="D9:D10"/>
    <mergeCell ref="B10:C10"/>
    <mergeCell ref="B11:C11"/>
  </mergeCells>
  <conditionalFormatting sqref="D18:G18 D30:G30">
    <cfRule type="expression" dxfId="23" priority="6">
      <formula>dms_BaseYear_Choice=$D$17</formula>
    </cfRule>
  </conditionalFormatting>
  <conditionalFormatting sqref="D18:L18 G19 H20:L23 D30:L30 G31 H32:L35">
    <cfRule type="expression" dxfId="22" priority="1" stopIfTrue="1">
      <formula>dms_BaseStepTrend="No"</formula>
    </cfRule>
  </conditionalFormatting>
  <conditionalFormatting sqref="E18:G18 E30:G30">
    <cfRule type="expression" dxfId="21" priority="4" stopIfTrue="1">
      <formula>dms_BaseYear_Choice=$E$17</formula>
    </cfRule>
  </conditionalFormatting>
  <conditionalFormatting sqref="F18:G18 F30:G30">
    <cfRule type="expression" dxfId="20" priority="3" stopIfTrue="1">
      <formula>dms_BaseYear_Choice=$F$17</formula>
    </cfRule>
  </conditionalFormatting>
  <conditionalFormatting sqref="F45:L52 B59:B83 F59:L83 F93:L100 F107:L131">
    <cfRule type="expression" dxfId="19" priority="5">
      <formula>dms_BaseStepTrend="Yes"</formula>
    </cfRule>
  </conditionalFormatting>
  <conditionalFormatting sqref="G18 G30">
    <cfRule type="expression" dxfId="18" priority="2" stopIfTrue="1">
      <formula>dms_BaseYear_Choice=$G$17</formula>
    </cfRule>
  </conditionalFormatting>
  <dataValidations count="2">
    <dataValidation type="list" allowBlank="1" showInputMessage="1" showErrorMessage="1" sqref="D9" xr:uid="{00000000-0002-0000-0D00-000000000000}">
      <formula1>"Yes, No"</formula1>
    </dataValidation>
    <dataValidation type="list" allowBlank="1" showInputMessage="1" showErrorMessage="1" sqref="D11" xr:uid="{00000000-0002-0000-0D00-000001000000}">
      <formula1>dms_BaseYear_List</formula1>
    </dataValidation>
  </dataValidations>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17375E"/>
  </sheetPr>
  <dimension ref="A1:I50"/>
  <sheetViews>
    <sheetView showGridLines="0" topLeftCell="A7" zoomScale="115" zoomScaleNormal="115" workbookViewId="0">
      <selection activeCell="D18" sqref="D18"/>
    </sheetView>
  </sheetViews>
  <sheetFormatPr defaultColWidth="9.140625" defaultRowHeight="15" outlineLevelRow="1" x14ac:dyDescent="0.25"/>
  <cols>
    <col min="1" max="1" width="22.5703125" customWidth="1"/>
    <col min="2" max="2" width="52" customWidth="1"/>
    <col min="3" max="9" width="20.71093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304</v>
      </c>
      <c r="C4" s="383"/>
      <c r="D4" s="383"/>
      <c r="E4" s="383"/>
      <c r="F4" s="383"/>
      <c r="G4" s="383"/>
      <c r="H4" s="383"/>
      <c r="I4" s="383"/>
    </row>
    <row r="5" spans="1:9" ht="30" customHeight="1" x14ac:dyDescent="0.25">
      <c r="B5" s="1440" t="s">
        <v>96</v>
      </c>
      <c r="C5" s="1440"/>
      <c r="D5" s="1440"/>
      <c r="E5" s="1440"/>
      <c r="F5" s="1440"/>
      <c r="G5" s="1440"/>
      <c r="H5" s="1440"/>
      <c r="I5" s="1440"/>
    </row>
    <row r="6" spans="1:9" ht="15" customHeight="1" x14ac:dyDescent="0.25"/>
    <row r="7" spans="1:9" ht="24.95" customHeight="1" x14ac:dyDescent="0.25">
      <c r="A7" s="238"/>
      <c r="B7" s="31" t="s">
        <v>305</v>
      </c>
      <c r="C7" s="31"/>
      <c r="D7" s="31"/>
      <c r="E7" s="31"/>
      <c r="F7" s="31"/>
      <c r="G7" s="31"/>
      <c r="H7" s="31"/>
      <c r="I7" s="31"/>
    </row>
    <row r="8" spans="1:9" s="240" customFormat="1" ht="16.5" customHeight="1" outlineLevel="1" x14ac:dyDescent="0.25">
      <c r="A8" s="239"/>
      <c r="B8" s="355"/>
      <c r="C8" s="1335" t="s">
        <v>306</v>
      </c>
      <c r="D8" s="1336"/>
      <c r="E8" s="1336"/>
      <c r="F8" s="1336"/>
      <c r="G8" s="1336"/>
      <c r="H8" s="1336"/>
      <c r="I8" s="1337"/>
    </row>
    <row r="9" spans="1:9" s="240" customFormat="1" ht="16.5" customHeight="1" outlineLevel="1" x14ac:dyDescent="0.25">
      <c r="A9" s="239"/>
      <c r="B9" s="62"/>
      <c r="C9" s="1328" t="s">
        <v>229</v>
      </c>
      <c r="D9" s="1329"/>
      <c r="E9" s="1329"/>
      <c r="F9" s="1329"/>
      <c r="G9" s="1329"/>
      <c r="H9" s="1329"/>
      <c r="I9" s="1330"/>
    </row>
    <row r="10" spans="1:9" ht="15" customHeight="1" outlineLevel="1" x14ac:dyDescent="0.25">
      <c r="A10" s="238"/>
      <c r="B10" s="1126" t="s">
        <v>263</v>
      </c>
      <c r="C10" s="386" t="str">
        <f ca="1">dms_y1</f>
        <v>2024-25</v>
      </c>
      <c r="D10" s="291" t="str">
        <f ca="1">dms_y2</f>
        <v>2025-26</v>
      </c>
      <c r="E10" s="290" t="str">
        <f ca="1">dms_y3</f>
        <v>2026-27</v>
      </c>
      <c r="F10" s="290" t="str">
        <f ca="1">dms_y4</f>
        <v>2027-28</v>
      </c>
      <c r="G10" s="290" t="str">
        <f ca="1">dms_y5</f>
        <v>2028-29</v>
      </c>
      <c r="H10" s="290" t="str">
        <f ca="1">dms_y6</f>
        <v>2029-30</v>
      </c>
      <c r="I10" s="387" t="str">
        <f ca="1">dms_y7</f>
        <v>2030-31</v>
      </c>
    </row>
    <row r="11" spans="1:9" ht="12.75" customHeight="1" outlineLevel="1" x14ac:dyDescent="0.25">
      <c r="A11" s="238"/>
      <c r="B11" s="554" t="s">
        <v>307</v>
      </c>
      <c r="C11" s="348">
        <v>0</v>
      </c>
      <c r="D11" s="351">
        <v>13</v>
      </c>
      <c r="E11" s="241">
        <v>13</v>
      </c>
      <c r="F11" s="242">
        <v>13</v>
      </c>
      <c r="G11" s="242">
        <v>13</v>
      </c>
      <c r="H11" s="242">
        <v>13</v>
      </c>
      <c r="I11" s="243">
        <v>13</v>
      </c>
    </row>
    <row r="12" spans="1:9" ht="12.75" customHeight="1" outlineLevel="1" x14ac:dyDescent="0.25">
      <c r="A12" s="238"/>
      <c r="B12" s="1449" t="s">
        <v>308</v>
      </c>
      <c r="C12" s="360">
        <v>42945</v>
      </c>
      <c r="D12" s="378">
        <v>35201</v>
      </c>
      <c r="E12" s="472">
        <v>33576</v>
      </c>
      <c r="F12" s="361">
        <v>31180</v>
      </c>
      <c r="G12" s="361">
        <v>28661</v>
      </c>
      <c r="H12" s="361">
        <v>26141</v>
      </c>
      <c r="I12" s="401">
        <v>23739</v>
      </c>
    </row>
    <row r="13" spans="1:9" ht="12.75" customHeight="1" outlineLevel="1" x14ac:dyDescent="0.25">
      <c r="A13" s="238"/>
      <c r="B13" s="1449" t="s">
        <v>309</v>
      </c>
      <c r="C13" s="360">
        <v>5283</v>
      </c>
      <c r="D13" s="378">
        <v>4531</v>
      </c>
      <c r="E13" s="472">
        <v>9870</v>
      </c>
      <c r="F13" s="361">
        <v>10696</v>
      </c>
      <c r="G13" s="361">
        <v>11128</v>
      </c>
      <c r="H13" s="361">
        <v>10828</v>
      </c>
      <c r="I13" s="401">
        <v>10198</v>
      </c>
    </row>
    <row r="14" spans="1:9" ht="12.75" customHeight="1" outlineLevel="1" x14ac:dyDescent="0.25">
      <c r="A14" s="238"/>
      <c r="B14" s="1449" t="s">
        <v>310</v>
      </c>
      <c r="C14" s="360">
        <v>0</v>
      </c>
      <c r="D14" s="378">
        <v>0</v>
      </c>
      <c r="E14" s="472">
        <v>0</v>
      </c>
      <c r="F14" s="361">
        <v>0</v>
      </c>
      <c r="G14" s="361">
        <v>0</v>
      </c>
      <c r="H14" s="361">
        <v>0</v>
      </c>
      <c r="I14" s="401">
        <v>0</v>
      </c>
    </row>
    <row r="15" spans="1:9" ht="12.75" customHeight="1" outlineLevel="1" x14ac:dyDescent="0.25">
      <c r="A15" s="238"/>
      <c r="B15" s="1449" t="s">
        <v>311</v>
      </c>
      <c r="C15" s="360">
        <v>2804</v>
      </c>
      <c r="D15" s="378">
        <v>1161</v>
      </c>
      <c r="E15" s="472">
        <v>1061</v>
      </c>
      <c r="F15" s="361">
        <v>985</v>
      </c>
      <c r="G15" s="361">
        <v>905</v>
      </c>
      <c r="H15" s="361">
        <v>827</v>
      </c>
      <c r="I15" s="401">
        <v>753</v>
      </c>
    </row>
    <row r="16" spans="1:9" ht="12.75" customHeight="1" outlineLevel="1" x14ac:dyDescent="0.25">
      <c r="A16" s="238"/>
      <c r="B16" s="1449" t="s">
        <v>312</v>
      </c>
      <c r="C16" s="360">
        <v>0</v>
      </c>
      <c r="D16" s="378">
        <v>0</v>
      </c>
      <c r="E16" s="472">
        <v>0</v>
      </c>
      <c r="F16" s="361">
        <v>0</v>
      </c>
      <c r="G16" s="361">
        <v>0</v>
      </c>
      <c r="H16" s="361">
        <v>0</v>
      </c>
      <c r="I16" s="401">
        <v>0</v>
      </c>
    </row>
    <row r="17" spans="1:9" ht="12.75" customHeight="1" outlineLevel="1" x14ac:dyDescent="0.25">
      <c r="A17" s="238"/>
      <c r="B17" s="1449" t="s">
        <v>313</v>
      </c>
      <c r="C17" s="362">
        <v>489</v>
      </c>
      <c r="D17" s="366">
        <v>485</v>
      </c>
      <c r="E17" s="244">
        <v>0</v>
      </c>
      <c r="F17" s="245">
        <v>0</v>
      </c>
      <c r="G17" s="245">
        <v>0</v>
      </c>
      <c r="H17" s="245">
        <v>0</v>
      </c>
      <c r="I17" s="230">
        <v>0</v>
      </c>
    </row>
    <row r="18" spans="1:9" ht="12.75" customHeight="1" outlineLevel="1" x14ac:dyDescent="0.25">
      <c r="A18" s="238"/>
      <c r="B18" s="1449" t="s">
        <v>314</v>
      </c>
      <c r="C18" s="362">
        <v>0</v>
      </c>
      <c r="D18" s="366">
        <v>0</v>
      </c>
      <c r="E18" s="244">
        <v>0</v>
      </c>
      <c r="F18" s="245">
        <v>0</v>
      </c>
      <c r="G18" s="245">
        <v>0</v>
      </c>
      <c r="H18" s="245">
        <v>0</v>
      </c>
      <c r="I18" s="230">
        <v>0</v>
      </c>
    </row>
    <row r="19" spans="1:9" ht="12.75" customHeight="1" outlineLevel="1" x14ac:dyDescent="0.25">
      <c r="A19" s="238"/>
      <c r="B19" s="1449" t="s">
        <v>315</v>
      </c>
      <c r="C19" s="362">
        <v>0</v>
      </c>
      <c r="D19" s="366">
        <v>0</v>
      </c>
      <c r="E19" s="244">
        <v>68</v>
      </c>
      <c r="F19" s="245">
        <v>68</v>
      </c>
      <c r="G19" s="245">
        <v>68</v>
      </c>
      <c r="H19" s="245">
        <v>68</v>
      </c>
      <c r="I19" s="230">
        <v>67</v>
      </c>
    </row>
    <row r="20" spans="1:9" ht="12.75" customHeight="1" outlineLevel="1" x14ac:dyDescent="0.25">
      <c r="A20" s="238"/>
      <c r="B20" s="1449" t="s">
        <v>316</v>
      </c>
      <c r="C20" s="362">
        <v>0</v>
      </c>
      <c r="D20" s="366">
        <v>0</v>
      </c>
      <c r="E20" s="244">
        <v>373</v>
      </c>
      <c r="F20" s="245">
        <v>372</v>
      </c>
      <c r="G20" s="245">
        <v>371</v>
      </c>
      <c r="H20" s="245">
        <v>371</v>
      </c>
      <c r="I20" s="230">
        <v>370</v>
      </c>
    </row>
    <row r="21" spans="1:9" ht="12.75" customHeight="1" outlineLevel="1" x14ac:dyDescent="0.25">
      <c r="A21" s="238"/>
      <c r="B21" s="1449" t="s">
        <v>317</v>
      </c>
      <c r="C21" s="362">
        <v>0</v>
      </c>
      <c r="D21" s="366">
        <v>0</v>
      </c>
      <c r="E21" s="244">
        <v>3172</v>
      </c>
      <c r="F21" s="245">
        <v>3438</v>
      </c>
      <c r="G21" s="245">
        <v>3576</v>
      </c>
      <c r="H21" s="245">
        <v>3480</v>
      </c>
      <c r="I21" s="230">
        <v>3278</v>
      </c>
    </row>
    <row r="22" spans="1:9" ht="12.75" customHeight="1" outlineLevel="1" x14ac:dyDescent="0.25">
      <c r="A22" s="238"/>
      <c r="B22" s="1449" t="s">
        <v>318</v>
      </c>
      <c r="C22" s="362">
        <v>0</v>
      </c>
      <c r="D22" s="366">
        <v>0</v>
      </c>
      <c r="E22" s="244">
        <v>177</v>
      </c>
      <c r="F22" s="245">
        <v>164</v>
      </c>
      <c r="G22" s="245">
        <v>151</v>
      </c>
      <c r="H22" s="245">
        <v>138</v>
      </c>
      <c r="I22" s="230">
        <v>125</v>
      </c>
    </row>
    <row r="23" spans="1:9" outlineLevel="1" x14ac:dyDescent="0.25">
      <c r="A23" s="238"/>
      <c r="B23" s="1449" t="s">
        <v>319</v>
      </c>
      <c r="C23" s="362">
        <v>0</v>
      </c>
      <c r="D23" s="366">
        <v>0</v>
      </c>
      <c r="E23" s="244">
        <v>3</v>
      </c>
      <c r="F23" s="245">
        <v>3</v>
      </c>
      <c r="G23" s="245">
        <v>3</v>
      </c>
      <c r="H23" s="245">
        <v>3</v>
      </c>
      <c r="I23" s="230">
        <v>3</v>
      </c>
    </row>
    <row r="24" spans="1:9" outlineLevel="1" x14ac:dyDescent="0.25">
      <c r="A24" s="238"/>
      <c r="B24" s="1449" t="s">
        <v>320</v>
      </c>
      <c r="C24" s="362">
        <v>0</v>
      </c>
      <c r="D24" s="366">
        <v>0</v>
      </c>
      <c r="E24" s="244">
        <v>16</v>
      </c>
      <c r="F24" s="245">
        <v>16</v>
      </c>
      <c r="G24" s="245">
        <v>16</v>
      </c>
      <c r="H24" s="245">
        <v>16</v>
      </c>
      <c r="I24" s="230">
        <v>16</v>
      </c>
    </row>
    <row r="25" spans="1:9" ht="15" customHeight="1" outlineLevel="1" x14ac:dyDescent="0.25">
      <c r="A25" s="238"/>
      <c r="B25" s="600" t="s">
        <v>321</v>
      </c>
      <c r="C25" s="363">
        <v>0</v>
      </c>
      <c r="D25" s="379">
        <v>0</v>
      </c>
      <c r="E25" s="246">
        <v>0</v>
      </c>
      <c r="F25" s="247">
        <v>0</v>
      </c>
      <c r="G25" s="247">
        <v>0</v>
      </c>
      <c r="H25" s="247">
        <v>0</v>
      </c>
      <c r="I25" s="465">
        <v>0</v>
      </c>
    </row>
    <row r="26" spans="1:9" s="38" customFormat="1" ht="13.9" customHeight="1" outlineLevel="1" x14ac:dyDescent="0.2">
      <c r="A26" s="288"/>
      <c r="B26" s="3" t="s">
        <v>112</v>
      </c>
      <c r="C26" s="354">
        <f t="shared" ref="C26:I26" si="0">SUM(C11:C25)</f>
        <v>51521</v>
      </c>
      <c r="D26" s="354">
        <f t="shared" si="0"/>
        <v>41391</v>
      </c>
      <c r="E26" s="354">
        <f t="shared" si="0"/>
        <v>48329</v>
      </c>
      <c r="F26" s="354">
        <f t="shared" si="0"/>
        <v>46935</v>
      </c>
      <c r="G26" s="354">
        <f t="shared" si="0"/>
        <v>44892</v>
      </c>
      <c r="H26" s="354">
        <f t="shared" si="0"/>
        <v>41885</v>
      </c>
      <c r="I26" s="556">
        <f t="shared" si="0"/>
        <v>38562</v>
      </c>
    </row>
    <row r="27" spans="1:9" ht="27" customHeight="1" x14ac:dyDescent="0.25">
      <c r="A27" s="238"/>
      <c r="B27" s="310"/>
      <c r="C27" s="364"/>
      <c r="D27" s="364"/>
    </row>
    <row r="28" spans="1:9" x14ac:dyDescent="0.25">
      <c r="A28" s="238"/>
      <c r="B28" s="371" t="s">
        <v>322</v>
      </c>
    </row>
    <row r="29" spans="1:9" ht="15" customHeight="1" x14ac:dyDescent="0.25">
      <c r="A29" s="238"/>
      <c r="B29" s="365"/>
    </row>
    <row r="30" spans="1:9" ht="24.95" customHeight="1" x14ac:dyDescent="0.25">
      <c r="A30" s="1159"/>
      <c r="B30" s="31" t="s">
        <v>323</v>
      </c>
      <c r="C30" s="31"/>
      <c r="D30" s="31"/>
      <c r="E30" s="31"/>
      <c r="F30" s="31"/>
      <c r="G30" s="31"/>
      <c r="H30" s="31"/>
      <c r="I30" s="31"/>
    </row>
    <row r="31" spans="1:9" ht="21" customHeight="1" outlineLevel="1" x14ac:dyDescent="0.25">
      <c r="A31" s="238"/>
      <c r="B31" s="355"/>
      <c r="C31" s="1332" t="s">
        <v>24</v>
      </c>
      <c r="D31" s="1332"/>
      <c r="E31" s="1332"/>
      <c r="F31" s="1332"/>
      <c r="G31" s="1332"/>
      <c r="H31" s="1332"/>
      <c r="I31" s="1333"/>
    </row>
    <row r="32" spans="1:9" ht="22.5" customHeight="1" outlineLevel="1" x14ac:dyDescent="0.25">
      <c r="A32" s="238"/>
      <c r="B32" s="62"/>
      <c r="C32" s="1331" t="str">
        <f ca="1">CONCATENATE("$, real ",dms_DollarReal)</f>
        <v>$, real June 2026</v>
      </c>
      <c r="D32" s="1331"/>
      <c r="E32" s="1331"/>
      <c r="F32" s="1331"/>
      <c r="G32" s="1331"/>
      <c r="H32" s="1331"/>
      <c r="I32" s="1334"/>
    </row>
    <row r="33" spans="1:9" ht="15" customHeight="1" outlineLevel="1" x14ac:dyDescent="0.25">
      <c r="A33" s="238"/>
      <c r="B33" s="302"/>
      <c r="C33" s="298" t="str">
        <f ca="1">dms_y1</f>
        <v>2024-25</v>
      </c>
      <c r="D33" s="298" t="str">
        <f ca="1">dms_y2</f>
        <v>2025-26</v>
      </c>
      <c r="E33" s="298" t="str">
        <f ca="1">dms_y3</f>
        <v>2026-27</v>
      </c>
      <c r="F33" s="298" t="str">
        <f ca="1">dms_y4</f>
        <v>2027-28</v>
      </c>
      <c r="G33" s="298" t="str">
        <f ca="1">dms_y5</f>
        <v>2028-29</v>
      </c>
      <c r="H33" s="298" t="str">
        <f ca="1">dms_y6</f>
        <v>2029-30</v>
      </c>
      <c r="I33" s="298" t="str">
        <f ca="1">dms_y7</f>
        <v>2030-31</v>
      </c>
    </row>
    <row r="34" spans="1:9" ht="12.75" customHeight="1" outlineLevel="1" x14ac:dyDescent="0.25">
      <c r="A34" s="238"/>
      <c r="B34" s="35" t="s">
        <v>307</v>
      </c>
      <c r="C34" s="348">
        <v>0</v>
      </c>
      <c r="D34" s="351">
        <v>1757</v>
      </c>
      <c r="E34" s="241">
        <v>2015</v>
      </c>
      <c r="F34" s="242">
        <v>2034</v>
      </c>
      <c r="G34" s="242">
        <v>2056</v>
      </c>
      <c r="H34" s="242">
        <v>2080</v>
      </c>
      <c r="I34" s="243">
        <v>2107</v>
      </c>
    </row>
    <row r="35" spans="1:9" ht="12.75" customHeight="1" outlineLevel="1" x14ac:dyDescent="0.25">
      <c r="A35" s="238"/>
      <c r="B35" s="35" t="s">
        <v>308</v>
      </c>
      <c r="C35" s="360">
        <v>583023</v>
      </c>
      <c r="D35" s="378">
        <v>464880</v>
      </c>
      <c r="E35" s="472">
        <v>454573</v>
      </c>
      <c r="F35" s="361">
        <v>426071</v>
      </c>
      <c r="G35" s="361">
        <v>395870</v>
      </c>
      <c r="H35" s="361">
        <v>365397</v>
      </c>
      <c r="I35" s="401">
        <v>336097</v>
      </c>
    </row>
    <row r="36" spans="1:9" ht="12.75" customHeight="1" outlineLevel="1" x14ac:dyDescent="0.25">
      <c r="A36" s="238"/>
      <c r="B36" s="35" t="s">
        <v>309</v>
      </c>
      <c r="C36" s="360">
        <v>926872</v>
      </c>
      <c r="D36" s="378">
        <v>791709</v>
      </c>
      <c r="E36" s="472">
        <v>1274648</v>
      </c>
      <c r="F36" s="361">
        <v>1394138</v>
      </c>
      <c r="G36" s="361">
        <v>1466022</v>
      </c>
      <c r="H36" s="361">
        <v>1443619</v>
      </c>
      <c r="I36" s="401">
        <v>1377230</v>
      </c>
    </row>
    <row r="37" spans="1:9" ht="12.75" customHeight="1" outlineLevel="1" x14ac:dyDescent="0.25">
      <c r="A37" s="238"/>
      <c r="B37" s="35" t="s">
        <v>310</v>
      </c>
      <c r="C37" s="360">
        <v>0</v>
      </c>
      <c r="D37" s="378">
        <v>0</v>
      </c>
      <c r="E37" s="472">
        <v>0</v>
      </c>
      <c r="F37" s="361">
        <v>0</v>
      </c>
      <c r="G37" s="361">
        <v>0</v>
      </c>
      <c r="H37" s="361">
        <v>0</v>
      </c>
      <c r="I37" s="401">
        <v>0</v>
      </c>
    </row>
    <row r="38" spans="1:9" ht="12.75" customHeight="1" outlineLevel="1" x14ac:dyDescent="0.25">
      <c r="A38" s="238"/>
      <c r="B38" s="35" t="s">
        <v>311</v>
      </c>
      <c r="C38" s="360">
        <v>166880</v>
      </c>
      <c r="D38" s="378">
        <v>68399</v>
      </c>
      <c r="E38" s="472">
        <v>130536</v>
      </c>
      <c r="F38" s="361">
        <v>122331</v>
      </c>
      <c r="G38" s="361">
        <v>113646</v>
      </c>
      <c r="H38" s="361">
        <v>105099</v>
      </c>
      <c r="I38" s="401">
        <v>96963</v>
      </c>
    </row>
    <row r="39" spans="1:9" ht="12.75" customHeight="1" outlineLevel="1" x14ac:dyDescent="0.25">
      <c r="A39" s="238"/>
      <c r="B39" s="35" t="s">
        <v>312</v>
      </c>
      <c r="C39" s="360">
        <v>0</v>
      </c>
      <c r="D39" s="378">
        <v>0</v>
      </c>
      <c r="E39" s="472">
        <v>0</v>
      </c>
      <c r="F39" s="361">
        <v>0</v>
      </c>
      <c r="G39" s="361">
        <v>0</v>
      </c>
      <c r="H39" s="361">
        <v>0</v>
      </c>
      <c r="I39" s="401">
        <v>0</v>
      </c>
    </row>
    <row r="40" spans="1:9" ht="12.75" customHeight="1" outlineLevel="1" x14ac:dyDescent="0.25">
      <c r="A40" s="238"/>
      <c r="B40" s="35" t="s">
        <v>313</v>
      </c>
      <c r="C40" s="362">
        <v>440196</v>
      </c>
      <c r="D40" s="366">
        <v>434723</v>
      </c>
      <c r="E40" s="244">
        <v>0</v>
      </c>
      <c r="F40" s="245">
        <v>0</v>
      </c>
      <c r="G40" s="245">
        <v>0</v>
      </c>
      <c r="H40" s="245">
        <v>0</v>
      </c>
      <c r="I40" s="230">
        <v>0</v>
      </c>
    </row>
    <row r="41" spans="1:9" ht="12.75" customHeight="1" outlineLevel="1" x14ac:dyDescent="0.25">
      <c r="A41" s="238"/>
      <c r="B41" s="35" t="s">
        <v>314</v>
      </c>
      <c r="C41" s="362">
        <v>0</v>
      </c>
      <c r="D41" s="366">
        <v>0</v>
      </c>
      <c r="E41" s="244">
        <v>0</v>
      </c>
      <c r="F41" s="245">
        <v>0</v>
      </c>
      <c r="G41" s="245">
        <v>0</v>
      </c>
      <c r="H41" s="245">
        <v>0</v>
      </c>
      <c r="I41" s="230">
        <v>0</v>
      </c>
    </row>
    <row r="42" spans="1:9" ht="12.75" customHeight="1" outlineLevel="1" x14ac:dyDescent="0.25">
      <c r="A42" s="238"/>
      <c r="B42" s="35" t="s">
        <v>315</v>
      </c>
      <c r="C42" s="362">
        <v>0</v>
      </c>
      <c r="D42" s="366">
        <v>0</v>
      </c>
      <c r="E42" s="244">
        <v>49178</v>
      </c>
      <c r="F42" s="245">
        <v>49478</v>
      </c>
      <c r="G42" s="245">
        <v>49853</v>
      </c>
      <c r="H42" s="245">
        <v>50290</v>
      </c>
      <c r="I42" s="230">
        <v>50777</v>
      </c>
    </row>
    <row r="43" spans="1:9" ht="12.75" customHeight="1" outlineLevel="1" x14ac:dyDescent="0.25">
      <c r="A43" s="238"/>
      <c r="B43" s="35" t="s">
        <v>316</v>
      </c>
      <c r="C43" s="362">
        <v>0</v>
      </c>
      <c r="D43" s="366">
        <v>0</v>
      </c>
      <c r="E43" s="244">
        <v>353060</v>
      </c>
      <c r="F43" s="245">
        <v>355517</v>
      </c>
      <c r="G43" s="245">
        <v>358515</v>
      </c>
      <c r="H43" s="245">
        <v>361971</v>
      </c>
      <c r="I43" s="230">
        <v>365789</v>
      </c>
    </row>
    <row r="44" spans="1:9" ht="12.75" customHeight="1" outlineLevel="1" x14ac:dyDescent="0.25">
      <c r="A44" s="238"/>
      <c r="B44" s="35" t="s">
        <v>317</v>
      </c>
      <c r="C44" s="362">
        <v>0</v>
      </c>
      <c r="D44" s="366">
        <v>0</v>
      </c>
      <c r="E44" s="244">
        <v>222357</v>
      </c>
      <c r="F44" s="245">
        <v>243201</v>
      </c>
      <c r="G44" s="245">
        <v>255741</v>
      </c>
      <c r="H44" s="245">
        <v>251833</v>
      </c>
      <c r="I44" s="230">
        <v>240252</v>
      </c>
    </row>
    <row r="45" spans="1:9" ht="12.75" customHeight="1" outlineLevel="1" x14ac:dyDescent="0.25">
      <c r="A45" s="238"/>
      <c r="B45" s="35" t="s">
        <v>318</v>
      </c>
      <c r="C45" s="362">
        <v>0</v>
      </c>
      <c r="D45" s="366">
        <v>0</v>
      </c>
      <c r="E45" s="244">
        <v>15871</v>
      </c>
      <c r="F45" s="245">
        <v>14873</v>
      </c>
      <c r="G45" s="245">
        <v>13817</v>
      </c>
      <c r="H45" s="245">
        <v>12778</v>
      </c>
      <c r="I45" s="230">
        <v>11789</v>
      </c>
    </row>
    <row r="46" spans="1:9" ht="12.75" customHeight="1" outlineLevel="1" x14ac:dyDescent="0.25">
      <c r="A46" s="238"/>
      <c r="B46" s="35" t="s">
        <v>319</v>
      </c>
      <c r="C46" s="362">
        <v>0</v>
      </c>
      <c r="D46" s="366">
        <v>0</v>
      </c>
      <c r="E46" s="244">
        <v>604</v>
      </c>
      <c r="F46" s="245">
        <v>607</v>
      </c>
      <c r="G46" s="245">
        <v>612</v>
      </c>
      <c r="H46" s="245">
        <v>617</v>
      </c>
      <c r="I46" s="230">
        <v>623</v>
      </c>
    </row>
    <row r="47" spans="1:9" ht="12.75" customHeight="1" outlineLevel="1" x14ac:dyDescent="0.25">
      <c r="A47" s="238"/>
      <c r="B47" s="35" t="s">
        <v>320</v>
      </c>
      <c r="C47" s="362">
        <v>0</v>
      </c>
      <c r="D47" s="366">
        <v>0</v>
      </c>
      <c r="E47" s="244">
        <v>6965</v>
      </c>
      <c r="F47" s="245">
        <v>7014</v>
      </c>
      <c r="G47" s="245">
        <v>7073</v>
      </c>
      <c r="H47" s="245">
        <v>7141</v>
      </c>
      <c r="I47" s="230">
        <v>7217</v>
      </c>
    </row>
    <row r="48" spans="1:9" ht="12.75" customHeight="1" outlineLevel="1" x14ac:dyDescent="0.25">
      <c r="A48" s="238"/>
      <c r="B48" s="35" t="s">
        <v>321</v>
      </c>
      <c r="C48" s="349">
        <v>0</v>
      </c>
      <c r="D48" s="352">
        <v>0</v>
      </c>
      <c r="E48" s="353">
        <v>0</v>
      </c>
      <c r="F48" s="350">
        <v>0</v>
      </c>
      <c r="G48" s="350">
        <v>0</v>
      </c>
      <c r="H48" s="350">
        <v>0</v>
      </c>
      <c r="I48" s="560">
        <v>0</v>
      </c>
    </row>
    <row r="49" spans="1:9" s="38" customFormat="1" ht="12.75" customHeight="1" outlineLevel="1" x14ac:dyDescent="0.2">
      <c r="A49" s="288"/>
      <c r="B49" s="558" t="s">
        <v>112</v>
      </c>
      <c r="C49" s="354">
        <f t="shared" ref="C49:I49" si="1">SUM(C34:C48)</f>
        <v>2116971</v>
      </c>
      <c r="D49" s="354">
        <f t="shared" si="1"/>
        <v>1761468</v>
      </c>
      <c r="E49" s="354">
        <f t="shared" si="1"/>
        <v>2509807</v>
      </c>
      <c r="F49" s="354">
        <f t="shared" si="1"/>
        <v>2615264</v>
      </c>
      <c r="G49" s="354">
        <f t="shared" si="1"/>
        <v>2663205</v>
      </c>
      <c r="H49" s="354">
        <f t="shared" si="1"/>
        <v>2600825</v>
      </c>
      <c r="I49" s="556">
        <f t="shared" si="1"/>
        <v>2488844</v>
      </c>
    </row>
    <row r="50" spans="1:9" ht="30" customHeight="1" x14ac:dyDescent="0.25">
      <c r="A50" s="238"/>
      <c r="B50" s="365"/>
    </row>
  </sheetData>
  <sheetProtection algorithmName="SHA-512" hashValue="CCm69SdUOOZJR5UkAw7z3zpfOWELL3bouczUI9DKlVWSf61/YIRPEoR6PX7gMupii9cmR+KVTe9qqL8BHNkonA==" saltValue="CS4W265wFeh/f0/DQi9zZQ=="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17375E"/>
  </sheetPr>
  <dimension ref="A1:I26"/>
  <sheetViews>
    <sheetView showGridLines="0" workbookViewId="0">
      <selection activeCell="B29" sqref="B29"/>
    </sheetView>
  </sheetViews>
  <sheetFormatPr defaultColWidth="9.140625" defaultRowHeight="15" x14ac:dyDescent="0.25"/>
  <cols>
    <col min="1" max="1" width="22.7109375" customWidth="1"/>
    <col min="2" max="2" width="52" customWidth="1"/>
    <col min="3" max="9" width="20.71093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324</v>
      </c>
      <c r="C4" s="383"/>
      <c r="D4" s="383"/>
      <c r="E4" s="383"/>
      <c r="F4" s="383"/>
      <c r="G4" s="383"/>
      <c r="H4" s="383"/>
      <c r="I4" s="383"/>
    </row>
    <row r="5" spans="1:9" ht="30" customHeight="1" x14ac:dyDescent="0.25">
      <c r="B5" s="1440" t="s">
        <v>96</v>
      </c>
      <c r="C5" s="1440"/>
      <c r="D5" s="1440"/>
      <c r="E5" s="1440"/>
      <c r="F5" s="1440"/>
      <c r="G5" s="1440"/>
      <c r="H5" s="1440"/>
      <c r="I5" s="1440"/>
    </row>
    <row r="6" spans="1:9" ht="15" customHeight="1" x14ac:dyDescent="0.25"/>
    <row r="7" spans="1:9" ht="23.25" customHeight="1" x14ac:dyDescent="0.25">
      <c r="B7" s="31" t="s">
        <v>325</v>
      </c>
      <c r="C7" s="31"/>
      <c r="D7" s="31"/>
      <c r="E7" s="31"/>
      <c r="F7" s="31"/>
      <c r="G7" s="31"/>
      <c r="H7" s="31"/>
      <c r="I7" s="31"/>
    </row>
    <row r="8" spans="1:9" s="293" customFormat="1" ht="23.25" customHeight="1" x14ac:dyDescent="0.2">
      <c r="A8" s="76"/>
      <c r="B8" s="1562"/>
      <c r="C8" s="1331" t="s">
        <v>326</v>
      </c>
      <c r="D8" s="1331"/>
      <c r="E8" s="1331"/>
      <c r="F8" s="1331"/>
      <c r="G8" s="1331"/>
      <c r="H8" s="1331"/>
      <c r="I8" s="1334"/>
    </row>
    <row r="9" spans="1:9" s="238" customFormat="1" ht="16.5" customHeight="1" x14ac:dyDescent="0.25">
      <c r="A9" s="76"/>
      <c r="B9" s="1562"/>
      <c r="C9" s="298" t="str">
        <f ca="1">dms_y1</f>
        <v>2024-25</v>
      </c>
      <c r="D9" s="298" t="str">
        <f ca="1">dms_y2</f>
        <v>2025-26</v>
      </c>
      <c r="E9" s="298" t="str">
        <f ca="1">dms_y3</f>
        <v>2026-27</v>
      </c>
      <c r="F9" s="298" t="str">
        <f ca="1">dms_y4</f>
        <v>2027-28</v>
      </c>
      <c r="G9" s="298" t="str">
        <f ca="1">dms_y5</f>
        <v>2028-29</v>
      </c>
      <c r="H9" s="298" t="str">
        <f ca="1">dms_y6</f>
        <v>2029-30</v>
      </c>
      <c r="I9" s="298" t="str">
        <f ca="1">dms_y7</f>
        <v>2030-31</v>
      </c>
    </row>
    <row r="10" spans="1:9" s="238" customFormat="1" ht="26.25" customHeight="1" x14ac:dyDescent="0.25">
      <c r="A10" s="76"/>
      <c r="B10" s="235" t="s">
        <v>327</v>
      </c>
      <c r="C10" s="236"/>
      <c r="D10" s="236"/>
      <c r="E10" s="236"/>
      <c r="F10" s="236"/>
      <c r="G10" s="236"/>
      <c r="H10" s="236"/>
      <c r="I10" s="237"/>
    </row>
    <row r="11" spans="1:9" s="238" customFormat="1" x14ac:dyDescent="0.25">
      <c r="A11" s="76"/>
      <c r="B11" s="277" t="s">
        <v>328</v>
      </c>
      <c r="C11" s="1161" t="s">
        <v>329</v>
      </c>
      <c r="D11" s="1162" t="s">
        <v>330</v>
      </c>
      <c r="E11" s="1163" t="s">
        <v>331</v>
      </c>
      <c r="F11" s="1164" t="s">
        <v>332</v>
      </c>
      <c r="G11" s="1164" t="s">
        <v>333</v>
      </c>
      <c r="H11" s="1164" t="s">
        <v>334</v>
      </c>
      <c r="I11" s="1165" t="s">
        <v>335</v>
      </c>
    </row>
    <row r="12" spans="1:9" s="238" customFormat="1" x14ac:dyDescent="0.25">
      <c r="A12" s="76"/>
      <c r="B12" s="278"/>
      <c r="C12" s="1166"/>
      <c r="D12" s="1167"/>
      <c r="E12" s="1168"/>
      <c r="F12" s="1169"/>
      <c r="G12" s="1169"/>
      <c r="H12" s="1169"/>
      <c r="I12" s="1170"/>
    </row>
    <row r="13" spans="1:9" s="238" customFormat="1" x14ac:dyDescent="0.25">
      <c r="A13" s="76"/>
      <c r="B13" s="278"/>
      <c r="C13" s="1166"/>
      <c r="D13" s="1167"/>
      <c r="E13" s="1168"/>
      <c r="F13" s="1169"/>
      <c r="G13" s="1169"/>
      <c r="H13" s="1169"/>
      <c r="I13" s="1170"/>
    </row>
    <row r="14" spans="1:9" s="238" customFormat="1" x14ac:dyDescent="0.25">
      <c r="A14" s="76"/>
      <c r="B14" s="278"/>
      <c r="C14" s="1166"/>
      <c r="D14" s="1167"/>
      <c r="E14" s="1168"/>
      <c r="F14" s="1169"/>
      <c r="G14" s="1169"/>
      <c r="H14" s="1169"/>
      <c r="I14" s="1170"/>
    </row>
    <row r="15" spans="1:9" s="238" customFormat="1" x14ac:dyDescent="0.25">
      <c r="A15" s="76"/>
      <c r="B15" s="278"/>
      <c r="C15" s="1171"/>
      <c r="D15" s="1172"/>
      <c r="E15" s="1173"/>
      <c r="F15" s="1174"/>
      <c r="G15" s="1174"/>
      <c r="H15" s="1174"/>
      <c r="I15" s="1175"/>
    </row>
    <row r="16" spans="1:9" s="238" customFormat="1" ht="15" customHeight="1" x14ac:dyDescent="0.25">
      <c r="A16" s="76"/>
      <c r="B16" s="279"/>
      <c r="C16" s="1176"/>
      <c r="D16" s="1177"/>
      <c r="E16" s="1178"/>
      <c r="F16" s="1179"/>
      <c r="G16" s="1179"/>
      <c r="H16" s="1179"/>
      <c r="I16" s="1180"/>
    </row>
    <row r="17" spans="1:9" s="238" customFormat="1" ht="31.5" customHeight="1" x14ac:dyDescent="0.25">
      <c r="A17" s="76"/>
      <c r="B17" s="235" t="s">
        <v>336</v>
      </c>
      <c r="C17" s="236"/>
      <c r="D17" s="236"/>
      <c r="E17" s="236"/>
      <c r="F17" s="236"/>
      <c r="G17" s="236"/>
      <c r="H17" s="236"/>
      <c r="I17" s="237"/>
    </row>
    <row r="18" spans="1:9" s="238" customFormat="1" x14ac:dyDescent="0.25">
      <c r="A18" s="76"/>
      <c r="B18" s="277" t="s">
        <v>328</v>
      </c>
      <c r="C18" s="1161" t="s">
        <v>329</v>
      </c>
      <c r="D18" s="1162" t="s">
        <v>330</v>
      </c>
      <c r="E18" s="1163" t="s">
        <v>331</v>
      </c>
      <c r="F18" s="1164" t="s">
        <v>332</v>
      </c>
      <c r="G18" s="1164" t="s">
        <v>333</v>
      </c>
      <c r="H18" s="1164" t="s">
        <v>334</v>
      </c>
      <c r="I18" s="1165" t="s">
        <v>335</v>
      </c>
    </row>
    <row r="19" spans="1:9" s="238" customFormat="1" x14ac:dyDescent="0.25">
      <c r="A19" s="76"/>
      <c r="B19" s="278"/>
      <c r="C19" s="1171"/>
      <c r="D19" s="1172"/>
      <c r="E19" s="1173"/>
      <c r="F19" s="1174"/>
      <c r="G19" s="1174"/>
      <c r="H19" s="1174"/>
      <c r="I19" s="1175"/>
    </row>
    <row r="20" spans="1:9" s="238" customFormat="1" x14ac:dyDescent="0.25">
      <c r="A20" s="76"/>
      <c r="B20" s="278"/>
      <c r="C20" s="1171"/>
      <c r="D20" s="1172"/>
      <c r="E20" s="1173"/>
      <c r="F20" s="1174"/>
      <c r="G20" s="1174"/>
      <c r="H20" s="1174"/>
      <c r="I20" s="1175"/>
    </row>
    <row r="21" spans="1:9" s="238" customFormat="1" x14ac:dyDescent="0.25">
      <c r="A21" s="76"/>
      <c r="B21" s="278"/>
      <c r="C21" s="1171"/>
      <c r="D21" s="1172"/>
      <c r="E21" s="1173"/>
      <c r="F21" s="1174"/>
      <c r="G21" s="1174"/>
      <c r="H21" s="1174"/>
      <c r="I21" s="1175"/>
    </row>
    <row r="22" spans="1:9" s="238" customFormat="1" x14ac:dyDescent="0.25">
      <c r="A22" s="76"/>
      <c r="B22" s="278"/>
      <c r="C22" s="1171"/>
      <c r="D22" s="1172"/>
      <c r="E22" s="1173"/>
      <c r="F22" s="1174"/>
      <c r="G22" s="1174"/>
      <c r="H22" s="1174"/>
      <c r="I22" s="1175"/>
    </row>
    <row r="23" spans="1:9" s="238" customFormat="1" ht="15" customHeight="1" x14ac:dyDescent="0.25">
      <c r="A23" s="76"/>
      <c r="B23" s="279"/>
      <c r="C23" s="1181"/>
      <c r="D23" s="1182"/>
      <c r="E23" s="1183"/>
      <c r="F23" s="1184"/>
      <c r="G23" s="1184"/>
      <c r="H23" s="1184"/>
      <c r="I23" s="1185"/>
    </row>
    <row r="24" spans="1:9" s="238" customFormat="1" x14ac:dyDescent="0.25">
      <c r="A24" s="76"/>
    </row>
    <row r="25" spans="1:9" s="238" customFormat="1" x14ac:dyDescent="0.25">
      <c r="A25" s="76"/>
    </row>
    <row r="26" spans="1:9" s="238" customFormat="1" x14ac:dyDescent="0.25">
      <c r="A26" s="76"/>
    </row>
  </sheetData>
  <sheetProtection algorithmName="SHA-256" hashValue="JlpFW0U+KCue1EA7IKRV02xqVfKtmZEp8U9JoLwNhIU=" saltValue="u2jba29hP9YRplUgbO8xTA==" spinCount="100000" sheet="1" objects="1" scenarios="1"/>
  <mergeCells count="1">
    <mergeCell ref="B8:B9"/>
  </mergeCells>
  <conditionalFormatting sqref="I11:I16 I18:I23">
    <cfRule type="expression" dxfId="17" priority="2">
      <formula>(dms_FRCPlength_Num)&lt;4</formula>
    </cfRule>
  </conditionalFormatting>
  <dataValidations count="1">
    <dataValidation allowBlank="1" showInputMessage="1" showErrorMessage="1" sqref="C11:I23" xr:uid="{00000000-0002-0000-0F00-000000000000}"/>
  </dataValidations>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7943C"/>
  </sheetPr>
  <dimension ref="A1:I97"/>
  <sheetViews>
    <sheetView showGridLines="0" topLeftCell="A2" workbookViewId="0">
      <selection activeCell="I25" sqref="I25"/>
    </sheetView>
  </sheetViews>
  <sheetFormatPr defaultColWidth="9.140625" defaultRowHeight="15" outlineLevelRow="1" x14ac:dyDescent="0.25"/>
  <cols>
    <col min="1" max="1" width="22.7109375" customWidth="1"/>
    <col min="2" max="2" width="115.7109375" customWidth="1"/>
    <col min="3" max="9" width="18.71093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337</v>
      </c>
      <c r="C4" s="383"/>
      <c r="D4" s="383"/>
      <c r="E4" s="383"/>
      <c r="F4" s="383"/>
      <c r="G4" s="383"/>
      <c r="H4" s="383"/>
      <c r="I4" s="383"/>
    </row>
    <row r="5" spans="1:9" ht="30" customHeight="1" x14ac:dyDescent="0.25">
      <c r="B5" s="1440" t="s">
        <v>96</v>
      </c>
      <c r="C5" s="1440"/>
      <c r="D5" s="1440"/>
      <c r="E5" s="1440"/>
      <c r="F5" s="1440"/>
      <c r="G5" s="1440"/>
      <c r="H5" s="1440"/>
      <c r="I5" s="1440"/>
    </row>
    <row r="6" spans="1:9" ht="35.25" customHeight="1" x14ac:dyDescent="0.25"/>
    <row r="7" spans="1:9" ht="25.5" customHeight="1" x14ac:dyDescent="0.25">
      <c r="B7" s="31" t="s">
        <v>338</v>
      </c>
      <c r="C7" s="31"/>
      <c r="D7" s="31"/>
      <c r="E7" s="31"/>
      <c r="F7" s="31"/>
      <c r="G7" s="31"/>
      <c r="H7" s="31"/>
      <c r="I7" s="31"/>
    </row>
    <row r="8" spans="1:9" s="41" customFormat="1" ht="27.75" customHeight="1" outlineLevel="1" x14ac:dyDescent="0.2">
      <c r="C8" s="1335" t="s">
        <v>339</v>
      </c>
      <c r="D8" s="1336"/>
      <c r="E8" s="1336"/>
      <c r="F8" s="1336"/>
      <c r="G8" s="1336"/>
      <c r="H8" s="1336"/>
      <c r="I8" s="1337"/>
    </row>
    <row r="9" spans="1:9" s="41" customFormat="1" ht="18" customHeight="1" outlineLevel="1" x14ac:dyDescent="0.2">
      <c r="B9" s="371"/>
      <c r="C9" s="1328" t="s">
        <v>340</v>
      </c>
      <c r="D9" s="1329"/>
      <c r="E9" s="1329"/>
      <c r="F9" s="1329"/>
      <c r="G9" s="1329"/>
      <c r="H9" s="1329"/>
      <c r="I9" s="1330"/>
    </row>
    <row r="10" spans="1:9" ht="33.75" customHeight="1" outlineLevel="1" x14ac:dyDescent="0.25">
      <c r="B10" s="477"/>
      <c r="C10" s="386" t="str">
        <f ca="1">dms_y1</f>
        <v>2024-25</v>
      </c>
      <c r="D10" s="1346" t="str">
        <f ca="1">dms_y2</f>
        <v>2025-26</v>
      </c>
      <c r="E10" s="290" t="str">
        <f ca="1">dms_y3</f>
        <v>2026-27</v>
      </c>
      <c r="F10" s="290" t="str">
        <f ca="1">dms_y4</f>
        <v>2027-28</v>
      </c>
      <c r="G10" s="290" t="str">
        <f ca="1">dms_y5</f>
        <v>2028-29</v>
      </c>
      <c r="H10" s="290" t="str">
        <f ca="1">dms_y6</f>
        <v>2029-30</v>
      </c>
      <c r="I10" s="387" t="str">
        <f ca="1">dms_y7</f>
        <v>2030-31</v>
      </c>
    </row>
    <row r="11" spans="1:9" outlineLevel="1" x14ac:dyDescent="0.25">
      <c r="B11" s="602" t="s">
        <v>172</v>
      </c>
      <c r="C11" s="1127">
        <v>3749554</v>
      </c>
      <c r="D11" s="1128">
        <v>3877407</v>
      </c>
      <c r="E11" s="1128">
        <v>3651219</v>
      </c>
      <c r="F11" s="1128">
        <v>3349742</v>
      </c>
      <c r="G11" s="1128">
        <v>3034881</v>
      </c>
      <c r="H11" s="1128">
        <v>2719236</v>
      </c>
      <c r="I11" s="1129">
        <v>2417009</v>
      </c>
    </row>
    <row r="12" spans="1:9" outlineLevel="1" x14ac:dyDescent="0.25">
      <c r="B12" s="602" t="s">
        <v>341</v>
      </c>
      <c r="C12" s="360">
        <v>1531701</v>
      </c>
      <c r="D12" s="361">
        <v>1626810</v>
      </c>
      <c r="E12" s="361">
        <v>1615586</v>
      </c>
      <c r="F12" s="361">
        <v>1586325</v>
      </c>
      <c r="G12" s="361">
        <v>1555809</v>
      </c>
      <c r="H12" s="361">
        <v>1524726</v>
      </c>
      <c r="I12" s="401">
        <v>1493305</v>
      </c>
    </row>
    <row r="13" spans="1:9" outlineLevel="1" x14ac:dyDescent="0.25">
      <c r="B13" s="561" t="s">
        <v>342</v>
      </c>
      <c r="C13" s="1130">
        <v>1091663</v>
      </c>
      <c r="D13" s="1131">
        <v>1048516</v>
      </c>
      <c r="E13" s="1131">
        <v>1005469</v>
      </c>
      <c r="F13" s="1131">
        <v>955170</v>
      </c>
      <c r="G13" s="1131">
        <v>914915</v>
      </c>
      <c r="H13" s="1131">
        <v>869881</v>
      </c>
      <c r="I13" s="1132">
        <v>833885</v>
      </c>
    </row>
    <row r="14" spans="1:9" ht="15" customHeight="1" outlineLevel="1" x14ac:dyDescent="0.25">
      <c r="B14" s="513" t="s">
        <v>112</v>
      </c>
      <c r="C14" s="514">
        <f t="shared" ref="C14:I14" si="0">SUM(C11:C13)</f>
        <v>6372918</v>
      </c>
      <c r="D14" s="514">
        <f t="shared" si="0"/>
        <v>6552733</v>
      </c>
      <c r="E14" s="514">
        <f t="shared" si="0"/>
        <v>6272274</v>
      </c>
      <c r="F14" s="514">
        <f t="shared" si="0"/>
        <v>5891237</v>
      </c>
      <c r="G14" s="514">
        <f t="shared" si="0"/>
        <v>5505605</v>
      </c>
      <c r="H14" s="514">
        <f t="shared" si="0"/>
        <v>5113843</v>
      </c>
      <c r="I14" s="515">
        <f t="shared" si="0"/>
        <v>4744199</v>
      </c>
    </row>
    <row r="17" spans="2:9" ht="15" customHeight="1" x14ac:dyDescent="0.25"/>
    <row r="18" spans="2:9" ht="25.5" customHeight="1" x14ac:dyDescent="0.25">
      <c r="B18" s="31" t="s">
        <v>343</v>
      </c>
      <c r="C18" s="31"/>
      <c r="D18" s="31"/>
      <c r="E18" s="31"/>
      <c r="F18" s="31"/>
      <c r="G18" s="31"/>
      <c r="H18" s="31"/>
      <c r="I18" s="31"/>
    </row>
    <row r="19" spans="2:9" s="41" customFormat="1" ht="27.75" customHeight="1" outlineLevel="1" x14ac:dyDescent="0.2">
      <c r="C19" s="1335" t="s">
        <v>339</v>
      </c>
      <c r="D19" s="1336"/>
      <c r="E19" s="1336"/>
      <c r="F19" s="1336"/>
      <c r="G19" s="1336"/>
      <c r="H19" s="1336"/>
      <c r="I19" s="1337"/>
    </row>
    <row r="20" spans="2:9" s="41" customFormat="1" ht="18" customHeight="1" outlineLevel="1" x14ac:dyDescent="0.2">
      <c r="B20" s="371"/>
      <c r="C20" s="1328" t="s">
        <v>340</v>
      </c>
      <c r="D20" s="1329"/>
      <c r="E20" s="1329"/>
      <c r="F20" s="1329"/>
      <c r="G20" s="1329"/>
      <c r="H20" s="1329"/>
      <c r="I20" s="1330"/>
    </row>
    <row r="21" spans="2:9" ht="33.75" customHeight="1" outlineLevel="1" x14ac:dyDescent="0.25">
      <c r="B21" s="477" t="s">
        <v>344</v>
      </c>
      <c r="C21" s="386" t="str">
        <f ca="1">dms_y1</f>
        <v>2024-25</v>
      </c>
      <c r="D21" s="1346" t="str">
        <f ca="1">dms_y2</f>
        <v>2025-26</v>
      </c>
      <c r="E21" s="290" t="str">
        <f ca="1">dms_y3</f>
        <v>2026-27</v>
      </c>
      <c r="F21" s="290" t="str">
        <f ca="1">dms_y4</f>
        <v>2027-28</v>
      </c>
      <c r="G21" s="290" t="str">
        <f ca="1">dms_y5</f>
        <v>2028-29</v>
      </c>
      <c r="H21" s="290" t="str">
        <f ca="1">dms_y6</f>
        <v>2029-30</v>
      </c>
      <c r="I21" s="387" t="str">
        <f ca="1">dms_y7</f>
        <v>2030-31</v>
      </c>
    </row>
    <row r="22" spans="2:9" outlineLevel="1" x14ac:dyDescent="0.25">
      <c r="B22" s="554" t="s">
        <v>345</v>
      </c>
      <c r="C22" s="241">
        <v>5251360</v>
      </c>
      <c r="D22" s="242">
        <v>5473144</v>
      </c>
      <c r="E22" s="242">
        <v>5237852</v>
      </c>
      <c r="F22" s="242">
        <v>4909431</v>
      </c>
      <c r="G22" s="242">
        <v>4566476</v>
      </c>
      <c r="H22" s="242">
        <v>4222106</v>
      </c>
      <c r="I22" s="243">
        <v>3890675</v>
      </c>
    </row>
    <row r="23" spans="2:9" outlineLevel="1" x14ac:dyDescent="0.25">
      <c r="B23" s="1151" t="s">
        <v>346</v>
      </c>
      <c r="C23" s="619">
        <v>29894</v>
      </c>
      <c r="D23" s="418">
        <v>31073</v>
      </c>
      <c r="E23" s="418">
        <v>28953</v>
      </c>
      <c r="F23" s="418">
        <v>26636</v>
      </c>
      <c r="G23" s="418">
        <v>24213</v>
      </c>
      <c r="H23" s="418">
        <v>21857</v>
      </c>
      <c r="I23" s="562">
        <v>19639</v>
      </c>
    </row>
    <row r="24" spans="2:9" outlineLevel="1" x14ac:dyDescent="0.25">
      <c r="B24" s="553" t="s">
        <v>347</v>
      </c>
      <c r="C24" s="472">
        <v>1062486</v>
      </c>
      <c r="D24" s="361">
        <v>1019340</v>
      </c>
      <c r="E24" s="361">
        <v>976293</v>
      </c>
      <c r="F24" s="361">
        <v>925942</v>
      </c>
      <c r="G24" s="361">
        <v>885698</v>
      </c>
      <c r="H24" s="361">
        <v>840697</v>
      </c>
      <c r="I24" s="401">
        <v>804722</v>
      </c>
    </row>
    <row r="25" spans="2:9" outlineLevel="1" x14ac:dyDescent="0.25">
      <c r="B25" s="1151" t="s">
        <v>348</v>
      </c>
      <c r="C25" s="1479"/>
      <c r="D25" s="1480"/>
      <c r="E25" s="1480"/>
      <c r="F25" s="1480"/>
      <c r="G25" s="1480"/>
      <c r="H25" s="1480"/>
      <c r="I25" s="1481"/>
    </row>
    <row r="26" spans="2:9" outlineLevel="1" x14ac:dyDescent="0.25">
      <c r="B26" s="553"/>
      <c r="C26" s="472"/>
      <c r="D26" s="361"/>
      <c r="E26" s="361"/>
      <c r="F26" s="361"/>
      <c r="G26" s="361"/>
      <c r="H26" s="361"/>
      <c r="I26" s="401"/>
    </row>
    <row r="27" spans="2:9" outlineLevel="1" x14ac:dyDescent="0.25">
      <c r="B27" s="1151"/>
      <c r="C27" s="619"/>
      <c r="D27" s="418"/>
      <c r="E27" s="418"/>
      <c r="F27" s="418"/>
      <c r="G27" s="418"/>
      <c r="H27" s="418"/>
      <c r="I27" s="562"/>
    </row>
    <row r="28" spans="2:9" outlineLevel="1" x14ac:dyDescent="0.25">
      <c r="B28" s="553"/>
      <c r="C28" s="472"/>
      <c r="D28" s="361"/>
      <c r="E28" s="361"/>
      <c r="F28" s="361"/>
      <c r="G28" s="361"/>
      <c r="H28" s="361"/>
      <c r="I28" s="401"/>
    </row>
    <row r="29" spans="2:9" outlineLevel="1" x14ac:dyDescent="0.25">
      <c r="B29" s="1151"/>
      <c r="C29" s="619"/>
      <c r="D29" s="418"/>
      <c r="E29" s="418"/>
      <c r="F29" s="418"/>
      <c r="G29" s="418"/>
      <c r="H29" s="418"/>
      <c r="I29" s="562"/>
    </row>
    <row r="30" spans="2:9" outlineLevel="1" x14ac:dyDescent="0.25">
      <c r="B30" s="553"/>
      <c r="C30" s="472"/>
      <c r="D30" s="361"/>
      <c r="E30" s="361"/>
      <c r="F30" s="361"/>
      <c r="G30" s="361"/>
      <c r="H30" s="361"/>
      <c r="I30" s="401"/>
    </row>
    <row r="31" spans="2:9" outlineLevel="1" x14ac:dyDescent="0.25">
      <c r="B31" s="1151"/>
      <c r="C31" s="619"/>
      <c r="D31" s="418"/>
      <c r="E31" s="418"/>
      <c r="F31" s="418"/>
      <c r="G31" s="418"/>
      <c r="H31" s="418"/>
      <c r="I31" s="562"/>
    </row>
    <row r="32" spans="2:9" outlineLevel="1" x14ac:dyDescent="0.25">
      <c r="B32" s="553"/>
      <c r="C32" s="472"/>
      <c r="D32" s="361"/>
      <c r="E32" s="361"/>
      <c r="F32" s="361"/>
      <c r="G32" s="361"/>
      <c r="H32" s="361"/>
      <c r="I32" s="401"/>
    </row>
    <row r="33" spans="2:9" outlineLevel="1" x14ac:dyDescent="0.25">
      <c r="B33" s="1151"/>
      <c r="C33" s="619"/>
      <c r="D33" s="418"/>
      <c r="E33" s="418"/>
      <c r="F33" s="418"/>
      <c r="G33" s="418"/>
      <c r="H33" s="418"/>
      <c r="I33" s="562"/>
    </row>
    <row r="34" spans="2:9" outlineLevel="1" x14ac:dyDescent="0.25">
      <c r="B34" s="553"/>
      <c r="C34" s="472"/>
      <c r="D34" s="361"/>
      <c r="E34" s="361"/>
      <c r="F34" s="361"/>
      <c r="G34" s="361"/>
      <c r="H34" s="361"/>
      <c r="I34" s="401"/>
    </row>
    <row r="35" spans="2:9" outlineLevel="1" x14ac:dyDescent="0.25">
      <c r="B35" s="1151"/>
      <c r="C35" s="619"/>
      <c r="D35" s="418"/>
      <c r="E35" s="418"/>
      <c r="F35" s="418"/>
      <c r="G35" s="418"/>
      <c r="H35" s="418"/>
      <c r="I35" s="562"/>
    </row>
    <row r="36" spans="2:9" outlineLevel="1" x14ac:dyDescent="0.25">
      <c r="B36" s="553"/>
      <c r="C36" s="472"/>
      <c r="D36" s="361"/>
      <c r="E36" s="361"/>
      <c r="F36" s="361"/>
      <c r="G36" s="361"/>
      <c r="H36" s="361"/>
      <c r="I36" s="401"/>
    </row>
    <row r="37" spans="2:9" outlineLevel="1" x14ac:dyDescent="0.25">
      <c r="B37" s="1151"/>
      <c r="C37" s="619"/>
      <c r="D37" s="418"/>
      <c r="E37" s="418"/>
      <c r="F37" s="418"/>
      <c r="G37" s="418"/>
      <c r="H37" s="418"/>
      <c r="I37" s="562"/>
    </row>
    <row r="38" spans="2:9" outlineLevel="1" x14ac:dyDescent="0.25">
      <c r="B38" s="553"/>
      <c r="C38" s="472"/>
      <c r="D38" s="361"/>
      <c r="E38" s="361"/>
      <c r="F38" s="361"/>
      <c r="G38" s="361"/>
      <c r="H38" s="361"/>
      <c r="I38" s="401"/>
    </row>
    <row r="39" spans="2:9" outlineLevel="1" x14ac:dyDescent="0.25">
      <c r="B39" s="1151"/>
      <c r="C39" s="619"/>
      <c r="D39" s="418"/>
      <c r="E39" s="418"/>
      <c r="F39" s="418"/>
      <c r="G39" s="418"/>
      <c r="H39" s="418"/>
      <c r="I39" s="562"/>
    </row>
    <row r="40" spans="2:9" outlineLevel="1" x14ac:dyDescent="0.25">
      <c r="B40" s="553"/>
      <c r="C40" s="472"/>
      <c r="D40" s="361"/>
      <c r="E40" s="361"/>
      <c r="F40" s="361"/>
      <c r="G40" s="361"/>
      <c r="H40" s="361"/>
      <c r="I40" s="401"/>
    </row>
    <row r="41" spans="2:9" outlineLevel="1" x14ac:dyDescent="0.25">
      <c r="B41" s="1151"/>
      <c r="C41" s="619"/>
      <c r="D41" s="418"/>
      <c r="E41" s="418"/>
      <c r="F41" s="418"/>
      <c r="G41" s="418"/>
      <c r="H41" s="418"/>
      <c r="I41" s="562"/>
    </row>
    <row r="42" spans="2:9" outlineLevel="1" x14ac:dyDescent="0.25">
      <c r="B42" s="553"/>
      <c r="C42" s="472"/>
      <c r="D42" s="361"/>
      <c r="E42" s="361"/>
      <c r="F42" s="361"/>
      <c r="G42" s="361"/>
      <c r="H42" s="361"/>
      <c r="I42" s="401"/>
    </row>
    <row r="43" spans="2:9" outlineLevel="1" x14ac:dyDescent="0.25">
      <c r="B43" s="1151"/>
      <c r="C43" s="619"/>
      <c r="D43" s="418"/>
      <c r="E43" s="418"/>
      <c r="F43" s="418"/>
      <c r="G43" s="418"/>
      <c r="H43" s="418"/>
      <c r="I43" s="562"/>
    </row>
    <row r="44" spans="2:9" outlineLevel="1" x14ac:dyDescent="0.25">
      <c r="B44" s="553"/>
      <c r="C44" s="472"/>
      <c r="D44" s="361"/>
      <c r="E44" s="361"/>
      <c r="F44" s="361"/>
      <c r="G44" s="361"/>
      <c r="H44" s="361"/>
      <c r="I44" s="401"/>
    </row>
    <row r="45" spans="2:9" outlineLevel="1" x14ac:dyDescent="0.25">
      <c r="B45" s="1151"/>
      <c r="C45" s="619"/>
      <c r="D45" s="418"/>
      <c r="E45" s="418"/>
      <c r="F45" s="418"/>
      <c r="G45" s="418"/>
      <c r="H45" s="418"/>
      <c r="I45" s="562"/>
    </row>
    <row r="46" spans="2:9" outlineLevel="1" x14ac:dyDescent="0.25">
      <c r="B46" s="553"/>
      <c r="C46" s="472"/>
      <c r="D46" s="361"/>
      <c r="E46" s="361"/>
      <c r="F46" s="361"/>
      <c r="G46" s="361"/>
      <c r="H46" s="361"/>
      <c r="I46" s="401"/>
    </row>
    <row r="47" spans="2:9" outlineLevel="1" x14ac:dyDescent="0.25">
      <c r="B47" s="1151"/>
      <c r="C47" s="619"/>
      <c r="D47" s="418"/>
      <c r="E47" s="418"/>
      <c r="F47" s="418"/>
      <c r="G47" s="418"/>
      <c r="H47" s="418"/>
      <c r="I47" s="562"/>
    </row>
    <row r="48" spans="2:9" outlineLevel="1" x14ac:dyDescent="0.25">
      <c r="B48" s="553"/>
      <c r="C48" s="472"/>
      <c r="D48" s="361"/>
      <c r="E48" s="361"/>
      <c r="F48" s="361"/>
      <c r="G48" s="361"/>
      <c r="H48" s="361"/>
      <c r="I48" s="401"/>
    </row>
    <row r="49" spans="2:9" outlineLevel="1" x14ac:dyDescent="0.25">
      <c r="B49" s="1151"/>
      <c r="C49" s="619"/>
      <c r="D49" s="418"/>
      <c r="E49" s="418"/>
      <c r="F49" s="418"/>
      <c r="G49" s="418"/>
      <c r="H49" s="418"/>
      <c r="I49" s="562"/>
    </row>
    <row r="50" spans="2:9" outlineLevel="1" x14ac:dyDescent="0.25">
      <c r="B50" s="553"/>
      <c r="C50" s="472"/>
      <c r="D50" s="361"/>
      <c r="E50" s="361"/>
      <c r="F50" s="361"/>
      <c r="G50" s="361"/>
      <c r="H50" s="361"/>
      <c r="I50" s="401"/>
    </row>
    <row r="51" spans="2:9" outlineLevel="1" x14ac:dyDescent="0.25">
      <c r="B51" s="1151"/>
      <c r="C51" s="619"/>
      <c r="D51" s="418"/>
      <c r="E51" s="418"/>
      <c r="F51" s="418"/>
      <c r="G51" s="418"/>
      <c r="H51" s="418"/>
      <c r="I51" s="562"/>
    </row>
    <row r="52" spans="2:9" outlineLevel="1" x14ac:dyDescent="0.25">
      <c r="B52" s="553"/>
      <c r="C52" s="472"/>
      <c r="D52" s="361"/>
      <c r="E52" s="361"/>
      <c r="F52" s="361"/>
      <c r="G52" s="361"/>
      <c r="H52" s="361"/>
      <c r="I52" s="401"/>
    </row>
    <row r="53" spans="2:9" outlineLevel="1" x14ac:dyDescent="0.25">
      <c r="B53" s="1151"/>
      <c r="C53" s="619"/>
      <c r="D53" s="418"/>
      <c r="E53" s="418"/>
      <c r="F53" s="418"/>
      <c r="G53" s="418"/>
      <c r="H53" s="418"/>
      <c r="I53" s="562"/>
    </row>
    <row r="54" spans="2:9" outlineLevel="1" x14ac:dyDescent="0.25">
      <c r="B54" s="553"/>
      <c r="C54" s="472"/>
      <c r="D54" s="361"/>
      <c r="E54" s="361"/>
      <c r="F54" s="361"/>
      <c r="G54" s="361"/>
      <c r="H54" s="361"/>
      <c r="I54" s="401"/>
    </row>
    <row r="55" spans="2:9" outlineLevel="1" x14ac:dyDescent="0.25">
      <c r="B55" s="1151"/>
      <c r="C55" s="619"/>
      <c r="D55" s="418"/>
      <c r="E55" s="418"/>
      <c r="F55" s="418"/>
      <c r="G55" s="418"/>
      <c r="H55" s="418"/>
      <c r="I55" s="562"/>
    </row>
    <row r="56" spans="2:9" outlineLevel="1" x14ac:dyDescent="0.25">
      <c r="B56" s="553"/>
      <c r="C56" s="472"/>
      <c r="D56" s="361"/>
      <c r="E56" s="361"/>
      <c r="F56" s="361"/>
      <c r="G56" s="361"/>
      <c r="H56" s="361"/>
      <c r="I56" s="401"/>
    </row>
    <row r="57" spans="2:9" outlineLevel="1" x14ac:dyDescent="0.25">
      <c r="B57" s="1151"/>
      <c r="C57" s="619"/>
      <c r="D57" s="418"/>
      <c r="E57" s="418"/>
      <c r="F57" s="418"/>
      <c r="G57" s="418"/>
      <c r="H57" s="418"/>
      <c r="I57" s="562"/>
    </row>
    <row r="58" spans="2:9" outlineLevel="1" x14ac:dyDescent="0.25">
      <c r="B58" s="553"/>
      <c r="C58" s="472"/>
      <c r="D58" s="361"/>
      <c r="E58" s="361"/>
      <c r="F58" s="361"/>
      <c r="G58" s="361"/>
      <c r="H58" s="361"/>
      <c r="I58" s="401"/>
    </row>
    <row r="59" spans="2:9" outlineLevel="1" x14ac:dyDescent="0.25">
      <c r="B59" s="1151"/>
      <c r="C59" s="619"/>
      <c r="D59" s="418"/>
      <c r="E59" s="418"/>
      <c r="F59" s="418"/>
      <c r="G59" s="418"/>
      <c r="H59" s="418"/>
      <c r="I59" s="562"/>
    </row>
    <row r="60" spans="2:9" outlineLevel="1" x14ac:dyDescent="0.25">
      <c r="B60" s="553"/>
      <c r="C60" s="472"/>
      <c r="D60" s="361"/>
      <c r="E60" s="361"/>
      <c r="F60" s="361"/>
      <c r="G60" s="361"/>
      <c r="H60" s="361"/>
      <c r="I60" s="401"/>
    </row>
    <row r="61" spans="2:9" outlineLevel="1" x14ac:dyDescent="0.25">
      <c r="B61" s="1151"/>
      <c r="C61" s="619"/>
      <c r="D61" s="418"/>
      <c r="E61" s="418"/>
      <c r="F61" s="418"/>
      <c r="G61" s="418"/>
      <c r="H61" s="418"/>
      <c r="I61" s="562"/>
    </row>
    <row r="62" spans="2:9" outlineLevel="1" x14ac:dyDescent="0.25">
      <c r="B62" s="553"/>
      <c r="C62" s="472"/>
      <c r="D62" s="361"/>
      <c r="E62" s="361"/>
      <c r="F62" s="361"/>
      <c r="G62" s="361"/>
      <c r="H62" s="361"/>
      <c r="I62" s="401"/>
    </row>
    <row r="63" spans="2:9" outlineLevel="1" x14ac:dyDescent="0.25">
      <c r="B63" s="1151"/>
      <c r="C63" s="619"/>
      <c r="D63" s="418"/>
      <c r="E63" s="418"/>
      <c r="F63" s="418"/>
      <c r="G63" s="418"/>
      <c r="H63" s="418"/>
      <c r="I63" s="562"/>
    </row>
    <row r="64" spans="2:9" outlineLevel="1" x14ac:dyDescent="0.25">
      <c r="B64" s="553"/>
      <c r="C64" s="472"/>
      <c r="D64" s="361"/>
      <c r="E64" s="361"/>
      <c r="F64" s="361"/>
      <c r="G64" s="361"/>
      <c r="H64" s="361"/>
      <c r="I64" s="401"/>
    </row>
    <row r="65" spans="2:9" outlineLevel="1" x14ac:dyDescent="0.25">
      <c r="B65" s="1151"/>
      <c r="C65" s="619"/>
      <c r="D65" s="418"/>
      <c r="E65" s="418"/>
      <c r="F65" s="418"/>
      <c r="G65" s="418"/>
      <c r="H65" s="418"/>
      <c r="I65" s="562"/>
    </row>
    <row r="66" spans="2:9" outlineLevel="1" x14ac:dyDescent="0.25">
      <c r="B66" s="553"/>
      <c r="C66" s="472"/>
      <c r="D66" s="361"/>
      <c r="E66" s="361"/>
      <c r="F66" s="361"/>
      <c r="G66" s="361"/>
      <c r="H66" s="361"/>
      <c r="I66" s="401"/>
    </row>
    <row r="67" spans="2:9" outlineLevel="1" x14ac:dyDescent="0.25">
      <c r="B67" s="1151"/>
      <c r="C67" s="619"/>
      <c r="D67" s="418"/>
      <c r="E67" s="418"/>
      <c r="F67" s="418"/>
      <c r="G67" s="418"/>
      <c r="H67" s="418"/>
      <c r="I67" s="562"/>
    </row>
    <row r="68" spans="2:9" outlineLevel="1" x14ac:dyDescent="0.25">
      <c r="B68" s="553"/>
      <c r="C68" s="472"/>
      <c r="D68" s="361"/>
      <c r="E68" s="361"/>
      <c r="F68" s="361"/>
      <c r="G68" s="361"/>
      <c r="H68" s="361"/>
      <c r="I68" s="401"/>
    </row>
    <row r="69" spans="2:9" outlineLevel="1" x14ac:dyDescent="0.25">
      <c r="B69" s="1151"/>
      <c r="C69" s="619"/>
      <c r="D69" s="418"/>
      <c r="E69" s="418"/>
      <c r="F69" s="418"/>
      <c r="G69" s="418"/>
      <c r="H69" s="418"/>
      <c r="I69" s="562"/>
    </row>
    <row r="70" spans="2:9" outlineLevel="1" x14ac:dyDescent="0.25">
      <c r="B70" s="553"/>
      <c r="C70" s="472"/>
      <c r="D70" s="361"/>
      <c r="E70" s="361"/>
      <c r="F70" s="361"/>
      <c r="G70" s="361"/>
      <c r="H70" s="361"/>
      <c r="I70" s="401"/>
    </row>
    <row r="71" spans="2:9" outlineLevel="1" x14ac:dyDescent="0.25">
      <c r="B71" s="1151"/>
      <c r="C71" s="619"/>
      <c r="D71" s="418"/>
      <c r="E71" s="418"/>
      <c r="F71" s="418"/>
      <c r="G71" s="418"/>
      <c r="H71" s="418"/>
      <c r="I71" s="562"/>
    </row>
    <row r="72" spans="2:9" outlineLevel="1" x14ac:dyDescent="0.25">
      <c r="B72" s="553"/>
      <c r="C72" s="472"/>
      <c r="D72" s="361"/>
      <c r="E72" s="361"/>
      <c r="F72" s="361"/>
      <c r="G72" s="361"/>
      <c r="H72" s="361"/>
      <c r="I72" s="401"/>
    </row>
    <row r="73" spans="2:9" outlineLevel="1" x14ac:dyDescent="0.25">
      <c r="B73" s="1151"/>
      <c r="C73" s="619"/>
      <c r="D73" s="418"/>
      <c r="E73" s="418"/>
      <c r="F73" s="418"/>
      <c r="G73" s="418"/>
      <c r="H73" s="418"/>
      <c r="I73" s="562"/>
    </row>
    <row r="74" spans="2:9" outlineLevel="1" x14ac:dyDescent="0.25">
      <c r="B74" s="553"/>
      <c r="C74" s="472"/>
      <c r="D74" s="361"/>
      <c r="E74" s="361"/>
      <c r="F74" s="361"/>
      <c r="G74" s="361"/>
      <c r="H74" s="361"/>
      <c r="I74" s="401"/>
    </row>
    <row r="75" spans="2:9" outlineLevel="1" x14ac:dyDescent="0.25">
      <c r="B75" s="1151"/>
      <c r="C75" s="619"/>
      <c r="D75" s="418"/>
      <c r="E75" s="418"/>
      <c r="F75" s="418"/>
      <c r="G75" s="418"/>
      <c r="H75" s="418"/>
      <c r="I75" s="562"/>
    </row>
    <row r="76" spans="2:9" outlineLevel="1" x14ac:dyDescent="0.25">
      <c r="B76" s="553"/>
      <c r="C76" s="472"/>
      <c r="D76" s="361"/>
      <c r="E76" s="361"/>
      <c r="F76" s="361"/>
      <c r="G76" s="361"/>
      <c r="H76" s="361"/>
      <c r="I76" s="401"/>
    </row>
    <row r="77" spans="2:9" outlineLevel="1" x14ac:dyDescent="0.25">
      <c r="B77" s="1151"/>
      <c r="C77" s="619"/>
      <c r="D77" s="418"/>
      <c r="E77" s="418"/>
      <c r="F77" s="418"/>
      <c r="G77" s="418"/>
      <c r="H77" s="418"/>
      <c r="I77" s="562"/>
    </row>
    <row r="78" spans="2:9" outlineLevel="1" x14ac:dyDescent="0.25">
      <c r="B78" s="553"/>
      <c r="C78" s="472"/>
      <c r="D78" s="361"/>
      <c r="E78" s="361"/>
      <c r="F78" s="361"/>
      <c r="G78" s="361"/>
      <c r="H78" s="361"/>
      <c r="I78" s="401"/>
    </row>
    <row r="79" spans="2:9" outlineLevel="1" x14ac:dyDescent="0.25">
      <c r="B79" s="1151"/>
      <c r="C79" s="619"/>
      <c r="D79" s="418"/>
      <c r="E79" s="418"/>
      <c r="F79" s="418"/>
      <c r="G79" s="418"/>
      <c r="H79" s="418"/>
      <c r="I79" s="562"/>
    </row>
    <row r="80" spans="2:9" outlineLevel="1" x14ac:dyDescent="0.25">
      <c r="B80" s="553"/>
      <c r="C80" s="472"/>
      <c r="D80" s="361"/>
      <c r="E80" s="361"/>
      <c r="F80" s="361"/>
      <c r="G80" s="361"/>
      <c r="H80" s="361"/>
      <c r="I80" s="401"/>
    </row>
    <row r="81" spans="2:9" outlineLevel="1" x14ac:dyDescent="0.25">
      <c r="B81" s="1151"/>
      <c r="C81" s="619"/>
      <c r="D81" s="418"/>
      <c r="E81" s="418"/>
      <c r="F81" s="418"/>
      <c r="G81" s="418"/>
      <c r="H81" s="418"/>
      <c r="I81" s="562"/>
    </row>
    <row r="82" spans="2:9" outlineLevel="1" x14ac:dyDescent="0.25">
      <c r="B82" s="553"/>
      <c r="C82" s="472"/>
      <c r="D82" s="361"/>
      <c r="E82" s="361"/>
      <c r="F82" s="361"/>
      <c r="G82" s="361"/>
      <c r="H82" s="361"/>
      <c r="I82" s="401"/>
    </row>
    <row r="83" spans="2:9" outlineLevel="1" x14ac:dyDescent="0.25">
      <c r="B83" s="1151"/>
      <c r="C83" s="619"/>
      <c r="D83" s="418"/>
      <c r="E83" s="418"/>
      <c r="F83" s="418"/>
      <c r="G83" s="418"/>
      <c r="H83" s="418"/>
      <c r="I83" s="562"/>
    </row>
    <row r="84" spans="2:9" outlineLevel="1" x14ac:dyDescent="0.25">
      <c r="B84" s="553"/>
      <c r="C84" s="472"/>
      <c r="D84" s="361"/>
      <c r="E84" s="361"/>
      <c r="F84" s="361"/>
      <c r="G84" s="361"/>
      <c r="H84" s="361"/>
      <c r="I84" s="401"/>
    </row>
    <row r="85" spans="2:9" outlineLevel="1" x14ac:dyDescent="0.25">
      <c r="B85" s="1151"/>
      <c r="C85" s="619"/>
      <c r="D85" s="418"/>
      <c r="E85" s="418"/>
      <c r="F85" s="418"/>
      <c r="G85" s="418"/>
      <c r="H85" s="418"/>
      <c r="I85" s="562"/>
    </row>
    <row r="86" spans="2:9" outlineLevel="1" x14ac:dyDescent="0.25">
      <c r="B86" s="553"/>
      <c r="C86" s="472"/>
      <c r="D86" s="361"/>
      <c r="E86" s="361"/>
      <c r="F86" s="361"/>
      <c r="G86" s="361"/>
      <c r="H86" s="361"/>
      <c r="I86" s="401"/>
    </row>
    <row r="87" spans="2:9" outlineLevel="1" x14ac:dyDescent="0.25">
      <c r="B87" s="1151"/>
      <c r="C87" s="619"/>
      <c r="D87" s="418"/>
      <c r="E87" s="418"/>
      <c r="F87" s="418"/>
      <c r="G87" s="418"/>
      <c r="H87" s="418"/>
      <c r="I87" s="562"/>
    </row>
    <row r="88" spans="2:9" outlineLevel="1" x14ac:dyDescent="0.25">
      <c r="B88" s="553"/>
      <c r="C88" s="472"/>
      <c r="D88" s="361"/>
      <c r="E88" s="361"/>
      <c r="F88" s="361"/>
      <c r="G88" s="361"/>
      <c r="H88" s="361"/>
      <c r="I88" s="401"/>
    </row>
    <row r="89" spans="2:9" outlineLevel="1" x14ac:dyDescent="0.25">
      <c r="B89" s="1151"/>
      <c r="C89" s="619"/>
      <c r="D89" s="418"/>
      <c r="E89" s="418"/>
      <c r="F89" s="418"/>
      <c r="G89" s="418"/>
      <c r="H89" s="418"/>
      <c r="I89" s="562"/>
    </row>
    <row r="90" spans="2:9" outlineLevel="1" x14ac:dyDescent="0.25">
      <c r="B90" s="553"/>
      <c r="C90" s="472"/>
      <c r="D90" s="361"/>
      <c r="E90" s="361"/>
      <c r="F90" s="361"/>
      <c r="G90" s="361"/>
      <c r="H90" s="361"/>
      <c r="I90" s="401"/>
    </row>
    <row r="91" spans="2:9" outlineLevel="1" x14ac:dyDescent="0.25">
      <c r="B91" s="1151"/>
      <c r="C91" s="619"/>
      <c r="D91" s="418"/>
      <c r="E91" s="418"/>
      <c r="F91" s="418"/>
      <c r="G91" s="418"/>
      <c r="H91" s="418"/>
      <c r="I91" s="562"/>
    </row>
    <row r="92" spans="2:9" outlineLevel="1" x14ac:dyDescent="0.25">
      <c r="B92" s="553"/>
      <c r="C92" s="472"/>
      <c r="D92" s="361"/>
      <c r="E92" s="361"/>
      <c r="F92" s="361"/>
      <c r="G92" s="361"/>
      <c r="H92" s="361"/>
      <c r="I92" s="401"/>
    </row>
    <row r="93" spans="2:9" outlineLevel="1" x14ac:dyDescent="0.25">
      <c r="B93" s="1151"/>
      <c r="C93" s="619"/>
      <c r="D93" s="418"/>
      <c r="E93" s="418"/>
      <c r="F93" s="418"/>
      <c r="G93" s="418"/>
      <c r="H93" s="418"/>
      <c r="I93" s="562"/>
    </row>
    <row r="94" spans="2:9" outlineLevel="1" x14ac:dyDescent="0.25">
      <c r="B94" s="553"/>
      <c r="C94" s="472"/>
      <c r="D94" s="361"/>
      <c r="E94" s="361"/>
      <c r="F94" s="361"/>
      <c r="G94" s="361"/>
      <c r="H94" s="361"/>
      <c r="I94" s="401"/>
    </row>
    <row r="95" spans="2:9" outlineLevel="1" x14ac:dyDescent="0.25">
      <c r="B95" s="1151"/>
      <c r="C95" s="619"/>
      <c r="D95" s="418"/>
      <c r="E95" s="418"/>
      <c r="F95" s="418"/>
      <c r="G95" s="418"/>
      <c r="H95" s="418"/>
      <c r="I95" s="562"/>
    </row>
    <row r="96" spans="2:9" ht="15" customHeight="1" outlineLevel="1" x14ac:dyDescent="0.25">
      <c r="B96" s="553"/>
      <c r="C96" s="472"/>
      <c r="D96" s="361"/>
      <c r="E96" s="361"/>
      <c r="F96" s="361"/>
      <c r="G96" s="361"/>
      <c r="H96" s="361"/>
      <c r="I96" s="401"/>
    </row>
    <row r="97" spans="2:9" ht="15" customHeight="1" outlineLevel="1" x14ac:dyDescent="0.25">
      <c r="B97" s="280" t="s">
        <v>112</v>
      </c>
      <c r="C97" s="281">
        <f t="shared" ref="C97:I97" si="1">SUM(C22:C96)</f>
        <v>6343740</v>
      </c>
      <c r="D97" s="281">
        <f t="shared" si="1"/>
        <v>6523557</v>
      </c>
      <c r="E97" s="281">
        <f t="shared" si="1"/>
        <v>6243098</v>
      </c>
      <c r="F97" s="281">
        <f t="shared" si="1"/>
        <v>5862009</v>
      </c>
      <c r="G97" s="281">
        <f t="shared" si="1"/>
        <v>5476387</v>
      </c>
      <c r="H97" s="281">
        <f t="shared" si="1"/>
        <v>5084660</v>
      </c>
      <c r="I97" s="282">
        <f t="shared" si="1"/>
        <v>4715036</v>
      </c>
    </row>
  </sheetData>
  <sheetProtection algorithmName="SHA-256" hashValue="cjh17Rb8yZQSkgZjf1tY6BJ7+lhK1xV89iF5HojFAWI=" saltValue="3YH1NQSNP2YjoFrZnD3w8A==" spinCount="100000" sheet="1" objects="1" scenarios="1"/>
  <dataValidations count="1">
    <dataValidation allowBlank="1" showInputMessage="1" showErrorMessage="1" promptTitle="Tariff" prompt="Enter relevant tariff names here" sqref="B11:B13 B22:B96" xr:uid="{00000000-0002-0000-1000-000000000000}"/>
  </dataValidations>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7943C"/>
  </sheetPr>
  <dimension ref="A1:J66"/>
  <sheetViews>
    <sheetView showGridLines="0" workbookViewId="0">
      <selection activeCell="F1" sqref="F1"/>
    </sheetView>
  </sheetViews>
  <sheetFormatPr defaultColWidth="9.140625" defaultRowHeight="15" outlineLevelRow="2" x14ac:dyDescent="0.25"/>
  <cols>
    <col min="1" max="1" width="23.140625" customWidth="1"/>
    <col min="2" max="2" width="16.7109375" customWidth="1"/>
    <col min="3" max="3" width="39.5703125" customWidth="1"/>
    <col min="4" max="10" width="20.7109375" customWidth="1"/>
  </cols>
  <sheetData>
    <row r="1" spans="1:10" ht="30" customHeight="1" x14ac:dyDescent="0.25">
      <c r="A1" s="1068"/>
      <c r="B1" s="1069" t="str">
        <f>INDEX(dms_Worksheet_List,MATCH(dms_Model,dms_Model_List))</f>
        <v>REGULATORY REPORTING STATEMENT</v>
      </c>
      <c r="C1" s="49"/>
      <c r="D1" s="25"/>
      <c r="E1" s="25"/>
      <c r="F1" s="25"/>
      <c r="G1" s="25"/>
      <c r="H1" s="25"/>
      <c r="I1" s="25"/>
      <c r="J1" s="25"/>
    </row>
    <row r="2" spans="1:10" ht="30" customHeight="1" x14ac:dyDescent="0.25">
      <c r="A2" s="1069"/>
      <c r="B2" s="1069" t="str">
        <f>dms_TradingNameFull</f>
        <v>Icon Distribution Investments Limited (ABN 83 073 025 224) and Jemena Networks (ACT) Pty Ltd (ABN 24 008 552 663)</v>
      </c>
      <c r="C2" s="49"/>
      <c r="D2" s="25"/>
      <c r="E2" s="25"/>
      <c r="F2" s="25"/>
      <c r="G2" s="25"/>
      <c r="H2" s="25"/>
      <c r="I2" s="25"/>
      <c r="J2" s="25"/>
    </row>
    <row r="3" spans="1:10" ht="30" customHeight="1" x14ac:dyDescent="0.25">
      <c r="A3" s="1071"/>
      <c r="B3" s="1071" t="str">
        <f ca="1">dms_Header_Span</f>
        <v>2024-25 to 2030-31</v>
      </c>
      <c r="C3" s="71"/>
      <c r="D3" s="25"/>
      <c r="E3" s="25"/>
      <c r="F3" s="25"/>
      <c r="G3" s="25"/>
      <c r="H3" s="25"/>
      <c r="I3" s="25"/>
      <c r="J3" s="25"/>
    </row>
    <row r="4" spans="1:10" ht="30" customHeight="1" x14ac:dyDescent="0.25">
      <c r="A4" s="383"/>
      <c r="B4" s="383" t="s">
        <v>349</v>
      </c>
      <c r="C4" s="383"/>
      <c r="D4" s="383"/>
      <c r="E4" s="383"/>
      <c r="F4" s="383"/>
      <c r="G4" s="383"/>
      <c r="H4" s="383"/>
      <c r="I4" s="383"/>
      <c r="J4" s="383"/>
    </row>
    <row r="5" spans="1:10" ht="30" customHeight="1" x14ac:dyDescent="0.25">
      <c r="B5" s="1440" t="s">
        <v>96</v>
      </c>
      <c r="C5" s="1440"/>
      <c r="D5" s="1440"/>
      <c r="E5" s="1440"/>
      <c r="F5" s="1440"/>
      <c r="G5" s="1440"/>
      <c r="H5" s="1440"/>
      <c r="I5" s="1440"/>
      <c r="J5" s="1440"/>
    </row>
    <row r="6" spans="1:10" ht="15" customHeight="1" x14ac:dyDescent="0.25"/>
    <row r="7" spans="1:10" ht="24.95" customHeight="1" x14ac:dyDescent="0.25">
      <c r="A7" s="238"/>
      <c r="B7" s="31" t="s">
        <v>350</v>
      </c>
      <c r="C7" s="31"/>
      <c r="D7" s="31"/>
      <c r="E7" s="31"/>
      <c r="F7" s="31"/>
      <c r="G7" s="31"/>
      <c r="H7" s="31"/>
      <c r="I7" s="31"/>
      <c r="J7" s="31"/>
    </row>
    <row r="8" spans="1:10" s="38" customFormat="1" ht="15" customHeight="1" outlineLevel="1" x14ac:dyDescent="0.25">
      <c r="A8" s="288"/>
      <c r="B8" s="289"/>
      <c r="C8" s="355"/>
      <c r="D8" s="1335" t="s">
        <v>148</v>
      </c>
      <c r="E8" s="1336"/>
      <c r="F8" s="1336"/>
      <c r="G8" s="1336"/>
      <c r="H8" s="1336"/>
      <c r="I8" s="1336"/>
      <c r="J8" s="1337"/>
    </row>
    <row r="9" spans="1:10" s="38" customFormat="1" ht="15" customHeight="1" outlineLevel="1" x14ac:dyDescent="0.25">
      <c r="A9" s="288"/>
      <c r="C9" s="62"/>
      <c r="D9" s="1328" t="s">
        <v>351</v>
      </c>
      <c r="E9" s="1329"/>
      <c r="F9" s="1329"/>
      <c r="G9" s="1329"/>
      <c r="H9" s="1329"/>
      <c r="I9" s="1329"/>
      <c r="J9" s="1330"/>
    </row>
    <row r="10" spans="1:10" s="38" customFormat="1" ht="22.5" customHeight="1" outlineLevel="1" x14ac:dyDescent="0.25">
      <c r="A10" s="288"/>
      <c r="B10" s="77"/>
      <c r="C10" s="302"/>
      <c r="D10" s="386" t="str">
        <f ca="1">dms_y1</f>
        <v>2024-25</v>
      </c>
      <c r="E10" s="1346" t="str">
        <f ca="1">dms_y2</f>
        <v>2025-26</v>
      </c>
      <c r="F10" s="290" t="str">
        <f ca="1">dms_y3</f>
        <v>2026-27</v>
      </c>
      <c r="G10" s="290" t="str">
        <f ca="1">dms_y4</f>
        <v>2027-28</v>
      </c>
      <c r="H10" s="290" t="str">
        <f ca="1">dms_y5</f>
        <v>2028-29</v>
      </c>
      <c r="I10" s="290" t="str">
        <f ca="1">dms_y6</f>
        <v>2029-30</v>
      </c>
      <c r="J10" s="387" t="str">
        <f ca="1">dms_y7</f>
        <v>2030-31</v>
      </c>
    </row>
    <row r="11" spans="1:10" s="320" customFormat="1" ht="24.95" customHeight="1" outlineLevel="1" x14ac:dyDescent="0.25">
      <c r="A11" s="372"/>
      <c r="B11" s="373" t="s">
        <v>352</v>
      </c>
      <c r="C11" s="374"/>
      <c r="D11" s="374"/>
      <c r="E11" s="374"/>
      <c r="F11" s="374"/>
      <c r="G11" s="374"/>
      <c r="H11" s="374"/>
      <c r="I11" s="374"/>
      <c r="J11" s="573"/>
    </row>
    <row r="12" spans="1:10" s="320" customFormat="1" outlineLevel="2" x14ac:dyDescent="0.25">
      <c r="A12" s="372"/>
      <c r="B12" s="330"/>
      <c r="C12" s="464" t="s">
        <v>353</v>
      </c>
      <c r="D12" s="466">
        <v>0</v>
      </c>
      <c r="E12" s="467">
        <v>0</v>
      </c>
      <c r="F12" s="468">
        <v>0</v>
      </c>
      <c r="G12" s="469">
        <v>0</v>
      </c>
      <c r="H12" s="469">
        <v>0</v>
      </c>
      <c r="I12" s="469">
        <v>0</v>
      </c>
      <c r="J12" s="574">
        <v>0</v>
      </c>
    </row>
    <row r="13" spans="1:10" s="320" customFormat="1" outlineLevel="2" x14ac:dyDescent="0.25">
      <c r="A13" s="372"/>
      <c r="B13" s="327"/>
      <c r="C13" s="463" t="s">
        <v>354</v>
      </c>
      <c r="D13" s="461">
        <v>0</v>
      </c>
      <c r="E13" s="420">
        <v>0</v>
      </c>
      <c r="F13" s="419">
        <v>0</v>
      </c>
      <c r="G13" s="421">
        <v>0</v>
      </c>
      <c r="H13" s="421">
        <v>0</v>
      </c>
      <c r="I13" s="421">
        <v>0</v>
      </c>
      <c r="J13" s="575">
        <v>0</v>
      </c>
    </row>
    <row r="14" spans="1:10" s="320" customFormat="1" outlineLevel="2" x14ac:dyDescent="0.25">
      <c r="A14" s="372"/>
      <c r="B14" s="327"/>
      <c r="C14" s="463" t="s">
        <v>355</v>
      </c>
      <c r="D14" s="461">
        <v>0</v>
      </c>
      <c r="E14" s="420">
        <v>0</v>
      </c>
      <c r="F14" s="419">
        <v>0</v>
      </c>
      <c r="G14" s="421">
        <v>0</v>
      </c>
      <c r="H14" s="421">
        <v>0</v>
      </c>
      <c r="I14" s="421">
        <v>0</v>
      </c>
      <c r="J14" s="575">
        <v>0</v>
      </c>
    </row>
    <row r="15" spans="1:10" s="320" customFormat="1" outlineLevel="2" x14ac:dyDescent="0.25">
      <c r="A15" s="372"/>
      <c r="B15" s="327"/>
      <c r="C15" s="463" t="s">
        <v>356</v>
      </c>
      <c r="D15" s="461">
        <v>0</v>
      </c>
      <c r="E15" s="420">
        <v>0</v>
      </c>
      <c r="F15" s="419">
        <v>0</v>
      </c>
      <c r="G15" s="421">
        <v>0</v>
      </c>
      <c r="H15" s="421">
        <v>0</v>
      </c>
      <c r="I15" s="421">
        <v>0</v>
      </c>
      <c r="J15" s="575">
        <v>0</v>
      </c>
    </row>
    <row r="16" spans="1:10" s="320" customFormat="1" outlineLevel="2" x14ac:dyDescent="0.25">
      <c r="A16" s="372"/>
      <c r="B16" s="327"/>
      <c r="C16" s="463" t="s">
        <v>357</v>
      </c>
      <c r="D16" s="461">
        <v>0</v>
      </c>
      <c r="E16" s="420">
        <v>0</v>
      </c>
      <c r="F16" s="419">
        <v>0</v>
      </c>
      <c r="G16" s="421">
        <v>0</v>
      </c>
      <c r="H16" s="421">
        <v>0</v>
      </c>
      <c r="I16" s="421">
        <v>0</v>
      </c>
      <c r="J16" s="575">
        <v>0</v>
      </c>
    </row>
    <row r="17" spans="1:10" s="320" customFormat="1" outlineLevel="2" x14ac:dyDescent="0.25">
      <c r="A17" s="372"/>
      <c r="B17" s="327"/>
      <c r="C17" s="463" t="s">
        <v>358</v>
      </c>
      <c r="D17" s="461">
        <v>0</v>
      </c>
      <c r="E17" s="420">
        <v>0</v>
      </c>
      <c r="F17" s="419">
        <v>0</v>
      </c>
      <c r="G17" s="421">
        <v>0</v>
      </c>
      <c r="H17" s="421">
        <v>0</v>
      </c>
      <c r="I17" s="421">
        <v>0</v>
      </c>
      <c r="J17" s="575">
        <v>0</v>
      </c>
    </row>
    <row r="18" spans="1:10" s="320" customFormat="1" outlineLevel="2" x14ac:dyDescent="0.25">
      <c r="A18" s="372"/>
      <c r="B18" s="327"/>
      <c r="C18" s="463" t="s">
        <v>359</v>
      </c>
      <c r="D18" s="461">
        <v>0</v>
      </c>
      <c r="E18" s="420">
        <v>0</v>
      </c>
      <c r="F18" s="419">
        <v>0</v>
      </c>
      <c r="G18" s="421">
        <v>0</v>
      </c>
      <c r="H18" s="421">
        <v>0</v>
      </c>
      <c r="I18" s="421">
        <v>0</v>
      </c>
      <c r="J18" s="575">
        <v>0</v>
      </c>
    </row>
    <row r="19" spans="1:10" s="320" customFormat="1" outlineLevel="2" x14ac:dyDescent="0.25">
      <c r="A19" s="372"/>
      <c r="B19" s="327"/>
      <c r="C19" s="463" t="s">
        <v>360</v>
      </c>
      <c r="D19" s="461">
        <v>0</v>
      </c>
      <c r="E19" s="420">
        <v>0</v>
      </c>
      <c r="F19" s="419">
        <v>0</v>
      </c>
      <c r="G19" s="421">
        <v>0</v>
      </c>
      <c r="H19" s="421">
        <v>0</v>
      </c>
      <c r="I19" s="421">
        <v>0</v>
      </c>
      <c r="J19" s="575">
        <v>0</v>
      </c>
    </row>
    <row r="20" spans="1:10" s="320" customFormat="1" outlineLevel="2" x14ac:dyDescent="0.25">
      <c r="A20" s="372"/>
      <c r="B20" s="327"/>
      <c r="C20" s="463" t="s">
        <v>361</v>
      </c>
      <c r="D20" s="461">
        <v>0</v>
      </c>
      <c r="E20" s="420">
        <v>0</v>
      </c>
      <c r="F20" s="419">
        <v>0</v>
      </c>
      <c r="G20" s="421">
        <v>0</v>
      </c>
      <c r="H20" s="421">
        <v>0</v>
      </c>
      <c r="I20" s="421">
        <v>0</v>
      </c>
      <c r="J20" s="575">
        <v>0</v>
      </c>
    </row>
    <row r="21" spans="1:10" s="320" customFormat="1" outlineLevel="2" x14ac:dyDescent="0.25">
      <c r="A21" s="372"/>
      <c r="B21" s="327"/>
      <c r="C21" s="463" t="s">
        <v>362</v>
      </c>
      <c r="D21" s="461">
        <v>0</v>
      </c>
      <c r="E21" s="420">
        <v>0</v>
      </c>
      <c r="F21" s="419">
        <v>0</v>
      </c>
      <c r="G21" s="421">
        <v>0</v>
      </c>
      <c r="H21" s="421">
        <v>0</v>
      </c>
      <c r="I21" s="421">
        <v>0</v>
      </c>
      <c r="J21" s="575">
        <v>0</v>
      </c>
    </row>
    <row r="22" spans="1:10" s="320" customFormat="1" outlineLevel="2" x14ac:dyDescent="0.25">
      <c r="A22" s="372"/>
      <c r="B22" s="327"/>
      <c r="C22" s="463" t="s">
        <v>363</v>
      </c>
      <c r="D22" s="461">
        <v>0</v>
      </c>
      <c r="E22" s="420">
        <v>0</v>
      </c>
      <c r="F22" s="419">
        <v>0</v>
      </c>
      <c r="G22" s="421">
        <v>0</v>
      </c>
      <c r="H22" s="421">
        <v>0</v>
      </c>
      <c r="I22" s="421">
        <v>0</v>
      </c>
      <c r="J22" s="575">
        <v>0</v>
      </c>
    </row>
    <row r="23" spans="1:10" s="320" customFormat="1" ht="15" customHeight="1" outlineLevel="2" x14ac:dyDescent="0.25">
      <c r="A23" s="372"/>
      <c r="B23" s="470"/>
      <c r="C23" s="471" t="s">
        <v>174</v>
      </c>
      <c r="D23" s="462">
        <v>0</v>
      </c>
      <c r="E23" s="423">
        <v>0</v>
      </c>
      <c r="F23" s="422">
        <v>0</v>
      </c>
      <c r="G23" s="424">
        <v>0</v>
      </c>
      <c r="H23" s="424">
        <v>0</v>
      </c>
      <c r="I23" s="424">
        <v>0</v>
      </c>
      <c r="J23" s="576">
        <v>0</v>
      </c>
    </row>
    <row r="24" spans="1:10" s="320" customFormat="1" ht="24.95" customHeight="1" outlineLevel="1" x14ac:dyDescent="0.25">
      <c r="A24" s="372"/>
      <c r="B24" s="373" t="s">
        <v>364</v>
      </c>
      <c r="C24" s="374"/>
      <c r="D24" s="374"/>
      <c r="E24" s="374"/>
      <c r="F24" s="374"/>
      <c r="G24" s="374"/>
      <c r="H24" s="374"/>
      <c r="I24" s="374"/>
      <c r="J24" s="573"/>
    </row>
    <row r="25" spans="1:10" s="320" customFormat="1" outlineLevel="2" x14ac:dyDescent="0.25">
      <c r="A25" s="372"/>
      <c r="B25" s="330"/>
      <c r="C25" s="464" t="s">
        <v>353</v>
      </c>
      <c r="D25" s="468">
        <v>0</v>
      </c>
      <c r="E25" s="467">
        <v>0</v>
      </c>
      <c r="F25" s="468">
        <v>0</v>
      </c>
      <c r="G25" s="469">
        <v>0</v>
      </c>
      <c r="H25" s="469">
        <v>0</v>
      </c>
      <c r="I25" s="469">
        <v>0</v>
      </c>
      <c r="J25" s="574">
        <v>0</v>
      </c>
    </row>
    <row r="26" spans="1:10" s="320" customFormat="1" outlineLevel="2" x14ac:dyDescent="0.25">
      <c r="A26" s="372"/>
      <c r="B26" s="327"/>
      <c r="C26" s="463" t="s">
        <v>354</v>
      </c>
      <c r="D26" s="419">
        <v>0</v>
      </c>
      <c r="E26" s="420">
        <v>0</v>
      </c>
      <c r="F26" s="419">
        <v>0</v>
      </c>
      <c r="G26" s="421">
        <v>0</v>
      </c>
      <c r="H26" s="421">
        <v>0</v>
      </c>
      <c r="I26" s="421">
        <v>0</v>
      </c>
      <c r="J26" s="575">
        <v>0</v>
      </c>
    </row>
    <row r="27" spans="1:10" s="320" customFormat="1" outlineLevel="2" x14ac:dyDescent="0.25">
      <c r="A27" s="372"/>
      <c r="B27" s="327"/>
      <c r="C27" s="463" t="s">
        <v>355</v>
      </c>
      <c r="D27" s="419">
        <v>3165</v>
      </c>
      <c r="E27" s="420">
        <v>3169</v>
      </c>
      <c r="F27" s="419">
        <v>3173</v>
      </c>
      <c r="G27" s="421">
        <v>3177</v>
      </c>
      <c r="H27" s="421">
        <v>3181</v>
      </c>
      <c r="I27" s="421">
        <v>3184</v>
      </c>
      <c r="J27" s="575">
        <v>3188</v>
      </c>
    </row>
    <row r="28" spans="1:10" s="320" customFormat="1" outlineLevel="2" x14ac:dyDescent="0.25">
      <c r="A28" s="372"/>
      <c r="B28" s="327"/>
      <c r="C28" s="463" t="s">
        <v>356</v>
      </c>
      <c r="D28" s="419">
        <v>1348</v>
      </c>
      <c r="E28" s="420">
        <v>1349</v>
      </c>
      <c r="F28" s="419">
        <v>1350</v>
      </c>
      <c r="G28" s="421">
        <v>1351</v>
      </c>
      <c r="H28" s="421">
        <v>1352</v>
      </c>
      <c r="I28" s="421">
        <v>1353</v>
      </c>
      <c r="J28" s="575">
        <v>1354</v>
      </c>
    </row>
    <row r="29" spans="1:10" s="320" customFormat="1" outlineLevel="2" x14ac:dyDescent="0.25">
      <c r="A29" s="372"/>
      <c r="B29" s="327"/>
      <c r="C29" s="463" t="s">
        <v>357</v>
      </c>
      <c r="D29" s="419">
        <v>0</v>
      </c>
      <c r="E29" s="420">
        <v>0</v>
      </c>
      <c r="F29" s="419">
        <v>0</v>
      </c>
      <c r="G29" s="421">
        <v>0</v>
      </c>
      <c r="H29" s="421">
        <v>0</v>
      </c>
      <c r="I29" s="421">
        <v>0</v>
      </c>
      <c r="J29" s="575">
        <v>0</v>
      </c>
    </row>
    <row r="30" spans="1:10" s="320" customFormat="1" outlineLevel="2" x14ac:dyDescent="0.25">
      <c r="A30" s="372"/>
      <c r="B30" s="327"/>
      <c r="C30" s="463" t="s">
        <v>358</v>
      </c>
      <c r="D30" s="419">
        <v>0</v>
      </c>
      <c r="E30" s="420">
        <v>0</v>
      </c>
      <c r="F30" s="419">
        <v>0</v>
      </c>
      <c r="G30" s="421">
        <v>0</v>
      </c>
      <c r="H30" s="421">
        <v>0</v>
      </c>
      <c r="I30" s="421">
        <v>0</v>
      </c>
      <c r="J30" s="575">
        <v>0</v>
      </c>
    </row>
    <row r="31" spans="1:10" s="320" customFormat="1" outlineLevel="2" x14ac:dyDescent="0.25">
      <c r="A31" s="372"/>
      <c r="B31" s="327"/>
      <c r="C31" s="463" t="s">
        <v>359</v>
      </c>
      <c r="D31" s="419">
        <v>0</v>
      </c>
      <c r="E31" s="420">
        <v>0</v>
      </c>
      <c r="F31" s="419">
        <v>0</v>
      </c>
      <c r="G31" s="421">
        <v>0</v>
      </c>
      <c r="H31" s="421">
        <v>0</v>
      </c>
      <c r="I31" s="421">
        <v>0</v>
      </c>
      <c r="J31" s="575">
        <v>0</v>
      </c>
    </row>
    <row r="32" spans="1:10" s="320" customFormat="1" outlineLevel="2" x14ac:dyDescent="0.25">
      <c r="A32" s="372"/>
      <c r="B32" s="327"/>
      <c r="C32" s="463" t="s">
        <v>360</v>
      </c>
      <c r="D32" s="419">
        <v>0</v>
      </c>
      <c r="E32" s="420">
        <v>0</v>
      </c>
      <c r="F32" s="419">
        <v>0</v>
      </c>
      <c r="G32" s="421">
        <v>0</v>
      </c>
      <c r="H32" s="421">
        <v>0</v>
      </c>
      <c r="I32" s="421">
        <v>0</v>
      </c>
      <c r="J32" s="575">
        <v>0</v>
      </c>
    </row>
    <row r="33" spans="1:10" s="320" customFormat="1" outlineLevel="2" x14ac:dyDescent="0.25">
      <c r="A33" s="372"/>
      <c r="B33" s="327"/>
      <c r="C33" s="463" t="s">
        <v>361</v>
      </c>
      <c r="D33" s="461">
        <v>0</v>
      </c>
      <c r="E33" s="420">
        <v>0</v>
      </c>
      <c r="F33" s="419">
        <v>0</v>
      </c>
      <c r="G33" s="421">
        <v>0</v>
      </c>
      <c r="H33" s="421">
        <v>0</v>
      </c>
      <c r="I33" s="421">
        <v>0</v>
      </c>
      <c r="J33" s="575">
        <v>0</v>
      </c>
    </row>
    <row r="34" spans="1:10" s="320" customFormat="1" outlineLevel="2" x14ac:dyDescent="0.25">
      <c r="A34" s="372"/>
      <c r="B34" s="327"/>
      <c r="C34" s="463" t="s">
        <v>362</v>
      </c>
      <c r="D34" s="419">
        <v>0</v>
      </c>
      <c r="E34" s="420">
        <v>0</v>
      </c>
      <c r="F34" s="419">
        <v>0</v>
      </c>
      <c r="G34" s="421">
        <v>0</v>
      </c>
      <c r="H34" s="421">
        <v>0</v>
      </c>
      <c r="I34" s="421">
        <v>0</v>
      </c>
      <c r="J34" s="575">
        <v>0</v>
      </c>
    </row>
    <row r="35" spans="1:10" s="320" customFormat="1" outlineLevel="2" x14ac:dyDescent="0.25">
      <c r="A35" s="372"/>
      <c r="B35" s="327"/>
      <c r="C35" s="463" t="s">
        <v>363</v>
      </c>
      <c r="D35" s="419">
        <v>0.1</v>
      </c>
      <c r="E35" s="420">
        <v>0.1</v>
      </c>
      <c r="F35" s="419">
        <v>0.1</v>
      </c>
      <c r="G35" s="421">
        <v>0.1</v>
      </c>
      <c r="H35" s="421">
        <v>0.1</v>
      </c>
      <c r="I35" s="421">
        <v>0.1</v>
      </c>
      <c r="J35" s="575">
        <v>0.1</v>
      </c>
    </row>
    <row r="36" spans="1:10" s="320" customFormat="1" ht="15" customHeight="1" outlineLevel="2" x14ac:dyDescent="0.25">
      <c r="A36" s="372"/>
      <c r="B36" s="470"/>
      <c r="C36" s="471" t="s">
        <v>174</v>
      </c>
      <c r="D36" s="422">
        <v>0.1</v>
      </c>
      <c r="E36" s="423">
        <v>0.1</v>
      </c>
      <c r="F36" s="422">
        <v>0.1</v>
      </c>
      <c r="G36" s="424">
        <v>0.1</v>
      </c>
      <c r="H36" s="424">
        <v>0.1</v>
      </c>
      <c r="I36" s="424">
        <v>0.1</v>
      </c>
      <c r="J36" s="576">
        <v>0.1</v>
      </c>
    </row>
    <row r="37" spans="1:10" s="320" customFormat="1" ht="24.95" customHeight="1" outlineLevel="1" x14ac:dyDescent="0.25">
      <c r="A37" s="372"/>
      <c r="B37" s="373" t="s">
        <v>365</v>
      </c>
      <c r="C37" s="374"/>
      <c r="D37" s="374"/>
      <c r="E37" s="374"/>
      <c r="F37" s="374"/>
      <c r="G37" s="374"/>
      <c r="H37" s="374"/>
      <c r="I37" s="374"/>
      <c r="J37" s="573"/>
    </row>
    <row r="38" spans="1:10" s="320" customFormat="1" outlineLevel="2" x14ac:dyDescent="0.25">
      <c r="A38" s="372"/>
      <c r="B38" s="330"/>
      <c r="C38" s="464" t="s">
        <v>353</v>
      </c>
      <c r="D38" s="468">
        <v>0</v>
      </c>
      <c r="E38" s="467">
        <v>0</v>
      </c>
      <c r="F38" s="468">
        <v>0</v>
      </c>
      <c r="G38" s="469">
        <v>0</v>
      </c>
      <c r="H38" s="469">
        <v>0</v>
      </c>
      <c r="I38" s="469">
        <v>0</v>
      </c>
      <c r="J38" s="574">
        <v>0</v>
      </c>
    </row>
    <row r="39" spans="1:10" s="320" customFormat="1" outlineLevel="2" x14ac:dyDescent="0.25">
      <c r="A39" s="372"/>
      <c r="B39" s="327"/>
      <c r="C39" s="463" t="s">
        <v>354</v>
      </c>
      <c r="D39" s="419">
        <v>0</v>
      </c>
      <c r="E39" s="420">
        <v>0</v>
      </c>
      <c r="F39" s="419">
        <v>0</v>
      </c>
      <c r="G39" s="421">
        <v>0</v>
      </c>
      <c r="H39" s="421">
        <v>0</v>
      </c>
      <c r="I39" s="421">
        <v>0</v>
      </c>
      <c r="J39" s="575">
        <v>0</v>
      </c>
    </row>
    <row r="40" spans="1:10" s="320" customFormat="1" outlineLevel="2" x14ac:dyDescent="0.25">
      <c r="A40" s="372"/>
      <c r="B40" s="327"/>
      <c r="C40" s="463" t="s">
        <v>355</v>
      </c>
      <c r="D40" s="419">
        <v>0</v>
      </c>
      <c r="E40" s="420">
        <v>0</v>
      </c>
      <c r="F40" s="419">
        <v>0</v>
      </c>
      <c r="G40" s="421">
        <v>0</v>
      </c>
      <c r="H40" s="421">
        <v>0</v>
      </c>
      <c r="I40" s="421">
        <v>0</v>
      </c>
      <c r="J40" s="575">
        <v>0</v>
      </c>
    </row>
    <row r="41" spans="1:10" s="320" customFormat="1" outlineLevel="2" x14ac:dyDescent="0.25">
      <c r="A41" s="372"/>
      <c r="B41" s="327"/>
      <c r="C41" s="463" t="s">
        <v>356</v>
      </c>
      <c r="D41" s="419">
        <v>0</v>
      </c>
      <c r="E41" s="420">
        <v>0</v>
      </c>
      <c r="F41" s="419">
        <v>0</v>
      </c>
      <c r="G41" s="421">
        <v>0</v>
      </c>
      <c r="H41" s="421">
        <v>0</v>
      </c>
      <c r="I41" s="421">
        <v>0</v>
      </c>
      <c r="J41" s="575">
        <v>0</v>
      </c>
    </row>
    <row r="42" spans="1:10" s="320" customFormat="1" outlineLevel="2" x14ac:dyDescent="0.25">
      <c r="A42" s="372"/>
      <c r="B42" s="327"/>
      <c r="C42" s="463" t="s">
        <v>357</v>
      </c>
      <c r="D42" s="419">
        <v>0</v>
      </c>
      <c r="E42" s="420">
        <v>0</v>
      </c>
      <c r="F42" s="419">
        <v>0</v>
      </c>
      <c r="G42" s="421">
        <v>0</v>
      </c>
      <c r="H42" s="421">
        <v>0</v>
      </c>
      <c r="I42" s="421">
        <v>0</v>
      </c>
      <c r="J42" s="575">
        <v>0</v>
      </c>
    </row>
    <row r="43" spans="1:10" s="320" customFormat="1" outlineLevel="2" x14ac:dyDescent="0.25">
      <c r="A43" s="372"/>
      <c r="B43" s="327"/>
      <c r="C43" s="463" t="s">
        <v>358</v>
      </c>
      <c r="D43" s="419">
        <v>0</v>
      </c>
      <c r="E43" s="420">
        <v>0</v>
      </c>
      <c r="F43" s="419">
        <v>0</v>
      </c>
      <c r="G43" s="421">
        <v>0</v>
      </c>
      <c r="H43" s="421">
        <v>0</v>
      </c>
      <c r="I43" s="421">
        <v>0</v>
      </c>
      <c r="J43" s="575">
        <v>0</v>
      </c>
    </row>
    <row r="44" spans="1:10" s="320" customFormat="1" outlineLevel="2" x14ac:dyDescent="0.25">
      <c r="A44" s="372"/>
      <c r="B44" s="327"/>
      <c r="C44" s="463" t="s">
        <v>359</v>
      </c>
      <c r="D44" s="419">
        <v>0</v>
      </c>
      <c r="E44" s="420">
        <v>0</v>
      </c>
      <c r="F44" s="419">
        <v>0</v>
      </c>
      <c r="G44" s="421">
        <v>0</v>
      </c>
      <c r="H44" s="421">
        <v>0</v>
      </c>
      <c r="I44" s="421">
        <v>0</v>
      </c>
      <c r="J44" s="575">
        <v>0</v>
      </c>
    </row>
    <row r="45" spans="1:10" s="320" customFormat="1" outlineLevel="2" x14ac:dyDescent="0.25">
      <c r="A45" s="372"/>
      <c r="B45" s="327"/>
      <c r="C45" s="463" t="s">
        <v>360</v>
      </c>
      <c r="D45" s="419">
        <v>0</v>
      </c>
      <c r="E45" s="420">
        <v>0</v>
      </c>
      <c r="F45" s="419">
        <v>0</v>
      </c>
      <c r="G45" s="421">
        <v>0</v>
      </c>
      <c r="H45" s="421">
        <v>0</v>
      </c>
      <c r="I45" s="421">
        <v>0</v>
      </c>
      <c r="J45" s="575">
        <v>0</v>
      </c>
    </row>
    <row r="46" spans="1:10" s="320" customFormat="1" outlineLevel="2" x14ac:dyDescent="0.25">
      <c r="A46" s="372"/>
      <c r="B46" s="327"/>
      <c r="C46" s="463" t="s">
        <v>361</v>
      </c>
      <c r="D46" s="461">
        <v>0</v>
      </c>
      <c r="E46" s="420">
        <v>0</v>
      </c>
      <c r="F46" s="419">
        <v>0</v>
      </c>
      <c r="G46" s="421">
        <v>0</v>
      </c>
      <c r="H46" s="421">
        <v>0</v>
      </c>
      <c r="I46" s="421">
        <v>0</v>
      </c>
      <c r="J46" s="575">
        <v>0</v>
      </c>
    </row>
    <row r="47" spans="1:10" s="320" customFormat="1" outlineLevel="2" x14ac:dyDescent="0.25">
      <c r="A47" s="372"/>
      <c r="B47" s="327"/>
      <c r="C47" s="463" t="s">
        <v>362</v>
      </c>
      <c r="D47" s="419">
        <v>0</v>
      </c>
      <c r="E47" s="420">
        <v>0</v>
      </c>
      <c r="F47" s="419">
        <v>0</v>
      </c>
      <c r="G47" s="421">
        <v>0</v>
      </c>
      <c r="H47" s="421">
        <v>0</v>
      </c>
      <c r="I47" s="421">
        <v>0</v>
      </c>
      <c r="J47" s="575">
        <v>0</v>
      </c>
    </row>
    <row r="48" spans="1:10" s="320" customFormat="1" outlineLevel="2" x14ac:dyDescent="0.25">
      <c r="A48" s="372"/>
      <c r="B48" s="327"/>
      <c r="C48" s="463" t="s">
        <v>363</v>
      </c>
      <c r="D48" s="419">
        <v>236</v>
      </c>
      <c r="E48" s="420">
        <v>236</v>
      </c>
      <c r="F48" s="419">
        <v>236</v>
      </c>
      <c r="G48" s="421">
        <v>236</v>
      </c>
      <c r="H48" s="421">
        <v>236</v>
      </c>
      <c r="I48" s="421">
        <v>236</v>
      </c>
      <c r="J48" s="575">
        <v>236</v>
      </c>
    </row>
    <row r="49" spans="1:10" s="320" customFormat="1" ht="15" customHeight="1" outlineLevel="2" x14ac:dyDescent="0.25">
      <c r="A49" s="372"/>
      <c r="B49" s="470"/>
      <c r="C49" s="471" t="s">
        <v>174</v>
      </c>
      <c r="D49" s="422">
        <v>0</v>
      </c>
      <c r="E49" s="423">
        <v>0</v>
      </c>
      <c r="F49" s="422">
        <v>0</v>
      </c>
      <c r="G49" s="424">
        <v>0</v>
      </c>
      <c r="H49" s="424">
        <v>0</v>
      </c>
      <c r="I49" s="424">
        <v>0</v>
      </c>
      <c r="J49" s="576">
        <v>0</v>
      </c>
    </row>
    <row r="50" spans="1:10" s="320" customFormat="1" ht="24.95" customHeight="1" outlineLevel="1" x14ac:dyDescent="0.25">
      <c r="A50" s="372"/>
      <c r="B50" s="373" t="s">
        <v>366</v>
      </c>
      <c r="C50" s="374"/>
      <c r="D50" s="374"/>
      <c r="E50" s="374"/>
      <c r="F50" s="374"/>
      <c r="G50" s="374"/>
      <c r="H50" s="374"/>
      <c r="I50" s="374"/>
      <c r="J50" s="573"/>
    </row>
    <row r="51" spans="1:10" s="320" customFormat="1" outlineLevel="2" x14ac:dyDescent="0.25">
      <c r="A51" s="372"/>
      <c r="B51" s="327"/>
      <c r="C51" s="463" t="s">
        <v>363</v>
      </c>
      <c r="D51" s="419">
        <v>68</v>
      </c>
      <c r="E51" s="420">
        <v>68</v>
      </c>
      <c r="F51" s="419">
        <v>68</v>
      </c>
      <c r="G51" s="421">
        <v>68</v>
      </c>
      <c r="H51" s="421">
        <v>68</v>
      </c>
      <c r="I51" s="421">
        <v>68</v>
      </c>
      <c r="J51" s="575">
        <v>68</v>
      </c>
    </row>
    <row r="52" spans="1:10" s="320" customFormat="1" ht="15" customHeight="1" outlineLevel="2" x14ac:dyDescent="0.25">
      <c r="A52" s="372"/>
      <c r="B52" s="327"/>
      <c r="C52" s="463" t="s">
        <v>174</v>
      </c>
      <c r="D52" s="419">
        <v>0</v>
      </c>
      <c r="E52" s="420">
        <v>0</v>
      </c>
      <c r="F52" s="419">
        <v>0</v>
      </c>
      <c r="G52" s="421">
        <v>0</v>
      </c>
      <c r="H52" s="421">
        <v>0</v>
      </c>
      <c r="I52" s="421">
        <v>0</v>
      </c>
      <c r="J52" s="575">
        <v>0</v>
      </c>
    </row>
    <row r="53" spans="1:10" s="320" customFormat="1" ht="19.5" customHeight="1" outlineLevel="2" x14ac:dyDescent="0.25">
      <c r="A53" s="372"/>
      <c r="B53" s="280"/>
      <c r="C53" s="281" t="s">
        <v>112</v>
      </c>
      <c r="D53" s="281">
        <f t="shared" ref="D53:J53" si="0">SUM(D12:D52)</f>
        <v>4817.2000000000007</v>
      </c>
      <c r="E53" s="281">
        <f t="shared" si="0"/>
        <v>4822.2000000000007</v>
      </c>
      <c r="F53" s="281">
        <f t="shared" si="0"/>
        <v>4827.2000000000007</v>
      </c>
      <c r="G53" s="281">
        <f t="shared" si="0"/>
        <v>4832.2000000000007</v>
      </c>
      <c r="H53" s="281">
        <f t="shared" si="0"/>
        <v>4837.2000000000007</v>
      </c>
      <c r="I53" s="281">
        <f t="shared" si="0"/>
        <v>4841.2000000000007</v>
      </c>
      <c r="J53" s="282">
        <f t="shared" si="0"/>
        <v>4846.2000000000007</v>
      </c>
    </row>
    <row r="54" spans="1:10" s="371" customFormat="1" ht="12.75" outlineLevel="1" x14ac:dyDescent="0.2">
      <c r="A54" s="375"/>
      <c r="B54" s="376"/>
      <c r="C54" s="376"/>
      <c r="D54" s="376"/>
      <c r="E54" s="376"/>
      <c r="F54" s="376"/>
      <c r="G54" s="376"/>
      <c r="H54" s="376"/>
      <c r="I54" s="376"/>
      <c r="J54" s="376"/>
    </row>
    <row r="55" spans="1:10" s="371" customFormat="1" ht="12.75" x14ac:dyDescent="0.2">
      <c r="A55" s="375"/>
      <c r="B55" s="376"/>
      <c r="C55" s="376"/>
      <c r="D55" s="376"/>
      <c r="E55" s="376"/>
      <c r="F55" s="376"/>
      <c r="G55" s="376"/>
      <c r="H55" s="376"/>
      <c r="I55" s="376"/>
      <c r="J55" s="376"/>
    </row>
    <row r="56" spans="1:10" s="371" customFormat="1" ht="15" customHeight="1" x14ac:dyDescent="0.2">
      <c r="A56" s="375"/>
      <c r="B56" s="376"/>
      <c r="C56" s="376"/>
      <c r="D56" s="376"/>
      <c r="E56" s="376"/>
      <c r="F56" s="376"/>
      <c r="G56" s="376"/>
      <c r="H56" s="376"/>
      <c r="I56" s="376"/>
      <c r="J56" s="376"/>
    </row>
    <row r="57" spans="1:10" ht="24.95" customHeight="1" x14ac:dyDescent="0.25">
      <c r="A57" s="238"/>
      <c r="B57" s="31" t="s">
        <v>367</v>
      </c>
      <c r="C57" s="31"/>
      <c r="D57" s="31"/>
      <c r="E57" s="31"/>
      <c r="F57" s="31"/>
      <c r="G57" s="31"/>
      <c r="H57" s="31"/>
      <c r="I57" s="31"/>
      <c r="J57" s="31"/>
    </row>
    <row r="58" spans="1:10" s="38" customFormat="1" ht="15" customHeight="1" outlineLevel="2" x14ac:dyDescent="0.25">
      <c r="B58" s="289"/>
      <c r="C58" s="355"/>
      <c r="D58" s="1335" t="s">
        <v>158</v>
      </c>
      <c r="E58" s="1336"/>
      <c r="F58" s="1336"/>
      <c r="G58" s="1336"/>
      <c r="H58" s="1336"/>
      <c r="I58" s="1336"/>
      <c r="J58" s="1337"/>
    </row>
    <row r="59" spans="1:10" s="38" customFormat="1" ht="16.5" customHeight="1" outlineLevel="2" x14ac:dyDescent="0.25">
      <c r="C59" s="62"/>
      <c r="D59" s="1328" t="s">
        <v>368</v>
      </c>
      <c r="E59" s="1329"/>
      <c r="F59" s="1329"/>
      <c r="G59" s="1329"/>
      <c r="H59" s="1329"/>
      <c r="I59" s="1329"/>
      <c r="J59" s="1330"/>
    </row>
    <row r="60" spans="1:10" s="38" customFormat="1" ht="17.25" customHeight="1" outlineLevel="2" x14ac:dyDescent="0.25">
      <c r="B60" s="77"/>
      <c r="C60" s="302"/>
      <c r="D60" s="386" t="str">
        <f ca="1">dms_y1</f>
        <v>2024-25</v>
      </c>
      <c r="E60" s="1346" t="str">
        <f ca="1">dms_y2</f>
        <v>2025-26</v>
      </c>
      <c r="F60" s="290" t="str">
        <f ca="1">dms_y3</f>
        <v>2026-27</v>
      </c>
      <c r="G60" s="290" t="str">
        <f ca="1">dms_y4</f>
        <v>2027-28</v>
      </c>
      <c r="H60" s="290" t="str">
        <f ca="1">dms_y5</f>
        <v>2028-29</v>
      </c>
      <c r="I60" s="290" t="str">
        <f ca="1">dms_y6</f>
        <v>2029-30</v>
      </c>
      <c r="J60" s="387" t="str">
        <f ca="1">dms_y7</f>
        <v>2030-31</v>
      </c>
    </row>
    <row r="61" spans="1:10" s="320" customFormat="1" outlineLevel="2" x14ac:dyDescent="0.25">
      <c r="A61" s="372"/>
      <c r="B61" s="577"/>
      <c r="C61" s="473" t="s">
        <v>369</v>
      </c>
      <c r="D61" s="578">
        <v>2</v>
      </c>
      <c r="E61" s="579">
        <v>2</v>
      </c>
      <c r="F61" s="578">
        <v>2</v>
      </c>
      <c r="G61" s="580">
        <v>2</v>
      </c>
      <c r="H61" s="580">
        <v>2</v>
      </c>
      <c r="I61" s="580">
        <v>2</v>
      </c>
      <c r="J61" s="581">
        <v>2</v>
      </c>
    </row>
    <row r="62" spans="1:10" s="320" customFormat="1" outlineLevel="2" x14ac:dyDescent="0.25">
      <c r="A62" s="372"/>
      <c r="B62" s="582"/>
      <c r="C62" s="474" t="s">
        <v>370</v>
      </c>
      <c r="D62" s="419">
        <v>5</v>
      </c>
      <c r="E62" s="420">
        <v>5</v>
      </c>
      <c r="F62" s="419">
        <v>5</v>
      </c>
      <c r="G62" s="421">
        <v>5</v>
      </c>
      <c r="H62" s="421">
        <v>5</v>
      </c>
      <c r="I62" s="421">
        <v>5</v>
      </c>
      <c r="J62" s="575">
        <v>5</v>
      </c>
    </row>
    <row r="63" spans="1:10" s="320" customFormat="1" ht="15" customHeight="1" outlineLevel="2" x14ac:dyDescent="0.25">
      <c r="A63" s="372"/>
      <c r="B63" s="583"/>
      <c r="C63" s="569" t="s">
        <v>371</v>
      </c>
      <c r="D63" s="570">
        <v>96</v>
      </c>
      <c r="E63" s="571">
        <v>96</v>
      </c>
      <c r="F63" s="570">
        <v>96</v>
      </c>
      <c r="G63" s="572">
        <v>96</v>
      </c>
      <c r="H63" s="572">
        <v>96</v>
      </c>
      <c r="I63" s="572">
        <v>96</v>
      </c>
      <c r="J63" s="584">
        <v>96</v>
      </c>
    </row>
    <row r="64" spans="1:10" s="320" customFormat="1" ht="15" customHeight="1" outlineLevel="2" x14ac:dyDescent="0.25">
      <c r="A64" s="372"/>
      <c r="B64" s="280"/>
      <c r="C64" s="281" t="s">
        <v>112</v>
      </c>
      <c r="D64" s="281">
        <f t="shared" ref="D64:J64" si="1">SUM(D61:D63)</f>
        <v>103</v>
      </c>
      <c r="E64" s="281">
        <f t="shared" si="1"/>
        <v>103</v>
      </c>
      <c r="F64" s="281">
        <f t="shared" si="1"/>
        <v>103</v>
      </c>
      <c r="G64" s="281">
        <f t="shared" si="1"/>
        <v>103</v>
      </c>
      <c r="H64" s="281">
        <f t="shared" si="1"/>
        <v>103</v>
      </c>
      <c r="I64" s="281">
        <f t="shared" si="1"/>
        <v>103</v>
      </c>
      <c r="J64" s="282">
        <f t="shared" si="1"/>
        <v>103</v>
      </c>
    </row>
    <row r="65" spans="1:1" s="320" customFormat="1" ht="18.75" customHeight="1" x14ac:dyDescent="0.25">
      <c r="A65" s="372"/>
    </row>
    <row r="66" spans="1:1" s="320" customFormat="1" ht="18.75" customHeight="1" x14ac:dyDescent="0.25">
      <c r="A66" s="372"/>
    </row>
  </sheetData>
  <sheetProtection algorithmName="SHA-256" hashValue="qsEXxNIQEjA8vgDnSVkX11XgfuUB09/kEa7P83Y8CHU=" saltValue="0YBShq98f/wp2ccFpLINOQ=="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E46C0A"/>
  </sheetPr>
  <dimension ref="A1:I73"/>
  <sheetViews>
    <sheetView showGridLines="0" topLeftCell="A13" workbookViewId="0">
      <selection activeCell="E39" sqref="E39"/>
    </sheetView>
  </sheetViews>
  <sheetFormatPr defaultColWidth="9.140625" defaultRowHeight="15" x14ac:dyDescent="0.25"/>
  <cols>
    <col min="1" max="1" width="22.7109375" customWidth="1"/>
    <col min="2" max="2" width="61.5703125" customWidth="1"/>
    <col min="3" max="9" width="20.7109375" customWidth="1"/>
    <col min="10" max="10" width="18.71093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372</v>
      </c>
      <c r="C4" s="383"/>
      <c r="D4" s="383"/>
      <c r="E4" s="383"/>
      <c r="F4" s="383"/>
      <c r="G4" s="383"/>
      <c r="H4" s="383"/>
      <c r="I4" s="383"/>
    </row>
    <row r="5" spans="1:9" ht="30" customHeight="1" x14ac:dyDescent="0.25">
      <c r="B5" s="1440" t="s">
        <v>96</v>
      </c>
      <c r="C5" s="1440"/>
      <c r="D5" s="1440"/>
      <c r="E5" s="1440"/>
      <c r="F5" s="1440"/>
      <c r="G5" s="1440"/>
      <c r="H5" s="1440"/>
      <c r="I5" s="1440"/>
    </row>
    <row r="6" spans="1:9" ht="24.75" customHeight="1" x14ac:dyDescent="0.25"/>
    <row r="7" spans="1:9" s="276" customFormat="1" ht="23.25" customHeight="1" x14ac:dyDescent="0.25">
      <c r="A7" s="238"/>
      <c r="B7" s="31" t="s">
        <v>373</v>
      </c>
      <c r="C7" s="31"/>
      <c r="D7" s="31"/>
      <c r="E7" s="31"/>
      <c r="F7" s="31"/>
      <c r="G7" s="31"/>
      <c r="H7" s="31"/>
      <c r="I7" s="31"/>
    </row>
    <row r="8" spans="1:9" s="276" customFormat="1" ht="19.5" customHeight="1" x14ac:dyDescent="0.2">
      <c r="C8" s="1335" t="s">
        <v>374</v>
      </c>
      <c r="D8" s="1336"/>
      <c r="E8" s="1336"/>
      <c r="F8" s="1336"/>
      <c r="G8" s="1336"/>
      <c r="H8" s="1336"/>
      <c r="I8" s="1337"/>
    </row>
    <row r="9" spans="1:9" s="276" customFormat="1" ht="19.5" customHeight="1" x14ac:dyDescent="0.25">
      <c r="B9" s="77"/>
      <c r="C9" s="1377" t="str">
        <f ca="1">dms_y1</f>
        <v>2024-25</v>
      </c>
      <c r="D9" s="1378" t="str">
        <f ca="1">dms_y2</f>
        <v>2025-26</v>
      </c>
      <c r="E9" s="1379" t="str">
        <f ca="1">dms_y3</f>
        <v>2026-27</v>
      </c>
      <c r="F9" s="1379" t="str">
        <f ca="1">dms_y4</f>
        <v>2027-28</v>
      </c>
      <c r="G9" s="1379" t="str">
        <f ca="1">dms_y5</f>
        <v>2028-29</v>
      </c>
      <c r="H9" s="1379" t="str">
        <f ca="1">dms_y6</f>
        <v>2029-30</v>
      </c>
      <c r="I9" s="1380" t="str">
        <f ca="1">dms_y7</f>
        <v>2030-31</v>
      </c>
    </row>
    <row r="10" spans="1:9" s="41" customFormat="1" ht="22.5" customHeight="1" x14ac:dyDescent="0.2">
      <c r="A10" s="276"/>
      <c r="B10" s="235" t="s">
        <v>375</v>
      </c>
      <c r="C10" s="236"/>
      <c r="D10" s="236"/>
      <c r="E10" s="236"/>
      <c r="F10" s="236"/>
      <c r="G10" s="236"/>
      <c r="H10" s="236"/>
      <c r="I10" s="237"/>
    </row>
    <row r="11" spans="1:9" x14ac:dyDescent="0.25">
      <c r="B11" s="602" t="s">
        <v>376</v>
      </c>
      <c r="C11" s="1381">
        <v>150470</v>
      </c>
      <c r="D11" s="1448">
        <v>148258</v>
      </c>
      <c r="E11" s="1447">
        <v>144670</v>
      </c>
      <c r="F11" s="1382">
        <v>135690</v>
      </c>
      <c r="G11" s="1382">
        <v>125798</v>
      </c>
      <c r="H11" s="1382">
        <v>115402</v>
      </c>
      <c r="I11" s="1383">
        <v>105229</v>
      </c>
    </row>
    <row r="12" spans="1:9" x14ac:dyDescent="0.25">
      <c r="B12" s="602" t="s">
        <v>377</v>
      </c>
      <c r="C12" s="1384">
        <v>148258</v>
      </c>
      <c r="D12" s="1385">
        <v>144670</v>
      </c>
      <c r="E12" s="1386">
        <v>135690</v>
      </c>
      <c r="F12" s="1385">
        <v>125798</v>
      </c>
      <c r="G12" s="1385">
        <v>115402</v>
      </c>
      <c r="H12" s="1385">
        <v>105229</v>
      </c>
      <c r="I12" s="1383">
        <v>95611</v>
      </c>
    </row>
    <row r="13" spans="1:9" x14ac:dyDescent="0.25">
      <c r="B13" s="602" t="s">
        <v>378</v>
      </c>
      <c r="C13" s="1384">
        <v>3439</v>
      </c>
      <c r="D13" s="1385">
        <v>1393</v>
      </c>
      <c r="E13" s="1386">
        <v>1316</v>
      </c>
      <c r="F13" s="1385">
        <v>1229</v>
      </c>
      <c r="G13" s="1385">
        <v>1156</v>
      </c>
      <c r="H13" s="1385">
        <v>1080</v>
      </c>
      <c r="I13" s="1383">
        <v>1005</v>
      </c>
    </row>
    <row r="14" spans="1:9" ht="15" customHeight="1" x14ac:dyDescent="0.25">
      <c r="B14" s="1125" t="s">
        <v>379</v>
      </c>
      <c r="C14" s="1387">
        <v>5651</v>
      </c>
      <c r="D14" s="1388">
        <v>4981</v>
      </c>
      <c r="E14" s="1389">
        <v>10296</v>
      </c>
      <c r="F14" s="1388">
        <v>11121</v>
      </c>
      <c r="G14" s="1388">
        <v>11552</v>
      </c>
      <c r="H14" s="1388">
        <v>11252</v>
      </c>
      <c r="I14" s="1390">
        <v>10623</v>
      </c>
    </row>
    <row r="15" spans="1:9" s="41" customFormat="1" ht="21.75" customHeight="1" x14ac:dyDescent="0.2">
      <c r="A15" s="276"/>
      <c r="B15" s="235" t="s">
        <v>380</v>
      </c>
      <c r="C15" s="1392"/>
      <c r="D15" s="1392"/>
      <c r="E15" s="1392"/>
      <c r="F15" s="1392"/>
      <c r="G15" s="1392"/>
      <c r="H15" s="1392"/>
      <c r="I15" s="1393"/>
    </row>
    <row r="16" spans="1:9" x14ac:dyDescent="0.25">
      <c r="B16" s="602" t="s">
        <v>376</v>
      </c>
      <c r="C16" s="1381">
        <v>2994</v>
      </c>
      <c r="D16" s="1448">
        <v>2980</v>
      </c>
      <c r="E16" s="1447">
        <v>3014</v>
      </c>
      <c r="F16" s="1382">
        <v>2992</v>
      </c>
      <c r="G16" s="1382">
        <v>2969</v>
      </c>
      <c r="H16" s="1382">
        <v>2946</v>
      </c>
      <c r="I16" s="1383">
        <v>2922</v>
      </c>
    </row>
    <row r="17" spans="1:9" x14ac:dyDescent="0.25">
      <c r="B17" s="602" t="s">
        <v>377</v>
      </c>
      <c r="C17" s="1384">
        <v>2980</v>
      </c>
      <c r="D17" s="1385">
        <v>3014</v>
      </c>
      <c r="E17" s="1386">
        <v>2992</v>
      </c>
      <c r="F17" s="1385">
        <v>2969</v>
      </c>
      <c r="G17" s="1385">
        <v>2946</v>
      </c>
      <c r="H17" s="1385">
        <v>2922</v>
      </c>
      <c r="I17" s="1383">
        <v>2897</v>
      </c>
    </row>
    <row r="18" spans="1:9" x14ac:dyDescent="0.25">
      <c r="B18" s="602" t="s">
        <v>378</v>
      </c>
      <c r="C18" s="1384">
        <v>108</v>
      </c>
      <c r="D18" s="1385">
        <v>69</v>
      </c>
      <c r="E18" s="1386">
        <v>36</v>
      </c>
      <c r="F18" s="1385">
        <v>34</v>
      </c>
      <c r="G18" s="1385">
        <v>32</v>
      </c>
      <c r="H18" s="1385">
        <v>30</v>
      </c>
      <c r="I18" s="1383">
        <v>28</v>
      </c>
    </row>
    <row r="19" spans="1:9" ht="15" customHeight="1" x14ac:dyDescent="0.25">
      <c r="B19" s="1125" t="s">
        <v>379</v>
      </c>
      <c r="C19" s="1387">
        <v>121</v>
      </c>
      <c r="D19" s="1388">
        <v>34</v>
      </c>
      <c r="E19" s="1389">
        <v>58</v>
      </c>
      <c r="F19" s="1388">
        <v>57</v>
      </c>
      <c r="G19" s="1388">
        <v>55</v>
      </c>
      <c r="H19" s="1388">
        <v>54</v>
      </c>
      <c r="I19" s="1390">
        <v>52</v>
      </c>
    </row>
    <row r="20" spans="1:9" s="41" customFormat="1" ht="22.5" customHeight="1" x14ac:dyDescent="0.2">
      <c r="A20" s="276"/>
      <c r="B20" s="235" t="s">
        <v>381</v>
      </c>
      <c r="C20" s="1392"/>
      <c r="D20" s="1392"/>
      <c r="E20" s="1392"/>
      <c r="F20" s="1392"/>
      <c r="G20" s="1392"/>
      <c r="H20" s="1392"/>
      <c r="I20" s="1393"/>
    </row>
    <row r="21" spans="1:9" x14ac:dyDescent="0.25">
      <c r="B21" s="602" t="s">
        <v>376</v>
      </c>
      <c r="C21" s="1381">
        <v>43</v>
      </c>
      <c r="D21" s="1448">
        <v>43</v>
      </c>
      <c r="E21" s="1447">
        <v>43</v>
      </c>
      <c r="F21" s="1382">
        <v>43</v>
      </c>
      <c r="G21" s="1382">
        <v>42</v>
      </c>
      <c r="H21" s="1382">
        <v>42</v>
      </c>
      <c r="I21" s="1383">
        <v>40</v>
      </c>
    </row>
    <row r="22" spans="1:9" x14ac:dyDescent="0.25">
      <c r="B22" s="602" t="s">
        <v>377</v>
      </c>
      <c r="C22" s="1384">
        <v>43</v>
      </c>
      <c r="D22" s="1385">
        <v>43</v>
      </c>
      <c r="E22" s="1386">
        <v>43</v>
      </c>
      <c r="F22" s="1385">
        <v>42</v>
      </c>
      <c r="G22" s="1385">
        <v>42</v>
      </c>
      <c r="H22" s="1385">
        <v>40</v>
      </c>
      <c r="I22" s="1383">
        <v>39</v>
      </c>
    </row>
    <row r="23" spans="1:9" x14ac:dyDescent="0.25">
      <c r="B23" s="602" t="s">
        <v>378</v>
      </c>
      <c r="C23" s="1384">
        <v>0</v>
      </c>
      <c r="D23" s="1385">
        <v>0</v>
      </c>
      <c r="E23" s="1386">
        <v>0</v>
      </c>
      <c r="F23" s="1385">
        <v>0</v>
      </c>
      <c r="G23" s="1385">
        <v>0</v>
      </c>
      <c r="H23" s="1385">
        <v>0</v>
      </c>
      <c r="I23" s="1383">
        <v>0</v>
      </c>
    </row>
    <row r="24" spans="1:9" ht="15" customHeight="1" x14ac:dyDescent="0.25">
      <c r="B24" s="1125" t="s">
        <v>379</v>
      </c>
      <c r="C24" s="1387">
        <v>0</v>
      </c>
      <c r="D24" s="1388">
        <v>0</v>
      </c>
      <c r="E24" s="1389">
        <v>0</v>
      </c>
      <c r="F24" s="1388">
        <v>1</v>
      </c>
      <c r="G24" s="1388">
        <v>0</v>
      </c>
      <c r="H24" s="1388">
        <v>2</v>
      </c>
      <c r="I24" s="1390">
        <v>1</v>
      </c>
    </row>
    <row r="25" spans="1:9" x14ac:dyDescent="0.25">
      <c r="C25" s="1391"/>
      <c r="D25" s="1391"/>
      <c r="E25" s="1391"/>
      <c r="F25" s="1391"/>
      <c r="G25" s="1391"/>
      <c r="H25" s="1391"/>
      <c r="I25" s="1391"/>
    </row>
    <row r="26" spans="1:9" x14ac:dyDescent="0.25">
      <c r="C26" s="1391"/>
      <c r="D26" s="1391"/>
      <c r="E26" s="1391"/>
      <c r="F26" s="1391"/>
      <c r="G26" s="1391"/>
      <c r="H26" s="1391"/>
      <c r="I26" s="1391"/>
    </row>
    <row r="27" spans="1:9" ht="15" customHeight="1" x14ac:dyDescent="0.25">
      <c r="C27" s="1391"/>
      <c r="D27" s="1391"/>
      <c r="E27" s="1391"/>
      <c r="F27" s="1391"/>
      <c r="G27" s="1391"/>
      <c r="H27" s="1391"/>
      <c r="I27" s="1391"/>
    </row>
    <row r="28" spans="1:9" s="276" customFormat="1" ht="23.25" customHeight="1" x14ac:dyDescent="0.25">
      <c r="A28" s="238"/>
      <c r="B28" s="31" t="s">
        <v>382</v>
      </c>
      <c r="C28" s="1394"/>
      <c r="D28" s="1394"/>
      <c r="E28" s="1394"/>
      <c r="F28" s="1394"/>
      <c r="G28" s="1394"/>
      <c r="H28" s="1394"/>
      <c r="I28" s="1394"/>
    </row>
    <row r="29" spans="1:9" s="276" customFormat="1" ht="19.5" customHeight="1" x14ac:dyDescent="0.2">
      <c r="C29" s="1335" t="s">
        <v>374</v>
      </c>
      <c r="D29" s="1336"/>
      <c r="E29" s="1336"/>
      <c r="F29" s="1336"/>
      <c r="G29" s="1336"/>
      <c r="H29" s="1336"/>
      <c r="I29" s="1337"/>
    </row>
    <row r="30" spans="1:9" s="276" customFormat="1" ht="19.5" customHeight="1" x14ac:dyDescent="0.25">
      <c r="B30" s="77"/>
      <c r="C30" s="1377" t="str">
        <f ca="1">dms_y1</f>
        <v>2024-25</v>
      </c>
      <c r="D30" s="1378" t="str">
        <f ca="1">dms_y2</f>
        <v>2025-26</v>
      </c>
      <c r="E30" s="1379" t="str">
        <f ca="1">dms_y3</f>
        <v>2026-27</v>
      </c>
      <c r="F30" s="1379" t="str">
        <f ca="1">dms_y4</f>
        <v>2027-28</v>
      </c>
      <c r="G30" s="1379" t="str">
        <f ca="1">dms_y5</f>
        <v>2028-29</v>
      </c>
      <c r="H30" s="1379" t="str">
        <f ca="1">dms_y6</f>
        <v>2029-30</v>
      </c>
      <c r="I30" s="1380" t="str">
        <f ca="1">dms_y7</f>
        <v>2030-31</v>
      </c>
    </row>
    <row r="31" spans="1:9" s="41" customFormat="1" ht="22.5" customHeight="1" x14ac:dyDescent="0.2">
      <c r="A31" s="276"/>
      <c r="B31" s="235" t="s">
        <v>375</v>
      </c>
      <c r="C31" s="1392"/>
      <c r="D31" s="1392"/>
      <c r="E31" s="1392"/>
      <c r="F31" s="1392"/>
      <c r="G31" s="1392"/>
      <c r="H31" s="1392"/>
      <c r="I31" s="1393"/>
    </row>
    <row r="32" spans="1:9" x14ac:dyDescent="0.25">
      <c r="B32" s="602" t="s">
        <v>383</v>
      </c>
      <c r="C32" s="1381">
        <v>5170</v>
      </c>
      <c r="D32" s="1448">
        <v>4531</v>
      </c>
      <c r="E32" s="1447">
        <v>9847</v>
      </c>
      <c r="F32" s="1382">
        <v>10674</v>
      </c>
      <c r="G32" s="1382">
        <v>11106</v>
      </c>
      <c r="H32" s="1382">
        <v>10807</v>
      </c>
      <c r="I32" s="1383">
        <v>10179</v>
      </c>
    </row>
    <row r="33" spans="1:9" x14ac:dyDescent="0.25">
      <c r="B33" s="602" t="s">
        <v>384</v>
      </c>
      <c r="C33" s="1384"/>
      <c r="D33" s="1385"/>
      <c r="E33" s="1386"/>
      <c r="F33" s="1385"/>
      <c r="G33" s="1385"/>
      <c r="H33" s="1385"/>
      <c r="I33" s="1383"/>
    </row>
    <row r="34" spans="1:9" x14ac:dyDescent="0.25">
      <c r="B34" s="1400" t="s">
        <v>385</v>
      </c>
      <c r="C34" s="1401"/>
      <c r="D34" s="1402"/>
      <c r="E34" s="1403"/>
      <c r="F34" s="1402"/>
      <c r="G34" s="1402"/>
      <c r="H34" s="1402"/>
      <c r="I34" s="1404"/>
    </row>
    <row r="35" spans="1:9" ht="15" customHeight="1" x14ac:dyDescent="0.25">
      <c r="B35" s="1125" t="s">
        <v>386</v>
      </c>
      <c r="C35" s="1387">
        <v>481</v>
      </c>
      <c r="D35" s="1388">
        <v>450</v>
      </c>
      <c r="E35" s="1389">
        <v>449</v>
      </c>
      <c r="F35" s="1388">
        <v>448</v>
      </c>
      <c r="G35" s="1388">
        <v>446</v>
      </c>
      <c r="H35" s="1388">
        <v>445</v>
      </c>
      <c r="I35" s="1390">
        <v>444</v>
      </c>
    </row>
    <row r="36" spans="1:9" s="41" customFormat="1" ht="21.75" customHeight="1" x14ac:dyDescent="0.2">
      <c r="A36" s="276"/>
      <c r="B36" s="235" t="s">
        <v>380</v>
      </c>
      <c r="C36" s="1392"/>
      <c r="D36" s="1392"/>
      <c r="E36" s="1392"/>
      <c r="F36" s="1392"/>
      <c r="G36" s="1392"/>
      <c r="H36" s="1392"/>
      <c r="I36" s="1393"/>
    </row>
    <row r="37" spans="1:9" x14ac:dyDescent="0.25">
      <c r="B37" s="602" t="s">
        <v>383</v>
      </c>
      <c r="C37" s="1381">
        <v>113</v>
      </c>
      <c r="D37" s="1448">
        <v>0</v>
      </c>
      <c r="E37" s="1447">
        <v>23</v>
      </c>
      <c r="F37" s="1382">
        <v>23</v>
      </c>
      <c r="G37" s="1382">
        <v>22</v>
      </c>
      <c r="H37" s="1382">
        <v>20</v>
      </c>
      <c r="I37" s="1383">
        <v>19</v>
      </c>
    </row>
    <row r="38" spans="1:9" x14ac:dyDescent="0.25">
      <c r="B38" s="602" t="s">
        <v>384</v>
      </c>
      <c r="C38" s="1384"/>
      <c r="D38" s="1385"/>
      <c r="E38" s="1386"/>
      <c r="F38" s="1385"/>
      <c r="G38" s="1385"/>
      <c r="H38" s="1385"/>
      <c r="I38" s="1383"/>
    </row>
    <row r="39" spans="1:9" x14ac:dyDescent="0.25">
      <c r="B39" s="1400" t="s">
        <v>385</v>
      </c>
      <c r="C39" s="1401"/>
      <c r="D39" s="1402"/>
      <c r="E39" s="1403"/>
      <c r="F39" s="1402"/>
      <c r="G39" s="1402"/>
      <c r="H39" s="1402"/>
      <c r="I39" s="1404"/>
    </row>
    <row r="40" spans="1:9" ht="15" customHeight="1" x14ac:dyDescent="0.25">
      <c r="B40" s="1125" t="s">
        <v>386</v>
      </c>
      <c r="C40" s="1387">
        <v>8</v>
      </c>
      <c r="D40" s="1388">
        <v>34</v>
      </c>
      <c r="E40" s="1389">
        <v>34</v>
      </c>
      <c r="F40" s="1388">
        <v>34</v>
      </c>
      <c r="G40" s="1388">
        <v>34</v>
      </c>
      <c r="H40" s="1388">
        <v>33</v>
      </c>
      <c r="I40" s="1390">
        <v>33</v>
      </c>
    </row>
    <row r="41" spans="1:9" s="41" customFormat="1" ht="22.5" customHeight="1" x14ac:dyDescent="0.2">
      <c r="A41" s="276"/>
      <c r="B41" s="235" t="s">
        <v>381</v>
      </c>
      <c r="C41" s="1392"/>
      <c r="D41" s="1392"/>
      <c r="E41" s="1392"/>
      <c r="F41" s="1392"/>
      <c r="G41" s="1392"/>
      <c r="H41" s="1392"/>
      <c r="I41" s="1393"/>
    </row>
    <row r="42" spans="1:9" x14ac:dyDescent="0.25">
      <c r="B42" s="602" t="s">
        <v>383</v>
      </c>
      <c r="C42" s="1381">
        <v>0</v>
      </c>
      <c r="D42" s="1448">
        <v>0</v>
      </c>
      <c r="E42" s="1447">
        <v>0</v>
      </c>
      <c r="F42" s="1382">
        <v>0</v>
      </c>
      <c r="G42" s="1382">
        <v>0</v>
      </c>
      <c r="H42" s="1382">
        <v>0</v>
      </c>
      <c r="I42" s="1383">
        <v>0</v>
      </c>
    </row>
    <row r="43" spans="1:9" x14ac:dyDescent="0.25">
      <c r="B43" s="602" t="s">
        <v>384</v>
      </c>
      <c r="C43" s="1384"/>
      <c r="D43" s="1385"/>
      <c r="E43" s="1386"/>
      <c r="F43" s="1385"/>
      <c r="G43" s="1385"/>
      <c r="H43" s="1385"/>
      <c r="I43" s="1383"/>
    </row>
    <row r="44" spans="1:9" x14ac:dyDescent="0.25">
      <c r="B44" s="1400" t="s">
        <v>385</v>
      </c>
      <c r="C44" s="1401"/>
      <c r="D44" s="1402"/>
      <c r="E44" s="1403"/>
      <c r="F44" s="1402"/>
      <c r="G44" s="1402"/>
      <c r="H44" s="1402"/>
      <c r="I44" s="1404"/>
    </row>
    <row r="45" spans="1:9" ht="15" customHeight="1" x14ac:dyDescent="0.25">
      <c r="B45" s="1125" t="s">
        <v>386</v>
      </c>
      <c r="C45" s="1387">
        <v>0</v>
      </c>
      <c r="D45" s="1388">
        <v>0</v>
      </c>
      <c r="E45" s="1389">
        <v>0</v>
      </c>
      <c r="F45" s="1388">
        <v>1</v>
      </c>
      <c r="G45" s="1388">
        <v>0</v>
      </c>
      <c r="H45" s="1388">
        <v>2</v>
      </c>
      <c r="I45" s="1390">
        <v>1</v>
      </c>
    </row>
    <row r="47" spans="1:9" ht="15" customHeight="1" x14ac:dyDescent="0.25"/>
    <row r="48" spans="1:9" ht="16.149999999999999" customHeight="1" x14ac:dyDescent="0.25">
      <c r="B48" s="31" t="s">
        <v>387</v>
      </c>
      <c r="C48" s="1394"/>
      <c r="D48" s="1394"/>
      <c r="E48" s="1394"/>
      <c r="F48" s="1394"/>
      <c r="G48" s="1394"/>
      <c r="H48" s="1394"/>
      <c r="I48" s="1394"/>
    </row>
    <row r="49" spans="1:9" x14ac:dyDescent="0.25">
      <c r="C49" s="1335" t="s">
        <v>388</v>
      </c>
      <c r="D49" s="1336"/>
      <c r="E49" s="1336"/>
      <c r="F49" s="1336"/>
      <c r="G49" s="1336"/>
      <c r="H49" s="1336"/>
      <c r="I49" s="1337"/>
    </row>
    <row r="50" spans="1:9" ht="15" customHeight="1" x14ac:dyDescent="0.25">
      <c r="A50" s="1446"/>
      <c r="B50" s="77"/>
      <c r="C50" s="1377" t="str">
        <f ca="1">dms_y1</f>
        <v>2024-25</v>
      </c>
      <c r="D50" s="1378" t="str">
        <f ca="1">dms_y2</f>
        <v>2025-26</v>
      </c>
      <c r="E50" s="1379" t="str">
        <f ca="1">dms_y3</f>
        <v>2026-27</v>
      </c>
      <c r="F50" s="1379" t="str">
        <f ca="1">dms_y4</f>
        <v>2027-28</v>
      </c>
      <c r="G50" s="1379" t="str">
        <f ca="1">dms_y5</f>
        <v>2028-29</v>
      </c>
      <c r="H50" s="1379" t="str">
        <f ca="1">dms_y6</f>
        <v>2029-30</v>
      </c>
      <c r="I50" s="1380" t="str">
        <f ca="1">dms_y7</f>
        <v>2030-31</v>
      </c>
    </row>
    <row r="51" spans="1:9" ht="15" customHeight="1" x14ac:dyDescent="0.25">
      <c r="A51" s="1446"/>
      <c r="B51" s="235" t="s">
        <v>375</v>
      </c>
      <c r="C51" s="1392"/>
      <c r="D51" s="1392"/>
      <c r="E51" s="1392"/>
      <c r="F51" s="1392"/>
      <c r="G51" s="1392"/>
      <c r="H51" s="1392"/>
      <c r="I51" s="1393"/>
    </row>
    <row r="52" spans="1:9" x14ac:dyDescent="0.25">
      <c r="B52" s="602" t="s">
        <v>389</v>
      </c>
      <c r="C52" s="1381">
        <v>704</v>
      </c>
      <c r="D52" s="1448">
        <v>291</v>
      </c>
      <c r="E52" s="1447">
        <v>281</v>
      </c>
      <c r="F52" s="1382">
        <v>269</v>
      </c>
      <c r="G52" s="1382">
        <v>273</v>
      </c>
      <c r="H52" s="1382">
        <v>273</v>
      </c>
      <c r="I52" s="1383">
        <v>270</v>
      </c>
    </row>
    <row r="53" spans="1:9" ht="15" customHeight="1" x14ac:dyDescent="0.25">
      <c r="B53" s="602" t="s">
        <v>390</v>
      </c>
      <c r="C53" s="1384">
        <v>2734</v>
      </c>
      <c r="D53" s="1385">
        <v>1102</v>
      </c>
      <c r="E53" s="1386">
        <v>1035</v>
      </c>
      <c r="F53" s="1385">
        <v>961</v>
      </c>
      <c r="G53" s="1385">
        <v>883</v>
      </c>
      <c r="H53" s="1385">
        <v>807</v>
      </c>
      <c r="I53" s="1383">
        <v>735</v>
      </c>
    </row>
    <row r="54" spans="1:9" ht="15" customHeight="1" x14ac:dyDescent="0.25">
      <c r="B54" s="235" t="s">
        <v>380</v>
      </c>
      <c r="C54" s="1392"/>
      <c r="D54" s="1392"/>
      <c r="E54" s="1392"/>
      <c r="F54" s="1392"/>
      <c r="G54" s="1392"/>
      <c r="H54" s="1392"/>
      <c r="I54" s="1393"/>
    </row>
    <row r="55" spans="1:9" x14ac:dyDescent="0.25">
      <c r="B55" s="602" t="s">
        <v>389</v>
      </c>
      <c r="C55" s="1381">
        <v>38</v>
      </c>
      <c r="D55" s="1448">
        <v>9</v>
      </c>
      <c r="E55" s="1447">
        <v>9</v>
      </c>
      <c r="F55" s="1382">
        <v>9</v>
      </c>
      <c r="G55" s="1382">
        <v>9</v>
      </c>
      <c r="H55" s="1382">
        <v>9</v>
      </c>
      <c r="I55" s="1383">
        <v>9</v>
      </c>
    </row>
    <row r="56" spans="1:9" ht="15" customHeight="1" x14ac:dyDescent="0.25">
      <c r="B56" s="602" t="s">
        <v>390</v>
      </c>
      <c r="C56" s="1384">
        <v>69</v>
      </c>
      <c r="D56" s="1385">
        <v>59</v>
      </c>
      <c r="E56" s="1386">
        <v>26</v>
      </c>
      <c r="F56" s="1385">
        <v>24</v>
      </c>
      <c r="G56" s="1385">
        <v>22</v>
      </c>
      <c r="H56" s="1385">
        <v>20</v>
      </c>
      <c r="I56" s="1383">
        <v>19</v>
      </c>
    </row>
    <row r="57" spans="1:9" ht="15" customHeight="1" x14ac:dyDescent="0.25">
      <c r="B57" s="235" t="s">
        <v>381</v>
      </c>
      <c r="C57" s="1392"/>
      <c r="D57" s="1392"/>
      <c r="E57" s="1392"/>
      <c r="F57" s="1392"/>
      <c r="G57" s="1392"/>
      <c r="H57" s="1392"/>
      <c r="I57" s="1393"/>
    </row>
    <row r="58" spans="1:9" x14ac:dyDescent="0.25">
      <c r="B58" s="602" t="s">
        <v>389</v>
      </c>
      <c r="C58" s="1381">
        <v>0</v>
      </c>
      <c r="D58" s="1448">
        <v>0</v>
      </c>
      <c r="E58" s="1447">
        <v>0</v>
      </c>
      <c r="F58" s="1382">
        <v>0</v>
      </c>
      <c r="G58" s="1382">
        <v>0</v>
      </c>
      <c r="H58" s="1382">
        <v>0</v>
      </c>
      <c r="I58" s="1383">
        <v>0</v>
      </c>
    </row>
    <row r="59" spans="1:9" ht="15" customHeight="1" x14ac:dyDescent="0.25">
      <c r="B59" s="1125" t="s">
        <v>390</v>
      </c>
      <c r="C59" s="1387">
        <v>0</v>
      </c>
      <c r="D59" s="1388">
        <v>0</v>
      </c>
      <c r="E59" s="1389">
        <v>0</v>
      </c>
      <c r="F59" s="1388">
        <v>0</v>
      </c>
      <c r="G59" s="1388">
        <v>0</v>
      </c>
      <c r="H59" s="1388">
        <v>0</v>
      </c>
      <c r="I59" s="1390">
        <v>0</v>
      </c>
    </row>
    <row r="61" spans="1:9" ht="15" customHeight="1" x14ac:dyDescent="0.25"/>
    <row r="62" spans="1:9" ht="16.149999999999999" customHeight="1" x14ac:dyDescent="0.25">
      <c r="B62" s="31" t="s">
        <v>391</v>
      </c>
      <c r="C62" s="1394"/>
      <c r="D62" s="1394"/>
      <c r="E62" s="1394"/>
      <c r="F62" s="1394"/>
      <c r="G62" s="1394"/>
      <c r="H62" s="1394"/>
      <c r="I62" s="1394"/>
    </row>
    <row r="63" spans="1:9" x14ac:dyDescent="0.25">
      <c r="C63" s="1335" t="s">
        <v>392</v>
      </c>
      <c r="D63" s="1336"/>
      <c r="E63" s="1336"/>
      <c r="F63" s="1336"/>
      <c r="G63" s="1336"/>
      <c r="H63" s="1336"/>
      <c r="I63" s="1337"/>
    </row>
    <row r="64" spans="1:9" ht="15" customHeight="1" x14ac:dyDescent="0.25">
      <c r="B64" s="77"/>
      <c r="C64" s="1377" t="str">
        <f ca="1">dms_y1</f>
        <v>2024-25</v>
      </c>
      <c r="D64" s="1378" t="str">
        <f ca="1">dms_y2</f>
        <v>2025-26</v>
      </c>
      <c r="E64" s="1379" t="str">
        <f ca="1">dms_y3</f>
        <v>2026-27</v>
      </c>
      <c r="F64" s="1379" t="str">
        <f ca="1">dms_y4</f>
        <v>2027-28</v>
      </c>
      <c r="G64" s="1379" t="str">
        <f ca="1">dms_y5</f>
        <v>2028-29</v>
      </c>
      <c r="H64" s="1379" t="str">
        <f ca="1">dms_y6</f>
        <v>2029-30</v>
      </c>
      <c r="I64" s="1380" t="str">
        <f ca="1">dms_y7</f>
        <v>2030-31</v>
      </c>
    </row>
    <row r="65" spans="2:9" ht="15" customHeight="1" x14ac:dyDescent="0.25">
      <c r="B65" s="235" t="s">
        <v>375</v>
      </c>
      <c r="C65" s="1392"/>
      <c r="D65" s="1392"/>
      <c r="E65" s="1392"/>
      <c r="F65" s="1392"/>
      <c r="G65" s="1392"/>
      <c r="H65" s="1392"/>
      <c r="I65" s="1393"/>
    </row>
    <row r="66" spans="2:9" x14ac:dyDescent="0.25">
      <c r="B66" s="602" t="s">
        <v>393</v>
      </c>
      <c r="C66" s="1381"/>
      <c r="D66" s="1448"/>
      <c r="E66" s="1447"/>
      <c r="F66" s="1382"/>
      <c r="G66" s="1382"/>
      <c r="H66" s="1382"/>
      <c r="I66" s="1383"/>
    </row>
    <row r="67" spans="2:9" ht="15" customHeight="1" x14ac:dyDescent="0.25">
      <c r="B67" s="602" t="s">
        <v>394</v>
      </c>
      <c r="C67" s="1384">
        <v>14790</v>
      </c>
      <c r="D67" s="1385">
        <v>18164</v>
      </c>
      <c r="E67" s="1386">
        <v>26887</v>
      </c>
      <c r="F67" s="1385">
        <v>36501</v>
      </c>
      <c r="G67" s="1385">
        <v>46620</v>
      </c>
      <c r="H67" s="1385">
        <v>56519</v>
      </c>
      <c r="I67" s="1383">
        <v>65867</v>
      </c>
    </row>
    <row r="68" spans="2:9" ht="15" customHeight="1" x14ac:dyDescent="0.25">
      <c r="B68" s="235" t="s">
        <v>380</v>
      </c>
      <c r="C68" s="1392"/>
      <c r="D68" s="1392"/>
      <c r="E68" s="1392"/>
      <c r="F68" s="1392"/>
      <c r="G68" s="1392"/>
      <c r="H68" s="1392"/>
      <c r="I68" s="1393"/>
    </row>
    <row r="69" spans="2:9" x14ac:dyDescent="0.25">
      <c r="B69" s="602" t="s">
        <v>393</v>
      </c>
      <c r="C69" s="1381"/>
      <c r="D69" s="1448"/>
      <c r="E69" s="1447"/>
      <c r="F69" s="1382"/>
      <c r="G69" s="1382"/>
      <c r="H69" s="1382"/>
      <c r="I69" s="1383"/>
    </row>
    <row r="70" spans="2:9" ht="15" customHeight="1" x14ac:dyDescent="0.25">
      <c r="B70" s="602" t="s">
        <v>394</v>
      </c>
      <c r="C70" s="1384">
        <v>605</v>
      </c>
      <c r="D70" s="1385">
        <v>549</v>
      </c>
      <c r="E70" s="1386">
        <v>546</v>
      </c>
      <c r="F70" s="1385">
        <v>543</v>
      </c>
      <c r="G70" s="1385">
        <v>542</v>
      </c>
      <c r="H70" s="1385">
        <v>541</v>
      </c>
      <c r="I70" s="1383">
        <v>541</v>
      </c>
    </row>
    <row r="71" spans="2:9" ht="15" customHeight="1" x14ac:dyDescent="0.25">
      <c r="B71" s="235" t="s">
        <v>381</v>
      </c>
      <c r="C71" s="1392"/>
      <c r="D71" s="1392"/>
      <c r="E71" s="1392"/>
      <c r="F71" s="1392"/>
      <c r="G71" s="1392"/>
      <c r="H71" s="1392"/>
      <c r="I71" s="1393"/>
    </row>
    <row r="72" spans="2:9" x14ac:dyDescent="0.25">
      <c r="B72" s="602" t="s">
        <v>393</v>
      </c>
      <c r="C72" s="1381">
        <v>0</v>
      </c>
      <c r="D72" s="1448">
        <v>0</v>
      </c>
      <c r="E72" s="1447">
        <v>0</v>
      </c>
      <c r="F72" s="1382">
        <v>0</v>
      </c>
      <c r="G72" s="1382">
        <v>0</v>
      </c>
      <c r="H72" s="1382">
        <v>0</v>
      </c>
      <c r="I72" s="1383">
        <v>0</v>
      </c>
    </row>
    <row r="73" spans="2:9" ht="15" customHeight="1" x14ac:dyDescent="0.25">
      <c r="B73" s="1125" t="s">
        <v>394</v>
      </c>
      <c r="C73" s="1387">
        <v>0</v>
      </c>
      <c r="D73" s="1388">
        <v>0</v>
      </c>
      <c r="E73" s="1389">
        <v>0</v>
      </c>
      <c r="F73" s="1388">
        <v>0</v>
      </c>
      <c r="G73" s="1388">
        <v>0</v>
      </c>
      <c r="H73" s="1388">
        <v>0</v>
      </c>
      <c r="I73" s="1390">
        <v>0</v>
      </c>
    </row>
  </sheetData>
  <sheetProtection algorithmName="SHA-256" hashValue="ZbKVmLVm3amCaqmu1YcKNj/vDXSfxpduVqq4OV3+A9M=" saltValue="s+PX6ZNl2rUCSk6dcZs/ew=="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J38"/>
  <sheetViews>
    <sheetView showGridLines="0" topLeftCell="A5" workbookViewId="0">
      <selection activeCell="D35" sqref="D35"/>
    </sheetView>
  </sheetViews>
  <sheetFormatPr defaultColWidth="9.140625" defaultRowHeight="15.75" x14ac:dyDescent="0.25"/>
  <cols>
    <col min="1" max="1" width="41.28515625" style="426" customWidth="1"/>
    <col min="2" max="2" width="8.7109375" style="427" customWidth="1"/>
    <col min="3" max="3" width="42.42578125" style="427" customWidth="1"/>
    <col min="4" max="4" width="54.140625" style="427" customWidth="1"/>
    <col min="5" max="5" width="8.7109375" style="427" customWidth="1"/>
    <col min="6" max="8" width="9.140625" style="426"/>
    <col min="9" max="9" width="10.140625" style="426" customWidth="1"/>
    <col min="10" max="10" width="9.140625" style="426"/>
  </cols>
  <sheetData>
    <row r="1" spans="2:5" ht="24.6" customHeight="1" x14ac:dyDescent="0.25">
      <c r="B1" s="1338" t="str">
        <f>INDEX(dms_Worksheet_List,MATCH(dms_Model,dms_Model_List))</f>
        <v>REGULATORY REPORTING STATEMENT</v>
      </c>
      <c r="C1" s="1339"/>
      <c r="D1" s="1339"/>
      <c r="E1" s="1339"/>
    </row>
    <row r="2" spans="2:5" ht="24.6" customHeight="1" x14ac:dyDescent="0.25">
      <c r="B2" s="1338" t="str">
        <f>dms_TradingNameFull</f>
        <v>Icon Distribution Investments Limited (ABN 83 073 025 224) and Jemena Networks (ACT) Pty Ltd (ABN 24 008 552 663)</v>
      </c>
      <c r="C2" s="1340"/>
      <c r="D2" s="1340"/>
      <c r="E2" s="1340"/>
    </row>
    <row r="3" spans="2:5" ht="24.6" customHeight="1" x14ac:dyDescent="0.25">
      <c r="B3" s="1338" t="str">
        <f ca="1">dms_Header_Span</f>
        <v>2024-25 to 2030-31</v>
      </c>
      <c r="C3" s="1339"/>
      <c r="D3" s="1339"/>
      <c r="E3" s="1339"/>
    </row>
    <row r="5" spans="2:5" ht="16.149999999999999" customHeight="1" x14ac:dyDescent="0.25"/>
    <row r="6" spans="2:5" x14ac:dyDescent="0.25">
      <c r="B6" s="428"/>
      <c r="C6" s="429"/>
      <c r="D6" s="429"/>
      <c r="E6" s="430"/>
    </row>
    <row r="7" spans="2:5" ht="23.45" customHeight="1" x14ac:dyDescent="0.35">
      <c r="B7" s="431"/>
      <c r="C7" s="1342" t="s">
        <v>19</v>
      </c>
      <c r="D7" s="1341"/>
      <c r="E7" s="432"/>
    </row>
    <row r="8" spans="2:5" x14ac:dyDescent="0.25">
      <c r="B8" s="433"/>
      <c r="E8" s="432"/>
    </row>
    <row r="9" spans="2:5" x14ac:dyDescent="0.25">
      <c r="B9" s="431"/>
      <c r="C9" s="1343" t="s">
        <v>20</v>
      </c>
      <c r="D9" s="1344" t="s">
        <v>21</v>
      </c>
      <c r="E9" s="432"/>
    </row>
    <row r="10" spans="2:5" x14ac:dyDescent="0.25">
      <c r="B10" s="433"/>
      <c r="E10" s="432"/>
    </row>
    <row r="11" spans="2:5" x14ac:dyDescent="0.25">
      <c r="B11" s="434"/>
      <c r="C11" s="443" t="s">
        <v>22</v>
      </c>
      <c r="D11" s="435" t="s">
        <v>23</v>
      </c>
      <c r="E11" s="432"/>
    </row>
    <row r="12" spans="2:5" x14ac:dyDescent="0.25">
      <c r="B12" s="434"/>
      <c r="C12" s="444"/>
      <c r="E12" s="432"/>
    </row>
    <row r="13" spans="2:5" x14ac:dyDescent="0.25">
      <c r="B13" s="434"/>
      <c r="C13" s="445" t="s">
        <v>24</v>
      </c>
      <c r="D13" s="436" t="s">
        <v>25</v>
      </c>
      <c r="E13" s="432"/>
    </row>
    <row r="14" spans="2:5" x14ac:dyDescent="0.25">
      <c r="B14" s="434"/>
      <c r="C14" s="445"/>
      <c r="D14" s="436" t="s">
        <v>26</v>
      </c>
      <c r="E14" s="432"/>
    </row>
    <row r="15" spans="2:5" x14ac:dyDescent="0.25">
      <c r="B15" s="434"/>
      <c r="C15" s="445"/>
      <c r="D15" s="436" t="s">
        <v>27</v>
      </c>
      <c r="E15" s="432"/>
    </row>
    <row r="16" spans="2:5" x14ac:dyDescent="0.25">
      <c r="B16" s="434"/>
      <c r="C16" s="445"/>
      <c r="D16" s="436" t="s">
        <v>28</v>
      </c>
      <c r="E16" s="432"/>
    </row>
    <row r="17" spans="2:5" x14ac:dyDescent="0.25">
      <c r="B17" s="434"/>
      <c r="C17" s="445"/>
      <c r="D17" s="436" t="s">
        <v>29</v>
      </c>
      <c r="E17" s="432"/>
    </row>
    <row r="18" spans="2:5" x14ac:dyDescent="0.25">
      <c r="B18" s="434"/>
      <c r="C18" s="445"/>
      <c r="D18" s="436" t="s">
        <v>30</v>
      </c>
      <c r="E18" s="432"/>
    </row>
    <row r="19" spans="2:5" x14ac:dyDescent="0.25">
      <c r="B19" s="434"/>
      <c r="C19" s="445"/>
      <c r="D19" s="436" t="s">
        <v>31</v>
      </c>
      <c r="E19" s="432"/>
    </row>
    <row r="20" spans="2:5" x14ac:dyDescent="0.25">
      <c r="B20" s="434"/>
      <c r="C20" s="445"/>
      <c r="D20" s="436" t="s">
        <v>32</v>
      </c>
      <c r="E20" s="432"/>
    </row>
    <row r="21" spans="2:5" x14ac:dyDescent="0.25">
      <c r="B21" s="434"/>
      <c r="C21" s="445"/>
      <c r="D21" s="436" t="s">
        <v>33</v>
      </c>
      <c r="E21" s="432"/>
    </row>
    <row r="22" spans="2:5" x14ac:dyDescent="0.25">
      <c r="B22" s="434"/>
      <c r="C22" s="445"/>
      <c r="D22" s="436" t="s">
        <v>34</v>
      </c>
      <c r="E22" s="432"/>
    </row>
    <row r="23" spans="2:5" x14ac:dyDescent="0.25">
      <c r="B23" s="434"/>
      <c r="C23" s="445"/>
      <c r="D23" s="436" t="s">
        <v>35</v>
      </c>
      <c r="E23" s="432"/>
    </row>
    <row r="24" spans="2:5" x14ac:dyDescent="0.25">
      <c r="B24" s="434"/>
      <c r="C24" s="445"/>
      <c r="D24" s="436" t="s">
        <v>36</v>
      </c>
      <c r="E24" s="432"/>
    </row>
    <row r="25" spans="2:5" x14ac:dyDescent="0.25">
      <c r="B25" s="434"/>
      <c r="C25" s="445"/>
      <c r="D25" s="436" t="s">
        <v>37</v>
      </c>
      <c r="E25" s="432"/>
    </row>
    <row r="26" spans="2:5" x14ac:dyDescent="0.25">
      <c r="B26" s="434"/>
      <c r="C26" s="444"/>
      <c r="D26" s="437"/>
      <c r="E26" s="432"/>
    </row>
    <row r="27" spans="2:5" x14ac:dyDescent="0.25">
      <c r="B27" s="434"/>
      <c r="C27" s="446" t="s">
        <v>38</v>
      </c>
      <c r="D27" s="438" t="s">
        <v>39</v>
      </c>
      <c r="E27" s="432"/>
    </row>
    <row r="28" spans="2:5" x14ac:dyDescent="0.25">
      <c r="B28" s="434"/>
      <c r="C28" s="446"/>
      <c r="D28" s="438" t="s">
        <v>40</v>
      </c>
      <c r="E28" s="432"/>
    </row>
    <row r="29" spans="2:5" x14ac:dyDescent="0.25">
      <c r="B29" s="434"/>
      <c r="C29" s="444"/>
      <c r="D29" s="437"/>
      <c r="E29" s="432"/>
    </row>
    <row r="30" spans="2:5" x14ac:dyDescent="0.25">
      <c r="B30" s="434"/>
      <c r="C30" s="447" t="s">
        <v>41</v>
      </c>
      <c r="D30" s="439" t="s">
        <v>42</v>
      </c>
      <c r="E30" s="432"/>
    </row>
    <row r="31" spans="2:5" x14ac:dyDescent="0.25">
      <c r="B31" s="434"/>
      <c r="C31" s="447"/>
      <c r="D31" s="439" t="s">
        <v>43</v>
      </c>
      <c r="E31" s="432"/>
    </row>
    <row r="32" spans="2:5" x14ac:dyDescent="0.25">
      <c r="B32" s="434"/>
      <c r="C32" s="447"/>
      <c r="D32" s="439" t="s">
        <v>44</v>
      </c>
      <c r="E32" s="432"/>
    </row>
    <row r="33" spans="2:5" x14ac:dyDescent="0.25">
      <c r="B33" s="434"/>
      <c r="C33" s="448"/>
      <c r="D33" s="439" t="s">
        <v>45</v>
      </c>
      <c r="E33" s="432"/>
    </row>
    <row r="34" spans="2:5" x14ac:dyDescent="0.25">
      <c r="B34" s="434"/>
      <c r="C34" s="444"/>
      <c r="D34" s="437"/>
      <c r="E34" s="432"/>
    </row>
    <row r="35" spans="2:5" x14ac:dyDescent="0.25">
      <c r="B35" s="434"/>
      <c r="C35" s="449" t="s">
        <v>46</v>
      </c>
      <c r="D35" s="435" t="s">
        <v>47</v>
      </c>
      <c r="E35" s="432"/>
    </row>
    <row r="36" spans="2:5" x14ac:dyDescent="0.25">
      <c r="B36" s="434"/>
      <c r="E36" s="432"/>
    </row>
    <row r="37" spans="2:5" x14ac:dyDescent="0.25">
      <c r="B37" s="434"/>
      <c r="C37" s="1156" t="s">
        <v>48</v>
      </c>
      <c r="D37" s="1157" t="s">
        <v>49</v>
      </c>
      <c r="E37" s="432"/>
    </row>
    <row r="38" spans="2:5" ht="16.149999999999999" customHeight="1" x14ac:dyDescent="0.25">
      <c r="B38" s="440"/>
      <c r="C38" s="441"/>
      <c r="D38" s="441"/>
      <c r="E38" s="442"/>
    </row>
  </sheetData>
  <sheetProtection algorithmName="SHA-256" hashValue="u88vdasTxs2AxsbGbl+xEbRPu5lGjgDTQQmLsUQQOqc=" saltValue="6YvCeJoEX3nioLVJHwy0DA==" spinCount="100000" sheet="1" objects="1" scenarios="1"/>
  <hyperlinks>
    <hyperlink ref="D11" location="'Business &amp; other details'!A1" display="Business &amp; other details" xr:uid="{00000000-0004-0000-0100-000000000000}"/>
    <hyperlink ref="D13" location="'E1. Expenditure Summary'!A1" display="E1. Expenditure Summary" xr:uid="{00000000-0004-0000-0100-000001000000}"/>
    <hyperlink ref="D14" location="'E2. Mains Repex'!A1" display="E2. Mains Repex" xr:uid="{00000000-0004-0000-0100-000002000000}"/>
    <hyperlink ref="D15" location="'E3. Mains Augex'!A1" display="E3. Mains Augex" xr:uid="{00000000-0004-0000-0100-000003000000}"/>
    <hyperlink ref="D16" location="'E4. Meter replacement'!A1" display="E4. Meter replacement" xr:uid="{00000000-0004-0000-0100-000004000000}"/>
    <hyperlink ref="D17" location="'E5. New Connections'!A1" display="E5. New Connections" xr:uid="{00000000-0004-0000-0100-000005000000}"/>
    <hyperlink ref="D18" location="'E6. Non-network'!A1" display="E6. Non-network" xr:uid="{00000000-0004-0000-0100-000006000000}"/>
    <hyperlink ref="D19" location="'E10. Overheads'!A1" display="E10. Overheads" xr:uid="{00000000-0004-0000-0100-000007000000}"/>
    <hyperlink ref="D20" location="'E12. ICT'!A1" display="E12. ICT" xr:uid="{00000000-0004-0000-0100-000008000000}"/>
    <hyperlink ref="D21" location="'E13. Other capex'!A1" display="E13. Other capex" xr:uid="{00000000-0004-0000-0100-000009000000}"/>
    <hyperlink ref="D22" location="'E17. Step changes'!A1" display="E17. Step changes" xr:uid="{00000000-0004-0000-0100-00000A000000}"/>
    <hyperlink ref="D23" location="'E20. Opex'!A1" display="E20. Opex" xr:uid="{00000000-0004-0000-0100-00000B000000}"/>
    <hyperlink ref="D24" location="'E21. ARS'!A1" display="E21. ARS" xr:uid="{00000000-0004-0000-0100-00000C000000}"/>
    <hyperlink ref="D25" location="'E25. Escalators'!A1" display="E25. Escalators" xr:uid="{00000000-0004-0000-0100-00000D000000}"/>
    <hyperlink ref="D28" location="'N2. Network characteristics'!A1" display="N2. Network characteristcs" xr:uid="{00000000-0004-0000-0100-00000E000000}"/>
    <hyperlink ref="D33" location="'S11. Network reliability'!A1" display="S11. Network reliability" xr:uid="{00000000-0004-0000-0100-00000F000000}"/>
    <hyperlink ref="D30" location="'S1. Cust. no.-by type'!A1" display="S1. Customer numbers - by customer type" xr:uid="{00000000-0004-0000-0100-000010000000}"/>
    <hyperlink ref="D31" location="'S1.2 Cust. no.-by tariff'!A1" display="S1.2. Customer numbers - by tariff" xr:uid="{00000000-0004-0000-0100-000011000000}"/>
    <hyperlink ref="D27" location="'N1. Demand'!A1" display="N1. Demand" xr:uid="{00000000-0004-0000-0100-000012000000}"/>
    <hyperlink ref="D32" location="'S10. Supply Quality'!A1" display="S10. Supply Quality" xr:uid="{00000000-0004-0000-0100-000013000000}"/>
    <hyperlink ref="D35" location="'F3. Revenue'!A1" display="F3. Revenue" xr:uid="{00000000-0004-0000-0100-000014000000}"/>
    <hyperlink ref="D37" location="'additional disclosures'!A1" display="Additional disclosures" xr:uid="{00000000-0004-0000-0100-000015000000}"/>
  </hyperlinks>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E46C0A"/>
  </sheetPr>
  <dimension ref="A1:CP329"/>
  <sheetViews>
    <sheetView showGridLines="0" topLeftCell="A5" zoomScale="70" zoomScaleNormal="70" workbookViewId="0">
      <selection activeCell="D11" sqref="D11:I67"/>
    </sheetView>
  </sheetViews>
  <sheetFormatPr defaultColWidth="9.140625" defaultRowHeight="15" outlineLevelRow="1" x14ac:dyDescent="0.25"/>
  <cols>
    <col min="1" max="1" width="22.7109375" customWidth="1"/>
    <col min="2" max="2" width="93" customWidth="1"/>
    <col min="3" max="9" width="20.7109375" customWidth="1"/>
    <col min="10" max="10" width="18.7109375" customWidth="1"/>
    <col min="11" max="11" width="62" customWidth="1"/>
    <col min="12" max="13" width="18.7109375" customWidth="1"/>
  </cols>
  <sheetData>
    <row r="1" spans="1:94" ht="30" customHeight="1" x14ac:dyDescent="0.25">
      <c r="A1" s="1068"/>
      <c r="B1" s="1069" t="str">
        <f>INDEX(dms_Worksheet_List,MATCH(dms_Model,dms_Model_List))</f>
        <v>REGULATORY REPORTING STATEMENT</v>
      </c>
      <c r="C1" s="25"/>
      <c r="D1" s="25"/>
      <c r="E1" s="25"/>
      <c r="F1" s="25"/>
      <c r="G1" s="25"/>
      <c r="H1" s="25"/>
      <c r="I1" s="25"/>
    </row>
    <row r="2" spans="1:94"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4" ht="30" customHeight="1" x14ac:dyDescent="0.25">
      <c r="A3" s="1071"/>
      <c r="B3" s="1071" t="str">
        <f ca="1">dms_Header_Span</f>
        <v>2024-25 to 2030-31</v>
      </c>
      <c r="C3" s="25"/>
      <c r="D3" s="25"/>
      <c r="E3" s="25"/>
      <c r="F3" s="25"/>
      <c r="G3" s="25"/>
      <c r="H3" s="25"/>
      <c r="I3" s="25"/>
    </row>
    <row r="4" spans="1:94" ht="30" customHeight="1" x14ac:dyDescent="0.25">
      <c r="A4" s="383"/>
      <c r="B4" s="383" t="s">
        <v>372</v>
      </c>
      <c r="C4" s="383"/>
      <c r="D4" s="383"/>
      <c r="E4" s="383"/>
      <c r="F4" s="383"/>
      <c r="G4" s="383"/>
      <c r="H4" s="383"/>
      <c r="I4" s="383"/>
    </row>
    <row r="5" spans="1:94" ht="30" customHeight="1" x14ac:dyDescent="0.25">
      <c r="B5" s="1440" t="s">
        <v>96</v>
      </c>
      <c r="C5" s="1440"/>
      <c r="D5" s="1440"/>
      <c r="E5" s="1440"/>
      <c r="F5" s="1440"/>
      <c r="G5" s="1440"/>
      <c r="H5" s="1440"/>
      <c r="I5" s="1440"/>
    </row>
    <row r="6" spans="1:94" ht="18.600000000000001" customHeight="1" x14ac:dyDescent="0.3">
      <c r="C6" s="598"/>
    </row>
    <row r="7" spans="1:94" s="41" customFormat="1" ht="27" customHeight="1" x14ac:dyDescent="0.2">
      <c r="A7" s="276"/>
      <c r="B7" s="31" t="s">
        <v>395</v>
      </c>
      <c r="C7" s="31"/>
      <c r="D7" s="31"/>
      <c r="E7" s="31"/>
      <c r="F7" s="31"/>
      <c r="G7" s="31"/>
      <c r="H7" s="31"/>
      <c r="I7" s="31"/>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c r="AZ7" s="276"/>
      <c r="BA7" s="276"/>
      <c r="BB7" s="276"/>
      <c r="BC7" s="276"/>
      <c r="BD7" s="276"/>
      <c r="BE7" s="276"/>
      <c r="BF7" s="276"/>
      <c r="BG7" s="276"/>
      <c r="BH7" s="276"/>
      <c r="BI7" s="276"/>
      <c r="BJ7" s="276"/>
      <c r="BK7" s="276"/>
      <c r="BL7" s="276"/>
      <c r="BM7" s="276"/>
      <c r="BN7" s="276"/>
      <c r="BO7" s="276"/>
      <c r="BP7" s="276"/>
      <c r="BQ7" s="276"/>
      <c r="BR7" s="276"/>
      <c r="BS7" s="276"/>
      <c r="BT7" s="276"/>
      <c r="BU7" s="276"/>
      <c r="BV7" s="276"/>
      <c r="BW7" s="276"/>
      <c r="BX7" s="276"/>
      <c r="BY7" s="276"/>
      <c r="BZ7" s="276"/>
      <c r="CA7" s="276"/>
      <c r="CB7" s="276"/>
      <c r="CC7" s="276"/>
      <c r="CD7" s="276"/>
      <c r="CE7" s="276"/>
      <c r="CF7" s="276"/>
      <c r="CG7" s="276"/>
      <c r="CH7" s="276"/>
      <c r="CI7" s="276"/>
      <c r="CJ7" s="276"/>
      <c r="CK7" s="276"/>
      <c r="CL7" s="276"/>
      <c r="CM7" s="276"/>
      <c r="CN7" s="276"/>
      <c r="CO7" s="276"/>
      <c r="CP7" s="276"/>
    </row>
    <row r="8" spans="1:94" s="586" customFormat="1" ht="25.5" customHeight="1" x14ac:dyDescent="0.25">
      <c r="B8" s="235" t="s">
        <v>396</v>
      </c>
      <c r="C8" s="236"/>
      <c r="D8" s="236"/>
      <c r="E8" s="236"/>
      <c r="F8" s="236"/>
      <c r="G8" s="236"/>
      <c r="H8" s="236"/>
      <c r="I8" s="237"/>
      <c r="BH8" s="587"/>
      <c r="BI8" s="587"/>
      <c r="BJ8" s="587"/>
      <c r="BK8" s="587"/>
      <c r="BL8" s="587"/>
      <c r="BM8" s="587"/>
      <c r="BN8" s="587"/>
      <c r="BO8" s="587"/>
      <c r="BP8" s="587"/>
      <c r="BQ8" s="587"/>
      <c r="BR8" s="587"/>
      <c r="BS8" s="587"/>
      <c r="BT8" s="587"/>
      <c r="BU8" s="587"/>
      <c r="BV8" s="587"/>
      <c r="BW8" s="587"/>
      <c r="BX8" s="587"/>
      <c r="BY8" s="587"/>
      <c r="BZ8" s="587"/>
      <c r="CA8" s="587"/>
      <c r="CB8" s="587"/>
      <c r="CC8" s="587"/>
      <c r="CD8" s="587"/>
      <c r="CE8" s="587"/>
      <c r="CF8" s="587"/>
      <c r="CG8" s="587"/>
    </row>
    <row r="9" spans="1:94" s="276" customFormat="1" ht="25.5" customHeight="1" outlineLevel="1" x14ac:dyDescent="0.2">
      <c r="C9" s="1335" t="s">
        <v>374</v>
      </c>
      <c r="D9" s="1336"/>
      <c r="E9" s="1336"/>
      <c r="F9" s="1336"/>
      <c r="G9" s="1336"/>
      <c r="H9" s="1336"/>
      <c r="I9" s="1337"/>
    </row>
    <row r="10" spans="1:94" s="276" customFormat="1" ht="15" customHeight="1" outlineLevel="1" x14ac:dyDescent="0.25">
      <c r="B10" s="302"/>
      <c r="C10" s="386" t="str">
        <f ca="1">dms_y1</f>
        <v>2024-25</v>
      </c>
      <c r="D10" s="1346" t="str">
        <f ca="1">dms_y2</f>
        <v>2025-26</v>
      </c>
      <c r="E10" s="290" t="str">
        <f ca="1">dms_y3</f>
        <v>2026-27</v>
      </c>
      <c r="F10" s="290" t="str">
        <f ca="1">dms_y4</f>
        <v>2027-28</v>
      </c>
      <c r="G10" s="290" t="str">
        <f ca="1">dms_y5</f>
        <v>2028-29</v>
      </c>
      <c r="H10" s="290" t="str">
        <f ca="1">dms_y6</f>
        <v>2029-30</v>
      </c>
      <c r="I10" s="387" t="str">
        <f ca="1">dms_y7</f>
        <v>2030-31</v>
      </c>
    </row>
    <row r="11" spans="1:94" outlineLevel="1" x14ac:dyDescent="0.25">
      <c r="B11" s="35" t="s">
        <v>345</v>
      </c>
      <c r="C11" s="267">
        <v>153447</v>
      </c>
      <c r="D11" s="594">
        <v>151221</v>
      </c>
      <c r="E11" s="594">
        <v>147668</v>
      </c>
      <c r="F11" s="594">
        <v>138667</v>
      </c>
      <c r="G11" s="594">
        <v>128753</v>
      </c>
      <c r="H11" s="594">
        <v>118335</v>
      </c>
      <c r="I11" s="595">
        <v>108139</v>
      </c>
    </row>
    <row r="12" spans="1:94" outlineLevel="1" x14ac:dyDescent="0.25">
      <c r="B12" s="35" t="s">
        <v>346</v>
      </c>
      <c r="C12" s="256">
        <v>17</v>
      </c>
      <c r="D12" s="594">
        <v>17</v>
      </c>
      <c r="E12" s="594">
        <v>16</v>
      </c>
      <c r="F12" s="594">
        <v>15</v>
      </c>
      <c r="G12" s="594">
        <v>14</v>
      </c>
      <c r="H12" s="594">
        <v>13</v>
      </c>
      <c r="I12" s="595">
        <v>12</v>
      </c>
    </row>
    <row r="13" spans="1:94" outlineLevel="1" x14ac:dyDescent="0.25">
      <c r="B13" s="35" t="s">
        <v>347</v>
      </c>
      <c r="C13" s="256">
        <v>42</v>
      </c>
      <c r="D13" s="594">
        <v>42</v>
      </c>
      <c r="E13" s="594">
        <v>42</v>
      </c>
      <c r="F13" s="594">
        <v>42</v>
      </c>
      <c r="G13" s="594">
        <v>41</v>
      </c>
      <c r="H13" s="594">
        <v>41</v>
      </c>
      <c r="I13" s="595">
        <v>39</v>
      </c>
    </row>
    <row r="14" spans="1:94" outlineLevel="1" x14ac:dyDescent="0.25">
      <c r="B14" s="35" t="s">
        <v>348</v>
      </c>
      <c r="C14" s="256">
        <v>1</v>
      </c>
      <c r="D14" s="594">
        <v>1</v>
      </c>
      <c r="E14" s="594">
        <v>1</v>
      </c>
      <c r="F14" s="594">
        <v>1</v>
      </c>
      <c r="G14" s="594">
        <v>1</v>
      </c>
      <c r="H14" s="594">
        <v>1</v>
      </c>
      <c r="I14" s="595">
        <v>1</v>
      </c>
    </row>
    <row r="15" spans="1:94" outlineLevel="1" x14ac:dyDescent="0.25">
      <c r="B15" s="35"/>
      <c r="C15" s="256"/>
      <c r="D15" s="594"/>
      <c r="E15" s="594"/>
      <c r="F15" s="594"/>
      <c r="G15" s="594"/>
      <c r="H15" s="594"/>
      <c r="I15" s="595"/>
    </row>
    <row r="16" spans="1:94" outlineLevel="1" x14ac:dyDescent="0.25">
      <c r="B16" s="35"/>
      <c r="C16" s="256"/>
      <c r="D16" s="594"/>
      <c r="E16" s="594"/>
      <c r="F16" s="594"/>
      <c r="G16" s="594"/>
      <c r="H16" s="594"/>
      <c r="I16" s="595"/>
    </row>
    <row r="17" spans="2:9" outlineLevel="1" x14ac:dyDescent="0.25">
      <c r="B17" s="35"/>
      <c r="C17" s="256"/>
      <c r="D17" s="594"/>
      <c r="E17" s="594"/>
      <c r="F17" s="594"/>
      <c r="G17" s="594"/>
      <c r="H17" s="594"/>
      <c r="I17" s="595"/>
    </row>
    <row r="18" spans="2:9" outlineLevel="1" x14ac:dyDescent="0.25">
      <c r="B18" s="35"/>
      <c r="C18" s="256"/>
      <c r="D18" s="594"/>
      <c r="E18" s="594"/>
      <c r="F18" s="594"/>
      <c r="G18" s="594"/>
      <c r="H18" s="594"/>
      <c r="I18" s="595"/>
    </row>
    <row r="19" spans="2:9" outlineLevel="1" x14ac:dyDescent="0.25">
      <c r="B19" s="35"/>
      <c r="C19" s="256"/>
      <c r="D19" s="594"/>
      <c r="E19" s="594"/>
      <c r="F19" s="594"/>
      <c r="G19" s="594"/>
      <c r="H19" s="594"/>
      <c r="I19" s="595"/>
    </row>
    <row r="20" spans="2:9" outlineLevel="1" x14ac:dyDescent="0.25">
      <c r="B20" s="35"/>
      <c r="C20" s="256"/>
      <c r="D20" s="594"/>
      <c r="E20" s="594"/>
      <c r="F20" s="594"/>
      <c r="G20" s="594"/>
      <c r="H20" s="594"/>
      <c r="I20" s="595"/>
    </row>
    <row r="21" spans="2:9" outlineLevel="1" x14ac:dyDescent="0.25">
      <c r="B21" s="35"/>
      <c r="C21" s="256"/>
      <c r="D21" s="594"/>
      <c r="E21" s="594"/>
      <c r="F21" s="594"/>
      <c r="G21" s="594"/>
      <c r="H21" s="594"/>
      <c r="I21" s="595"/>
    </row>
    <row r="22" spans="2:9" outlineLevel="1" x14ac:dyDescent="0.25">
      <c r="B22" s="35"/>
      <c r="C22" s="256"/>
      <c r="D22" s="594"/>
      <c r="E22" s="594"/>
      <c r="F22" s="594"/>
      <c r="G22" s="594"/>
      <c r="H22" s="594"/>
      <c r="I22" s="595"/>
    </row>
    <row r="23" spans="2:9" outlineLevel="1" x14ac:dyDescent="0.25">
      <c r="B23" s="35"/>
      <c r="C23" s="256"/>
      <c r="D23" s="594"/>
      <c r="E23" s="594"/>
      <c r="F23" s="594"/>
      <c r="G23" s="594"/>
      <c r="H23" s="594"/>
      <c r="I23" s="595"/>
    </row>
    <row r="24" spans="2:9" outlineLevel="1" x14ac:dyDescent="0.25">
      <c r="B24" s="35"/>
      <c r="C24" s="256"/>
      <c r="D24" s="594"/>
      <c r="E24" s="594"/>
      <c r="F24" s="594"/>
      <c r="G24" s="594"/>
      <c r="H24" s="594"/>
      <c r="I24" s="595"/>
    </row>
    <row r="25" spans="2:9" outlineLevel="1" x14ac:dyDescent="0.25">
      <c r="B25" s="35"/>
      <c r="C25" s="256"/>
      <c r="D25" s="594"/>
      <c r="E25" s="594"/>
      <c r="F25" s="594"/>
      <c r="G25" s="594"/>
      <c r="H25" s="594"/>
      <c r="I25" s="595"/>
    </row>
    <row r="26" spans="2:9" outlineLevel="1" x14ac:dyDescent="0.25">
      <c r="B26" s="35"/>
      <c r="C26" s="256"/>
      <c r="D26" s="594"/>
      <c r="E26" s="594"/>
      <c r="F26" s="594"/>
      <c r="G26" s="594"/>
      <c r="H26" s="594"/>
      <c r="I26" s="595"/>
    </row>
    <row r="27" spans="2:9" outlineLevel="1" x14ac:dyDescent="0.25">
      <c r="B27" s="35"/>
      <c r="C27" s="256"/>
      <c r="D27" s="594"/>
      <c r="E27" s="594"/>
      <c r="F27" s="594"/>
      <c r="G27" s="594"/>
      <c r="H27" s="594"/>
      <c r="I27" s="595"/>
    </row>
    <row r="28" spans="2:9" outlineLevel="1" x14ac:dyDescent="0.25">
      <c r="B28" s="35"/>
      <c r="C28" s="256"/>
      <c r="D28" s="594"/>
      <c r="E28" s="594"/>
      <c r="F28" s="594"/>
      <c r="G28" s="594"/>
      <c r="H28" s="594"/>
      <c r="I28" s="595"/>
    </row>
    <row r="29" spans="2:9" outlineLevel="1" x14ac:dyDescent="0.25">
      <c r="B29" s="35"/>
      <c r="C29" s="256"/>
      <c r="D29" s="594"/>
      <c r="E29" s="594"/>
      <c r="F29" s="594"/>
      <c r="G29" s="594"/>
      <c r="H29" s="594"/>
      <c r="I29" s="595"/>
    </row>
    <row r="30" spans="2:9" outlineLevel="1" x14ac:dyDescent="0.25">
      <c r="B30" s="35"/>
      <c r="C30" s="256"/>
      <c r="D30" s="594"/>
      <c r="E30" s="594"/>
      <c r="F30" s="594"/>
      <c r="G30" s="594"/>
      <c r="H30" s="594"/>
      <c r="I30" s="595"/>
    </row>
    <row r="31" spans="2:9" outlineLevel="1" x14ac:dyDescent="0.25">
      <c r="B31" s="35"/>
      <c r="C31" s="256"/>
      <c r="D31" s="594"/>
      <c r="E31" s="594"/>
      <c r="F31" s="594"/>
      <c r="G31" s="594"/>
      <c r="H31" s="594"/>
      <c r="I31" s="595"/>
    </row>
    <row r="32" spans="2:9" outlineLevel="1" x14ac:dyDescent="0.25">
      <c r="B32" s="35"/>
      <c r="C32" s="256"/>
      <c r="D32" s="594"/>
      <c r="E32" s="594"/>
      <c r="F32" s="594"/>
      <c r="G32" s="594"/>
      <c r="H32" s="594"/>
      <c r="I32" s="595"/>
    </row>
    <row r="33" spans="2:9" outlineLevel="1" x14ac:dyDescent="0.25">
      <c r="B33" s="35"/>
      <c r="C33" s="256"/>
      <c r="D33" s="594"/>
      <c r="E33" s="594"/>
      <c r="F33" s="594"/>
      <c r="G33" s="594"/>
      <c r="H33" s="594"/>
      <c r="I33" s="595"/>
    </row>
    <row r="34" spans="2:9" outlineLevel="1" x14ac:dyDescent="0.25">
      <c r="B34" s="35"/>
      <c r="C34" s="256"/>
      <c r="D34" s="594"/>
      <c r="E34" s="594"/>
      <c r="F34" s="594"/>
      <c r="G34" s="594"/>
      <c r="H34" s="594"/>
      <c r="I34" s="595"/>
    </row>
    <row r="35" spans="2:9" outlineLevel="1" x14ac:dyDescent="0.25">
      <c r="B35" s="35"/>
      <c r="C35" s="256"/>
      <c r="D35" s="594"/>
      <c r="E35" s="594"/>
      <c r="F35" s="594"/>
      <c r="G35" s="594"/>
      <c r="H35" s="594"/>
      <c r="I35" s="595"/>
    </row>
    <row r="36" spans="2:9" outlineLevel="1" x14ac:dyDescent="0.25">
      <c r="B36" s="35"/>
      <c r="C36" s="256"/>
      <c r="D36" s="594"/>
      <c r="E36" s="594"/>
      <c r="F36" s="594"/>
      <c r="G36" s="594"/>
      <c r="H36" s="594"/>
      <c r="I36" s="595"/>
    </row>
    <row r="37" spans="2:9" outlineLevel="1" x14ac:dyDescent="0.25">
      <c r="B37" s="35"/>
      <c r="C37" s="256"/>
      <c r="D37" s="594"/>
      <c r="E37" s="594"/>
      <c r="F37" s="594"/>
      <c r="G37" s="594"/>
      <c r="H37" s="594"/>
      <c r="I37" s="595"/>
    </row>
    <row r="38" spans="2:9" outlineLevel="1" x14ac:dyDescent="0.25">
      <c r="B38" s="35"/>
      <c r="C38" s="256"/>
      <c r="D38" s="594"/>
      <c r="E38" s="594"/>
      <c r="F38" s="594"/>
      <c r="G38" s="594"/>
      <c r="H38" s="594"/>
      <c r="I38" s="595"/>
    </row>
    <row r="39" spans="2:9" outlineLevel="1" x14ac:dyDescent="0.25">
      <c r="B39" s="35"/>
      <c r="C39" s="256"/>
      <c r="D39" s="594"/>
      <c r="E39" s="594"/>
      <c r="F39" s="594"/>
      <c r="G39" s="594"/>
      <c r="H39" s="594"/>
      <c r="I39" s="595"/>
    </row>
    <row r="40" spans="2:9" outlineLevel="1" x14ac:dyDescent="0.25">
      <c r="B40" s="35"/>
      <c r="C40" s="256"/>
      <c r="D40" s="594"/>
      <c r="E40" s="594"/>
      <c r="F40" s="594"/>
      <c r="G40" s="594"/>
      <c r="H40" s="594"/>
      <c r="I40" s="595"/>
    </row>
    <row r="41" spans="2:9" outlineLevel="1" x14ac:dyDescent="0.25">
      <c r="B41" s="35"/>
      <c r="C41" s="256"/>
      <c r="D41" s="594"/>
      <c r="E41" s="594"/>
      <c r="F41" s="594"/>
      <c r="G41" s="594"/>
      <c r="H41" s="594"/>
      <c r="I41" s="595"/>
    </row>
    <row r="42" spans="2:9" outlineLevel="1" x14ac:dyDescent="0.25">
      <c r="B42" s="35"/>
      <c r="C42" s="256"/>
      <c r="D42" s="594"/>
      <c r="E42" s="594"/>
      <c r="F42" s="594"/>
      <c r="G42" s="594"/>
      <c r="H42" s="594"/>
      <c r="I42" s="595"/>
    </row>
    <row r="43" spans="2:9" outlineLevel="1" x14ac:dyDescent="0.25">
      <c r="B43" s="35"/>
      <c r="C43" s="256"/>
      <c r="D43" s="594"/>
      <c r="E43" s="594"/>
      <c r="F43" s="594"/>
      <c r="G43" s="594"/>
      <c r="H43" s="594"/>
      <c r="I43" s="595"/>
    </row>
    <row r="44" spans="2:9" outlineLevel="1" x14ac:dyDescent="0.25">
      <c r="B44" s="35"/>
      <c r="C44" s="256"/>
      <c r="D44" s="594"/>
      <c r="E44" s="594"/>
      <c r="F44" s="594"/>
      <c r="G44" s="594"/>
      <c r="H44" s="594"/>
      <c r="I44" s="595"/>
    </row>
    <row r="45" spans="2:9" outlineLevel="1" x14ac:dyDescent="0.25">
      <c r="B45" s="35"/>
      <c r="C45" s="256"/>
      <c r="D45" s="594"/>
      <c r="E45" s="594"/>
      <c r="F45" s="594"/>
      <c r="G45" s="594"/>
      <c r="H45" s="594"/>
      <c r="I45" s="595"/>
    </row>
    <row r="46" spans="2:9" outlineLevel="1" x14ac:dyDescent="0.25">
      <c r="B46" s="35"/>
      <c r="C46" s="256"/>
      <c r="D46" s="594"/>
      <c r="E46" s="594"/>
      <c r="F46" s="594"/>
      <c r="G46" s="594"/>
      <c r="H46" s="594"/>
      <c r="I46" s="595"/>
    </row>
    <row r="47" spans="2:9" outlineLevel="1" x14ac:dyDescent="0.25">
      <c r="B47" s="35"/>
      <c r="C47" s="256"/>
      <c r="D47" s="594"/>
      <c r="E47" s="594"/>
      <c r="F47" s="594"/>
      <c r="G47" s="594"/>
      <c r="H47" s="594"/>
      <c r="I47" s="595"/>
    </row>
    <row r="48" spans="2:9" outlineLevel="1" x14ac:dyDescent="0.25">
      <c r="B48" s="35"/>
      <c r="C48" s="256"/>
      <c r="D48" s="594"/>
      <c r="E48" s="594"/>
      <c r="F48" s="594"/>
      <c r="G48" s="594"/>
      <c r="H48" s="594"/>
      <c r="I48" s="595"/>
    </row>
    <row r="49" spans="2:9" outlineLevel="1" x14ac:dyDescent="0.25">
      <c r="B49" s="35"/>
      <c r="C49" s="256"/>
      <c r="D49" s="594"/>
      <c r="E49" s="594"/>
      <c r="F49" s="594"/>
      <c r="G49" s="594"/>
      <c r="H49" s="594"/>
      <c r="I49" s="595"/>
    </row>
    <row r="50" spans="2:9" outlineLevel="1" x14ac:dyDescent="0.25">
      <c r="B50" s="35"/>
      <c r="C50" s="256"/>
      <c r="D50" s="594"/>
      <c r="E50" s="594"/>
      <c r="F50" s="594"/>
      <c r="G50" s="594"/>
      <c r="H50" s="594"/>
      <c r="I50" s="595"/>
    </row>
    <row r="51" spans="2:9" outlineLevel="1" x14ac:dyDescent="0.25">
      <c r="B51" s="35"/>
      <c r="C51" s="256"/>
      <c r="D51" s="594"/>
      <c r="E51" s="594"/>
      <c r="F51" s="594"/>
      <c r="G51" s="594"/>
      <c r="H51" s="594"/>
      <c r="I51" s="595"/>
    </row>
    <row r="52" spans="2:9" outlineLevel="1" x14ac:dyDescent="0.25">
      <c r="B52" s="35"/>
      <c r="C52" s="256"/>
      <c r="D52" s="594"/>
      <c r="E52" s="594"/>
      <c r="F52" s="594"/>
      <c r="G52" s="594"/>
      <c r="H52" s="594"/>
      <c r="I52" s="595"/>
    </row>
    <row r="53" spans="2:9" outlineLevel="1" x14ac:dyDescent="0.25">
      <c r="B53" s="35"/>
      <c r="C53" s="256"/>
      <c r="D53" s="594"/>
      <c r="E53" s="594"/>
      <c r="F53" s="594"/>
      <c r="G53" s="594"/>
      <c r="H53" s="594"/>
      <c r="I53" s="595"/>
    </row>
    <row r="54" spans="2:9" outlineLevel="1" x14ac:dyDescent="0.25">
      <c r="B54" s="35"/>
      <c r="C54" s="256"/>
      <c r="D54" s="594"/>
      <c r="E54" s="594"/>
      <c r="F54" s="594"/>
      <c r="G54" s="594"/>
      <c r="H54" s="594"/>
      <c r="I54" s="595"/>
    </row>
    <row r="55" spans="2:9" outlineLevel="1" x14ac:dyDescent="0.25">
      <c r="B55" s="35"/>
      <c r="C55" s="256"/>
      <c r="D55" s="594"/>
      <c r="E55" s="594"/>
      <c r="F55" s="594"/>
      <c r="G55" s="594"/>
      <c r="H55" s="594"/>
      <c r="I55" s="595"/>
    </row>
    <row r="56" spans="2:9" outlineLevel="1" x14ac:dyDescent="0.25">
      <c r="B56" s="35"/>
      <c r="C56" s="256"/>
      <c r="D56" s="594"/>
      <c r="E56" s="594"/>
      <c r="F56" s="594"/>
      <c r="G56" s="594"/>
      <c r="H56" s="594"/>
      <c r="I56" s="595"/>
    </row>
    <row r="57" spans="2:9" outlineLevel="1" x14ac:dyDescent="0.25">
      <c r="B57" s="35"/>
      <c r="C57" s="256"/>
      <c r="D57" s="594"/>
      <c r="E57" s="594"/>
      <c r="F57" s="594"/>
      <c r="G57" s="594"/>
      <c r="H57" s="594"/>
      <c r="I57" s="595"/>
    </row>
    <row r="58" spans="2:9" outlineLevel="1" x14ac:dyDescent="0.25">
      <c r="B58" s="35"/>
      <c r="C58" s="256"/>
      <c r="D58" s="594"/>
      <c r="E58" s="594"/>
      <c r="F58" s="594"/>
      <c r="G58" s="594"/>
      <c r="H58" s="594"/>
      <c r="I58" s="595"/>
    </row>
    <row r="59" spans="2:9" outlineLevel="1" x14ac:dyDescent="0.25">
      <c r="B59" s="35"/>
      <c r="C59" s="256"/>
      <c r="D59" s="594"/>
      <c r="E59" s="594"/>
      <c r="F59" s="594"/>
      <c r="G59" s="594"/>
      <c r="H59" s="594"/>
      <c r="I59" s="595"/>
    </row>
    <row r="60" spans="2:9" outlineLevel="1" x14ac:dyDescent="0.25">
      <c r="B60" s="35"/>
      <c r="C60" s="526"/>
      <c r="D60" s="594"/>
      <c r="E60" s="594"/>
      <c r="F60" s="594"/>
      <c r="G60" s="594"/>
      <c r="H60" s="594"/>
      <c r="I60" s="595"/>
    </row>
    <row r="61" spans="2:9" outlineLevel="1" x14ac:dyDescent="0.25">
      <c r="B61" s="35"/>
      <c r="C61" s="526"/>
      <c r="D61" s="594"/>
      <c r="E61" s="594"/>
      <c r="F61" s="594"/>
      <c r="G61" s="594"/>
      <c r="H61" s="594"/>
      <c r="I61" s="595"/>
    </row>
    <row r="62" spans="2:9" outlineLevel="1" x14ac:dyDescent="0.25">
      <c r="B62" s="35"/>
      <c r="C62" s="526"/>
      <c r="D62" s="594"/>
      <c r="E62" s="594"/>
      <c r="F62" s="594"/>
      <c r="G62" s="594"/>
      <c r="H62" s="594"/>
      <c r="I62" s="595"/>
    </row>
    <row r="63" spans="2:9" outlineLevel="1" x14ac:dyDescent="0.25">
      <c r="B63" s="35"/>
      <c r="C63" s="526"/>
      <c r="D63" s="594"/>
      <c r="E63" s="594"/>
      <c r="F63" s="594"/>
      <c r="G63" s="594"/>
      <c r="H63" s="594"/>
      <c r="I63" s="595"/>
    </row>
    <row r="64" spans="2:9" outlineLevel="1" x14ac:dyDescent="0.25">
      <c r="B64" s="35"/>
      <c r="C64" s="526"/>
      <c r="D64" s="594"/>
      <c r="E64" s="594"/>
      <c r="F64" s="594"/>
      <c r="G64" s="594"/>
      <c r="H64" s="594"/>
      <c r="I64" s="595"/>
    </row>
    <row r="65" spans="2:9" outlineLevel="1" x14ac:dyDescent="0.25">
      <c r="B65" s="35"/>
      <c r="C65" s="526"/>
      <c r="D65" s="594"/>
      <c r="E65" s="594"/>
      <c r="F65" s="594"/>
      <c r="G65" s="594"/>
      <c r="H65" s="594"/>
      <c r="I65" s="595"/>
    </row>
    <row r="66" spans="2:9" outlineLevel="1" x14ac:dyDescent="0.25">
      <c r="B66" s="35"/>
      <c r="C66" s="526"/>
      <c r="D66" s="594"/>
      <c r="E66" s="594"/>
      <c r="F66" s="594"/>
      <c r="G66" s="594"/>
      <c r="H66" s="594"/>
      <c r="I66" s="595"/>
    </row>
    <row r="67" spans="2:9" outlineLevel="1" x14ac:dyDescent="0.25">
      <c r="B67" s="35"/>
      <c r="C67" s="526"/>
      <c r="D67" s="594"/>
      <c r="E67" s="594"/>
      <c r="F67" s="594"/>
      <c r="G67" s="594"/>
      <c r="H67" s="594"/>
      <c r="I67" s="595"/>
    </row>
    <row r="68" spans="2:9" outlineLevel="1" x14ac:dyDescent="0.25">
      <c r="B68" s="35"/>
      <c r="C68" s="526"/>
      <c r="D68" s="594"/>
      <c r="E68" s="594"/>
      <c r="F68" s="594"/>
      <c r="G68" s="594"/>
      <c r="H68" s="594"/>
      <c r="I68" s="595"/>
    </row>
    <row r="69" spans="2:9" outlineLevel="1" x14ac:dyDescent="0.25">
      <c r="B69" s="35"/>
      <c r="C69" s="526"/>
      <c r="D69" s="594"/>
      <c r="E69" s="594"/>
      <c r="F69" s="594"/>
      <c r="G69" s="594"/>
      <c r="H69" s="594"/>
      <c r="I69" s="595"/>
    </row>
    <row r="70" spans="2:9" outlineLevel="1" x14ac:dyDescent="0.25">
      <c r="B70" s="35"/>
      <c r="C70" s="526"/>
      <c r="D70" s="594"/>
      <c r="E70" s="594"/>
      <c r="F70" s="594"/>
      <c r="G70" s="594"/>
      <c r="H70" s="594"/>
      <c r="I70" s="595"/>
    </row>
    <row r="71" spans="2:9" outlineLevel="1" x14ac:dyDescent="0.25">
      <c r="B71" s="35"/>
      <c r="C71" s="526"/>
      <c r="D71" s="594"/>
      <c r="E71" s="594"/>
      <c r="F71" s="594"/>
      <c r="G71" s="594"/>
      <c r="H71" s="594"/>
      <c r="I71" s="595"/>
    </row>
    <row r="72" spans="2:9" outlineLevel="1" x14ac:dyDescent="0.25">
      <c r="B72" s="35"/>
      <c r="C72" s="526"/>
      <c r="D72" s="594"/>
      <c r="E72" s="594"/>
      <c r="F72" s="594"/>
      <c r="G72" s="594"/>
      <c r="H72" s="594"/>
      <c r="I72" s="595"/>
    </row>
    <row r="73" spans="2:9" outlineLevel="1" x14ac:dyDescent="0.25">
      <c r="B73" s="35"/>
      <c r="C73" s="526"/>
      <c r="D73" s="594"/>
      <c r="E73" s="594"/>
      <c r="F73" s="594"/>
      <c r="G73" s="594"/>
      <c r="H73" s="594"/>
      <c r="I73" s="595"/>
    </row>
    <row r="74" spans="2:9" outlineLevel="1" x14ac:dyDescent="0.25">
      <c r="B74" s="35"/>
      <c r="C74" s="526"/>
      <c r="D74" s="594"/>
      <c r="E74" s="594"/>
      <c r="F74" s="594"/>
      <c r="G74" s="594"/>
      <c r="H74" s="594"/>
      <c r="I74" s="595"/>
    </row>
    <row r="75" spans="2:9" outlineLevel="1" x14ac:dyDescent="0.25">
      <c r="B75" s="35"/>
      <c r="C75" s="526"/>
      <c r="D75" s="594"/>
      <c r="E75" s="594"/>
      <c r="F75" s="594"/>
      <c r="G75" s="594"/>
      <c r="H75" s="594"/>
      <c r="I75" s="595"/>
    </row>
    <row r="76" spans="2:9" outlineLevel="1" x14ac:dyDescent="0.25">
      <c r="B76" s="35"/>
      <c r="C76" s="526"/>
      <c r="D76" s="594"/>
      <c r="E76" s="594"/>
      <c r="F76" s="594"/>
      <c r="G76" s="594"/>
      <c r="H76" s="594"/>
      <c r="I76" s="595"/>
    </row>
    <row r="77" spans="2:9" outlineLevel="1" x14ac:dyDescent="0.25">
      <c r="B77" s="35"/>
      <c r="C77" s="526"/>
      <c r="D77" s="594"/>
      <c r="E77" s="594"/>
      <c r="F77" s="594"/>
      <c r="G77" s="594"/>
      <c r="H77" s="594"/>
      <c r="I77" s="595"/>
    </row>
    <row r="78" spans="2:9" outlineLevel="1" x14ac:dyDescent="0.25">
      <c r="B78" s="35"/>
      <c r="C78" s="526"/>
      <c r="D78" s="594"/>
      <c r="E78" s="594"/>
      <c r="F78" s="594"/>
      <c r="G78" s="594"/>
      <c r="H78" s="594"/>
      <c r="I78" s="595"/>
    </row>
    <row r="79" spans="2:9" outlineLevel="1" x14ac:dyDescent="0.25">
      <c r="B79" s="35"/>
      <c r="C79" s="526"/>
      <c r="D79" s="594"/>
      <c r="E79" s="594"/>
      <c r="F79" s="594"/>
      <c r="G79" s="594"/>
      <c r="H79" s="594"/>
      <c r="I79" s="595"/>
    </row>
    <row r="80" spans="2:9" outlineLevel="1" x14ac:dyDescent="0.25">
      <c r="B80" s="35"/>
      <c r="C80" s="526"/>
      <c r="D80" s="594"/>
      <c r="E80" s="594"/>
      <c r="F80" s="594"/>
      <c r="G80" s="594"/>
      <c r="H80" s="594"/>
      <c r="I80" s="595"/>
    </row>
    <row r="81" spans="2:85" outlineLevel="1" x14ac:dyDescent="0.25">
      <c r="B81" s="35"/>
      <c r="C81" s="526"/>
      <c r="D81" s="594"/>
      <c r="E81" s="594"/>
      <c r="F81" s="594"/>
      <c r="G81" s="594"/>
      <c r="H81" s="594"/>
      <c r="I81" s="595"/>
    </row>
    <row r="82" spans="2:85" outlineLevel="1" x14ac:dyDescent="0.25">
      <c r="B82" s="35"/>
      <c r="C82" s="526"/>
      <c r="D82" s="594"/>
      <c r="E82" s="594"/>
      <c r="F82" s="594"/>
      <c r="G82" s="594"/>
      <c r="H82" s="594"/>
      <c r="I82" s="595"/>
    </row>
    <row r="83" spans="2:85" outlineLevel="1" x14ac:dyDescent="0.25">
      <c r="B83" s="35"/>
      <c r="C83" s="526"/>
      <c r="D83" s="594"/>
      <c r="E83" s="594"/>
      <c r="F83" s="594"/>
      <c r="G83" s="594"/>
      <c r="H83" s="594"/>
      <c r="I83" s="595"/>
    </row>
    <row r="84" spans="2:85" outlineLevel="1" x14ac:dyDescent="0.25">
      <c r="B84" s="35"/>
      <c r="C84" s="526"/>
      <c r="D84" s="594"/>
      <c r="E84" s="594"/>
      <c r="F84" s="594"/>
      <c r="G84" s="594"/>
      <c r="H84" s="594"/>
      <c r="I84" s="595"/>
    </row>
    <row r="85" spans="2:85" ht="15" customHeight="1" outlineLevel="1" x14ac:dyDescent="0.25">
      <c r="B85" s="1396"/>
      <c r="C85" s="526"/>
      <c r="D85" s="1"/>
      <c r="E85" s="1"/>
      <c r="F85" s="1"/>
      <c r="G85" s="1"/>
      <c r="H85" s="1"/>
      <c r="I85" s="1399"/>
    </row>
    <row r="86" spans="2:85" ht="15" customHeight="1" outlineLevel="1" x14ac:dyDescent="0.25">
      <c r="B86" s="1398" t="s">
        <v>112</v>
      </c>
      <c r="C86" s="1395">
        <f t="shared" ref="C86:I86" si="0">SUM(C11:C85)</f>
        <v>153507</v>
      </c>
      <c r="D86" s="1395">
        <f t="shared" si="0"/>
        <v>151281</v>
      </c>
      <c r="E86" s="1395">
        <f t="shared" si="0"/>
        <v>147727</v>
      </c>
      <c r="F86" s="1395">
        <f t="shared" si="0"/>
        <v>138725</v>
      </c>
      <c r="G86" s="1395">
        <f t="shared" si="0"/>
        <v>128809</v>
      </c>
      <c r="H86" s="1395">
        <f t="shared" si="0"/>
        <v>118390</v>
      </c>
      <c r="I86" s="1397">
        <f t="shared" si="0"/>
        <v>108191</v>
      </c>
    </row>
    <row r="87" spans="2:85" ht="17.25" customHeight="1" x14ac:dyDescent="0.25"/>
    <row r="88" spans="2:85" s="586" customFormat="1" ht="25.5" customHeight="1" x14ac:dyDescent="0.25">
      <c r="B88" s="235" t="s">
        <v>397</v>
      </c>
      <c r="C88" s="236"/>
      <c r="D88" s="236"/>
      <c r="E88" s="236"/>
      <c r="F88" s="236"/>
      <c r="G88" s="236"/>
      <c r="H88" s="236"/>
      <c r="I88" s="237"/>
      <c r="BH88" s="587"/>
      <c r="BI88" s="587"/>
      <c r="BJ88" s="587"/>
      <c r="BK88" s="587"/>
      <c r="BL88" s="587"/>
      <c r="BM88" s="587"/>
      <c r="BN88" s="587"/>
      <c r="BO88" s="587"/>
      <c r="BP88" s="587"/>
      <c r="BQ88" s="587"/>
      <c r="BR88" s="587"/>
      <c r="BS88" s="587"/>
      <c r="BT88" s="587"/>
      <c r="BU88" s="587"/>
      <c r="BV88" s="587"/>
      <c r="BW88" s="587"/>
      <c r="BX88" s="587"/>
      <c r="BY88" s="587"/>
      <c r="BZ88" s="587"/>
      <c r="CA88" s="587"/>
      <c r="CB88" s="587"/>
      <c r="CC88" s="587"/>
      <c r="CD88" s="587"/>
      <c r="CE88" s="587"/>
      <c r="CF88" s="587"/>
      <c r="CG88" s="587"/>
    </row>
    <row r="89" spans="2:85" s="276" customFormat="1" ht="25.5" customHeight="1" outlineLevel="1" x14ac:dyDescent="0.2">
      <c r="C89" s="1335" t="s">
        <v>158</v>
      </c>
      <c r="D89" s="1336"/>
      <c r="E89" s="1336"/>
      <c r="F89" s="1336"/>
      <c r="G89" s="1336"/>
      <c r="H89" s="1336"/>
      <c r="I89" s="1337"/>
    </row>
    <row r="90" spans="2:85" s="276" customFormat="1" ht="18" customHeight="1" outlineLevel="1" x14ac:dyDescent="0.25">
      <c r="B90" s="62"/>
      <c r="C90" s="1328" t="s">
        <v>229</v>
      </c>
      <c r="D90" s="1329"/>
      <c r="E90" s="1329"/>
      <c r="F90" s="1329"/>
      <c r="G90" s="1329"/>
      <c r="H90" s="1329"/>
      <c r="I90" s="1330"/>
    </row>
    <row r="91" spans="2:85" s="276" customFormat="1" ht="15" customHeight="1" outlineLevel="1" x14ac:dyDescent="0.25">
      <c r="B91" s="302"/>
      <c r="C91" s="386" t="str">
        <f ca="1">dms_y1</f>
        <v>2024-25</v>
      </c>
      <c r="D91" s="1346" t="str">
        <f ca="1">dms_y2</f>
        <v>2025-26</v>
      </c>
      <c r="E91" s="290" t="str">
        <f ca="1">dms_y3</f>
        <v>2026-27</v>
      </c>
      <c r="F91" s="290" t="str">
        <f ca="1">dms_y4</f>
        <v>2027-28</v>
      </c>
      <c r="G91" s="290" t="str">
        <f ca="1">dms_y5</f>
        <v>2028-29</v>
      </c>
      <c r="H91" s="290" t="str">
        <f ca="1">dms_y6</f>
        <v>2029-30</v>
      </c>
      <c r="I91" s="387" t="str">
        <f ca="1">dms_y7</f>
        <v>2030-31</v>
      </c>
    </row>
    <row r="92" spans="2:85" outlineLevel="1" x14ac:dyDescent="0.25">
      <c r="B92" s="35" t="s">
        <v>345</v>
      </c>
      <c r="C92" s="256">
        <v>151221</v>
      </c>
      <c r="D92" s="256">
        <v>147668</v>
      </c>
      <c r="E92" s="256">
        <v>138667</v>
      </c>
      <c r="F92" s="256">
        <v>128753</v>
      </c>
      <c r="G92" s="256">
        <v>118335</v>
      </c>
      <c r="H92" s="256">
        <v>108139</v>
      </c>
      <c r="I92" s="257">
        <v>98498</v>
      </c>
    </row>
    <row r="93" spans="2:85" outlineLevel="1" x14ac:dyDescent="0.25">
      <c r="B93" s="35" t="s">
        <v>346</v>
      </c>
      <c r="C93" s="256">
        <v>17</v>
      </c>
      <c r="D93" s="256">
        <v>16</v>
      </c>
      <c r="E93" s="256">
        <v>15</v>
      </c>
      <c r="F93" s="256">
        <v>14</v>
      </c>
      <c r="G93" s="256">
        <v>13</v>
      </c>
      <c r="H93" s="256">
        <v>12</v>
      </c>
      <c r="I93" s="257">
        <v>11</v>
      </c>
    </row>
    <row r="94" spans="2:85" outlineLevel="1" x14ac:dyDescent="0.25">
      <c r="B94" s="35" t="s">
        <v>347</v>
      </c>
      <c r="C94" s="256">
        <v>42</v>
      </c>
      <c r="D94" s="256">
        <v>42</v>
      </c>
      <c r="E94" s="256">
        <v>42</v>
      </c>
      <c r="F94" s="256">
        <v>41</v>
      </c>
      <c r="G94" s="256">
        <v>41</v>
      </c>
      <c r="H94" s="256">
        <v>39</v>
      </c>
      <c r="I94" s="257">
        <v>38</v>
      </c>
    </row>
    <row r="95" spans="2:85" outlineLevel="1" x14ac:dyDescent="0.25">
      <c r="B95" s="35" t="s">
        <v>348</v>
      </c>
      <c r="C95" s="256">
        <v>1</v>
      </c>
      <c r="D95" s="256">
        <v>1</v>
      </c>
      <c r="E95" s="256">
        <v>1</v>
      </c>
      <c r="F95" s="256">
        <v>1</v>
      </c>
      <c r="G95" s="256">
        <v>1</v>
      </c>
      <c r="H95" s="256">
        <v>1</v>
      </c>
      <c r="I95" s="257">
        <v>1</v>
      </c>
    </row>
    <row r="96" spans="2:85" outlineLevel="1" x14ac:dyDescent="0.25">
      <c r="B96" s="35"/>
      <c r="C96" s="256"/>
      <c r="D96" s="256"/>
      <c r="E96" s="256"/>
      <c r="F96" s="256"/>
      <c r="G96" s="256"/>
      <c r="H96" s="256"/>
      <c r="I96" s="257"/>
    </row>
    <row r="97" spans="2:9" outlineLevel="1" x14ac:dyDescent="0.25">
      <c r="B97" s="35"/>
      <c r="C97" s="256"/>
      <c r="D97" s="256"/>
      <c r="E97" s="256"/>
      <c r="F97" s="256"/>
      <c r="G97" s="256"/>
      <c r="H97" s="256"/>
      <c r="I97" s="257"/>
    </row>
    <row r="98" spans="2:9" outlineLevel="1" x14ac:dyDescent="0.25">
      <c r="B98" s="35"/>
      <c r="C98" s="256"/>
      <c r="D98" s="256"/>
      <c r="E98" s="256"/>
      <c r="F98" s="256"/>
      <c r="G98" s="256"/>
      <c r="H98" s="256"/>
      <c r="I98" s="257"/>
    </row>
    <row r="99" spans="2:9" outlineLevel="1" x14ac:dyDescent="0.25">
      <c r="B99" s="35"/>
      <c r="C99" s="256"/>
      <c r="D99" s="256"/>
      <c r="E99" s="256"/>
      <c r="F99" s="256"/>
      <c r="G99" s="256"/>
      <c r="H99" s="256"/>
      <c r="I99" s="257"/>
    </row>
    <row r="100" spans="2:9" outlineLevel="1" x14ac:dyDescent="0.25">
      <c r="B100" s="35"/>
      <c r="C100" s="256"/>
      <c r="D100" s="256"/>
      <c r="E100" s="256"/>
      <c r="F100" s="256"/>
      <c r="G100" s="256"/>
      <c r="H100" s="256"/>
      <c r="I100" s="257"/>
    </row>
    <row r="101" spans="2:9" outlineLevel="1" x14ac:dyDescent="0.25">
      <c r="B101" s="35"/>
      <c r="C101" s="256"/>
      <c r="D101" s="256"/>
      <c r="E101" s="256"/>
      <c r="F101" s="256"/>
      <c r="G101" s="256"/>
      <c r="H101" s="256"/>
      <c r="I101" s="257"/>
    </row>
    <row r="102" spans="2:9" outlineLevel="1" x14ac:dyDescent="0.25">
      <c r="B102" s="35"/>
      <c r="C102" s="256"/>
      <c r="D102" s="256"/>
      <c r="E102" s="256"/>
      <c r="F102" s="256"/>
      <c r="G102" s="256"/>
      <c r="H102" s="256"/>
      <c r="I102" s="257"/>
    </row>
    <row r="103" spans="2:9" outlineLevel="1" x14ac:dyDescent="0.25">
      <c r="B103" s="35"/>
      <c r="C103" s="256"/>
      <c r="D103" s="256"/>
      <c r="E103" s="256"/>
      <c r="F103" s="256"/>
      <c r="G103" s="256"/>
      <c r="H103" s="256"/>
      <c r="I103" s="257"/>
    </row>
    <row r="104" spans="2:9" outlineLevel="1" x14ac:dyDescent="0.25">
      <c r="B104" s="35"/>
      <c r="C104" s="256"/>
      <c r="D104" s="256"/>
      <c r="E104" s="256"/>
      <c r="F104" s="256"/>
      <c r="G104" s="256"/>
      <c r="H104" s="256"/>
      <c r="I104" s="257"/>
    </row>
    <row r="105" spans="2:9" outlineLevel="1" x14ac:dyDescent="0.25">
      <c r="B105" s="35"/>
      <c r="C105" s="256"/>
      <c r="D105" s="256"/>
      <c r="E105" s="256"/>
      <c r="F105" s="256"/>
      <c r="G105" s="256"/>
      <c r="H105" s="256"/>
      <c r="I105" s="257"/>
    </row>
    <row r="106" spans="2:9" outlineLevel="1" x14ac:dyDescent="0.25">
      <c r="B106" s="35"/>
      <c r="C106" s="256"/>
      <c r="D106" s="256"/>
      <c r="E106" s="256"/>
      <c r="F106" s="256"/>
      <c r="G106" s="256"/>
      <c r="H106" s="256"/>
      <c r="I106" s="257"/>
    </row>
    <row r="107" spans="2:9" outlineLevel="1" x14ac:dyDescent="0.25">
      <c r="B107" s="35"/>
      <c r="C107" s="256"/>
      <c r="D107" s="256"/>
      <c r="E107" s="256"/>
      <c r="F107" s="256"/>
      <c r="G107" s="256"/>
      <c r="H107" s="256"/>
      <c r="I107" s="257"/>
    </row>
    <row r="108" spans="2:9" outlineLevel="1" x14ac:dyDescent="0.25">
      <c r="B108" s="35"/>
      <c r="C108" s="256"/>
      <c r="D108" s="256"/>
      <c r="E108" s="256"/>
      <c r="F108" s="256"/>
      <c r="G108" s="256"/>
      <c r="H108" s="256"/>
      <c r="I108" s="257"/>
    </row>
    <row r="109" spans="2:9" outlineLevel="1" x14ac:dyDescent="0.25">
      <c r="B109" s="35"/>
      <c r="C109" s="256"/>
      <c r="D109" s="256"/>
      <c r="E109" s="256"/>
      <c r="F109" s="256"/>
      <c r="G109" s="256"/>
      <c r="H109" s="256"/>
      <c r="I109" s="257"/>
    </row>
    <row r="110" spans="2:9" outlineLevel="1" x14ac:dyDescent="0.25">
      <c r="B110" s="35"/>
      <c r="C110" s="256"/>
      <c r="D110" s="256"/>
      <c r="E110" s="256"/>
      <c r="F110" s="256"/>
      <c r="G110" s="256"/>
      <c r="H110" s="256"/>
      <c r="I110" s="257"/>
    </row>
    <row r="111" spans="2:9" outlineLevel="1" x14ac:dyDescent="0.25">
      <c r="B111" s="35"/>
      <c r="C111" s="256"/>
      <c r="D111" s="256"/>
      <c r="E111" s="256"/>
      <c r="F111" s="256"/>
      <c r="G111" s="256"/>
      <c r="H111" s="256"/>
      <c r="I111" s="257"/>
    </row>
    <row r="112" spans="2:9" outlineLevel="1" x14ac:dyDescent="0.25">
      <c r="B112" s="35"/>
      <c r="C112" s="256"/>
      <c r="D112" s="256"/>
      <c r="E112" s="256"/>
      <c r="F112" s="256"/>
      <c r="G112" s="256"/>
      <c r="H112" s="256"/>
      <c r="I112" s="257"/>
    </row>
    <row r="113" spans="2:9" outlineLevel="1" x14ac:dyDescent="0.25">
      <c r="B113" s="35"/>
      <c r="C113" s="256"/>
      <c r="D113" s="256"/>
      <c r="E113" s="256"/>
      <c r="F113" s="256"/>
      <c r="G113" s="256"/>
      <c r="H113" s="256"/>
      <c r="I113" s="257"/>
    </row>
    <row r="114" spans="2:9" outlineLevel="1" x14ac:dyDescent="0.25">
      <c r="B114" s="35"/>
      <c r="C114" s="256"/>
      <c r="D114" s="256"/>
      <c r="E114" s="256"/>
      <c r="F114" s="256"/>
      <c r="G114" s="256"/>
      <c r="H114" s="256"/>
      <c r="I114" s="257"/>
    </row>
    <row r="115" spans="2:9" outlineLevel="1" x14ac:dyDescent="0.25">
      <c r="B115" s="35"/>
      <c r="C115" s="256"/>
      <c r="D115" s="256"/>
      <c r="E115" s="256"/>
      <c r="F115" s="256"/>
      <c r="G115" s="256"/>
      <c r="H115" s="256"/>
      <c r="I115" s="257"/>
    </row>
    <row r="116" spans="2:9" outlineLevel="1" x14ac:dyDescent="0.25">
      <c r="B116" s="35"/>
      <c r="C116" s="256"/>
      <c r="D116" s="256"/>
      <c r="E116" s="256"/>
      <c r="F116" s="256"/>
      <c r="G116" s="256"/>
      <c r="H116" s="256"/>
      <c r="I116" s="257"/>
    </row>
    <row r="117" spans="2:9" outlineLevel="1" x14ac:dyDescent="0.25">
      <c r="B117" s="35"/>
      <c r="C117" s="256"/>
      <c r="D117" s="256"/>
      <c r="E117" s="256"/>
      <c r="F117" s="256"/>
      <c r="G117" s="256"/>
      <c r="H117" s="256"/>
      <c r="I117" s="257"/>
    </row>
    <row r="118" spans="2:9" outlineLevel="1" x14ac:dyDescent="0.25">
      <c r="B118" s="35"/>
      <c r="C118" s="256"/>
      <c r="D118" s="256"/>
      <c r="E118" s="256"/>
      <c r="F118" s="256"/>
      <c r="G118" s="256"/>
      <c r="H118" s="256"/>
      <c r="I118" s="257"/>
    </row>
    <row r="119" spans="2:9" outlineLevel="1" x14ac:dyDescent="0.25">
      <c r="B119" s="35"/>
      <c r="C119" s="256"/>
      <c r="D119" s="256"/>
      <c r="E119" s="256"/>
      <c r="F119" s="256"/>
      <c r="G119" s="256"/>
      <c r="H119" s="256"/>
      <c r="I119" s="257"/>
    </row>
    <row r="120" spans="2:9" outlineLevel="1" x14ac:dyDescent="0.25">
      <c r="B120" s="35"/>
      <c r="C120" s="256"/>
      <c r="D120" s="256"/>
      <c r="E120" s="256"/>
      <c r="F120" s="256"/>
      <c r="G120" s="256"/>
      <c r="H120" s="256"/>
      <c r="I120" s="257"/>
    </row>
    <row r="121" spans="2:9" outlineLevel="1" x14ac:dyDescent="0.25">
      <c r="B121" s="35"/>
      <c r="C121" s="256"/>
      <c r="D121" s="256"/>
      <c r="E121" s="256"/>
      <c r="F121" s="256"/>
      <c r="G121" s="256"/>
      <c r="H121" s="256"/>
      <c r="I121" s="257"/>
    </row>
    <row r="122" spans="2:9" outlineLevel="1" x14ac:dyDescent="0.25">
      <c r="B122" s="35"/>
      <c r="C122" s="256"/>
      <c r="D122" s="256"/>
      <c r="E122" s="256"/>
      <c r="F122" s="256"/>
      <c r="G122" s="256"/>
      <c r="H122" s="256"/>
      <c r="I122" s="257"/>
    </row>
    <row r="123" spans="2:9" outlineLevel="1" x14ac:dyDescent="0.25">
      <c r="B123" s="35"/>
      <c r="C123" s="256"/>
      <c r="D123" s="256"/>
      <c r="E123" s="256"/>
      <c r="F123" s="256"/>
      <c r="G123" s="256"/>
      <c r="H123" s="256"/>
      <c r="I123" s="257"/>
    </row>
    <row r="124" spans="2:9" outlineLevel="1" x14ac:dyDescent="0.25">
      <c r="B124" s="35"/>
      <c r="C124" s="256"/>
      <c r="D124" s="256"/>
      <c r="E124" s="256"/>
      <c r="F124" s="256"/>
      <c r="G124" s="256"/>
      <c r="H124" s="256"/>
      <c r="I124" s="257"/>
    </row>
    <row r="125" spans="2:9" outlineLevel="1" x14ac:dyDescent="0.25">
      <c r="B125" s="35"/>
      <c r="C125" s="256"/>
      <c r="D125" s="256"/>
      <c r="E125" s="256"/>
      <c r="F125" s="256"/>
      <c r="G125" s="256"/>
      <c r="H125" s="256"/>
      <c r="I125" s="257"/>
    </row>
    <row r="126" spans="2:9" outlineLevel="1" x14ac:dyDescent="0.25">
      <c r="B126" s="35"/>
      <c r="C126" s="256"/>
      <c r="D126" s="256"/>
      <c r="E126" s="256"/>
      <c r="F126" s="256"/>
      <c r="G126" s="256"/>
      <c r="H126" s="256"/>
      <c r="I126" s="257"/>
    </row>
    <row r="127" spans="2:9" outlineLevel="1" x14ac:dyDescent="0.25">
      <c r="B127" s="35"/>
      <c r="C127" s="256"/>
      <c r="D127" s="256"/>
      <c r="E127" s="256"/>
      <c r="F127" s="256"/>
      <c r="G127" s="256"/>
      <c r="H127" s="256"/>
      <c r="I127" s="257"/>
    </row>
    <row r="128" spans="2:9" outlineLevel="1" x14ac:dyDescent="0.25">
      <c r="B128" s="35"/>
      <c r="C128" s="256"/>
      <c r="D128" s="256"/>
      <c r="E128" s="256"/>
      <c r="F128" s="256"/>
      <c r="G128" s="256"/>
      <c r="H128" s="256"/>
      <c r="I128" s="257"/>
    </row>
    <row r="129" spans="2:9" outlineLevel="1" x14ac:dyDescent="0.25">
      <c r="B129" s="35"/>
      <c r="C129" s="256"/>
      <c r="D129" s="256"/>
      <c r="E129" s="256"/>
      <c r="F129" s="256"/>
      <c r="G129" s="256"/>
      <c r="H129" s="256"/>
      <c r="I129" s="257"/>
    </row>
    <row r="130" spans="2:9" outlineLevel="1" x14ac:dyDescent="0.25">
      <c r="B130" s="35"/>
      <c r="C130" s="256"/>
      <c r="D130" s="256"/>
      <c r="E130" s="256"/>
      <c r="F130" s="256"/>
      <c r="G130" s="256"/>
      <c r="H130" s="256"/>
      <c r="I130" s="257"/>
    </row>
    <row r="131" spans="2:9" outlineLevel="1" x14ac:dyDescent="0.25">
      <c r="B131" s="35"/>
      <c r="C131" s="256"/>
      <c r="D131" s="256"/>
      <c r="E131" s="256"/>
      <c r="F131" s="256"/>
      <c r="G131" s="256"/>
      <c r="H131" s="256"/>
      <c r="I131" s="257"/>
    </row>
    <row r="132" spans="2:9" outlineLevel="1" x14ac:dyDescent="0.25">
      <c r="B132" s="35"/>
      <c r="C132" s="256"/>
      <c r="D132" s="256"/>
      <c r="E132" s="256"/>
      <c r="F132" s="256"/>
      <c r="G132" s="256"/>
      <c r="H132" s="256"/>
      <c r="I132" s="257"/>
    </row>
    <row r="133" spans="2:9" outlineLevel="1" x14ac:dyDescent="0.25">
      <c r="B133" s="35"/>
      <c r="C133" s="256"/>
      <c r="D133" s="256"/>
      <c r="E133" s="256"/>
      <c r="F133" s="256"/>
      <c r="G133" s="256"/>
      <c r="H133" s="256"/>
      <c r="I133" s="257"/>
    </row>
    <row r="134" spans="2:9" outlineLevel="1" x14ac:dyDescent="0.25">
      <c r="B134" s="35"/>
      <c r="C134" s="256"/>
      <c r="D134" s="256"/>
      <c r="E134" s="256"/>
      <c r="F134" s="256"/>
      <c r="G134" s="256"/>
      <c r="H134" s="256"/>
      <c r="I134" s="257"/>
    </row>
    <row r="135" spans="2:9" outlineLevel="1" x14ac:dyDescent="0.25">
      <c r="B135" s="35"/>
      <c r="C135" s="256"/>
      <c r="D135" s="256"/>
      <c r="E135" s="256"/>
      <c r="F135" s="256"/>
      <c r="G135" s="256"/>
      <c r="H135" s="256"/>
      <c r="I135" s="257"/>
    </row>
    <row r="136" spans="2:9" outlineLevel="1" x14ac:dyDescent="0.25">
      <c r="B136" s="35"/>
      <c r="C136" s="256"/>
      <c r="D136" s="256"/>
      <c r="E136" s="256"/>
      <c r="F136" s="256"/>
      <c r="G136" s="256"/>
      <c r="H136" s="256"/>
      <c r="I136" s="257"/>
    </row>
    <row r="137" spans="2:9" outlineLevel="1" x14ac:dyDescent="0.25">
      <c r="B137" s="35"/>
      <c r="C137" s="256"/>
      <c r="D137" s="256"/>
      <c r="E137" s="256"/>
      <c r="F137" s="256"/>
      <c r="G137" s="256"/>
      <c r="H137" s="256"/>
      <c r="I137" s="257"/>
    </row>
    <row r="138" spans="2:9" outlineLevel="1" x14ac:dyDescent="0.25">
      <c r="B138" s="35"/>
      <c r="C138" s="256"/>
      <c r="D138" s="256"/>
      <c r="E138" s="256"/>
      <c r="F138" s="256"/>
      <c r="G138" s="256"/>
      <c r="H138" s="256"/>
      <c r="I138" s="257"/>
    </row>
    <row r="139" spans="2:9" outlineLevel="1" x14ac:dyDescent="0.25">
      <c r="B139" s="35"/>
      <c r="C139" s="256"/>
      <c r="D139" s="256"/>
      <c r="E139" s="256"/>
      <c r="F139" s="256"/>
      <c r="G139" s="256"/>
      <c r="H139" s="256"/>
      <c r="I139" s="257"/>
    </row>
    <row r="140" spans="2:9" outlineLevel="1" x14ac:dyDescent="0.25">
      <c r="B140" s="35"/>
      <c r="C140" s="256"/>
      <c r="D140" s="256"/>
      <c r="E140" s="256"/>
      <c r="F140" s="256"/>
      <c r="G140" s="256"/>
      <c r="H140" s="256"/>
      <c r="I140" s="257"/>
    </row>
    <row r="141" spans="2:9" outlineLevel="1" x14ac:dyDescent="0.25">
      <c r="B141" s="35"/>
      <c r="C141" s="256"/>
      <c r="D141" s="256"/>
      <c r="E141" s="256"/>
      <c r="F141" s="256"/>
      <c r="G141" s="256"/>
      <c r="H141" s="256"/>
      <c r="I141" s="257"/>
    </row>
    <row r="142" spans="2:9" outlineLevel="1" x14ac:dyDescent="0.25">
      <c r="B142" s="35"/>
      <c r="C142" s="256"/>
      <c r="D142" s="256"/>
      <c r="E142" s="256"/>
      <c r="F142" s="256"/>
      <c r="G142" s="256"/>
      <c r="H142" s="256"/>
      <c r="I142" s="257"/>
    </row>
    <row r="143" spans="2:9" outlineLevel="1" x14ac:dyDescent="0.25">
      <c r="B143" s="35"/>
      <c r="C143" s="256"/>
      <c r="D143" s="256"/>
      <c r="E143" s="256"/>
      <c r="F143" s="256"/>
      <c r="G143" s="256"/>
      <c r="H143" s="256"/>
      <c r="I143" s="257"/>
    </row>
    <row r="144" spans="2:9" outlineLevel="1" x14ac:dyDescent="0.25">
      <c r="B144" s="35"/>
      <c r="C144" s="256"/>
      <c r="D144" s="256"/>
      <c r="E144" s="256"/>
      <c r="F144" s="256"/>
      <c r="G144" s="256"/>
      <c r="H144" s="256"/>
      <c r="I144" s="257"/>
    </row>
    <row r="145" spans="2:9" outlineLevel="1" x14ac:dyDescent="0.25">
      <c r="B145" s="35"/>
      <c r="C145" s="256"/>
      <c r="D145" s="256"/>
      <c r="E145" s="256"/>
      <c r="F145" s="256"/>
      <c r="G145" s="256"/>
      <c r="H145" s="256"/>
      <c r="I145" s="257"/>
    </row>
    <row r="146" spans="2:9" outlineLevel="1" x14ac:dyDescent="0.25">
      <c r="B146" s="35"/>
      <c r="C146" s="256"/>
      <c r="D146" s="256"/>
      <c r="E146" s="256"/>
      <c r="F146" s="256"/>
      <c r="G146" s="256"/>
      <c r="H146" s="256"/>
      <c r="I146" s="257"/>
    </row>
    <row r="147" spans="2:9" outlineLevel="1" x14ac:dyDescent="0.25">
      <c r="B147" s="35"/>
      <c r="C147" s="256"/>
      <c r="D147" s="256"/>
      <c r="E147" s="256"/>
      <c r="F147" s="256"/>
      <c r="G147" s="256"/>
      <c r="H147" s="256"/>
      <c r="I147" s="257"/>
    </row>
    <row r="148" spans="2:9" outlineLevel="1" x14ac:dyDescent="0.25">
      <c r="B148" s="35"/>
      <c r="C148" s="256"/>
      <c r="D148" s="256"/>
      <c r="E148" s="256"/>
      <c r="F148" s="256"/>
      <c r="G148" s="256"/>
      <c r="H148" s="256"/>
      <c r="I148" s="257"/>
    </row>
    <row r="149" spans="2:9" outlineLevel="1" x14ac:dyDescent="0.25">
      <c r="B149" s="35"/>
      <c r="C149" s="256"/>
      <c r="D149" s="256"/>
      <c r="E149" s="256"/>
      <c r="F149" s="256"/>
      <c r="G149" s="256"/>
      <c r="H149" s="256"/>
      <c r="I149" s="257"/>
    </row>
    <row r="150" spans="2:9" outlineLevel="1" x14ac:dyDescent="0.25">
      <c r="B150" s="35"/>
      <c r="C150" s="256"/>
      <c r="D150" s="256"/>
      <c r="E150" s="256"/>
      <c r="F150" s="256"/>
      <c r="G150" s="256"/>
      <c r="H150" s="256"/>
      <c r="I150" s="257"/>
    </row>
    <row r="151" spans="2:9" outlineLevel="1" x14ac:dyDescent="0.25">
      <c r="B151" s="35"/>
      <c r="C151" s="256"/>
      <c r="D151" s="256"/>
      <c r="E151" s="256"/>
      <c r="F151" s="256"/>
      <c r="G151" s="256"/>
      <c r="H151" s="256"/>
      <c r="I151" s="257"/>
    </row>
    <row r="152" spans="2:9" outlineLevel="1" x14ac:dyDescent="0.25">
      <c r="B152" s="35"/>
      <c r="C152" s="256"/>
      <c r="D152" s="256"/>
      <c r="E152" s="256"/>
      <c r="F152" s="256"/>
      <c r="G152" s="256"/>
      <c r="H152" s="256"/>
      <c r="I152" s="257"/>
    </row>
    <row r="153" spans="2:9" outlineLevel="1" x14ac:dyDescent="0.25">
      <c r="B153" s="35"/>
      <c r="C153" s="256"/>
      <c r="D153" s="256"/>
      <c r="E153" s="256"/>
      <c r="F153" s="256"/>
      <c r="G153" s="256"/>
      <c r="H153" s="256"/>
      <c r="I153" s="257"/>
    </row>
    <row r="154" spans="2:9" outlineLevel="1" x14ac:dyDescent="0.25">
      <c r="B154" s="35"/>
      <c r="C154" s="256"/>
      <c r="D154" s="256"/>
      <c r="E154" s="256"/>
      <c r="F154" s="256"/>
      <c r="G154" s="256"/>
      <c r="H154" s="256"/>
      <c r="I154" s="257"/>
    </row>
    <row r="155" spans="2:9" outlineLevel="1" x14ac:dyDescent="0.25">
      <c r="B155" s="35"/>
      <c r="C155" s="256"/>
      <c r="D155" s="256"/>
      <c r="E155" s="256"/>
      <c r="F155" s="256"/>
      <c r="G155" s="256"/>
      <c r="H155" s="256"/>
      <c r="I155" s="257"/>
    </row>
    <row r="156" spans="2:9" outlineLevel="1" x14ac:dyDescent="0.25">
      <c r="B156" s="35"/>
      <c r="C156" s="256"/>
      <c r="D156" s="256"/>
      <c r="E156" s="256"/>
      <c r="F156" s="256"/>
      <c r="G156" s="256"/>
      <c r="H156" s="256"/>
      <c r="I156" s="257"/>
    </row>
    <row r="157" spans="2:9" outlineLevel="1" x14ac:dyDescent="0.25">
      <c r="B157" s="35"/>
      <c r="C157" s="256"/>
      <c r="D157" s="256"/>
      <c r="E157" s="256"/>
      <c r="F157" s="256"/>
      <c r="G157" s="256"/>
      <c r="H157" s="256"/>
      <c r="I157" s="257"/>
    </row>
    <row r="158" spans="2:9" outlineLevel="1" x14ac:dyDescent="0.25">
      <c r="B158" s="35"/>
      <c r="C158" s="256"/>
      <c r="D158" s="256"/>
      <c r="E158" s="256"/>
      <c r="F158" s="256"/>
      <c r="G158" s="256"/>
      <c r="H158" s="256"/>
      <c r="I158" s="257"/>
    </row>
    <row r="159" spans="2:9" outlineLevel="1" x14ac:dyDescent="0.25">
      <c r="B159" s="35"/>
      <c r="C159" s="256"/>
      <c r="D159" s="256"/>
      <c r="E159" s="256"/>
      <c r="F159" s="256"/>
      <c r="G159" s="256"/>
      <c r="H159" s="256"/>
      <c r="I159" s="257"/>
    </row>
    <row r="160" spans="2:9" outlineLevel="1" x14ac:dyDescent="0.25">
      <c r="B160" s="35"/>
      <c r="C160" s="256"/>
      <c r="D160" s="256"/>
      <c r="E160" s="256"/>
      <c r="F160" s="256"/>
      <c r="G160" s="256"/>
      <c r="H160" s="256"/>
      <c r="I160" s="257"/>
    </row>
    <row r="161" spans="2:9" outlineLevel="1" x14ac:dyDescent="0.25">
      <c r="B161" s="35"/>
      <c r="C161" s="256"/>
      <c r="D161" s="256"/>
      <c r="E161" s="256"/>
      <c r="F161" s="256"/>
      <c r="G161" s="256"/>
      <c r="H161" s="256"/>
      <c r="I161" s="257"/>
    </row>
    <row r="162" spans="2:9" outlineLevel="1" x14ac:dyDescent="0.25">
      <c r="B162" s="35"/>
      <c r="C162" s="256"/>
      <c r="D162" s="256"/>
      <c r="E162" s="256"/>
      <c r="F162" s="256"/>
      <c r="G162" s="256"/>
      <c r="H162" s="256"/>
      <c r="I162" s="257"/>
    </row>
    <row r="163" spans="2:9" outlineLevel="1" x14ac:dyDescent="0.25">
      <c r="B163" s="35"/>
      <c r="C163" s="256"/>
      <c r="D163" s="256"/>
      <c r="E163" s="256"/>
      <c r="F163" s="256"/>
      <c r="G163" s="256"/>
      <c r="H163" s="256"/>
      <c r="I163" s="257"/>
    </row>
    <row r="164" spans="2:9" outlineLevel="1" x14ac:dyDescent="0.25">
      <c r="B164" s="35"/>
      <c r="C164" s="256"/>
      <c r="D164" s="256"/>
      <c r="E164" s="256"/>
      <c r="F164" s="256"/>
      <c r="G164" s="256"/>
      <c r="H164" s="256"/>
      <c r="I164" s="257"/>
    </row>
    <row r="165" spans="2:9" outlineLevel="1" x14ac:dyDescent="0.25">
      <c r="B165" s="35"/>
      <c r="C165" s="256"/>
      <c r="D165" s="256"/>
      <c r="E165" s="256"/>
      <c r="F165" s="256"/>
      <c r="G165" s="256"/>
      <c r="H165" s="256"/>
      <c r="I165" s="257"/>
    </row>
    <row r="166" spans="2:9" ht="15" customHeight="1" outlineLevel="1" x14ac:dyDescent="0.25">
      <c r="B166" s="35"/>
      <c r="C166" s="256"/>
      <c r="D166" s="256"/>
      <c r="E166" s="256"/>
      <c r="F166" s="256"/>
      <c r="G166" s="256"/>
      <c r="H166" s="256"/>
      <c r="I166" s="257"/>
    </row>
    <row r="167" spans="2:9" ht="15" customHeight="1" outlineLevel="1" x14ac:dyDescent="0.25">
      <c r="B167" s="1398" t="s">
        <v>112</v>
      </c>
      <c r="C167" s="1395">
        <f t="shared" ref="C167:I167" si="1">SUM(C92:C166)</f>
        <v>151281</v>
      </c>
      <c r="D167" s="1395">
        <f t="shared" si="1"/>
        <v>147727</v>
      </c>
      <c r="E167" s="1395">
        <f t="shared" si="1"/>
        <v>138725</v>
      </c>
      <c r="F167" s="1395">
        <f t="shared" si="1"/>
        <v>128809</v>
      </c>
      <c r="G167" s="1395">
        <f t="shared" si="1"/>
        <v>118390</v>
      </c>
      <c r="H167" s="1395">
        <f t="shared" si="1"/>
        <v>108191</v>
      </c>
      <c r="I167" s="1397">
        <f t="shared" si="1"/>
        <v>98548</v>
      </c>
    </row>
    <row r="168" spans="2:9" ht="25.5" customHeight="1" x14ac:dyDescent="0.25"/>
    <row r="169" spans="2:9" ht="25.5" customHeight="1" x14ac:dyDescent="0.25">
      <c r="B169" s="235" t="s">
        <v>398</v>
      </c>
      <c r="C169" s="236"/>
      <c r="D169" s="236"/>
      <c r="E169" s="236"/>
      <c r="F169" s="236"/>
      <c r="G169" s="236"/>
      <c r="H169" s="236"/>
      <c r="I169" s="237"/>
    </row>
    <row r="170" spans="2:9" s="276" customFormat="1" ht="25.5" customHeight="1" outlineLevel="1" x14ac:dyDescent="0.2">
      <c r="C170" s="1335" t="s">
        <v>158</v>
      </c>
      <c r="D170" s="1336"/>
      <c r="E170" s="1336"/>
      <c r="F170" s="1336"/>
      <c r="G170" s="1336"/>
      <c r="H170" s="1336"/>
      <c r="I170" s="1337"/>
    </row>
    <row r="171" spans="2:9" s="276" customFormat="1" ht="18" customHeight="1" outlineLevel="1" x14ac:dyDescent="0.25">
      <c r="B171" s="62"/>
      <c r="C171" s="1328" t="s">
        <v>229</v>
      </c>
      <c r="D171" s="1329"/>
      <c r="E171" s="1329"/>
      <c r="F171" s="1329"/>
      <c r="G171" s="1329"/>
      <c r="H171" s="1329"/>
      <c r="I171" s="1330"/>
    </row>
    <row r="172" spans="2:9" s="276" customFormat="1" ht="15" customHeight="1" outlineLevel="1" x14ac:dyDescent="0.25">
      <c r="B172" s="302"/>
      <c r="C172" s="386" t="str">
        <f ca="1">dms_y1</f>
        <v>2024-25</v>
      </c>
      <c r="D172" s="1346" t="str">
        <f ca="1">dms_y2</f>
        <v>2025-26</v>
      </c>
      <c r="E172" s="290" t="str">
        <f ca="1">dms_y3</f>
        <v>2026-27</v>
      </c>
      <c r="F172" s="290" t="str">
        <f ca="1">dms_y4</f>
        <v>2027-28</v>
      </c>
      <c r="G172" s="290" t="str">
        <f ca="1">dms_y5</f>
        <v>2028-29</v>
      </c>
      <c r="H172" s="290" t="str">
        <f ca="1">dms_y6</f>
        <v>2029-30</v>
      </c>
      <c r="I172" s="387" t="str">
        <f ca="1">dms_y7</f>
        <v>2030-31</v>
      </c>
    </row>
    <row r="173" spans="2:9" outlineLevel="1" x14ac:dyDescent="0.25">
      <c r="B173" s="596" t="s">
        <v>345</v>
      </c>
      <c r="C173" s="256">
        <v>3546</v>
      </c>
      <c r="D173" s="256">
        <v>1462</v>
      </c>
      <c r="E173" s="256">
        <v>1351</v>
      </c>
      <c r="F173" s="256">
        <v>1263</v>
      </c>
      <c r="G173" s="256">
        <v>1188</v>
      </c>
      <c r="H173" s="256">
        <v>1110</v>
      </c>
      <c r="I173" s="257">
        <v>1033</v>
      </c>
    </row>
    <row r="174" spans="2:9" outlineLevel="1" x14ac:dyDescent="0.25">
      <c r="B174" s="596" t="s">
        <v>346</v>
      </c>
      <c r="C174" s="256">
        <v>0</v>
      </c>
      <c r="D174" s="256">
        <v>0</v>
      </c>
      <c r="E174" s="256">
        <v>0</v>
      </c>
      <c r="F174" s="256">
        <v>0</v>
      </c>
      <c r="G174" s="256">
        <v>0</v>
      </c>
      <c r="H174" s="256">
        <v>0</v>
      </c>
      <c r="I174" s="257">
        <v>0</v>
      </c>
    </row>
    <row r="175" spans="2:9" outlineLevel="1" x14ac:dyDescent="0.25">
      <c r="B175" s="596" t="s">
        <v>347</v>
      </c>
      <c r="C175" s="256">
        <v>0</v>
      </c>
      <c r="D175" s="256">
        <v>0</v>
      </c>
      <c r="E175" s="256">
        <v>0</v>
      </c>
      <c r="F175" s="256">
        <v>0</v>
      </c>
      <c r="G175" s="256">
        <v>0</v>
      </c>
      <c r="H175" s="256">
        <v>0</v>
      </c>
      <c r="I175" s="257">
        <v>0</v>
      </c>
    </row>
    <row r="176" spans="2:9" outlineLevel="1" x14ac:dyDescent="0.25">
      <c r="B176" s="596" t="s">
        <v>348</v>
      </c>
      <c r="C176" s="256">
        <v>0</v>
      </c>
      <c r="D176" s="256">
        <v>0</v>
      </c>
      <c r="E176" s="256">
        <v>0</v>
      </c>
      <c r="F176" s="256">
        <v>0</v>
      </c>
      <c r="G176" s="256">
        <v>0</v>
      </c>
      <c r="H176" s="256">
        <v>0</v>
      </c>
      <c r="I176" s="257">
        <v>0</v>
      </c>
    </row>
    <row r="177" spans="2:9" outlineLevel="1" x14ac:dyDescent="0.25">
      <c r="B177" s="596"/>
      <c r="C177" s="256"/>
      <c r="D177" s="256"/>
      <c r="E177" s="256"/>
      <c r="F177" s="256"/>
      <c r="G177" s="256"/>
      <c r="H177" s="256"/>
      <c r="I177" s="257"/>
    </row>
    <row r="178" spans="2:9" outlineLevel="1" x14ac:dyDescent="0.25">
      <c r="B178" s="596"/>
      <c r="C178" s="256"/>
      <c r="D178" s="256"/>
      <c r="E178" s="256"/>
      <c r="F178" s="256"/>
      <c r="G178" s="256"/>
      <c r="H178" s="256"/>
      <c r="I178" s="257"/>
    </row>
    <row r="179" spans="2:9" outlineLevel="1" x14ac:dyDescent="0.25">
      <c r="B179" s="596"/>
      <c r="C179" s="256"/>
      <c r="D179" s="256"/>
      <c r="E179" s="256"/>
      <c r="F179" s="256"/>
      <c r="G179" s="256"/>
      <c r="H179" s="256"/>
      <c r="I179" s="257"/>
    </row>
    <row r="180" spans="2:9" outlineLevel="1" x14ac:dyDescent="0.25">
      <c r="B180" s="596"/>
      <c r="C180" s="256"/>
      <c r="D180" s="256"/>
      <c r="E180" s="256"/>
      <c r="F180" s="256"/>
      <c r="G180" s="256"/>
      <c r="H180" s="256"/>
      <c r="I180" s="257"/>
    </row>
    <row r="181" spans="2:9" outlineLevel="1" x14ac:dyDescent="0.25">
      <c r="B181" s="596"/>
      <c r="C181" s="256"/>
      <c r="D181" s="256"/>
      <c r="E181" s="256"/>
      <c r="F181" s="256"/>
      <c r="G181" s="256"/>
      <c r="H181" s="256"/>
      <c r="I181" s="257"/>
    </row>
    <row r="182" spans="2:9" outlineLevel="1" x14ac:dyDescent="0.25">
      <c r="B182" s="596"/>
      <c r="C182" s="256"/>
      <c r="D182" s="256"/>
      <c r="E182" s="256"/>
      <c r="F182" s="256"/>
      <c r="G182" s="256"/>
      <c r="H182" s="256"/>
      <c r="I182" s="257"/>
    </row>
    <row r="183" spans="2:9" outlineLevel="1" x14ac:dyDescent="0.25">
      <c r="B183" s="596"/>
      <c r="C183" s="256"/>
      <c r="D183" s="256"/>
      <c r="E183" s="256"/>
      <c r="F183" s="256"/>
      <c r="G183" s="256"/>
      <c r="H183" s="256"/>
      <c r="I183" s="257"/>
    </row>
    <row r="184" spans="2:9" outlineLevel="1" x14ac:dyDescent="0.25">
      <c r="B184" s="596"/>
      <c r="C184" s="256"/>
      <c r="D184" s="256"/>
      <c r="E184" s="256"/>
      <c r="F184" s="256"/>
      <c r="G184" s="256"/>
      <c r="H184" s="256"/>
      <c r="I184" s="257"/>
    </row>
    <row r="185" spans="2:9" outlineLevel="1" x14ac:dyDescent="0.25">
      <c r="B185" s="596"/>
      <c r="C185" s="256"/>
      <c r="D185" s="256"/>
      <c r="E185" s="256"/>
      <c r="F185" s="256"/>
      <c r="G185" s="256"/>
      <c r="H185" s="256"/>
      <c r="I185" s="257"/>
    </row>
    <row r="186" spans="2:9" outlineLevel="1" x14ac:dyDescent="0.25">
      <c r="B186" s="596"/>
      <c r="C186" s="256"/>
      <c r="D186" s="256"/>
      <c r="E186" s="256"/>
      <c r="F186" s="256"/>
      <c r="G186" s="256"/>
      <c r="H186" s="256"/>
      <c r="I186" s="257"/>
    </row>
    <row r="187" spans="2:9" outlineLevel="1" x14ac:dyDescent="0.25">
      <c r="B187" s="596"/>
      <c r="C187" s="256"/>
      <c r="D187" s="256"/>
      <c r="E187" s="256"/>
      <c r="F187" s="256"/>
      <c r="G187" s="256"/>
      <c r="H187" s="256"/>
      <c r="I187" s="257"/>
    </row>
    <row r="188" spans="2:9" outlineLevel="1" x14ac:dyDescent="0.25">
      <c r="B188" s="596"/>
      <c r="C188" s="256"/>
      <c r="D188" s="256"/>
      <c r="E188" s="256"/>
      <c r="F188" s="256"/>
      <c r="G188" s="256"/>
      <c r="H188" s="256"/>
      <c r="I188" s="257"/>
    </row>
    <row r="189" spans="2:9" outlineLevel="1" x14ac:dyDescent="0.25">
      <c r="B189" s="596"/>
      <c r="C189" s="256"/>
      <c r="D189" s="256"/>
      <c r="E189" s="256"/>
      <c r="F189" s="256"/>
      <c r="G189" s="256"/>
      <c r="H189" s="256"/>
      <c r="I189" s="257"/>
    </row>
    <row r="190" spans="2:9" outlineLevel="1" x14ac:dyDescent="0.25">
      <c r="B190" s="596"/>
      <c r="C190" s="256"/>
      <c r="D190" s="256"/>
      <c r="E190" s="256"/>
      <c r="F190" s="256"/>
      <c r="G190" s="256"/>
      <c r="H190" s="256"/>
      <c r="I190" s="257"/>
    </row>
    <row r="191" spans="2:9" outlineLevel="1" x14ac:dyDescent="0.25">
      <c r="B191" s="596"/>
      <c r="C191" s="256"/>
      <c r="D191" s="256"/>
      <c r="E191" s="256"/>
      <c r="F191" s="256"/>
      <c r="G191" s="256"/>
      <c r="H191" s="256"/>
      <c r="I191" s="257"/>
    </row>
    <row r="192" spans="2:9" outlineLevel="1" x14ac:dyDescent="0.25">
      <c r="B192" s="596"/>
      <c r="C192" s="256"/>
      <c r="D192" s="256"/>
      <c r="E192" s="256"/>
      <c r="F192" s="256"/>
      <c r="G192" s="256"/>
      <c r="H192" s="256"/>
      <c r="I192" s="257"/>
    </row>
    <row r="193" spans="2:9" outlineLevel="1" x14ac:dyDescent="0.25">
      <c r="B193" s="596"/>
      <c r="C193" s="256"/>
      <c r="D193" s="256"/>
      <c r="E193" s="256"/>
      <c r="F193" s="256"/>
      <c r="G193" s="256"/>
      <c r="H193" s="256"/>
      <c r="I193" s="257"/>
    </row>
    <row r="194" spans="2:9" outlineLevel="1" x14ac:dyDescent="0.25">
      <c r="B194" s="596"/>
      <c r="C194" s="256"/>
      <c r="D194" s="256"/>
      <c r="E194" s="256"/>
      <c r="F194" s="256"/>
      <c r="G194" s="256"/>
      <c r="H194" s="256"/>
      <c r="I194" s="257"/>
    </row>
    <row r="195" spans="2:9" outlineLevel="1" x14ac:dyDescent="0.25">
      <c r="B195" s="35"/>
      <c r="C195" s="256"/>
      <c r="D195" s="256"/>
      <c r="E195" s="256"/>
      <c r="F195" s="256"/>
      <c r="G195" s="256"/>
      <c r="H195" s="256"/>
      <c r="I195" s="257"/>
    </row>
    <row r="196" spans="2:9" outlineLevel="1" x14ac:dyDescent="0.25">
      <c r="B196" s="35"/>
      <c r="C196" s="256"/>
      <c r="D196" s="256"/>
      <c r="E196" s="256"/>
      <c r="F196" s="256"/>
      <c r="G196" s="256"/>
      <c r="H196" s="256"/>
      <c r="I196" s="257"/>
    </row>
    <row r="197" spans="2:9" outlineLevel="1" x14ac:dyDescent="0.25">
      <c r="B197" s="35"/>
      <c r="C197" s="256"/>
      <c r="D197" s="256"/>
      <c r="E197" s="256"/>
      <c r="F197" s="256"/>
      <c r="G197" s="256"/>
      <c r="H197" s="256"/>
      <c r="I197" s="257"/>
    </row>
    <row r="198" spans="2:9" outlineLevel="1" x14ac:dyDescent="0.25">
      <c r="B198" s="35"/>
      <c r="C198" s="256"/>
      <c r="D198" s="256"/>
      <c r="E198" s="256"/>
      <c r="F198" s="256"/>
      <c r="G198" s="256"/>
      <c r="H198" s="256"/>
      <c r="I198" s="257"/>
    </row>
    <row r="199" spans="2:9" outlineLevel="1" x14ac:dyDescent="0.25">
      <c r="B199" s="35"/>
      <c r="C199" s="256"/>
      <c r="D199" s="256"/>
      <c r="E199" s="256"/>
      <c r="F199" s="256"/>
      <c r="G199" s="256"/>
      <c r="H199" s="256"/>
      <c r="I199" s="257"/>
    </row>
    <row r="200" spans="2:9" outlineLevel="1" x14ac:dyDescent="0.25">
      <c r="B200" s="35"/>
      <c r="C200" s="256"/>
      <c r="D200" s="256"/>
      <c r="E200" s="256"/>
      <c r="F200" s="256"/>
      <c r="G200" s="256"/>
      <c r="H200" s="256"/>
      <c r="I200" s="257"/>
    </row>
    <row r="201" spans="2:9" outlineLevel="1" x14ac:dyDescent="0.25">
      <c r="B201" s="35"/>
      <c r="C201" s="256"/>
      <c r="D201" s="256"/>
      <c r="E201" s="256"/>
      <c r="F201" s="256"/>
      <c r="G201" s="256"/>
      <c r="H201" s="256"/>
      <c r="I201" s="257"/>
    </row>
    <row r="202" spans="2:9" outlineLevel="1" x14ac:dyDescent="0.25">
      <c r="B202" s="35"/>
      <c r="C202" s="256"/>
      <c r="D202" s="256"/>
      <c r="E202" s="256"/>
      <c r="F202" s="256"/>
      <c r="G202" s="256"/>
      <c r="H202" s="256"/>
      <c r="I202" s="257"/>
    </row>
    <row r="203" spans="2:9" outlineLevel="1" x14ac:dyDescent="0.25">
      <c r="B203" s="35"/>
      <c r="C203" s="256"/>
      <c r="D203" s="256"/>
      <c r="E203" s="256"/>
      <c r="F203" s="256"/>
      <c r="G203" s="256"/>
      <c r="H203" s="256"/>
      <c r="I203" s="257"/>
    </row>
    <row r="204" spans="2:9" outlineLevel="1" x14ac:dyDescent="0.25">
      <c r="B204" s="35"/>
      <c r="C204" s="256"/>
      <c r="D204" s="256"/>
      <c r="E204" s="256"/>
      <c r="F204" s="256"/>
      <c r="G204" s="256"/>
      <c r="H204" s="256"/>
      <c r="I204" s="257"/>
    </row>
    <row r="205" spans="2:9" outlineLevel="1" x14ac:dyDescent="0.25">
      <c r="B205" s="35"/>
      <c r="C205" s="256"/>
      <c r="D205" s="256"/>
      <c r="E205" s="256"/>
      <c r="F205" s="256"/>
      <c r="G205" s="256"/>
      <c r="H205" s="256"/>
      <c r="I205" s="257"/>
    </row>
    <row r="206" spans="2:9" outlineLevel="1" x14ac:dyDescent="0.25">
      <c r="B206" s="35"/>
      <c r="C206" s="256"/>
      <c r="D206" s="256"/>
      <c r="E206" s="256"/>
      <c r="F206" s="256"/>
      <c r="G206" s="256"/>
      <c r="H206" s="256"/>
      <c r="I206" s="257"/>
    </row>
    <row r="207" spans="2:9" outlineLevel="1" x14ac:dyDescent="0.25">
      <c r="B207" s="35"/>
      <c r="C207" s="256"/>
      <c r="D207" s="256"/>
      <c r="E207" s="256"/>
      <c r="F207" s="256"/>
      <c r="G207" s="256"/>
      <c r="H207" s="256"/>
      <c r="I207" s="257"/>
    </row>
    <row r="208" spans="2:9" outlineLevel="1" x14ac:dyDescent="0.25">
      <c r="B208" s="35"/>
      <c r="C208" s="256"/>
      <c r="D208" s="256"/>
      <c r="E208" s="256"/>
      <c r="F208" s="256"/>
      <c r="G208" s="256"/>
      <c r="H208" s="256"/>
      <c r="I208" s="257"/>
    </row>
    <row r="209" spans="2:9" outlineLevel="1" x14ac:dyDescent="0.25">
      <c r="B209" s="35"/>
      <c r="C209" s="256"/>
      <c r="D209" s="256"/>
      <c r="E209" s="256"/>
      <c r="F209" s="256"/>
      <c r="G209" s="256"/>
      <c r="H209" s="256"/>
      <c r="I209" s="257"/>
    </row>
    <row r="210" spans="2:9" outlineLevel="1" x14ac:dyDescent="0.25">
      <c r="B210" s="35"/>
      <c r="C210" s="256"/>
      <c r="D210" s="256"/>
      <c r="E210" s="256"/>
      <c r="F210" s="256"/>
      <c r="G210" s="256"/>
      <c r="H210" s="256"/>
      <c r="I210" s="257"/>
    </row>
    <row r="211" spans="2:9" outlineLevel="1" x14ac:dyDescent="0.25">
      <c r="B211" s="35"/>
      <c r="C211" s="256"/>
      <c r="D211" s="256"/>
      <c r="E211" s="256"/>
      <c r="F211" s="256"/>
      <c r="G211" s="256"/>
      <c r="H211" s="256"/>
      <c r="I211" s="257"/>
    </row>
    <row r="212" spans="2:9" outlineLevel="1" x14ac:dyDescent="0.25">
      <c r="B212" s="35"/>
      <c r="C212" s="256"/>
      <c r="D212" s="256"/>
      <c r="E212" s="256"/>
      <c r="F212" s="256"/>
      <c r="G212" s="256"/>
      <c r="H212" s="256"/>
      <c r="I212" s="257"/>
    </row>
    <row r="213" spans="2:9" outlineLevel="1" x14ac:dyDescent="0.25">
      <c r="B213" s="35"/>
      <c r="C213" s="256"/>
      <c r="D213" s="256"/>
      <c r="E213" s="256"/>
      <c r="F213" s="256"/>
      <c r="G213" s="256"/>
      <c r="H213" s="256"/>
      <c r="I213" s="257"/>
    </row>
    <row r="214" spans="2:9" outlineLevel="1" x14ac:dyDescent="0.25">
      <c r="B214" s="35"/>
      <c r="C214" s="256"/>
      <c r="D214" s="256"/>
      <c r="E214" s="256"/>
      <c r="F214" s="256"/>
      <c r="G214" s="256"/>
      <c r="H214" s="256"/>
      <c r="I214" s="257"/>
    </row>
    <row r="215" spans="2:9" outlineLevel="1" x14ac:dyDescent="0.25">
      <c r="B215" s="35"/>
      <c r="C215" s="256"/>
      <c r="D215" s="256"/>
      <c r="E215" s="256"/>
      <c r="F215" s="256"/>
      <c r="G215" s="256"/>
      <c r="H215" s="256"/>
      <c r="I215" s="257"/>
    </row>
    <row r="216" spans="2:9" outlineLevel="1" x14ac:dyDescent="0.25">
      <c r="B216" s="35"/>
      <c r="C216" s="256"/>
      <c r="D216" s="256"/>
      <c r="E216" s="256"/>
      <c r="F216" s="256"/>
      <c r="G216" s="256"/>
      <c r="H216" s="256"/>
      <c r="I216" s="257"/>
    </row>
    <row r="217" spans="2:9" outlineLevel="1" x14ac:dyDescent="0.25">
      <c r="B217" s="35"/>
      <c r="C217" s="256"/>
      <c r="D217" s="256"/>
      <c r="E217" s="256"/>
      <c r="F217" s="256"/>
      <c r="G217" s="256"/>
      <c r="H217" s="256"/>
      <c r="I217" s="257"/>
    </row>
    <row r="218" spans="2:9" outlineLevel="1" x14ac:dyDescent="0.25">
      <c r="B218" s="35"/>
      <c r="C218" s="256"/>
      <c r="D218" s="256"/>
      <c r="E218" s="256"/>
      <c r="F218" s="256"/>
      <c r="G218" s="256"/>
      <c r="H218" s="256"/>
      <c r="I218" s="257"/>
    </row>
    <row r="219" spans="2:9" outlineLevel="1" x14ac:dyDescent="0.25">
      <c r="B219" s="35"/>
      <c r="C219" s="256"/>
      <c r="D219" s="256"/>
      <c r="E219" s="256"/>
      <c r="F219" s="256"/>
      <c r="G219" s="256"/>
      <c r="H219" s="256"/>
      <c r="I219" s="257"/>
    </row>
    <row r="220" spans="2:9" outlineLevel="1" x14ac:dyDescent="0.25">
      <c r="B220" s="35"/>
      <c r="C220" s="256"/>
      <c r="D220" s="256"/>
      <c r="E220" s="256"/>
      <c r="F220" s="256"/>
      <c r="G220" s="256"/>
      <c r="H220" s="256"/>
      <c r="I220" s="257"/>
    </row>
    <row r="221" spans="2:9" outlineLevel="1" x14ac:dyDescent="0.25">
      <c r="B221" s="35"/>
      <c r="C221" s="256"/>
      <c r="D221" s="256"/>
      <c r="E221" s="256"/>
      <c r="F221" s="256"/>
      <c r="G221" s="256"/>
      <c r="H221" s="256"/>
      <c r="I221" s="257"/>
    </row>
    <row r="222" spans="2:9" outlineLevel="1" x14ac:dyDescent="0.25">
      <c r="B222" s="35"/>
      <c r="C222" s="526"/>
      <c r="D222" s="526"/>
      <c r="E222" s="526"/>
      <c r="F222" s="526"/>
      <c r="G222" s="526"/>
      <c r="H222" s="526"/>
      <c r="I222" s="628"/>
    </row>
    <row r="223" spans="2:9" outlineLevel="1" x14ac:dyDescent="0.25">
      <c r="B223" s="35"/>
      <c r="C223" s="526"/>
      <c r="D223" s="526"/>
      <c r="E223" s="526"/>
      <c r="F223" s="526"/>
      <c r="G223" s="526"/>
      <c r="H223" s="526"/>
      <c r="I223" s="628"/>
    </row>
    <row r="224" spans="2:9" outlineLevel="1" x14ac:dyDescent="0.25">
      <c r="B224" s="35"/>
      <c r="C224" s="526"/>
      <c r="D224" s="526"/>
      <c r="E224" s="526"/>
      <c r="F224" s="526"/>
      <c r="G224" s="526"/>
      <c r="H224" s="526"/>
      <c r="I224" s="628"/>
    </row>
    <row r="225" spans="2:9" outlineLevel="1" x14ac:dyDescent="0.25">
      <c r="B225" s="35"/>
      <c r="C225" s="526"/>
      <c r="D225" s="526"/>
      <c r="E225" s="526"/>
      <c r="F225" s="526"/>
      <c r="G225" s="526"/>
      <c r="H225" s="526"/>
      <c r="I225" s="628"/>
    </row>
    <row r="226" spans="2:9" outlineLevel="1" x14ac:dyDescent="0.25">
      <c r="B226" s="35"/>
      <c r="C226" s="526"/>
      <c r="D226" s="526"/>
      <c r="E226" s="526"/>
      <c r="F226" s="526"/>
      <c r="G226" s="526"/>
      <c r="H226" s="526"/>
      <c r="I226" s="628"/>
    </row>
    <row r="227" spans="2:9" outlineLevel="1" x14ac:dyDescent="0.25">
      <c r="B227" s="35"/>
      <c r="C227" s="526"/>
      <c r="D227" s="526"/>
      <c r="E227" s="526"/>
      <c r="F227" s="526"/>
      <c r="G227" s="526"/>
      <c r="H227" s="526"/>
      <c r="I227" s="628"/>
    </row>
    <row r="228" spans="2:9" outlineLevel="1" x14ac:dyDescent="0.25">
      <c r="B228" s="35"/>
      <c r="C228" s="526"/>
      <c r="D228" s="526"/>
      <c r="E228" s="526"/>
      <c r="F228" s="526"/>
      <c r="G228" s="526"/>
      <c r="H228" s="526"/>
      <c r="I228" s="628"/>
    </row>
    <row r="229" spans="2:9" outlineLevel="1" x14ac:dyDescent="0.25">
      <c r="B229" s="35"/>
      <c r="C229" s="526"/>
      <c r="D229" s="526"/>
      <c r="E229" s="526"/>
      <c r="F229" s="526"/>
      <c r="G229" s="526"/>
      <c r="H229" s="526"/>
      <c r="I229" s="628"/>
    </row>
    <row r="230" spans="2:9" outlineLevel="1" x14ac:dyDescent="0.25">
      <c r="B230" s="35"/>
      <c r="C230" s="526"/>
      <c r="D230" s="526"/>
      <c r="E230" s="526"/>
      <c r="F230" s="526"/>
      <c r="G230" s="526"/>
      <c r="H230" s="526"/>
      <c r="I230" s="628"/>
    </row>
    <row r="231" spans="2:9" outlineLevel="1" x14ac:dyDescent="0.25">
      <c r="B231" s="35"/>
      <c r="C231" s="526"/>
      <c r="D231" s="526"/>
      <c r="E231" s="526"/>
      <c r="F231" s="526"/>
      <c r="G231" s="526"/>
      <c r="H231" s="526"/>
      <c r="I231" s="628"/>
    </row>
    <row r="232" spans="2:9" outlineLevel="1" x14ac:dyDescent="0.25">
      <c r="B232" s="35"/>
      <c r="C232" s="526"/>
      <c r="D232" s="526"/>
      <c r="E232" s="526"/>
      <c r="F232" s="526"/>
      <c r="G232" s="526"/>
      <c r="H232" s="526"/>
      <c r="I232" s="628"/>
    </row>
    <row r="233" spans="2:9" outlineLevel="1" x14ac:dyDescent="0.25">
      <c r="B233" s="35"/>
      <c r="C233" s="526"/>
      <c r="D233" s="526"/>
      <c r="E233" s="526"/>
      <c r="F233" s="526"/>
      <c r="G233" s="526"/>
      <c r="H233" s="526"/>
      <c r="I233" s="628"/>
    </row>
    <row r="234" spans="2:9" outlineLevel="1" x14ac:dyDescent="0.25">
      <c r="B234" s="35"/>
      <c r="C234" s="526"/>
      <c r="D234" s="526"/>
      <c r="E234" s="526"/>
      <c r="F234" s="526"/>
      <c r="G234" s="526"/>
      <c r="H234" s="526"/>
      <c r="I234" s="628"/>
    </row>
    <row r="235" spans="2:9" outlineLevel="1" x14ac:dyDescent="0.25">
      <c r="B235" s="35"/>
      <c r="C235" s="526"/>
      <c r="D235" s="526"/>
      <c r="E235" s="526"/>
      <c r="F235" s="526"/>
      <c r="G235" s="526"/>
      <c r="H235" s="526"/>
      <c r="I235" s="628"/>
    </row>
    <row r="236" spans="2:9" outlineLevel="1" x14ac:dyDescent="0.25">
      <c r="B236" s="35"/>
      <c r="C236" s="526"/>
      <c r="D236" s="526"/>
      <c r="E236" s="526"/>
      <c r="F236" s="526"/>
      <c r="G236" s="526"/>
      <c r="H236" s="526"/>
      <c r="I236" s="628"/>
    </row>
    <row r="237" spans="2:9" outlineLevel="1" x14ac:dyDescent="0.25">
      <c r="B237" s="35"/>
      <c r="C237" s="526"/>
      <c r="D237" s="526"/>
      <c r="E237" s="526"/>
      <c r="F237" s="526"/>
      <c r="G237" s="526"/>
      <c r="H237" s="526"/>
      <c r="I237" s="628"/>
    </row>
    <row r="238" spans="2:9" outlineLevel="1" x14ac:dyDescent="0.25">
      <c r="B238" s="35"/>
      <c r="C238" s="526"/>
      <c r="D238" s="526"/>
      <c r="E238" s="526"/>
      <c r="F238" s="526"/>
      <c r="G238" s="526"/>
      <c r="H238" s="526"/>
      <c r="I238" s="628"/>
    </row>
    <row r="239" spans="2:9" outlineLevel="1" x14ac:dyDescent="0.25">
      <c r="B239" s="35"/>
      <c r="C239" s="526"/>
      <c r="D239" s="526"/>
      <c r="E239" s="526"/>
      <c r="F239" s="526"/>
      <c r="G239" s="526"/>
      <c r="H239" s="526"/>
      <c r="I239" s="628"/>
    </row>
    <row r="240" spans="2:9" outlineLevel="1" x14ac:dyDescent="0.25">
      <c r="B240" s="35"/>
      <c r="C240" s="526"/>
      <c r="D240" s="526"/>
      <c r="E240" s="526"/>
      <c r="F240" s="526"/>
      <c r="G240" s="526"/>
      <c r="H240" s="526"/>
      <c r="I240" s="628"/>
    </row>
    <row r="241" spans="2:85" outlineLevel="1" x14ac:dyDescent="0.25">
      <c r="B241" s="35"/>
      <c r="C241" s="526"/>
      <c r="D241" s="526"/>
      <c r="E241" s="526"/>
      <c r="F241" s="526"/>
      <c r="G241" s="526"/>
      <c r="H241" s="526"/>
      <c r="I241" s="628"/>
    </row>
    <row r="242" spans="2:85" outlineLevel="1" x14ac:dyDescent="0.25">
      <c r="B242" s="35"/>
      <c r="C242" s="526"/>
      <c r="D242" s="526"/>
      <c r="E242" s="526"/>
      <c r="F242" s="526"/>
      <c r="G242" s="526"/>
      <c r="H242" s="526"/>
      <c r="I242" s="628"/>
    </row>
    <row r="243" spans="2:85" outlineLevel="1" x14ac:dyDescent="0.25">
      <c r="B243" s="35"/>
      <c r="C243" s="526"/>
      <c r="D243" s="526"/>
      <c r="E243" s="526"/>
      <c r="F243" s="526"/>
      <c r="G243" s="526"/>
      <c r="H243" s="526"/>
      <c r="I243" s="628"/>
    </row>
    <row r="244" spans="2:85" outlineLevel="1" x14ac:dyDescent="0.25">
      <c r="B244" s="35"/>
      <c r="C244" s="526"/>
      <c r="D244" s="526"/>
      <c r="E244" s="526"/>
      <c r="F244" s="526"/>
      <c r="G244" s="526"/>
      <c r="H244" s="526"/>
      <c r="I244" s="628"/>
    </row>
    <row r="245" spans="2:85" outlineLevel="1" x14ac:dyDescent="0.25">
      <c r="B245" s="35"/>
      <c r="C245" s="526"/>
      <c r="D245" s="526"/>
      <c r="E245" s="526"/>
      <c r="F245" s="526"/>
      <c r="G245" s="526"/>
      <c r="H245" s="526"/>
      <c r="I245" s="628"/>
    </row>
    <row r="246" spans="2:85" outlineLevel="1" x14ac:dyDescent="0.25">
      <c r="B246" s="35"/>
      <c r="C246" s="526"/>
      <c r="D246" s="526"/>
      <c r="E246" s="526"/>
      <c r="F246" s="526"/>
      <c r="G246" s="526"/>
      <c r="H246" s="526"/>
      <c r="I246" s="628"/>
    </row>
    <row r="247" spans="2:85" ht="15" customHeight="1" outlineLevel="1" x14ac:dyDescent="0.25">
      <c r="B247" s="35"/>
      <c r="C247" s="286"/>
      <c r="D247" s="286"/>
      <c r="E247" s="286"/>
      <c r="F247" s="286"/>
      <c r="G247" s="286"/>
      <c r="H247" s="286"/>
      <c r="I247" s="287"/>
    </row>
    <row r="248" spans="2:85" ht="15" customHeight="1" outlineLevel="1" x14ac:dyDescent="0.25">
      <c r="B248" s="1398" t="s">
        <v>112</v>
      </c>
      <c r="C248" s="1395">
        <f t="shared" ref="C248:I248" si="2">SUM(C173:C247)</f>
        <v>3546</v>
      </c>
      <c r="D248" s="1395">
        <f t="shared" si="2"/>
        <v>1462</v>
      </c>
      <c r="E248" s="1395">
        <f t="shared" si="2"/>
        <v>1351</v>
      </c>
      <c r="F248" s="1395">
        <f t="shared" si="2"/>
        <v>1263</v>
      </c>
      <c r="G248" s="1395">
        <f t="shared" si="2"/>
        <v>1188</v>
      </c>
      <c r="H248" s="1395">
        <f t="shared" si="2"/>
        <v>1110</v>
      </c>
      <c r="I248" s="1397">
        <f t="shared" si="2"/>
        <v>1033</v>
      </c>
    </row>
    <row r="249" spans="2:85" s="586" customFormat="1" ht="25.5" customHeight="1" x14ac:dyDescent="0.25">
      <c r="BH249" s="587"/>
      <c r="BI249" s="587"/>
      <c r="BJ249" s="587"/>
      <c r="BK249" s="587"/>
      <c r="BL249" s="587"/>
      <c r="BM249" s="587"/>
      <c r="BN249" s="587"/>
      <c r="BO249" s="587"/>
      <c r="BP249" s="587"/>
      <c r="BQ249" s="587"/>
      <c r="BR249" s="587"/>
      <c r="BS249" s="587"/>
      <c r="BT249" s="587"/>
      <c r="BU249" s="587"/>
      <c r="BV249" s="587"/>
      <c r="BW249" s="587"/>
      <c r="BX249" s="587"/>
      <c r="BY249" s="587"/>
      <c r="BZ249" s="587"/>
      <c r="CA249" s="587"/>
      <c r="CB249" s="587"/>
      <c r="CC249" s="587"/>
      <c r="CD249" s="587"/>
      <c r="CE249" s="587"/>
      <c r="CF249" s="587"/>
      <c r="CG249" s="587"/>
    </row>
    <row r="250" spans="2:85" ht="25.5" customHeight="1" x14ac:dyDescent="0.25">
      <c r="B250" s="235" t="s">
        <v>399</v>
      </c>
      <c r="C250" s="236"/>
      <c r="D250" s="236"/>
      <c r="E250" s="236"/>
      <c r="F250" s="236"/>
      <c r="G250" s="236"/>
      <c r="H250" s="236"/>
      <c r="I250" s="237"/>
    </row>
    <row r="251" spans="2:85" s="276" customFormat="1" ht="25.5" customHeight="1" outlineLevel="1" x14ac:dyDescent="0.2">
      <c r="C251" s="1335" t="s">
        <v>158</v>
      </c>
      <c r="D251" s="1336"/>
      <c r="E251" s="1336"/>
      <c r="F251" s="1336"/>
      <c r="G251" s="1336"/>
      <c r="H251" s="1336"/>
      <c r="I251" s="1337"/>
    </row>
    <row r="252" spans="2:85" s="276" customFormat="1" ht="18" customHeight="1" outlineLevel="1" x14ac:dyDescent="0.25">
      <c r="B252" s="62"/>
      <c r="C252" s="1328" t="s">
        <v>229</v>
      </c>
      <c r="D252" s="1329"/>
      <c r="E252" s="1329"/>
      <c r="F252" s="1329"/>
      <c r="G252" s="1329"/>
      <c r="H252" s="1329"/>
      <c r="I252" s="1330"/>
    </row>
    <row r="253" spans="2:85" s="276" customFormat="1" ht="15" customHeight="1" outlineLevel="1" x14ac:dyDescent="0.25">
      <c r="B253" s="302"/>
      <c r="C253" s="386" t="str">
        <f ca="1">dms_y1</f>
        <v>2024-25</v>
      </c>
      <c r="D253" s="1346" t="str">
        <f ca="1">dms_y2</f>
        <v>2025-26</v>
      </c>
      <c r="E253" s="290" t="str">
        <f ca="1">dms_y3</f>
        <v>2026-27</v>
      </c>
      <c r="F253" s="290" t="str">
        <f ca="1">dms_y4</f>
        <v>2027-28</v>
      </c>
      <c r="G253" s="290" t="str">
        <f ca="1">dms_y5</f>
        <v>2028-29</v>
      </c>
      <c r="H253" s="290" t="str">
        <f ca="1">dms_y6</f>
        <v>2029-30</v>
      </c>
      <c r="I253" s="387" t="str">
        <f ca="1">dms_y7</f>
        <v>2030-31</v>
      </c>
    </row>
    <row r="254" spans="2:85" outlineLevel="1" x14ac:dyDescent="0.25">
      <c r="B254" s="35" t="s">
        <v>345</v>
      </c>
      <c r="C254" s="256">
        <v>5772</v>
      </c>
      <c r="D254" s="256">
        <v>5015</v>
      </c>
      <c r="E254" s="256">
        <v>10352</v>
      </c>
      <c r="F254" s="256">
        <v>11177</v>
      </c>
      <c r="G254" s="256">
        <v>11606</v>
      </c>
      <c r="H254" s="256">
        <v>11305</v>
      </c>
      <c r="I254" s="257">
        <v>10674</v>
      </c>
    </row>
    <row r="255" spans="2:85" outlineLevel="1" x14ac:dyDescent="0.25">
      <c r="B255" s="35" t="s">
        <v>346</v>
      </c>
      <c r="C255" s="256">
        <v>0</v>
      </c>
      <c r="D255" s="256">
        <v>1</v>
      </c>
      <c r="E255" s="256">
        <v>1</v>
      </c>
      <c r="F255" s="256">
        <v>1</v>
      </c>
      <c r="G255" s="256">
        <v>1</v>
      </c>
      <c r="H255" s="256">
        <v>1</v>
      </c>
      <c r="I255" s="257">
        <v>1</v>
      </c>
    </row>
    <row r="256" spans="2:85" outlineLevel="1" x14ac:dyDescent="0.25">
      <c r="B256" s="35" t="s">
        <v>347</v>
      </c>
      <c r="C256" s="256">
        <v>0</v>
      </c>
      <c r="D256" s="256">
        <v>0</v>
      </c>
      <c r="E256" s="256">
        <v>0</v>
      </c>
      <c r="F256" s="256">
        <v>1</v>
      </c>
      <c r="G256" s="256">
        <v>0</v>
      </c>
      <c r="H256" s="256">
        <v>2</v>
      </c>
      <c r="I256" s="257">
        <v>1</v>
      </c>
    </row>
    <row r="257" spans="2:9" outlineLevel="1" x14ac:dyDescent="0.25">
      <c r="B257" s="35" t="s">
        <v>348</v>
      </c>
      <c r="C257" s="256">
        <v>0</v>
      </c>
      <c r="D257" s="256">
        <v>0</v>
      </c>
      <c r="E257" s="256">
        <v>0</v>
      </c>
      <c r="F257" s="256">
        <v>0</v>
      </c>
      <c r="G257" s="256">
        <v>0</v>
      </c>
      <c r="H257" s="256">
        <v>0</v>
      </c>
      <c r="I257" s="257">
        <v>0</v>
      </c>
    </row>
    <row r="258" spans="2:9" outlineLevel="1" x14ac:dyDescent="0.25">
      <c r="B258" s="35"/>
      <c r="C258" s="256"/>
      <c r="D258" s="256"/>
      <c r="E258" s="256"/>
      <c r="F258" s="256"/>
      <c r="G258" s="256"/>
      <c r="H258" s="256"/>
      <c r="I258" s="257"/>
    </row>
    <row r="259" spans="2:9" outlineLevel="1" x14ac:dyDescent="0.25">
      <c r="B259" s="35"/>
      <c r="C259" s="256"/>
      <c r="D259" s="256"/>
      <c r="E259" s="256"/>
      <c r="F259" s="256"/>
      <c r="G259" s="256"/>
      <c r="H259" s="256"/>
      <c r="I259" s="257"/>
    </row>
    <row r="260" spans="2:9" outlineLevel="1" x14ac:dyDescent="0.25">
      <c r="B260" s="35"/>
      <c r="C260" s="256"/>
      <c r="D260" s="256"/>
      <c r="E260" s="256"/>
      <c r="F260" s="256"/>
      <c r="G260" s="256"/>
      <c r="H260" s="256"/>
      <c r="I260" s="257"/>
    </row>
    <row r="261" spans="2:9" outlineLevel="1" x14ac:dyDescent="0.25">
      <c r="B261" s="35"/>
      <c r="C261" s="256"/>
      <c r="D261" s="256"/>
      <c r="E261" s="256"/>
      <c r="F261" s="256"/>
      <c r="G261" s="256"/>
      <c r="H261" s="256"/>
      <c r="I261" s="257"/>
    </row>
    <row r="262" spans="2:9" outlineLevel="1" x14ac:dyDescent="0.25">
      <c r="B262" s="35"/>
      <c r="C262" s="256"/>
      <c r="D262" s="256"/>
      <c r="E262" s="256"/>
      <c r="F262" s="256"/>
      <c r="G262" s="256"/>
      <c r="H262" s="256"/>
      <c r="I262" s="257"/>
    </row>
    <row r="263" spans="2:9" outlineLevel="1" x14ac:dyDescent="0.25">
      <c r="B263" s="35"/>
      <c r="C263" s="256"/>
      <c r="D263" s="256"/>
      <c r="E263" s="256"/>
      <c r="F263" s="256"/>
      <c r="G263" s="256"/>
      <c r="H263" s="256"/>
      <c r="I263" s="257"/>
    </row>
    <row r="264" spans="2:9" outlineLevel="1" x14ac:dyDescent="0.25">
      <c r="B264" s="35"/>
      <c r="C264" s="256"/>
      <c r="D264" s="256"/>
      <c r="E264" s="256"/>
      <c r="F264" s="256"/>
      <c r="G264" s="256"/>
      <c r="H264" s="256"/>
      <c r="I264" s="257"/>
    </row>
    <row r="265" spans="2:9" outlineLevel="1" x14ac:dyDescent="0.25">
      <c r="B265" s="35"/>
      <c r="C265" s="256"/>
      <c r="D265" s="256"/>
      <c r="E265" s="256"/>
      <c r="F265" s="256"/>
      <c r="G265" s="256"/>
      <c r="H265" s="256"/>
      <c r="I265" s="257"/>
    </row>
    <row r="266" spans="2:9" outlineLevel="1" x14ac:dyDescent="0.25">
      <c r="B266" s="35"/>
      <c r="C266" s="256"/>
      <c r="D266" s="256"/>
      <c r="E266" s="256"/>
      <c r="F266" s="256"/>
      <c r="G266" s="256"/>
      <c r="H266" s="256"/>
      <c r="I266" s="257"/>
    </row>
    <row r="267" spans="2:9" outlineLevel="1" x14ac:dyDescent="0.25">
      <c r="B267" s="35"/>
      <c r="C267" s="256"/>
      <c r="D267" s="256"/>
      <c r="E267" s="256"/>
      <c r="F267" s="256"/>
      <c r="G267" s="256"/>
      <c r="H267" s="256"/>
      <c r="I267" s="257"/>
    </row>
    <row r="268" spans="2:9" outlineLevel="1" x14ac:dyDescent="0.25">
      <c r="B268" s="35"/>
      <c r="C268" s="256"/>
      <c r="D268" s="256"/>
      <c r="E268" s="256"/>
      <c r="F268" s="256"/>
      <c r="G268" s="256"/>
      <c r="H268" s="256"/>
      <c r="I268" s="257"/>
    </row>
    <row r="269" spans="2:9" outlineLevel="1" x14ac:dyDescent="0.25">
      <c r="B269" s="35"/>
      <c r="C269" s="256"/>
      <c r="D269" s="256"/>
      <c r="E269" s="256"/>
      <c r="F269" s="256"/>
      <c r="G269" s="256"/>
      <c r="H269" s="256"/>
      <c r="I269" s="257"/>
    </row>
    <row r="270" spans="2:9" outlineLevel="1" x14ac:dyDescent="0.25">
      <c r="B270" s="35"/>
      <c r="C270" s="256"/>
      <c r="D270" s="256"/>
      <c r="E270" s="256"/>
      <c r="F270" s="256"/>
      <c r="G270" s="256"/>
      <c r="H270" s="256"/>
      <c r="I270" s="257"/>
    </row>
    <row r="271" spans="2:9" outlineLevel="1" x14ac:dyDescent="0.25">
      <c r="B271" s="35"/>
      <c r="C271" s="256"/>
      <c r="D271" s="256"/>
      <c r="E271" s="256"/>
      <c r="F271" s="256"/>
      <c r="G271" s="256"/>
      <c r="H271" s="256"/>
      <c r="I271" s="257"/>
    </row>
    <row r="272" spans="2:9" outlineLevel="1" x14ac:dyDescent="0.25">
      <c r="B272" s="35"/>
      <c r="C272" s="256"/>
      <c r="D272" s="256"/>
      <c r="E272" s="256"/>
      <c r="F272" s="256"/>
      <c r="G272" s="256"/>
      <c r="H272" s="256"/>
      <c r="I272" s="257"/>
    </row>
    <row r="273" spans="2:9" outlineLevel="1" x14ac:dyDescent="0.25">
      <c r="B273" s="35"/>
      <c r="C273" s="256"/>
      <c r="D273" s="256"/>
      <c r="E273" s="256"/>
      <c r="F273" s="256"/>
      <c r="G273" s="256"/>
      <c r="H273" s="256"/>
      <c r="I273" s="257"/>
    </row>
    <row r="274" spans="2:9" outlineLevel="1" x14ac:dyDescent="0.25">
      <c r="B274" s="35"/>
      <c r="C274" s="256"/>
      <c r="D274" s="256"/>
      <c r="E274" s="256"/>
      <c r="F274" s="256"/>
      <c r="G274" s="256"/>
      <c r="H274" s="256"/>
      <c r="I274" s="257"/>
    </row>
    <row r="275" spans="2:9" outlineLevel="1" x14ac:dyDescent="0.25">
      <c r="B275" s="35"/>
      <c r="C275" s="256"/>
      <c r="D275" s="256"/>
      <c r="E275" s="256"/>
      <c r="F275" s="256"/>
      <c r="G275" s="256"/>
      <c r="H275" s="256"/>
      <c r="I275" s="257"/>
    </row>
    <row r="276" spans="2:9" outlineLevel="1" x14ac:dyDescent="0.25">
      <c r="B276" s="35"/>
      <c r="C276" s="256"/>
      <c r="D276" s="256"/>
      <c r="E276" s="256"/>
      <c r="F276" s="256"/>
      <c r="G276" s="256"/>
      <c r="H276" s="256"/>
      <c r="I276" s="257"/>
    </row>
    <row r="277" spans="2:9" outlineLevel="1" x14ac:dyDescent="0.25">
      <c r="B277" s="35"/>
      <c r="C277" s="256"/>
      <c r="D277" s="256"/>
      <c r="E277" s="256"/>
      <c r="F277" s="256"/>
      <c r="G277" s="256"/>
      <c r="H277" s="256"/>
      <c r="I277" s="257"/>
    </row>
    <row r="278" spans="2:9" outlineLevel="1" x14ac:dyDescent="0.25">
      <c r="B278" s="35"/>
      <c r="C278" s="256"/>
      <c r="D278" s="256"/>
      <c r="E278" s="256"/>
      <c r="F278" s="256"/>
      <c r="G278" s="256"/>
      <c r="H278" s="256"/>
      <c r="I278" s="257"/>
    </row>
    <row r="279" spans="2:9" outlineLevel="1" x14ac:dyDescent="0.25">
      <c r="B279" s="35"/>
      <c r="C279" s="256"/>
      <c r="D279" s="256"/>
      <c r="E279" s="256"/>
      <c r="F279" s="256"/>
      <c r="G279" s="256"/>
      <c r="H279" s="256"/>
      <c r="I279" s="257"/>
    </row>
    <row r="280" spans="2:9" outlineLevel="1" x14ac:dyDescent="0.25">
      <c r="B280" s="35"/>
      <c r="C280" s="256"/>
      <c r="D280" s="256"/>
      <c r="E280" s="256"/>
      <c r="F280" s="256"/>
      <c r="G280" s="256"/>
      <c r="H280" s="256"/>
      <c r="I280" s="257"/>
    </row>
    <row r="281" spans="2:9" outlineLevel="1" x14ac:dyDescent="0.25">
      <c r="B281" s="35"/>
      <c r="C281" s="256"/>
      <c r="D281" s="256"/>
      <c r="E281" s="256"/>
      <c r="F281" s="256"/>
      <c r="G281" s="256"/>
      <c r="H281" s="256"/>
      <c r="I281" s="257"/>
    </row>
    <row r="282" spans="2:9" outlineLevel="1" x14ac:dyDescent="0.25">
      <c r="B282" s="35"/>
      <c r="C282" s="256"/>
      <c r="D282" s="256"/>
      <c r="E282" s="256"/>
      <c r="F282" s="256"/>
      <c r="G282" s="256"/>
      <c r="H282" s="256"/>
      <c r="I282" s="257"/>
    </row>
    <row r="283" spans="2:9" outlineLevel="1" x14ac:dyDescent="0.25">
      <c r="B283" s="35"/>
      <c r="C283" s="256"/>
      <c r="D283" s="256"/>
      <c r="E283" s="256"/>
      <c r="F283" s="256"/>
      <c r="G283" s="256"/>
      <c r="H283" s="256"/>
      <c r="I283" s="257"/>
    </row>
    <row r="284" spans="2:9" outlineLevel="1" x14ac:dyDescent="0.25">
      <c r="B284" s="35"/>
      <c r="C284" s="256"/>
      <c r="D284" s="256"/>
      <c r="E284" s="256"/>
      <c r="F284" s="256"/>
      <c r="G284" s="256"/>
      <c r="H284" s="256"/>
      <c r="I284" s="257"/>
    </row>
    <row r="285" spans="2:9" outlineLevel="1" x14ac:dyDescent="0.25">
      <c r="B285" s="35"/>
      <c r="C285" s="256"/>
      <c r="D285" s="256"/>
      <c r="E285" s="256"/>
      <c r="F285" s="256"/>
      <c r="G285" s="256"/>
      <c r="H285" s="256"/>
      <c r="I285" s="257"/>
    </row>
    <row r="286" spans="2:9" outlineLevel="1" x14ac:dyDescent="0.25">
      <c r="B286" s="35"/>
      <c r="C286" s="256"/>
      <c r="D286" s="256"/>
      <c r="E286" s="256"/>
      <c r="F286" s="256"/>
      <c r="G286" s="256"/>
      <c r="H286" s="256"/>
      <c r="I286" s="257"/>
    </row>
    <row r="287" spans="2:9" outlineLevel="1" x14ac:dyDescent="0.25">
      <c r="B287" s="35"/>
      <c r="C287" s="256"/>
      <c r="D287" s="256"/>
      <c r="E287" s="256"/>
      <c r="F287" s="256"/>
      <c r="G287" s="256"/>
      <c r="H287" s="256"/>
      <c r="I287" s="257"/>
    </row>
    <row r="288" spans="2:9" outlineLevel="1" x14ac:dyDescent="0.25">
      <c r="B288" s="35"/>
      <c r="C288" s="256"/>
      <c r="D288" s="256"/>
      <c r="E288" s="256"/>
      <c r="F288" s="256"/>
      <c r="G288" s="256"/>
      <c r="H288" s="256"/>
      <c r="I288" s="257"/>
    </row>
    <row r="289" spans="2:9" outlineLevel="1" x14ac:dyDescent="0.25">
      <c r="B289" s="35"/>
      <c r="C289" s="256"/>
      <c r="D289" s="256"/>
      <c r="E289" s="256"/>
      <c r="F289" s="256"/>
      <c r="G289" s="256"/>
      <c r="H289" s="256"/>
      <c r="I289" s="257"/>
    </row>
    <row r="290" spans="2:9" outlineLevel="1" x14ac:dyDescent="0.25">
      <c r="B290" s="35"/>
      <c r="C290" s="256"/>
      <c r="D290" s="256"/>
      <c r="E290" s="256"/>
      <c r="F290" s="256"/>
      <c r="G290" s="256"/>
      <c r="H290" s="256"/>
      <c r="I290" s="257"/>
    </row>
    <row r="291" spans="2:9" outlineLevel="1" x14ac:dyDescent="0.25">
      <c r="B291" s="35"/>
      <c r="C291" s="256"/>
      <c r="D291" s="256"/>
      <c r="E291" s="256"/>
      <c r="F291" s="256"/>
      <c r="G291" s="256"/>
      <c r="H291" s="256"/>
      <c r="I291" s="257"/>
    </row>
    <row r="292" spans="2:9" outlineLevel="1" x14ac:dyDescent="0.25">
      <c r="B292" s="35"/>
      <c r="C292" s="256"/>
      <c r="D292" s="256"/>
      <c r="E292" s="256"/>
      <c r="F292" s="256"/>
      <c r="G292" s="256"/>
      <c r="H292" s="256"/>
      <c r="I292" s="257"/>
    </row>
    <row r="293" spans="2:9" outlineLevel="1" x14ac:dyDescent="0.25">
      <c r="B293" s="35"/>
      <c r="C293" s="256"/>
      <c r="D293" s="256"/>
      <c r="E293" s="256"/>
      <c r="F293" s="256"/>
      <c r="G293" s="256"/>
      <c r="H293" s="256"/>
      <c r="I293" s="257"/>
    </row>
    <row r="294" spans="2:9" outlineLevel="1" x14ac:dyDescent="0.25">
      <c r="B294" s="35"/>
      <c r="C294" s="256"/>
      <c r="D294" s="256"/>
      <c r="E294" s="256"/>
      <c r="F294" s="256"/>
      <c r="G294" s="256"/>
      <c r="H294" s="256"/>
      <c r="I294" s="257"/>
    </row>
    <row r="295" spans="2:9" outlineLevel="1" x14ac:dyDescent="0.25">
      <c r="B295" s="35"/>
      <c r="C295" s="256"/>
      <c r="D295" s="256"/>
      <c r="E295" s="256"/>
      <c r="F295" s="256"/>
      <c r="G295" s="256"/>
      <c r="H295" s="256"/>
      <c r="I295" s="257"/>
    </row>
    <row r="296" spans="2:9" outlineLevel="1" x14ac:dyDescent="0.25">
      <c r="B296" s="35"/>
      <c r="C296" s="256"/>
      <c r="D296" s="256"/>
      <c r="E296" s="256"/>
      <c r="F296" s="256"/>
      <c r="G296" s="256"/>
      <c r="H296" s="256"/>
      <c r="I296" s="257"/>
    </row>
    <row r="297" spans="2:9" outlineLevel="1" x14ac:dyDescent="0.25">
      <c r="B297" s="35"/>
      <c r="C297" s="256"/>
      <c r="D297" s="256"/>
      <c r="E297" s="256"/>
      <c r="F297" s="256"/>
      <c r="G297" s="256"/>
      <c r="H297" s="256"/>
      <c r="I297" s="257"/>
    </row>
    <row r="298" spans="2:9" outlineLevel="1" x14ac:dyDescent="0.25">
      <c r="B298" s="35"/>
      <c r="C298" s="256"/>
      <c r="D298" s="256"/>
      <c r="E298" s="256"/>
      <c r="F298" s="256"/>
      <c r="G298" s="256"/>
      <c r="H298" s="256"/>
      <c r="I298" s="257"/>
    </row>
    <row r="299" spans="2:9" outlineLevel="1" x14ac:dyDescent="0.25">
      <c r="B299" s="35"/>
      <c r="C299" s="256"/>
      <c r="D299" s="256"/>
      <c r="E299" s="256"/>
      <c r="F299" s="256"/>
      <c r="G299" s="256"/>
      <c r="H299" s="256"/>
      <c r="I299" s="257"/>
    </row>
    <row r="300" spans="2:9" outlineLevel="1" x14ac:dyDescent="0.25">
      <c r="B300" s="35"/>
      <c r="C300" s="256"/>
      <c r="D300" s="256"/>
      <c r="E300" s="256"/>
      <c r="F300" s="256"/>
      <c r="G300" s="256"/>
      <c r="H300" s="256"/>
      <c r="I300" s="257"/>
    </row>
    <row r="301" spans="2:9" outlineLevel="1" x14ac:dyDescent="0.25">
      <c r="B301" s="35"/>
      <c r="C301" s="256"/>
      <c r="D301" s="256"/>
      <c r="E301" s="256"/>
      <c r="F301" s="256"/>
      <c r="G301" s="256"/>
      <c r="H301" s="256"/>
      <c r="I301" s="257"/>
    </row>
    <row r="302" spans="2:9" outlineLevel="1" x14ac:dyDescent="0.25">
      <c r="B302" s="35"/>
      <c r="C302" s="256"/>
      <c r="D302" s="256"/>
      <c r="E302" s="256"/>
      <c r="F302" s="256"/>
      <c r="G302" s="256"/>
      <c r="H302" s="256"/>
      <c r="I302" s="257"/>
    </row>
    <row r="303" spans="2:9" outlineLevel="1" x14ac:dyDescent="0.25">
      <c r="B303" s="35"/>
      <c r="C303" s="526"/>
      <c r="D303" s="526"/>
      <c r="E303" s="526"/>
      <c r="F303" s="526"/>
      <c r="G303" s="526"/>
      <c r="H303" s="526"/>
      <c r="I303" s="628"/>
    </row>
    <row r="304" spans="2:9" outlineLevel="1" x14ac:dyDescent="0.25">
      <c r="B304" s="35"/>
      <c r="C304" s="526"/>
      <c r="D304" s="526"/>
      <c r="E304" s="526"/>
      <c r="F304" s="526"/>
      <c r="G304" s="526"/>
      <c r="H304" s="526"/>
      <c r="I304" s="628"/>
    </row>
    <row r="305" spans="2:9" outlineLevel="1" x14ac:dyDescent="0.25">
      <c r="B305" s="35"/>
      <c r="C305" s="526"/>
      <c r="D305" s="526"/>
      <c r="E305" s="526"/>
      <c r="F305" s="526"/>
      <c r="G305" s="526"/>
      <c r="H305" s="526"/>
      <c r="I305" s="628"/>
    </row>
    <row r="306" spans="2:9" outlineLevel="1" x14ac:dyDescent="0.25">
      <c r="B306" s="35"/>
      <c r="C306" s="526"/>
      <c r="D306" s="526"/>
      <c r="E306" s="526"/>
      <c r="F306" s="526"/>
      <c r="G306" s="526"/>
      <c r="H306" s="526"/>
      <c r="I306" s="628"/>
    </row>
    <row r="307" spans="2:9" outlineLevel="1" x14ac:dyDescent="0.25">
      <c r="B307" s="35"/>
      <c r="C307" s="526"/>
      <c r="D307" s="526"/>
      <c r="E307" s="526"/>
      <c r="F307" s="526"/>
      <c r="G307" s="526"/>
      <c r="H307" s="526"/>
      <c r="I307" s="628"/>
    </row>
    <row r="308" spans="2:9" outlineLevel="1" x14ac:dyDescent="0.25">
      <c r="B308" s="35"/>
      <c r="C308" s="526"/>
      <c r="D308" s="526"/>
      <c r="E308" s="526"/>
      <c r="F308" s="526"/>
      <c r="G308" s="526"/>
      <c r="H308" s="526"/>
      <c r="I308" s="628"/>
    </row>
    <row r="309" spans="2:9" outlineLevel="1" x14ac:dyDescent="0.25">
      <c r="B309" s="35"/>
      <c r="C309" s="526"/>
      <c r="D309" s="526"/>
      <c r="E309" s="526"/>
      <c r="F309" s="526"/>
      <c r="G309" s="526"/>
      <c r="H309" s="526"/>
      <c r="I309" s="628"/>
    </row>
    <row r="310" spans="2:9" outlineLevel="1" x14ac:dyDescent="0.25">
      <c r="B310" s="35"/>
      <c r="C310" s="526"/>
      <c r="D310" s="526"/>
      <c r="E310" s="526"/>
      <c r="F310" s="526"/>
      <c r="G310" s="526"/>
      <c r="H310" s="526"/>
      <c r="I310" s="628"/>
    </row>
    <row r="311" spans="2:9" outlineLevel="1" x14ac:dyDescent="0.25">
      <c r="B311" s="35"/>
      <c r="C311" s="526"/>
      <c r="D311" s="526"/>
      <c r="E311" s="526"/>
      <c r="F311" s="526"/>
      <c r="G311" s="526"/>
      <c r="H311" s="526"/>
      <c r="I311" s="628"/>
    </row>
    <row r="312" spans="2:9" outlineLevel="1" x14ac:dyDescent="0.25">
      <c r="B312" s="35"/>
      <c r="C312" s="526"/>
      <c r="D312" s="526"/>
      <c r="E312" s="526"/>
      <c r="F312" s="526"/>
      <c r="G312" s="526"/>
      <c r="H312" s="526"/>
      <c r="I312" s="628"/>
    </row>
    <row r="313" spans="2:9" outlineLevel="1" x14ac:dyDescent="0.25">
      <c r="B313" s="35"/>
      <c r="C313" s="526"/>
      <c r="D313" s="526"/>
      <c r="E313" s="526"/>
      <c r="F313" s="526"/>
      <c r="G313" s="526"/>
      <c r="H313" s="526"/>
      <c r="I313" s="628"/>
    </row>
    <row r="314" spans="2:9" outlineLevel="1" x14ac:dyDescent="0.25">
      <c r="B314" s="35"/>
      <c r="C314" s="526"/>
      <c r="D314" s="526"/>
      <c r="E314" s="526"/>
      <c r="F314" s="526"/>
      <c r="G314" s="526"/>
      <c r="H314" s="526"/>
      <c r="I314" s="628"/>
    </row>
    <row r="315" spans="2:9" outlineLevel="1" x14ac:dyDescent="0.25">
      <c r="B315" s="35"/>
      <c r="C315" s="526"/>
      <c r="D315" s="526"/>
      <c r="E315" s="526"/>
      <c r="F315" s="526"/>
      <c r="G315" s="526"/>
      <c r="H315" s="526"/>
      <c r="I315" s="628"/>
    </row>
    <row r="316" spans="2:9" outlineLevel="1" x14ac:dyDescent="0.25">
      <c r="B316" s="35"/>
      <c r="C316" s="526"/>
      <c r="D316" s="526"/>
      <c r="E316" s="526"/>
      <c r="F316" s="526"/>
      <c r="G316" s="526"/>
      <c r="H316" s="526"/>
      <c r="I316" s="628"/>
    </row>
    <row r="317" spans="2:9" outlineLevel="1" x14ac:dyDescent="0.25">
      <c r="B317" s="35"/>
      <c r="C317" s="526"/>
      <c r="D317" s="526"/>
      <c r="E317" s="526"/>
      <c r="F317" s="526"/>
      <c r="G317" s="526"/>
      <c r="H317" s="526"/>
      <c r="I317" s="628"/>
    </row>
    <row r="318" spans="2:9" outlineLevel="1" x14ac:dyDescent="0.25">
      <c r="B318" s="35"/>
      <c r="C318" s="526"/>
      <c r="D318" s="526"/>
      <c r="E318" s="526"/>
      <c r="F318" s="526"/>
      <c r="G318" s="526"/>
      <c r="H318" s="526"/>
      <c r="I318" s="628"/>
    </row>
    <row r="319" spans="2:9" outlineLevel="1" x14ac:dyDescent="0.25">
      <c r="B319" s="35"/>
      <c r="C319" s="526"/>
      <c r="D319" s="526"/>
      <c r="E319" s="526"/>
      <c r="F319" s="526"/>
      <c r="G319" s="526"/>
      <c r="H319" s="526"/>
      <c r="I319" s="628"/>
    </row>
    <row r="320" spans="2:9" outlineLevel="1" x14ac:dyDescent="0.25">
      <c r="B320" s="35"/>
      <c r="C320" s="526"/>
      <c r="D320" s="526"/>
      <c r="E320" s="526"/>
      <c r="F320" s="526"/>
      <c r="G320" s="526"/>
      <c r="H320" s="526"/>
      <c r="I320" s="628"/>
    </row>
    <row r="321" spans="2:9" outlineLevel="1" x14ac:dyDescent="0.25">
      <c r="B321" s="35"/>
      <c r="C321" s="526"/>
      <c r="D321" s="526"/>
      <c r="E321" s="526"/>
      <c r="F321" s="526"/>
      <c r="G321" s="526"/>
      <c r="H321" s="526"/>
      <c r="I321" s="628"/>
    </row>
    <row r="322" spans="2:9" outlineLevel="1" x14ac:dyDescent="0.25">
      <c r="B322" s="35"/>
      <c r="C322" s="526"/>
      <c r="D322" s="526"/>
      <c r="E322" s="526"/>
      <c r="F322" s="526"/>
      <c r="G322" s="526"/>
      <c r="H322" s="526"/>
      <c r="I322" s="628"/>
    </row>
    <row r="323" spans="2:9" outlineLevel="1" x14ac:dyDescent="0.25">
      <c r="B323" s="35"/>
      <c r="C323" s="526"/>
      <c r="D323" s="526"/>
      <c r="E323" s="526"/>
      <c r="F323" s="526"/>
      <c r="G323" s="526"/>
      <c r="H323" s="526"/>
      <c r="I323" s="628"/>
    </row>
    <row r="324" spans="2:9" outlineLevel="1" x14ac:dyDescent="0.25">
      <c r="B324" s="35"/>
      <c r="C324" s="526"/>
      <c r="D324" s="526"/>
      <c r="E324" s="526"/>
      <c r="F324" s="526"/>
      <c r="G324" s="526"/>
      <c r="H324" s="526"/>
      <c r="I324" s="628"/>
    </row>
    <row r="325" spans="2:9" outlineLevel="1" x14ac:dyDescent="0.25">
      <c r="B325" s="35"/>
      <c r="C325" s="526"/>
      <c r="D325" s="526"/>
      <c r="E325" s="526"/>
      <c r="F325" s="526"/>
      <c r="G325" s="526"/>
      <c r="H325" s="526"/>
      <c r="I325" s="628"/>
    </row>
    <row r="326" spans="2:9" outlineLevel="1" x14ac:dyDescent="0.25">
      <c r="B326" s="35"/>
      <c r="C326" s="526"/>
      <c r="D326" s="526"/>
      <c r="E326" s="526"/>
      <c r="F326" s="526"/>
      <c r="G326" s="526"/>
      <c r="H326" s="526"/>
      <c r="I326" s="628"/>
    </row>
    <row r="327" spans="2:9" outlineLevel="1" x14ac:dyDescent="0.25">
      <c r="B327" s="35"/>
      <c r="C327" s="526"/>
      <c r="D327" s="526"/>
      <c r="E327" s="526"/>
      <c r="F327" s="526"/>
      <c r="G327" s="526"/>
      <c r="H327" s="526"/>
      <c r="I327" s="628"/>
    </row>
    <row r="328" spans="2:9" ht="15" customHeight="1" outlineLevel="1" x14ac:dyDescent="0.25">
      <c r="B328" s="1396"/>
      <c r="C328" s="526"/>
      <c r="D328" s="526"/>
      <c r="E328" s="526"/>
      <c r="F328" s="526"/>
      <c r="G328" s="526"/>
      <c r="H328" s="526"/>
      <c r="I328" s="628"/>
    </row>
    <row r="329" spans="2:9" ht="15" customHeight="1" outlineLevel="1" x14ac:dyDescent="0.25">
      <c r="B329" s="1398" t="s">
        <v>112</v>
      </c>
      <c r="C329" s="1395">
        <f t="shared" ref="C329:I329" si="3">SUM(C254:C328)</f>
        <v>5772</v>
      </c>
      <c r="D329" s="1395">
        <f t="shared" si="3"/>
        <v>5016</v>
      </c>
      <c r="E329" s="1395">
        <f t="shared" si="3"/>
        <v>10353</v>
      </c>
      <c r="F329" s="1395">
        <f t="shared" si="3"/>
        <v>11179</v>
      </c>
      <c r="G329" s="1395">
        <f t="shared" si="3"/>
        <v>11607</v>
      </c>
      <c r="H329" s="1395">
        <f t="shared" si="3"/>
        <v>11308</v>
      </c>
      <c r="I329" s="1397">
        <f t="shared" si="3"/>
        <v>10676</v>
      </c>
    </row>
  </sheetData>
  <sheetProtection algorithmName="SHA-256" hashValue="yOJZx+QvavA7yUuEBO9ngPHvPc0ugUgaOqPzC30H8g4=" saltValue="gVxMhFSylq3ChQUYnXcC2g==" spinCount="100000" sheet="1" objects="1" scenarios="1"/>
  <dataValidations count="1">
    <dataValidation allowBlank="1" showInputMessage="1" showErrorMessage="1" promptTitle="Tariff" prompt="For consistency in AER database, tariff names in this worksheet are populated from tariffs names entered in worksheet N1.2 - Demand - by tariff." sqref="B173:B247 B11:B85 B92:B166 B254:B328" xr:uid="{00000000-0002-0000-1300-000000000000}"/>
  </dataValidations>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E46C0A"/>
  </sheetPr>
  <dimension ref="A1:I14"/>
  <sheetViews>
    <sheetView showGridLines="0" workbookViewId="0">
      <selection activeCell="E1" sqref="E1"/>
    </sheetView>
  </sheetViews>
  <sheetFormatPr defaultColWidth="9.140625" defaultRowHeight="15" x14ac:dyDescent="0.25"/>
  <cols>
    <col min="1" max="1" width="22.7109375" customWidth="1"/>
    <col min="2" max="2" width="52" customWidth="1"/>
    <col min="3" max="9" width="18.71093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400</v>
      </c>
      <c r="C4" s="383"/>
      <c r="D4" s="383"/>
      <c r="E4" s="383"/>
      <c r="F4" s="383"/>
      <c r="G4" s="383"/>
      <c r="H4" s="383"/>
      <c r="I4" s="383"/>
    </row>
    <row r="5" spans="1:9" ht="30" customHeight="1" x14ac:dyDescent="0.25">
      <c r="B5" s="1440" t="s">
        <v>96</v>
      </c>
      <c r="C5" s="1440"/>
      <c r="D5" s="1440"/>
      <c r="E5" s="1440"/>
      <c r="F5" s="1440"/>
      <c r="G5" s="1440"/>
      <c r="H5" s="1440"/>
      <c r="I5" s="1440"/>
    </row>
    <row r="6" spans="1:9" ht="29.25" customHeight="1" x14ac:dyDescent="0.25"/>
    <row r="7" spans="1:9" ht="22.5" customHeight="1" x14ac:dyDescent="0.25">
      <c r="B7" s="31" t="s">
        <v>401</v>
      </c>
      <c r="C7" s="31"/>
      <c r="D7" s="31"/>
      <c r="E7" s="31"/>
      <c r="F7" s="31"/>
      <c r="G7" s="31"/>
      <c r="H7" s="31"/>
      <c r="I7" s="31"/>
    </row>
    <row r="8" spans="1:9" ht="15" customHeight="1" x14ac:dyDescent="0.25">
      <c r="C8" s="1335" t="s">
        <v>402</v>
      </c>
      <c r="D8" s="1336"/>
      <c r="E8" s="1336"/>
      <c r="F8" s="1336"/>
      <c r="G8" s="1336"/>
      <c r="H8" s="1336"/>
      <c r="I8" s="1337"/>
    </row>
    <row r="9" spans="1:9" ht="15" customHeight="1" x14ac:dyDescent="0.25">
      <c r="C9" s="1347" t="str">
        <f ca="1">dms_y1</f>
        <v>2024-25</v>
      </c>
      <c r="D9" s="1348" t="str">
        <f ca="1">dms_y2</f>
        <v>2025-26</v>
      </c>
      <c r="E9" s="1348" t="str">
        <f ca="1">dms_y3</f>
        <v>2026-27</v>
      </c>
      <c r="F9" s="1348" t="str">
        <f ca="1">dms_y4</f>
        <v>2027-28</v>
      </c>
      <c r="G9" s="1348" t="str">
        <f ca="1">dms_y5</f>
        <v>2028-29</v>
      </c>
      <c r="H9" s="1348" t="str">
        <f ca="1">dms_y6</f>
        <v>2029-30</v>
      </c>
      <c r="I9" s="1349" t="str">
        <f ca="1">dms_y7</f>
        <v>2030-31</v>
      </c>
    </row>
    <row r="10" spans="1:9" x14ac:dyDescent="0.25">
      <c r="B10" s="603" t="s">
        <v>403</v>
      </c>
      <c r="C10" s="360">
        <v>0</v>
      </c>
      <c r="D10" s="400">
        <v>0</v>
      </c>
      <c r="E10" s="361">
        <v>0</v>
      </c>
      <c r="F10" s="361">
        <v>0</v>
      </c>
      <c r="G10" s="378">
        <v>0</v>
      </c>
      <c r="H10" s="472">
        <v>0</v>
      </c>
      <c r="I10" s="401">
        <v>0</v>
      </c>
    </row>
    <row r="11" spans="1:9" x14ac:dyDescent="0.25">
      <c r="B11" s="604" t="s">
        <v>404</v>
      </c>
      <c r="C11" s="362">
        <v>12</v>
      </c>
      <c r="D11" s="251">
        <v>14.25</v>
      </c>
      <c r="E11" s="245">
        <v>15.06</v>
      </c>
      <c r="F11" s="245">
        <v>14.83</v>
      </c>
      <c r="G11" s="366">
        <v>14.04</v>
      </c>
      <c r="H11" s="244">
        <v>14.54</v>
      </c>
      <c r="I11" s="230">
        <v>14.62</v>
      </c>
    </row>
    <row r="12" spans="1:9" x14ac:dyDescent="0.25">
      <c r="B12" s="604" t="s">
        <v>405</v>
      </c>
      <c r="C12" s="362">
        <v>0</v>
      </c>
      <c r="D12" s="251">
        <v>0</v>
      </c>
      <c r="E12" s="245">
        <v>0</v>
      </c>
      <c r="F12" s="245">
        <v>0</v>
      </c>
      <c r="G12" s="366">
        <v>0</v>
      </c>
      <c r="H12" s="244">
        <v>0</v>
      </c>
      <c r="I12" s="230">
        <v>0</v>
      </c>
    </row>
    <row r="13" spans="1:9" x14ac:dyDescent="0.25">
      <c r="B13" s="604" t="s">
        <v>406</v>
      </c>
      <c r="C13" s="362">
        <v>0</v>
      </c>
      <c r="D13" s="251">
        <v>0</v>
      </c>
      <c r="E13" s="245">
        <v>0</v>
      </c>
      <c r="F13" s="245">
        <v>0</v>
      </c>
      <c r="G13" s="366">
        <v>0</v>
      </c>
      <c r="H13" s="244">
        <v>0</v>
      </c>
      <c r="I13" s="230">
        <v>0</v>
      </c>
    </row>
    <row r="14" spans="1:9" ht="15" customHeight="1" x14ac:dyDescent="0.25">
      <c r="B14" s="605" t="s">
        <v>407</v>
      </c>
      <c r="C14" s="363">
        <v>5.25</v>
      </c>
      <c r="D14" s="253">
        <v>6.31</v>
      </c>
      <c r="E14" s="247">
        <v>6.89</v>
      </c>
      <c r="F14" s="247">
        <v>6.86</v>
      </c>
      <c r="G14" s="379">
        <v>6.33</v>
      </c>
      <c r="H14" s="246">
        <v>6.6</v>
      </c>
      <c r="I14" s="465">
        <v>6.67</v>
      </c>
    </row>
  </sheetData>
  <sheetProtection algorithmName="SHA-256" hashValue="M8jWm0jMn3XtBvECif/ZFjvq1NACwCcWIh4Nd4yNOrg=" saltValue="Jt/qMusbgFe4AA59BmSy6w==" spinCount="100000" sheet="1" objects="1" scenarios="1"/>
  <pageMargins left="0.7" right="0.7" top="0.75" bottom="0.75" header="0.3" footer="0.3"/>
  <headerFooter>
    <oddFooter>&amp;C_x000D_&amp;1#&amp;"Calibri"&amp;10&amp;K000000 Ringfenced Confidential - Commercially Sensitive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E46C0A"/>
  </sheetPr>
  <dimension ref="A1:I40"/>
  <sheetViews>
    <sheetView showGridLines="0" topLeftCell="A4" workbookViewId="0">
      <selection activeCell="E1" sqref="E1"/>
    </sheetView>
  </sheetViews>
  <sheetFormatPr defaultColWidth="9.140625" defaultRowHeight="15" outlineLevelRow="2" x14ac:dyDescent="0.25"/>
  <cols>
    <col min="1" max="1" width="22.7109375" customWidth="1"/>
    <col min="2" max="2" width="52" customWidth="1"/>
    <col min="3" max="9" width="20.71093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408</v>
      </c>
      <c r="C4" s="383"/>
      <c r="D4" s="383"/>
      <c r="E4" s="383"/>
      <c r="F4" s="383"/>
      <c r="G4" s="383"/>
      <c r="H4" s="383"/>
      <c r="I4" s="383"/>
    </row>
    <row r="5" spans="1:9" ht="30" customHeight="1" x14ac:dyDescent="0.25">
      <c r="B5" s="1440" t="s">
        <v>96</v>
      </c>
      <c r="C5" s="1440"/>
      <c r="D5" s="1440"/>
      <c r="E5" s="1440"/>
      <c r="F5" s="1440"/>
      <c r="G5" s="1440"/>
      <c r="H5" s="1440"/>
      <c r="I5" s="1440"/>
    </row>
    <row r="6" spans="1:9" ht="15" customHeight="1" x14ac:dyDescent="0.25"/>
    <row r="7" spans="1:9" ht="29.25" customHeight="1" x14ac:dyDescent="0.25">
      <c r="B7" s="31" t="s">
        <v>409</v>
      </c>
      <c r="C7" s="31"/>
      <c r="D7" s="31"/>
      <c r="E7" s="31"/>
      <c r="F7" s="31"/>
      <c r="G7" s="31"/>
      <c r="H7" s="31"/>
      <c r="I7" s="31"/>
    </row>
    <row r="8" spans="1:9" ht="22.5" customHeight="1" outlineLevel="1" x14ac:dyDescent="0.25">
      <c r="B8" s="232" t="s">
        <v>410</v>
      </c>
      <c r="C8" s="233"/>
      <c r="D8" s="233"/>
      <c r="E8" s="233"/>
      <c r="F8" s="233"/>
      <c r="G8" s="233"/>
      <c r="H8" s="233"/>
      <c r="I8" s="233"/>
    </row>
    <row r="9" spans="1:9" ht="15" customHeight="1" outlineLevel="2" x14ac:dyDescent="0.25">
      <c r="C9" s="1335" t="s">
        <v>402</v>
      </c>
      <c r="D9" s="1336"/>
      <c r="E9" s="1336"/>
      <c r="F9" s="1336"/>
      <c r="G9" s="1336"/>
      <c r="H9" s="1336"/>
      <c r="I9" s="1337"/>
    </row>
    <row r="10" spans="1:9" ht="15" customHeight="1" outlineLevel="2" x14ac:dyDescent="0.25">
      <c r="C10" s="1347" t="str">
        <f ca="1">dms_y1</f>
        <v>2024-25</v>
      </c>
      <c r="D10" s="1348" t="str">
        <f ca="1">dms_y2</f>
        <v>2025-26</v>
      </c>
      <c r="E10" s="1348" t="str">
        <f ca="1">dms_y3</f>
        <v>2026-27</v>
      </c>
      <c r="F10" s="1348" t="str">
        <f ca="1">dms_y4</f>
        <v>2027-28</v>
      </c>
      <c r="G10" s="1348" t="str">
        <f ca="1">dms_y5</f>
        <v>2028-29</v>
      </c>
      <c r="H10" s="1348" t="str">
        <f ca="1">dms_y6</f>
        <v>2029-30</v>
      </c>
      <c r="I10" s="1349" t="str">
        <f ca="1">dms_y7</f>
        <v>2030-31</v>
      </c>
    </row>
    <row r="11" spans="1:9" s="322" customFormat="1" outlineLevel="2" x14ac:dyDescent="0.25">
      <c r="B11" s="603" t="s">
        <v>411</v>
      </c>
      <c r="C11" s="249">
        <v>2649.25</v>
      </c>
      <c r="D11" s="250">
        <v>1587.81</v>
      </c>
      <c r="E11" s="241">
        <v>1693.52</v>
      </c>
      <c r="F11" s="242">
        <v>1847.64</v>
      </c>
      <c r="G11" s="242">
        <v>1944.56</v>
      </c>
      <c r="H11" s="242">
        <v>1768.38</v>
      </c>
      <c r="I11" s="242">
        <v>1813.52</v>
      </c>
    </row>
    <row r="12" spans="1:9" s="322" customFormat="1" outlineLevel="2" x14ac:dyDescent="0.25">
      <c r="B12" s="604" t="s">
        <v>412</v>
      </c>
      <c r="C12" s="251">
        <v>0.5</v>
      </c>
      <c r="D12" s="252">
        <v>0.63</v>
      </c>
      <c r="E12" s="244">
        <v>0.53</v>
      </c>
      <c r="F12" s="245">
        <v>0.66</v>
      </c>
      <c r="G12" s="245">
        <v>0.57999999999999996</v>
      </c>
      <c r="H12" s="245">
        <v>0.6</v>
      </c>
      <c r="I12" s="245">
        <v>0.59</v>
      </c>
    </row>
    <row r="13" spans="1:9" s="322" customFormat="1" ht="15" customHeight="1" outlineLevel="2" x14ac:dyDescent="0.25">
      <c r="B13" s="605" t="s">
        <v>413</v>
      </c>
      <c r="C13" s="253">
        <v>0</v>
      </c>
      <c r="D13" s="254">
        <v>0</v>
      </c>
      <c r="E13" s="246">
        <v>0</v>
      </c>
      <c r="F13" s="247">
        <v>0</v>
      </c>
      <c r="G13" s="247">
        <v>0</v>
      </c>
      <c r="H13" s="247">
        <v>0</v>
      </c>
      <c r="I13" s="247">
        <v>0</v>
      </c>
    </row>
    <row r="14" spans="1:9" ht="15" customHeight="1" outlineLevel="1" x14ac:dyDescent="0.25"/>
    <row r="15" spans="1:9" ht="25.5" customHeight="1" outlineLevel="1" x14ac:dyDescent="0.25">
      <c r="B15" s="232" t="s">
        <v>414</v>
      </c>
      <c r="C15" s="233"/>
      <c r="D15" s="233"/>
      <c r="E15" s="233"/>
      <c r="F15" s="233"/>
      <c r="G15" s="233"/>
      <c r="H15" s="233"/>
      <c r="I15" s="233"/>
    </row>
    <row r="16" spans="1:9" ht="15" customHeight="1" outlineLevel="2" x14ac:dyDescent="0.25">
      <c r="C16" s="1335" t="s">
        <v>402</v>
      </c>
      <c r="D16" s="1336"/>
      <c r="E16" s="1336"/>
      <c r="F16" s="1336"/>
      <c r="G16" s="1336"/>
      <c r="H16" s="1336"/>
      <c r="I16" s="1337"/>
    </row>
    <row r="17" spans="1:9" ht="15" customHeight="1" outlineLevel="2" x14ac:dyDescent="0.25">
      <c r="B17" s="302"/>
      <c r="C17" s="1347" t="str">
        <f ca="1">dms_y1</f>
        <v>2024-25</v>
      </c>
      <c r="D17" s="1348" t="str">
        <f ca="1">dms_y2</f>
        <v>2025-26</v>
      </c>
      <c r="E17" s="1348" t="str">
        <f ca="1">dms_y3</f>
        <v>2026-27</v>
      </c>
      <c r="F17" s="1348" t="str">
        <f ca="1">dms_y4</f>
        <v>2027-28</v>
      </c>
      <c r="G17" s="1348" t="str">
        <f ca="1">dms_y5</f>
        <v>2028-29</v>
      </c>
      <c r="H17" s="1348" t="str">
        <f ca="1">dms_y6</f>
        <v>2029-30</v>
      </c>
      <c r="I17" s="1349" t="str">
        <f ca="1">dms_y7</f>
        <v>2030-31</v>
      </c>
    </row>
    <row r="18" spans="1:9" s="322" customFormat="1" outlineLevel="2" x14ac:dyDescent="0.25">
      <c r="B18" s="603" t="s">
        <v>411</v>
      </c>
      <c r="C18" s="249">
        <v>152</v>
      </c>
      <c r="D18" s="250">
        <v>150.5</v>
      </c>
      <c r="E18" s="241">
        <v>160.13</v>
      </c>
      <c r="F18" s="242">
        <v>165.66</v>
      </c>
      <c r="G18" s="242">
        <v>157.07</v>
      </c>
      <c r="H18" s="242">
        <v>158.34</v>
      </c>
      <c r="I18" s="242">
        <v>160.30000000000001</v>
      </c>
    </row>
    <row r="19" spans="1:9" s="322" customFormat="1" outlineLevel="2" x14ac:dyDescent="0.25">
      <c r="B19" s="604" t="s">
        <v>412</v>
      </c>
      <c r="C19" s="251">
        <v>1.5</v>
      </c>
      <c r="D19" s="252">
        <v>1.88</v>
      </c>
      <c r="E19" s="244">
        <v>1.84</v>
      </c>
      <c r="F19" s="245">
        <v>2.0499999999999998</v>
      </c>
      <c r="G19" s="245">
        <v>1.82</v>
      </c>
      <c r="H19" s="245">
        <v>1.9</v>
      </c>
      <c r="I19" s="245">
        <v>1.9</v>
      </c>
    </row>
    <row r="20" spans="1:9" s="322" customFormat="1" ht="15" customHeight="1" outlineLevel="2" x14ac:dyDescent="0.25">
      <c r="B20" s="605" t="s">
        <v>413</v>
      </c>
      <c r="C20" s="253">
        <v>25</v>
      </c>
      <c r="D20" s="254">
        <v>18</v>
      </c>
      <c r="E20" s="246">
        <v>21.75</v>
      </c>
      <c r="F20" s="247">
        <v>23.19</v>
      </c>
      <c r="G20" s="247">
        <v>21.98</v>
      </c>
      <c r="H20" s="247">
        <v>21.23</v>
      </c>
      <c r="I20" s="247">
        <v>22.04</v>
      </c>
    </row>
    <row r="21" spans="1:9" outlineLevel="1" x14ac:dyDescent="0.25"/>
    <row r="22" spans="1:9" s="322" customFormat="1" ht="13.15" customHeight="1" x14ac:dyDescent="0.2"/>
    <row r="23" spans="1:9" ht="15" customHeight="1" x14ac:dyDescent="0.25"/>
    <row r="24" spans="1:9" ht="24.95" customHeight="1" x14ac:dyDescent="0.25">
      <c r="A24" s="238"/>
      <c r="B24" s="31" t="s">
        <v>415</v>
      </c>
      <c r="C24" s="31"/>
      <c r="D24" s="31"/>
      <c r="E24" s="31"/>
      <c r="F24" s="31"/>
      <c r="G24" s="31"/>
      <c r="H24" s="31"/>
      <c r="I24" s="31"/>
    </row>
    <row r="25" spans="1:9" s="38" customFormat="1" ht="21.75" customHeight="1" outlineLevel="2" x14ac:dyDescent="0.2">
      <c r="A25" s="288"/>
      <c r="C25" s="1335" t="s">
        <v>339</v>
      </c>
      <c r="D25" s="1336"/>
      <c r="E25" s="1336"/>
      <c r="F25" s="1336"/>
      <c r="G25" s="1336"/>
      <c r="H25" s="1336"/>
      <c r="I25" s="1337"/>
    </row>
    <row r="26" spans="1:9" s="38" customFormat="1" ht="15" customHeight="1" outlineLevel="2" x14ac:dyDescent="0.2">
      <c r="A26" s="288"/>
      <c r="C26" s="1328" t="s">
        <v>340</v>
      </c>
      <c r="D26" s="1329"/>
      <c r="E26" s="1329"/>
      <c r="F26" s="1329"/>
      <c r="G26" s="1329"/>
      <c r="H26" s="1329"/>
      <c r="I26" s="1330"/>
    </row>
    <row r="27" spans="1:9" s="38" customFormat="1" ht="18" customHeight="1" outlineLevel="2" x14ac:dyDescent="0.2">
      <c r="A27" s="288"/>
      <c r="B27" s="563" t="s">
        <v>416</v>
      </c>
      <c r="C27" s="1347" t="str">
        <f ca="1">dms_y1</f>
        <v>2024-25</v>
      </c>
      <c r="D27" s="1348" t="str">
        <f ca="1">dms_y2</f>
        <v>2025-26</v>
      </c>
      <c r="E27" s="1348" t="str">
        <f ca="1">dms_y3</f>
        <v>2026-27</v>
      </c>
      <c r="F27" s="1348" t="str">
        <f ca="1">dms_y4</f>
        <v>2027-28</v>
      </c>
      <c r="G27" s="1348" t="str">
        <f ca="1">dms_y5</f>
        <v>2028-29</v>
      </c>
      <c r="H27" s="1348" t="str">
        <f ca="1">dms_y6</f>
        <v>2029-30</v>
      </c>
      <c r="I27" s="1349" t="str">
        <f ca="1">dms_y7</f>
        <v>2030-31</v>
      </c>
    </row>
    <row r="28" spans="1:9" s="320" customFormat="1" ht="15" customHeight="1" outlineLevel="2" x14ac:dyDescent="0.25">
      <c r="A28" s="372"/>
      <c r="B28" s="585" t="s">
        <v>417</v>
      </c>
      <c r="C28" s="578">
        <v>162636.9</v>
      </c>
      <c r="D28" s="579">
        <v>167225.82</v>
      </c>
      <c r="E28" s="578">
        <v>165999.76</v>
      </c>
      <c r="F28" s="580">
        <v>155915.35999999999</v>
      </c>
      <c r="G28" s="580">
        <v>145709.34</v>
      </c>
      <c r="H28" s="580">
        <v>135341.15</v>
      </c>
      <c r="I28" s="581">
        <v>125558.26</v>
      </c>
    </row>
    <row r="29" spans="1:9" s="320" customFormat="1" ht="15" customHeight="1" outlineLevel="2" x14ac:dyDescent="0.25">
      <c r="A29" s="372"/>
      <c r="B29" s="597"/>
      <c r="C29" s="468"/>
      <c r="D29" s="467"/>
      <c r="E29" s="468"/>
      <c r="F29" s="469"/>
      <c r="G29" s="469"/>
      <c r="H29" s="469"/>
      <c r="I29" s="574"/>
    </row>
    <row r="30" spans="1:9" s="320" customFormat="1" ht="15" customHeight="1" outlineLevel="2" x14ac:dyDescent="0.25">
      <c r="A30" s="372"/>
      <c r="B30" s="597"/>
      <c r="C30" s="468"/>
      <c r="D30" s="467"/>
      <c r="E30" s="468"/>
      <c r="F30" s="469"/>
      <c r="G30" s="469"/>
      <c r="H30" s="469"/>
      <c r="I30" s="574"/>
    </row>
    <row r="31" spans="1:9" s="320" customFormat="1" ht="15" customHeight="1" outlineLevel="2" x14ac:dyDescent="0.25">
      <c r="A31" s="372"/>
      <c r="B31" s="597"/>
      <c r="C31" s="468"/>
      <c r="D31" s="467"/>
      <c r="E31" s="468"/>
      <c r="F31" s="469"/>
      <c r="G31" s="469"/>
      <c r="H31" s="469"/>
      <c r="I31" s="574"/>
    </row>
    <row r="32" spans="1:9" s="320" customFormat="1" ht="15" customHeight="1" outlineLevel="2" x14ac:dyDescent="0.25">
      <c r="A32" s="372"/>
      <c r="B32" s="597"/>
      <c r="C32" s="468"/>
      <c r="D32" s="467"/>
      <c r="E32" s="468"/>
      <c r="F32" s="469"/>
      <c r="G32" s="469"/>
      <c r="H32" s="469"/>
      <c r="I32" s="574"/>
    </row>
    <row r="33" spans="1:9" s="320" customFormat="1" ht="15" customHeight="1" outlineLevel="2" x14ac:dyDescent="0.25">
      <c r="A33" s="372"/>
      <c r="B33" s="475"/>
      <c r="C33" s="419"/>
      <c r="D33" s="420"/>
      <c r="E33" s="419"/>
      <c r="F33" s="421"/>
      <c r="G33" s="421"/>
      <c r="H33" s="421"/>
      <c r="I33" s="575"/>
    </row>
    <row r="34" spans="1:9" s="320" customFormat="1" ht="15" customHeight="1" outlineLevel="2" x14ac:dyDescent="0.25">
      <c r="A34" s="372"/>
      <c r="B34" s="475"/>
      <c r="C34" s="419"/>
      <c r="D34" s="420"/>
      <c r="E34" s="419"/>
      <c r="F34" s="421"/>
      <c r="G34" s="421"/>
      <c r="H34" s="421"/>
      <c r="I34" s="575"/>
    </row>
    <row r="35" spans="1:9" s="320" customFormat="1" ht="15" customHeight="1" outlineLevel="2" x14ac:dyDescent="0.25">
      <c r="A35" s="372"/>
      <c r="B35" s="475"/>
      <c r="C35" s="419"/>
      <c r="D35" s="420"/>
      <c r="E35" s="419"/>
      <c r="F35" s="421"/>
      <c r="G35" s="421"/>
      <c r="H35" s="421"/>
      <c r="I35" s="575"/>
    </row>
    <row r="36" spans="1:9" s="320" customFormat="1" ht="15" customHeight="1" outlineLevel="2" x14ac:dyDescent="0.25">
      <c r="A36" s="372"/>
      <c r="B36" s="475"/>
      <c r="C36" s="419"/>
      <c r="D36" s="420"/>
      <c r="E36" s="419"/>
      <c r="F36" s="421"/>
      <c r="G36" s="421"/>
      <c r="H36" s="421"/>
      <c r="I36" s="575"/>
    </row>
    <row r="37" spans="1:9" s="320" customFormat="1" ht="15" customHeight="1" outlineLevel="2" x14ac:dyDescent="0.25">
      <c r="A37" s="372"/>
      <c r="B37" s="476"/>
      <c r="C37" s="419"/>
      <c r="D37" s="420"/>
      <c r="E37" s="419"/>
      <c r="F37" s="421"/>
      <c r="G37" s="421"/>
      <c r="H37" s="421"/>
      <c r="I37" s="575"/>
    </row>
    <row r="38" spans="1:9" s="320" customFormat="1" ht="15" customHeight="1" outlineLevel="2" x14ac:dyDescent="0.25">
      <c r="A38" s="372"/>
      <c r="B38" s="280" t="s">
        <v>112</v>
      </c>
      <c r="C38" s="281">
        <f t="shared" ref="C38:I38" si="0">SUM(C28:C37)</f>
        <v>162636.9</v>
      </c>
      <c r="D38" s="281">
        <f t="shared" si="0"/>
        <v>167225.82</v>
      </c>
      <c r="E38" s="281">
        <f t="shared" si="0"/>
        <v>165999.76</v>
      </c>
      <c r="F38" s="281">
        <f t="shared" si="0"/>
        <v>155915.35999999999</v>
      </c>
      <c r="G38" s="281">
        <f t="shared" si="0"/>
        <v>145709.34</v>
      </c>
      <c r="H38" s="281">
        <f t="shared" si="0"/>
        <v>135341.15</v>
      </c>
      <c r="I38" s="282">
        <f t="shared" si="0"/>
        <v>125558.26</v>
      </c>
    </row>
    <row r="39" spans="1:9" s="320" customFormat="1" x14ac:dyDescent="0.25"/>
    <row r="40" spans="1:9" s="320" customFormat="1" x14ac:dyDescent="0.25"/>
  </sheetData>
  <sheetProtection algorithmName="SHA-256" hashValue="axcGjWyf2jpIYVvMP5x25Y+zOV3kp04bH2L08chZrAc=" saltValue="vkt7h4gQto/GKHmOwKtvzA=="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8DB4E3"/>
  </sheetPr>
  <dimension ref="A1:I201"/>
  <sheetViews>
    <sheetView showGridLines="0" topLeftCell="A147" zoomScale="85" zoomScaleNormal="85" workbookViewId="0">
      <selection activeCell="B158" sqref="B158"/>
    </sheetView>
  </sheetViews>
  <sheetFormatPr defaultColWidth="9.140625" defaultRowHeight="15" outlineLevelRow="2" x14ac:dyDescent="0.25"/>
  <cols>
    <col min="1" max="1" width="22.7109375" customWidth="1"/>
    <col min="2" max="2" width="93.7109375" customWidth="1"/>
    <col min="3" max="9" width="20.71093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418</v>
      </c>
      <c r="C4" s="383"/>
      <c r="D4" s="383"/>
      <c r="E4" s="383"/>
      <c r="F4" s="383"/>
      <c r="G4" s="383"/>
      <c r="H4" s="383"/>
      <c r="I4" s="383"/>
    </row>
    <row r="5" spans="1:9" ht="30" customHeight="1" x14ac:dyDescent="0.25">
      <c r="B5" s="1440" t="s">
        <v>96</v>
      </c>
      <c r="C5" s="1440"/>
      <c r="D5" s="1440"/>
      <c r="E5" s="1440"/>
      <c r="F5" s="1440"/>
      <c r="G5" s="1440"/>
      <c r="H5" s="1440"/>
      <c r="I5" s="1440"/>
    </row>
    <row r="6" spans="1:9" ht="15" customHeight="1" x14ac:dyDescent="0.25"/>
    <row r="7" spans="1:9" ht="30.75" customHeight="1" x14ac:dyDescent="0.25">
      <c r="A7" s="238"/>
      <c r="B7" s="31" t="s">
        <v>419</v>
      </c>
      <c r="C7" s="31"/>
      <c r="D7" s="31"/>
      <c r="E7" s="31"/>
      <c r="F7" s="31"/>
      <c r="G7" s="31"/>
      <c r="H7" s="31"/>
      <c r="I7" s="31"/>
    </row>
    <row r="8" spans="1:9" ht="21" customHeight="1" outlineLevel="1" x14ac:dyDescent="0.25">
      <c r="A8" s="238"/>
      <c r="B8" s="232" t="s">
        <v>420</v>
      </c>
      <c r="C8" s="233"/>
      <c r="D8" s="233"/>
      <c r="E8" s="233"/>
      <c r="F8" s="233"/>
      <c r="G8" s="233"/>
      <c r="H8" s="233"/>
      <c r="I8" s="234"/>
    </row>
    <row r="9" spans="1:9" ht="26.25" customHeight="1" outlineLevel="2" x14ac:dyDescent="0.25">
      <c r="A9" s="238"/>
      <c r="C9" s="1332" t="s">
        <v>421</v>
      </c>
      <c r="D9" s="1332"/>
      <c r="E9" s="1332"/>
      <c r="F9" s="1332"/>
      <c r="G9" s="1332"/>
      <c r="H9" s="1332"/>
      <c r="I9" s="1333"/>
    </row>
    <row r="10" spans="1:9" ht="26.25" customHeight="1" outlineLevel="2" x14ac:dyDescent="0.25">
      <c r="A10" s="238"/>
      <c r="C10" s="1331" t="str">
        <f ca="1">CONCATENATE("$, real ",dms_DollarReal)</f>
        <v>$, real June 2026</v>
      </c>
      <c r="D10" s="1331"/>
      <c r="E10" s="1331"/>
      <c r="F10" s="1331"/>
      <c r="G10" s="1331"/>
      <c r="H10" s="1331"/>
      <c r="I10" s="1334"/>
    </row>
    <row r="11" spans="1:9" ht="27" customHeight="1" outlineLevel="2" x14ac:dyDescent="0.25">
      <c r="A11" s="238"/>
      <c r="B11" s="599" t="s">
        <v>344</v>
      </c>
      <c r="C11" s="381" t="str">
        <f ca="1">dms_y1</f>
        <v>2024-25</v>
      </c>
      <c r="D11" s="298" t="str">
        <f ca="1">dms_y2</f>
        <v>2025-26</v>
      </c>
      <c r="E11" s="297" t="str">
        <f ca="1">dms_y3</f>
        <v>2026-27</v>
      </c>
      <c r="F11" s="297" t="str">
        <f ca="1">dms_y4</f>
        <v>2027-28</v>
      </c>
      <c r="G11" s="297" t="str">
        <f ca="1">dms_y5</f>
        <v>2028-29</v>
      </c>
      <c r="H11" s="297" t="str">
        <f ca="1">dms_y6</f>
        <v>2029-30</v>
      </c>
      <c r="I11" s="382" t="str">
        <f ca="1">dms_y7</f>
        <v>2030-31</v>
      </c>
    </row>
    <row r="12" spans="1:9" outlineLevel="2" x14ac:dyDescent="0.25">
      <c r="A12" s="238"/>
      <c r="B12" s="601" t="s">
        <v>345</v>
      </c>
      <c r="C12" s="241">
        <v>71708100</v>
      </c>
      <c r="D12" s="245">
        <v>71704530</v>
      </c>
      <c r="E12" s="244">
        <v>76094668</v>
      </c>
      <c r="F12" s="245">
        <v>78953436</v>
      </c>
      <c r="G12" s="366">
        <v>81177168</v>
      </c>
      <c r="H12" s="245">
        <v>82858477</v>
      </c>
      <c r="I12" s="230">
        <v>84209516</v>
      </c>
    </row>
    <row r="13" spans="1:9" outlineLevel="2" x14ac:dyDescent="0.25">
      <c r="A13" s="238"/>
      <c r="B13" s="602" t="s">
        <v>346</v>
      </c>
      <c r="C13" s="244">
        <v>306580</v>
      </c>
      <c r="D13" s="245">
        <v>331040</v>
      </c>
      <c r="E13" s="244">
        <v>343177</v>
      </c>
      <c r="F13" s="245">
        <v>351289</v>
      </c>
      <c r="G13" s="366">
        <v>355353</v>
      </c>
      <c r="H13" s="245">
        <v>356960</v>
      </c>
      <c r="I13" s="230">
        <v>356950</v>
      </c>
    </row>
    <row r="14" spans="1:9" outlineLevel="2" x14ac:dyDescent="0.25">
      <c r="A14" s="238"/>
      <c r="B14" s="602" t="s">
        <v>347</v>
      </c>
      <c r="C14" s="244">
        <v>2897596</v>
      </c>
      <c r="D14" s="245">
        <v>2707415</v>
      </c>
      <c r="E14" s="244">
        <v>2916612</v>
      </c>
      <c r="F14" s="245">
        <v>3108329</v>
      </c>
      <c r="G14" s="366">
        <v>3344026</v>
      </c>
      <c r="H14" s="245">
        <v>3533775</v>
      </c>
      <c r="I14" s="230">
        <v>3787507</v>
      </c>
    </row>
    <row r="15" spans="1:9" outlineLevel="2" x14ac:dyDescent="0.25">
      <c r="A15" s="238"/>
      <c r="B15" s="602" t="s">
        <v>348</v>
      </c>
      <c r="C15" s="244">
        <v>141357</v>
      </c>
      <c r="D15" s="245">
        <v>153030</v>
      </c>
      <c r="E15" s="244">
        <v>170153</v>
      </c>
      <c r="F15" s="245">
        <v>189530</v>
      </c>
      <c r="G15" s="366">
        <v>210656</v>
      </c>
      <c r="H15" s="245">
        <v>233968</v>
      </c>
      <c r="I15" s="230">
        <v>259958</v>
      </c>
    </row>
    <row r="16" spans="1:9" outlineLevel="2" x14ac:dyDescent="0.25">
      <c r="A16" s="238"/>
      <c r="B16" s="602"/>
      <c r="C16" s="244"/>
      <c r="D16" s="245"/>
      <c r="E16" s="244"/>
      <c r="F16" s="245"/>
      <c r="G16" s="366"/>
      <c r="H16" s="245"/>
      <c r="I16" s="230"/>
    </row>
    <row r="17" spans="1:9" outlineLevel="2" x14ac:dyDescent="0.25">
      <c r="A17" s="238"/>
      <c r="B17" s="602"/>
      <c r="C17" s="244"/>
      <c r="D17" s="245"/>
      <c r="E17" s="244"/>
      <c r="F17" s="245"/>
      <c r="G17" s="366"/>
      <c r="H17" s="245"/>
      <c r="I17" s="230"/>
    </row>
    <row r="18" spans="1:9" outlineLevel="2" x14ac:dyDescent="0.25">
      <c r="A18" s="238"/>
      <c r="B18" s="602"/>
      <c r="C18" s="244"/>
      <c r="D18" s="245"/>
      <c r="E18" s="244"/>
      <c r="F18" s="245"/>
      <c r="G18" s="366"/>
      <c r="H18" s="245"/>
      <c r="I18" s="230"/>
    </row>
    <row r="19" spans="1:9" outlineLevel="2" x14ac:dyDescent="0.25">
      <c r="A19" s="238"/>
      <c r="B19" s="602"/>
      <c r="C19" s="244"/>
      <c r="D19" s="245"/>
      <c r="E19" s="244"/>
      <c r="F19" s="245"/>
      <c r="G19" s="366"/>
      <c r="H19" s="245"/>
      <c r="I19" s="230"/>
    </row>
    <row r="20" spans="1:9" outlineLevel="2" x14ac:dyDescent="0.25">
      <c r="A20" s="238"/>
      <c r="B20" s="602"/>
      <c r="C20" s="244"/>
      <c r="D20" s="245"/>
      <c r="E20" s="244"/>
      <c r="F20" s="245"/>
      <c r="G20" s="366"/>
      <c r="H20" s="245"/>
      <c r="I20" s="230"/>
    </row>
    <row r="21" spans="1:9" outlineLevel="2" x14ac:dyDescent="0.25">
      <c r="A21" s="238"/>
      <c r="B21" s="602" t="str">
        <f>IF(ISBLANK('N1. Demand'!B31),"",'N1. Demand'!B31)</f>
        <v/>
      </c>
      <c r="C21" s="244"/>
      <c r="D21" s="245"/>
      <c r="E21" s="244"/>
      <c r="F21" s="245"/>
      <c r="G21" s="366"/>
      <c r="H21" s="245"/>
      <c r="I21" s="230"/>
    </row>
    <row r="22" spans="1:9" outlineLevel="2" x14ac:dyDescent="0.25">
      <c r="A22" s="238"/>
      <c r="B22" s="602" t="str">
        <f>IF(ISBLANK('N1. Demand'!B32),"",'N1. Demand'!B32)</f>
        <v/>
      </c>
      <c r="C22" s="244"/>
      <c r="D22" s="245"/>
      <c r="E22" s="244"/>
      <c r="F22" s="245"/>
      <c r="G22" s="366"/>
      <c r="H22" s="245"/>
      <c r="I22" s="230"/>
    </row>
    <row r="23" spans="1:9" outlineLevel="2" x14ac:dyDescent="0.25">
      <c r="A23" s="238"/>
      <c r="B23" s="602" t="str">
        <f>IF(ISBLANK('N1. Demand'!B33),"",'N1. Demand'!B33)</f>
        <v/>
      </c>
      <c r="C23" s="244"/>
      <c r="D23" s="245"/>
      <c r="E23" s="244"/>
      <c r="F23" s="245"/>
      <c r="G23" s="366"/>
      <c r="H23" s="245"/>
      <c r="I23" s="230"/>
    </row>
    <row r="24" spans="1:9" outlineLevel="2" x14ac:dyDescent="0.25">
      <c r="A24" s="238"/>
      <c r="B24" s="602" t="str">
        <f>IF(ISBLANK('N1. Demand'!B34),"",'N1. Demand'!B34)</f>
        <v/>
      </c>
      <c r="C24" s="244"/>
      <c r="D24" s="245"/>
      <c r="E24" s="244"/>
      <c r="F24" s="245"/>
      <c r="G24" s="366"/>
      <c r="H24" s="245"/>
      <c r="I24" s="230"/>
    </row>
    <row r="25" spans="1:9" outlineLevel="2" x14ac:dyDescent="0.25">
      <c r="A25" s="238"/>
      <c r="B25" s="602" t="str">
        <f>IF(ISBLANK('N1. Demand'!B35),"",'N1. Demand'!B35)</f>
        <v/>
      </c>
      <c r="C25" s="244"/>
      <c r="D25" s="245"/>
      <c r="E25" s="244"/>
      <c r="F25" s="245"/>
      <c r="G25" s="366"/>
      <c r="H25" s="245"/>
      <c r="I25" s="230"/>
    </row>
    <row r="26" spans="1:9" outlineLevel="2" x14ac:dyDescent="0.25">
      <c r="A26" s="238"/>
      <c r="B26" s="602" t="str">
        <f>IF(ISBLANK('N1. Demand'!B36),"",'N1. Demand'!B36)</f>
        <v/>
      </c>
      <c r="C26" s="244"/>
      <c r="D26" s="245"/>
      <c r="E26" s="244"/>
      <c r="F26" s="245"/>
      <c r="G26" s="366"/>
      <c r="H26" s="245"/>
      <c r="I26" s="230"/>
    </row>
    <row r="27" spans="1:9" outlineLevel="2" x14ac:dyDescent="0.25">
      <c r="A27" s="238"/>
      <c r="B27" s="602" t="str">
        <f>IF(ISBLANK('N1. Demand'!B37),"",'N1. Demand'!B37)</f>
        <v/>
      </c>
      <c r="C27" s="244"/>
      <c r="D27" s="245"/>
      <c r="E27" s="244"/>
      <c r="F27" s="245"/>
      <c r="G27" s="366"/>
      <c r="H27" s="245"/>
      <c r="I27" s="230"/>
    </row>
    <row r="28" spans="1:9" outlineLevel="2" x14ac:dyDescent="0.25">
      <c r="A28" s="238"/>
      <c r="B28" s="602" t="str">
        <f>IF(ISBLANK('N1. Demand'!B38),"",'N1. Demand'!B38)</f>
        <v/>
      </c>
      <c r="C28" s="244"/>
      <c r="D28" s="245"/>
      <c r="E28" s="244"/>
      <c r="F28" s="245"/>
      <c r="G28" s="366"/>
      <c r="H28" s="245"/>
      <c r="I28" s="230"/>
    </row>
    <row r="29" spans="1:9" outlineLevel="2" x14ac:dyDescent="0.25">
      <c r="A29" s="238"/>
      <c r="B29" s="602" t="str">
        <f>IF(ISBLANK('N1. Demand'!B39),"",'N1. Demand'!B39)</f>
        <v/>
      </c>
      <c r="C29" s="244"/>
      <c r="D29" s="245"/>
      <c r="E29" s="244"/>
      <c r="F29" s="245"/>
      <c r="G29" s="366"/>
      <c r="H29" s="245"/>
      <c r="I29" s="230"/>
    </row>
    <row r="30" spans="1:9" outlineLevel="2" x14ac:dyDescent="0.25">
      <c r="A30" s="238"/>
      <c r="B30" s="602" t="str">
        <f>IF(ISBLANK('N1. Demand'!B40),"",'N1. Demand'!B40)</f>
        <v/>
      </c>
      <c r="C30" s="244"/>
      <c r="D30" s="245"/>
      <c r="E30" s="244"/>
      <c r="F30" s="245"/>
      <c r="G30" s="366"/>
      <c r="H30" s="245"/>
      <c r="I30" s="230"/>
    </row>
    <row r="31" spans="1:9" outlineLevel="2" x14ac:dyDescent="0.25">
      <c r="A31" s="238"/>
      <c r="B31" s="602" t="str">
        <f>IF(ISBLANK('N1. Demand'!B41),"",'N1. Demand'!B41)</f>
        <v/>
      </c>
      <c r="C31" s="244"/>
      <c r="D31" s="245"/>
      <c r="E31" s="244"/>
      <c r="F31" s="245"/>
      <c r="G31" s="366"/>
      <c r="H31" s="245"/>
      <c r="I31" s="230"/>
    </row>
    <row r="32" spans="1:9" outlineLevel="2" x14ac:dyDescent="0.25">
      <c r="A32" s="238"/>
      <c r="B32" s="602" t="str">
        <f>IF(ISBLANK('N1. Demand'!B42),"",'N1. Demand'!B42)</f>
        <v/>
      </c>
      <c r="C32" s="244"/>
      <c r="D32" s="245"/>
      <c r="E32" s="244"/>
      <c r="F32" s="245"/>
      <c r="G32" s="366"/>
      <c r="H32" s="245"/>
      <c r="I32" s="230"/>
    </row>
    <row r="33" spans="1:9" outlineLevel="2" x14ac:dyDescent="0.25">
      <c r="A33" s="238"/>
      <c r="B33" s="602" t="str">
        <f>IF(ISBLANK('N1. Demand'!B43),"",'N1. Demand'!B43)</f>
        <v/>
      </c>
      <c r="C33" s="244"/>
      <c r="D33" s="245"/>
      <c r="E33" s="244"/>
      <c r="F33" s="245"/>
      <c r="G33" s="366"/>
      <c r="H33" s="245"/>
      <c r="I33" s="230"/>
    </row>
    <row r="34" spans="1:9" outlineLevel="2" x14ac:dyDescent="0.25">
      <c r="A34" s="238"/>
      <c r="B34" s="602" t="str">
        <f>IF(ISBLANK('N1. Demand'!B44),"",'N1. Demand'!B44)</f>
        <v/>
      </c>
      <c r="C34" s="244"/>
      <c r="D34" s="245"/>
      <c r="E34" s="244"/>
      <c r="F34" s="245"/>
      <c r="G34" s="366"/>
      <c r="H34" s="245"/>
      <c r="I34" s="230"/>
    </row>
    <row r="35" spans="1:9" outlineLevel="2" x14ac:dyDescent="0.25">
      <c r="A35" s="238"/>
      <c r="B35" s="602" t="str">
        <f>IF(ISBLANK('N1. Demand'!B45),"",'N1. Demand'!B45)</f>
        <v/>
      </c>
      <c r="C35" s="244"/>
      <c r="D35" s="245"/>
      <c r="E35" s="244"/>
      <c r="F35" s="245"/>
      <c r="G35" s="366"/>
      <c r="H35" s="245"/>
      <c r="I35" s="230"/>
    </row>
    <row r="36" spans="1:9" outlineLevel="2" x14ac:dyDescent="0.25">
      <c r="A36" s="238"/>
      <c r="B36" s="602" t="str">
        <f>IF(ISBLANK('N1. Demand'!B46),"",'N1. Demand'!B46)</f>
        <v/>
      </c>
      <c r="C36" s="244"/>
      <c r="D36" s="245"/>
      <c r="E36" s="244"/>
      <c r="F36" s="245"/>
      <c r="G36" s="366"/>
      <c r="H36" s="245"/>
      <c r="I36" s="230"/>
    </row>
    <row r="37" spans="1:9" outlineLevel="2" x14ac:dyDescent="0.25">
      <c r="A37" s="238"/>
      <c r="B37" s="602" t="str">
        <f>IF(ISBLANK('N1. Demand'!B47),"",'N1. Demand'!B47)</f>
        <v/>
      </c>
      <c r="C37" s="244"/>
      <c r="D37" s="245"/>
      <c r="E37" s="244"/>
      <c r="F37" s="245"/>
      <c r="G37" s="366"/>
      <c r="H37" s="245"/>
      <c r="I37" s="230"/>
    </row>
    <row r="38" spans="1:9" outlineLevel="2" x14ac:dyDescent="0.25">
      <c r="A38" s="238"/>
      <c r="B38" s="602" t="str">
        <f>IF(ISBLANK('N1. Demand'!B48),"",'N1. Demand'!B48)</f>
        <v/>
      </c>
      <c r="C38" s="244"/>
      <c r="D38" s="245"/>
      <c r="E38" s="244"/>
      <c r="F38" s="245"/>
      <c r="G38" s="366"/>
      <c r="H38" s="245"/>
      <c r="I38" s="230"/>
    </row>
    <row r="39" spans="1:9" outlineLevel="2" x14ac:dyDescent="0.25">
      <c r="A39" s="238"/>
      <c r="B39" s="602" t="str">
        <f>IF(ISBLANK('N1. Demand'!B49),"",'N1. Demand'!B49)</f>
        <v/>
      </c>
      <c r="C39" s="244"/>
      <c r="D39" s="245"/>
      <c r="E39" s="244"/>
      <c r="F39" s="245"/>
      <c r="G39" s="366"/>
      <c r="H39" s="245"/>
      <c r="I39" s="230"/>
    </row>
    <row r="40" spans="1:9" outlineLevel="2" x14ac:dyDescent="0.25">
      <c r="A40" s="238"/>
      <c r="B40" s="602" t="str">
        <f>IF(ISBLANK('N1. Demand'!B50),"",'N1. Demand'!B50)</f>
        <v/>
      </c>
      <c r="C40" s="244"/>
      <c r="D40" s="245"/>
      <c r="E40" s="244"/>
      <c r="F40" s="245"/>
      <c r="G40" s="366"/>
      <c r="H40" s="245"/>
      <c r="I40" s="230"/>
    </row>
    <row r="41" spans="1:9" outlineLevel="2" x14ac:dyDescent="0.25">
      <c r="A41" s="238"/>
      <c r="B41" s="602" t="str">
        <f>IF(ISBLANK('N1. Demand'!B51),"",'N1. Demand'!B51)</f>
        <v/>
      </c>
      <c r="C41" s="244"/>
      <c r="D41" s="245"/>
      <c r="E41" s="244"/>
      <c r="F41" s="245"/>
      <c r="G41" s="366"/>
      <c r="H41" s="245"/>
      <c r="I41" s="230"/>
    </row>
    <row r="42" spans="1:9" outlineLevel="2" x14ac:dyDescent="0.25">
      <c r="A42" s="238"/>
      <c r="B42" s="602" t="str">
        <f>IF(ISBLANK('N1. Demand'!B52),"",'N1. Demand'!B52)</f>
        <v/>
      </c>
      <c r="C42" s="244"/>
      <c r="D42" s="245"/>
      <c r="E42" s="244"/>
      <c r="F42" s="245"/>
      <c r="G42" s="366"/>
      <c r="H42" s="245"/>
      <c r="I42" s="230"/>
    </row>
    <row r="43" spans="1:9" outlineLevel="2" x14ac:dyDescent="0.25">
      <c r="A43" s="238"/>
      <c r="B43" s="602" t="str">
        <f>IF(ISBLANK('N1. Demand'!B53),"",'N1. Demand'!B53)</f>
        <v/>
      </c>
      <c r="C43" s="244"/>
      <c r="D43" s="245"/>
      <c r="E43" s="244"/>
      <c r="F43" s="245"/>
      <c r="G43" s="366"/>
      <c r="H43" s="245"/>
      <c r="I43" s="230"/>
    </row>
    <row r="44" spans="1:9" outlineLevel="2" x14ac:dyDescent="0.25">
      <c r="A44" s="238"/>
      <c r="B44" s="602" t="str">
        <f>IF(ISBLANK('N1. Demand'!B54),"",'N1. Demand'!B54)</f>
        <v/>
      </c>
      <c r="C44" s="244"/>
      <c r="D44" s="245"/>
      <c r="E44" s="244"/>
      <c r="F44" s="245"/>
      <c r="G44" s="366"/>
      <c r="H44" s="245"/>
      <c r="I44" s="230"/>
    </row>
    <row r="45" spans="1:9" outlineLevel="2" x14ac:dyDescent="0.25">
      <c r="A45" s="238"/>
      <c r="B45" s="602" t="str">
        <f>IF(ISBLANK('N1. Demand'!B55),"",'N1. Demand'!B55)</f>
        <v/>
      </c>
      <c r="C45" s="244"/>
      <c r="D45" s="245"/>
      <c r="E45" s="244"/>
      <c r="F45" s="245"/>
      <c r="G45" s="366"/>
      <c r="H45" s="245"/>
      <c r="I45" s="230"/>
    </row>
    <row r="46" spans="1:9" outlineLevel="2" x14ac:dyDescent="0.25">
      <c r="A46" s="238"/>
      <c r="B46" s="602" t="str">
        <f>IF(ISBLANK('N1. Demand'!B56),"",'N1. Demand'!B56)</f>
        <v/>
      </c>
      <c r="C46" s="244"/>
      <c r="D46" s="245"/>
      <c r="E46" s="244"/>
      <c r="F46" s="245"/>
      <c r="G46" s="366"/>
      <c r="H46" s="245"/>
      <c r="I46" s="230"/>
    </row>
    <row r="47" spans="1:9" outlineLevel="2" x14ac:dyDescent="0.25">
      <c r="A47" s="238"/>
      <c r="B47" s="602" t="str">
        <f>IF(ISBLANK('N1. Demand'!B57),"",'N1. Demand'!B57)</f>
        <v/>
      </c>
      <c r="C47" s="244"/>
      <c r="D47" s="245"/>
      <c r="E47" s="244"/>
      <c r="F47" s="245"/>
      <c r="G47" s="366"/>
      <c r="H47" s="245"/>
      <c r="I47" s="230"/>
    </row>
    <row r="48" spans="1:9" outlineLevel="2" x14ac:dyDescent="0.25">
      <c r="A48" s="238"/>
      <c r="B48" s="602" t="str">
        <f>IF(ISBLANK('N1. Demand'!B58),"",'N1. Demand'!B58)</f>
        <v/>
      </c>
      <c r="C48" s="244"/>
      <c r="D48" s="245"/>
      <c r="E48" s="244"/>
      <c r="F48" s="245"/>
      <c r="G48" s="366"/>
      <c r="H48" s="245"/>
      <c r="I48" s="230"/>
    </row>
    <row r="49" spans="1:9" outlineLevel="2" x14ac:dyDescent="0.25">
      <c r="A49" s="238"/>
      <c r="B49" s="602" t="str">
        <f>IF(ISBLANK('N1. Demand'!B59),"",'N1. Demand'!B59)</f>
        <v/>
      </c>
      <c r="C49" s="244"/>
      <c r="D49" s="245"/>
      <c r="E49" s="244"/>
      <c r="F49" s="245"/>
      <c r="G49" s="366"/>
      <c r="H49" s="245"/>
      <c r="I49" s="230"/>
    </row>
    <row r="50" spans="1:9" outlineLevel="2" x14ac:dyDescent="0.25">
      <c r="A50" s="238"/>
      <c r="B50" s="602" t="str">
        <f>IF(ISBLANK('N1. Demand'!B60),"",'N1. Demand'!B60)</f>
        <v/>
      </c>
      <c r="C50" s="244"/>
      <c r="D50" s="245"/>
      <c r="E50" s="244"/>
      <c r="F50" s="245"/>
      <c r="G50" s="366"/>
      <c r="H50" s="245"/>
      <c r="I50" s="230"/>
    </row>
    <row r="51" spans="1:9" outlineLevel="2" x14ac:dyDescent="0.25">
      <c r="A51" s="238"/>
      <c r="B51" s="602" t="str">
        <f>IF(ISBLANK('N1. Demand'!B61),"",'N1. Demand'!B61)</f>
        <v/>
      </c>
      <c r="C51" s="244"/>
      <c r="D51" s="245"/>
      <c r="E51" s="244"/>
      <c r="F51" s="245"/>
      <c r="G51" s="366"/>
      <c r="H51" s="245"/>
      <c r="I51" s="230"/>
    </row>
    <row r="52" spans="1:9" outlineLevel="2" x14ac:dyDescent="0.25">
      <c r="A52" s="238"/>
      <c r="B52" s="602" t="str">
        <f>IF(ISBLANK('N1. Demand'!B62),"",'N1. Demand'!B62)</f>
        <v/>
      </c>
      <c r="C52" s="244"/>
      <c r="D52" s="245"/>
      <c r="E52" s="244"/>
      <c r="F52" s="245"/>
      <c r="G52" s="366"/>
      <c r="H52" s="245"/>
      <c r="I52" s="230"/>
    </row>
    <row r="53" spans="1:9" outlineLevel="2" x14ac:dyDescent="0.25">
      <c r="A53" s="238"/>
      <c r="B53" s="602" t="str">
        <f>IF(ISBLANK('N1. Demand'!B63),"",'N1. Demand'!B63)</f>
        <v/>
      </c>
      <c r="C53" s="244"/>
      <c r="D53" s="245"/>
      <c r="E53" s="244"/>
      <c r="F53" s="245"/>
      <c r="G53" s="366"/>
      <c r="H53" s="245"/>
      <c r="I53" s="230"/>
    </row>
    <row r="54" spans="1:9" outlineLevel="2" x14ac:dyDescent="0.25">
      <c r="A54" s="238"/>
      <c r="B54" s="602" t="str">
        <f>IF(ISBLANK('N1. Demand'!B64),"",'N1. Demand'!B64)</f>
        <v/>
      </c>
      <c r="C54" s="244"/>
      <c r="D54" s="245"/>
      <c r="E54" s="244"/>
      <c r="F54" s="245"/>
      <c r="G54" s="366"/>
      <c r="H54" s="245"/>
      <c r="I54" s="230"/>
    </row>
    <row r="55" spans="1:9" outlineLevel="2" x14ac:dyDescent="0.25">
      <c r="A55" s="238"/>
      <c r="B55" s="602" t="str">
        <f>IF(ISBLANK('N1. Demand'!B65),"",'N1. Demand'!B65)</f>
        <v/>
      </c>
      <c r="C55" s="244"/>
      <c r="D55" s="245"/>
      <c r="E55" s="244"/>
      <c r="F55" s="245"/>
      <c r="G55" s="366"/>
      <c r="H55" s="245"/>
      <c r="I55" s="230"/>
    </row>
    <row r="56" spans="1:9" outlineLevel="2" x14ac:dyDescent="0.25">
      <c r="A56" s="238"/>
      <c r="B56" s="602" t="str">
        <f>IF(ISBLANK('N1. Demand'!B66),"",'N1. Demand'!B66)</f>
        <v/>
      </c>
      <c r="C56" s="244"/>
      <c r="D56" s="245"/>
      <c r="E56" s="244"/>
      <c r="F56" s="245"/>
      <c r="G56" s="366"/>
      <c r="H56" s="245"/>
      <c r="I56" s="230"/>
    </row>
    <row r="57" spans="1:9" outlineLevel="2" x14ac:dyDescent="0.25">
      <c r="A57" s="238"/>
      <c r="B57" s="602" t="str">
        <f>IF(ISBLANK('N1. Demand'!B67),"",'N1. Demand'!B67)</f>
        <v/>
      </c>
      <c r="C57" s="244"/>
      <c r="D57" s="245"/>
      <c r="E57" s="244"/>
      <c r="F57" s="245"/>
      <c r="G57" s="366"/>
      <c r="H57" s="245"/>
      <c r="I57" s="230"/>
    </row>
    <row r="58" spans="1:9" outlineLevel="2" x14ac:dyDescent="0.25">
      <c r="A58" s="238"/>
      <c r="B58" s="602" t="str">
        <f>IF(ISBLANK('N1. Demand'!B68),"",'N1. Demand'!B68)</f>
        <v/>
      </c>
      <c r="C58" s="244"/>
      <c r="D58" s="245"/>
      <c r="E58" s="244"/>
      <c r="F58" s="245"/>
      <c r="G58" s="366"/>
      <c r="H58" s="245"/>
      <c r="I58" s="230"/>
    </row>
    <row r="59" spans="1:9" outlineLevel="2" x14ac:dyDescent="0.25">
      <c r="A59" s="238"/>
      <c r="B59" s="602" t="str">
        <f>IF(ISBLANK('N1. Demand'!B69),"",'N1. Demand'!B69)</f>
        <v/>
      </c>
      <c r="C59" s="244"/>
      <c r="D59" s="245"/>
      <c r="E59" s="244"/>
      <c r="F59" s="245"/>
      <c r="G59" s="366"/>
      <c r="H59" s="245"/>
      <c r="I59" s="230"/>
    </row>
    <row r="60" spans="1:9" outlineLevel="2" x14ac:dyDescent="0.25">
      <c r="A60" s="238"/>
      <c r="B60" s="602" t="str">
        <f>IF(ISBLANK('N1. Demand'!B70),"",'N1. Demand'!B70)</f>
        <v/>
      </c>
      <c r="C60" s="244"/>
      <c r="D60" s="245"/>
      <c r="E60" s="244"/>
      <c r="F60" s="245"/>
      <c r="G60" s="366"/>
      <c r="H60" s="245"/>
      <c r="I60" s="230"/>
    </row>
    <row r="61" spans="1:9" outlineLevel="2" x14ac:dyDescent="0.25">
      <c r="A61" s="238"/>
      <c r="B61" s="602" t="str">
        <f>IF(ISBLANK('N1. Demand'!B71),"",'N1. Demand'!B71)</f>
        <v/>
      </c>
      <c r="C61" s="621"/>
      <c r="D61" s="368"/>
      <c r="E61" s="621"/>
      <c r="F61" s="368"/>
      <c r="G61" s="620"/>
      <c r="H61" s="368"/>
      <c r="I61" s="402"/>
    </row>
    <row r="62" spans="1:9" outlineLevel="2" x14ac:dyDescent="0.25">
      <c r="A62" s="238"/>
      <c r="B62" s="602" t="str">
        <f>IF(ISBLANK('N1. Demand'!B72),"",'N1. Demand'!B72)</f>
        <v/>
      </c>
      <c r="C62" s="621"/>
      <c r="D62" s="368"/>
      <c r="E62" s="621"/>
      <c r="F62" s="368"/>
      <c r="G62" s="620"/>
      <c r="H62" s="368"/>
      <c r="I62" s="402"/>
    </row>
    <row r="63" spans="1:9" outlineLevel="2" x14ac:dyDescent="0.25">
      <c r="A63" s="238"/>
      <c r="B63" s="602" t="str">
        <f>IF(ISBLANK('N1. Demand'!B73),"",'N1. Demand'!B73)</f>
        <v/>
      </c>
      <c r="C63" s="621"/>
      <c r="D63" s="368"/>
      <c r="E63" s="621"/>
      <c r="F63" s="368"/>
      <c r="G63" s="620"/>
      <c r="H63" s="368"/>
      <c r="I63" s="402"/>
    </row>
    <row r="64" spans="1:9" outlineLevel="2" x14ac:dyDescent="0.25">
      <c r="A64" s="238"/>
      <c r="B64" s="602" t="str">
        <f>IF(ISBLANK('N1. Demand'!B74),"",'N1. Demand'!B74)</f>
        <v/>
      </c>
      <c r="C64" s="621"/>
      <c r="D64" s="368"/>
      <c r="E64" s="621"/>
      <c r="F64" s="368"/>
      <c r="G64" s="620"/>
      <c r="H64" s="368"/>
      <c r="I64" s="402"/>
    </row>
    <row r="65" spans="1:9" outlineLevel="2" x14ac:dyDescent="0.25">
      <c r="A65" s="238"/>
      <c r="B65" s="602" t="str">
        <f>IF(ISBLANK('N1. Demand'!B75),"",'N1. Demand'!B75)</f>
        <v/>
      </c>
      <c r="C65" s="621"/>
      <c r="D65" s="368"/>
      <c r="E65" s="621"/>
      <c r="F65" s="368"/>
      <c r="G65" s="620"/>
      <c r="H65" s="368"/>
      <c r="I65" s="402"/>
    </row>
    <row r="66" spans="1:9" outlineLevel="2" x14ac:dyDescent="0.25">
      <c r="A66" s="238"/>
      <c r="B66" s="602" t="str">
        <f>IF(ISBLANK('N1. Demand'!B76),"",'N1. Demand'!B76)</f>
        <v/>
      </c>
      <c r="C66" s="621"/>
      <c r="D66" s="368"/>
      <c r="E66" s="621"/>
      <c r="F66" s="368"/>
      <c r="G66" s="620"/>
      <c r="H66" s="368"/>
      <c r="I66" s="402"/>
    </row>
    <row r="67" spans="1:9" outlineLevel="2" x14ac:dyDescent="0.25">
      <c r="A67" s="238"/>
      <c r="B67" s="602" t="str">
        <f>IF(ISBLANK('N1. Demand'!B77),"",'N1. Demand'!B77)</f>
        <v/>
      </c>
      <c r="C67" s="621"/>
      <c r="D67" s="368"/>
      <c r="E67" s="621"/>
      <c r="F67" s="368"/>
      <c r="G67" s="620"/>
      <c r="H67" s="368"/>
      <c r="I67" s="402"/>
    </row>
    <row r="68" spans="1:9" outlineLevel="2" x14ac:dyDescent="0.25">
      <c r="A68" s="238"/>
      <c r="B68" s="602" t="str">
        <f>IF(ISBLANK('N1. Demand'!B78),"",'N1. Demand'!B78)</f>
        <v/>
      </c>
      <c r="C68" s="621"/>
      <c r="D68" s="368"/>
      <c r="E68" s="621"/>
      <c r="F68" s="368"/>
      <c r="G68" s="620"/>
      <c r="H68" s="368"/>
      <c r="I68" s="402"/>
    </row>
    <row r="69" spans="1:9" outlineLevel="2" x14ac:dyDescent="0.25">
      <c r="A69" s="238"/>
      <c r="B69" s="602" t="str">
        <f>IF(ISBLANK('N1. Demand'!B79),"",'N1. Demand'!B79)</f>
        <v/>
      </c>
      <c r="C69" s="621"/>
      <c r="D69" s="368"/>
      <c r="E69" s="621"/>
      <c r="F69" s="368"/>
      <c r="G69" s="620"/>
      <c r="H69" s="368"/>
      <c r="I69" s="402"/>
    </row>
    <row r="70" spans="1:9" outlineLevel="2" x14ac:dyDescent="0.25">
      <c r="A70" s="238"/>
      <c r="B70" s="602" t="str">
        <f>IF(ISBLANK('N1. Demand'!B80),"",'N1. Demand'!B80)</f>
        <v/>
      </c>
      <c r="C70" s="621"/>
      <c r="D70" s="368"/>
      <c r="E70" s="621"/>
      <c r="F70" s="368"/>
      <c r="G70" s="620"/>
      <c r="H70" s="368"/>
      <c r="I70" s="402"/>
    </row>
    <row r="71" spans="1:9" outlineLevel="2" x14ac:dyDescent="0.25">
      <c r="A71" s="238"/>
      <c r="B71" s="602" t="str">
        <f>IF(ISBLANK('N1. Demand'!B81),"",'N1. Demand'!B81)</f>
        <v/>
      </c>
      <c r="C71" s="621"/>
      <c r="D71" s="368"/>
      <c r="E71" s="621"/>
      <c r="F71" s="368"/>
      <c r="G71" s="620"/>
      <c r="H71" s="368"/>
      <c r="I71" s="402"/>
    </row>
    <row r="72" spans="1:9" outlineLevel="2" x14ac:dyDescent="0.25">
      <c r="A72" s="238"/>
      <c r="B72" s="602" t="str">
        <f>IF(ISBLANK('N1. Demand'!B82),"",'N1. Demand'!B82)</f>
        <v/>
      </c>
      <c r="C72" s="621"/>
      <c r="D72" s="368"/>
      <c r="E72" s="621"/>
      <c r="F72" s="368"/>
      <c r="G72" s="620"/>
      <c r="H72" s="368"/>
      <c r="I72" s="402"/>
    </row>
    <row r="73" spans="1:9" outlineLevel="2" x14ac:dyDescent="0.25">
      <c r="A73" s="238"/>
      <c r="B73" s="602" t="str">
        <f>IF(ISBLANK('N1. Demand'!B83),"",'N1. Demand'!B83)</f>
        <v/>
      </c>
      <c r="C73" s="621"/>
      <c r="D73" s="368"/>
      <c r="E73" s="621"/>
      <c r="F73" s="368"/>
      <c r="G73" s="620"/>
      <c r="H73" s="368"/>
      <c r="I73" s="402"/>
    </row>
    <row r="74" spans="1:9" outlineLevel="2" x14ac:dyDescent="0.25">
      <c r="A74" s="238"/>
      <c r="B74" s="602" t="str">
        <f>IF(ISBLANK('N1. Demand'!B84),"",'N1. Demand'!B84)</f>
        <v/>
      </c>
      <c r="C74" s="621"/>
      <c r="D74" s="368"/>
      <c r="E74" s="621"/>
      <c r="F74" s="368"/>
      <c r="G74" s="620"/>
      <c r="H74" s="368"/>
      <c r="I74" s="402"/>
    </row>
    <row r="75" spans="1:9" outlineLevel="2" x14ac:dyDescent="0.25">
      <c r="A75" s="238"/>
      <c r="B75" s="602" t="str">
        <f>IF(ISBLANK('N1. Demand'!B85),"",'N1. Demand'!B85)</f>
        <v/>
      </c>
      <c r="C75" s="621"/>
      <c r="D75" s="368"/>
      <c r="E75" s="621"/>
      <c r="F75" s="368"/>
      <c r="G75" s="620"/>
      <c r="H75" s="368"/>
      <c r="I75" s="402"/>
    </row>
    <row r="76" spans="1:9" outlineLevel="2" x14ac:dyDescent="0.25">
      <c r="A76" s="238"/>
      <c r="B76" s="602" t="str">
        <f>IF(ISBLANK('N1. Demand'!B86),"",'N1. Demand'!B86)</f>
        <v/>
      </c>
      <c r="C76" s="621"/>
      <c r="D76" s="368"/>
      <c r="E76" s="621"/>
      <c r="F76" s="368"/>
      <c r="G76" s="620"/>
      <c r="H76" s="368"/>
      <c r="I76" s="402"/>
    </row>
    <row r="77" spans="1:9" outlineLevel="2" x14ac:dyDescent="0.25">
      <c r="A77" s="238"/>
      <c r="B77" s="602" t="str">
        <f>IF(ISBLANK('N1. Demand'!B87),"",'N1. Demand'!B87)</f>
        <v/>
      </c>
      <c r="C77" s="621"/>
      <c r="D77" s="368"/>
      <c r="E77" s="621"/>
      <c r="F77" s="368"/>
      <c r="G77" s="620"/>
      <c r="H77" s="368"/>
      <c r="I77" s="402"/>
    </row>
    <row r="78" spans="1:9" outlineLevel="2" x14ac:dyDescent="0.25">
      <c r="A78" s="238"/>
      <c r="B78" s="602" t="str">
        <f>IF(ISBLANK('N1. Demand'!B88),"",'N1. Demand'!B88)</f>
        <v/>
      </c>
      <c r="C78" s="621"/>
      <c r="D78" s="368"/>
      <c r="E78" s="621"/>
      <c r="F78" s="368"/>
      <c r="G78" s="620"/>
      <c r="H78" s="368"/>
      <c r="I78" s="402"/>
    </row>
    <row r="79" spans="1:9" outlineLevel="2" x14ac:dyDescent="0.25">
      <c r="A79" s="238"/>
      <c r="B79" s="602" t="str">
        <f>IF(ISBLANK('N1. Demand'!B89),"",'N1. Demand'!B89)</f>
        <v/>
      </c>
      <c r="C79" s="621"/>
      <c r="D79" s="368"/>
      <c r="E79" s="621"/>
      <c r="F79" s="368"/>
      <c r="G79" s="620"/>
      <c r="H79" s="368"/>
      <c r="I79" s="402"/>
    </row>
    <row r="80" spans="1:9" outlineLevel="2" x14ac:dyDescent="0.25">
      <c r="A80" s="238"/>
      <c r="B80" s="602" t="str">
        <f>IF(ISBLANK('N1. Demand'!B90),"",'N1. Demand'!B90)</f>
        <v/>
      </c>
      <c r="C80" s="621"/>
      <c r="D80" s="368"/>
      <c r="E80" s="621"/>
      <c r="F80" s="368"/>
      <c r="G80" s="620"/>
      <c r="H80" s="368"/>
      <c r="I80" s="402"/>
    </row>
    <row r="81" spans="1:9" outlineLevel="2" x14ac:dyDescent="0.25">
      <c r="A81" s="238"/>
      <c r="B81" s="602" t="str">
        <f>IF(ISBLANK('N1. Demand'!B91),"",'N1. Demand'!B91)</f>
        <v/>
      </c>
      <c r="C81" s="621"/>
      <c r="D81" s="368"/>
      <c r="E81" s="621"/>
      <c r="F81" s="368"/>
      <c r="G81" s="620"/>
      <c r="H81" s="368"/>
      <c r="I81" s="402"/>
    </row>
    <row r="82" spans="1:9" outlineLevel="2" x14ac:dyDescent="0.25">
      <c r="A82" s="238"/>
      <c r="B82" s="602" t="str">
        <f>IF(ISBLANK('N1. Demand'!B92),"",'N1. Demand'!B92)</f>
        <v/>
      </c>
      <c r="C82" s="621"/>
      <c r="D82" s="368"/>
      <c r="E82" s="621"/>
      <c r="F82" s="368"/>
      <c r="G82" s="620"/>
      <c r="H82" s="368"/>
      <c r="I82" s="402"/>
    </row>
    <row r="83" spans="1:9" outlineLevel="2" x14ac:dyDescent="0.25">
      <c r="A83" s="238"/>
      <c r="B83" s="602" t="str">
        <f>IF(ISBLANK('N1. Demand'!B93),"",'N1. Demand'!B93)</f>
        <v/>
      </c>
      <c r="C83" s="621"/>
      <c r="D83" s="368"/>
      <c r="E83" s="621"/>
      <c r="F83" s="368"/>
      <c r="G83" s="620"/>
      <c r="H83" s="368"/>
      <c r="I83" s="402"/>
    </row>
    <row r="84" spans="1:9" outlineLevel="2" x14ac:dyDescent="0.25">
      <c r="A84" s="238"/>
      <c r="B84" s="602" t="str">
        <f>IF(ISBLANK('N1. Demand'!B94),"",'N1. Demand'!B94)</f>
        <v/>
      </c>
      <c r="C84" s="621"/>
      <c r="D84" s="368"/>
      <c r="E84" s="621"/>
      <c r="F84" s="368"/>
      <c r="G84" s="620"/>
      <c r="H84" s="368"/>
      <c r="I84" s="402"/>
    </row>
    <row r="85" spans="1:9" outlineLevel="2" x14ac:dyDescent="0.25">
      <c r="A85" s="238"/>
      <c r="B85" s="602" t="str">
        <f>IF(ISBLANK('N1. Demand'!B95),"",'N1. Demand'!B95)</f>
        <v/>
      </c>
      <c r="C85" s="621"/>
      <c r="D85" s="368"/>
      <c r="E85" s="621"/>
      <c r="F85" s="368"/>
      <c r="G85" s="620"/>
      <c r="H85" s="368"/>
      <c r="I85" s="402"/>
    </row>
    <row r="86" spans="1:9" ht="15" customHeight="1" outlineLevel="2" x14ac:dyDescent="0.25">
      <c r="A86" s="238"/>
      <c r="B86" s="602" t="str">
        <f>IF(ISBLANK('N1. Demand'!B96),"",'N1. Demand'!B96)</f>
        <v/>
      </c>
      <c r="C86" s="621"/>
      <c r="D86" s="368"/>
      <c r="E86" s="621"/>
      <c r="F86" s="368"/>
      <c r="G86" s="620"/>
      <c r="H86" s="368"/>
      <c r="I86" s="402"/>
    </row>
    <row r="87" spans="1:9" ht="15" customHeight="1" outlineLevel="2" x14ac:dyDescent="0.25">
      <c r="A87" s="238"/>
      <c r="B87" s="622" t="s">
        <v>112</v>
      </c>
      <c r="C87" s="623">
        <f t="shared" ref="C87:I87" si="0">SUM(C12:C86)</f>
        <v>75053633</v>
      </c>
      <c r="D87" s="623">
        <f t="shared" si="0"/>
        <v>74896015</v>
      </c>
      <c r="E87" s="623">
        <f t="shared" si="0"/>
        <v>79524610</v>
      </c>
      <c r="F87" s="623">
        <f t="shared" si="0"/>
        <v>82602584</v>
      </c>
      <c r="G87" s="623">
        <f t="shared" si="0"/>
        <v>85087203</v>
      </c>
      <c r="H87" s="623">
        <f t="shared" si="0"/>
        <v>86983180</v>
      </c>
      <c r="I87" s="624">
        <f t="shared" si="0"/>
        <v>88613931</v>
      </c>
    </row>
    <row r="88" spans="1:9" ht="15" customHeight="1" outlineLevel="1" x14ac:dyDescent="0.25">
      <c r="C88" s="41"/>
      <c r="D88" s="41"/>
      <c r="E88" s="41"/>
      <c r="F88" s="41"/>
      <c r="G88" s="41"/>
      <c r="H88" s="41"/>
      <c r="I88" s="41"/>
    </row>
    <row r="89" spans="1:9" ht="22.5" customHeight="1" outlineLevel="1" x14ac:dyDescent="0.25">
      <c r="B89" s="232" t="s">
        <v>422</v>
      </c>
      <c r="C89" s="233"/>
      <c r="D89" s="233"/>
      <c r="E89" s="233"/>
      <c r="F89" s="233"/>
      <c r="G89" s="233"/>
      <c r="H89" s="233"/>
      <c r="I89" s="234"/>
    </row>
    <row r="90" spans="1:9" ht="26.25" customHeight="1" outlineLevel="2" x14ac:dyDescent="0.25">
      <c r="C90" s="1332" t="s">
        <v>423</v>
      </c>
      <c r="D90" s="1332"/>
      <c r="E90" s="1332"/>
      <c r="F90" s="1332"/>
      <c r="G90" s="1332"/>
      <c r="H90" s="1332"/>
      <c r="I90" s="1333"/>
    </row>
    <row r="91" spans="1:9" ht="26.25" customHeight="1" outlineLevel="2" x14ac:dyDescent="0.25">
      <c r="C91" s="1331" t="str">
        <f ca="1">CONCATENATE("$, real ",dms_DollarReal)</f>
        <v>$, real June 2026</v>
      </c>
      <c r="D91" s="1331"/>
      <c r="E91" s="1331"/>
      <c r="F91" s="1331"/>
      <c r="G91" s="1331"/>
      <c r="H91" s="1331"/>
      <c r="I91" s="1334"/>
    </row>
    <row r="92" spans="1:9" ht="27" customHeight="1" outlineLevel="2" x14ac:dyDescent="0.25">
      <c r="B92" s="599" t="s">
        <v>424</v>
      </c>
      <c r="C92" s="381" t="str">
        <f ca="1">dms_y1</f>
        <v>2024-25</v>
      </c>
      <c r="D92" s="298" t="str">
        <f ca="1">dms_y2</f>
        <v>2025-26</v>
      </c>
      <c r="E92" s="297" t="str">
        <f ca="1">dms_y3</f>
        <v>2026-27</v>
      </c>
      <c r="F92" s="297" t="str">
        <f ca="1">dms_y4</f>
        <v>2027-28</v>
      </c>
      <c r="G92" s="297" t="str">
        <f ca="1">dms_y5</f>
        <v>2028-29</v>
      </c>
      <c r="H92" s="297" t="str">
        <f ca="1">dms_y6</f>
        <v>2029-30</v>
      </c>
      <c r="I92" s="382" t="str">
        <f ca="1">dms_y7</f>
        <v>2030-31</v>
      </c>
    </row>
    <row r="93" spans="1:9" outlineLevel="2" x14ac:dyDescent="0.25">
      <c r="B93" s="554" t="s">
        <v>425</v>
      </c>
      <c r="C93" s="249">
        <v>0</v>
      </c>
      <c r="D93" s="242">
        <v>0</v>
      </c>
      <c r="E93" s="241">
        <v>76818081</v>
      </c>
      <c r="F93" s="242">
        <v>79837446</v>
      </c>
      <c r="G93" s="351">
        <v>82318177</v>
      </c>
      <c r="H93" s="242">
        <v>84048847</v>
      </c>
      <c r="I93" s="243">
        <v>85579498</v>
      </c>
    </row>
    <row r="94" spans="1:9" outlineLevel="2" x14ac:dyDescent="0.25">
      <c r="B94" s="553" t="s">
        <v>426</v>
      </c>
      <c r="C94" s="251">
        <v>0</v>
      </c>
      <c r="D94" s="245">
        <v>0</v>
      </c>
      <c r="E94" s="244">
        <v>46237109</v>
      </c>
      <c r="F94" s="245">
        <v>47999380</v>
      </c>
      <c r="G94" s="366">
        <v>49662143</v>
      </c>
      <c r="H94" s="245">
        <v>49124313</v>
      </c>
      <c r="I94" s="230">
        <v>49231565</v>
      </c>
    </row>
    <row r="95" spans="1:9" outlineLevel="2" x14ac:dyDescent="0.25">
      <c r="B95" s="553"/>
      <c r="C95" s="251"/>
      <c r="D95" s="245"/>
      <c r="E95" s="244"/>
      <c r="F95" s="245"/>
      <c r="G95" s="366"/>
      <c r="H95" s="245"/>
      <c r="I95" s="230"/>
    </row>
    <row r="96" spans="1:9" outlineLevel="2" x14ac:dyDescent="0.25">
      <c r="B96" s="553"/>
      <c r="C96" s="251"/>
      <c r="D96" s="245"/>
      <c r="E96" s="244"/>
      <c r="F96" s="245"/>
      <c r="G96" s="366"/>
      <c r="H96" s="245"/>
      <c r="I96" s="230"/>
    </row>
    <row r="97" spans="2:9" outlineLevel="2" x14ac:dyDescent="0.25">
      <c r="B97" s="553"/>
      <c r="C97" s="251"/>
      <c r="D97" s="245"/>
      <c r="E97" s="244"/>
      <c r="F97" s="245"/>
      <c r="G97" s="366"/>
      <c r="H97" s="245"/>
      <c r="I97" s="230"/>
    </row>
    <row r="98" spans="2:9" outlineLevel="2" x14ac:dyDescent="0.25">
      <c r="B98" s="553"/>
      <c r="C98" s="251"/>
      <c r="D98" s="245"/>
      <c r="E98" s="244"/>
      <c r="F98" s="245"/>
      <c r="G98" s="366"/>
      <c r="H98" s="245"/>
      <c r="I98" s="230"/>
    </row>
    <row r="99" spans="2:9" outlineLevel="2" x14ac:dyDescent="0.25">
      <c r="B99" s="553"/>
      <c r="C99" s="251"/>
      <c r="D99" s="245"/>
      <c r="E99" s="244"/>
      <c r="F99" s="245"/>
      <c r="G99" s="366"/>
      <c r="H99" s="245"/>
      <c r="I99" s="230"/>
    </row>
    <row r="100" spans="2:9" outlineLevel="2" x14ac:dyDescent="0.25">
      <c r="B100" s="553"/>
      <c r="C100" s="251"/>
      <c r="D100" s="245"/>
      <c r="E100" s="244"/>
      <c r="F100" s="245"/>
      <c r="G100" s="366"/>
      <c r="H100" s="245"/>
      <c r="I100" s="230"/>
    </row>
    <row r="101" spans="2:9" outlineLevel="2" x14ac:dyDescent="0.25">
      <c r="B101" s="553"/>
      <c r="C101" s="251"/>
      <c r="D101" s="245"/>
      <c r="E101" s="244"/>
      <c r="F101" s="245"/>
      <c r="G101" s="366"/>
      <c r="H101" s="245"/>
      <c r="I101" s="230"/>
    </row>
    <row r="102" spans="2:9" outlineLevel="2" x14ac:dyDescent="0.25">
      <c r="B102" s="553"/>
      <c r="C102" s="251"/>
      <c r="D102" s="245"/>
      <c r="E102" s="244"/>
      <c r="F102" s="245"/>
      <c r="G102" s="366"/>
      <c r="H102" s="245"/>
      <c r="I102" s="230"/>
    </row>
    <row r="103" spans="2:9" outlineLevel="2" x14ac:dyDescent="0.25">
      <c r="B103" s="553"/>
      <c r="C103" s="251"/>
      <c r="D103" s="245"/>
      <c r="E103" s="244"/>
      <c r="F103" s="245"/>
      <c r="G103" s="366"/>
      <c r="H103" s="245"/>
      <c r="I103" s="230"/>
    </row>
    <row r="104" spans="2:9" outlineLevel="2" x14ac:dyDescent="0.25">
      <c r="B104" s="553"/>
      <c r="C104" s="251"/>
      <c r="D104" s="245"/>
      <c r="E104" s="244"/>
      <c r="F104" s="245"/>
      <c r="G104" s="366"/>
      <c r="H104" s="245"/>
      <c r="I104" s="230"/>
    </row>
    <row r="105" spans="2:9" outlineLevel="2" x14ac:dyDescent="0.25">
      <c r="B105" s="553"/>
      <c r="C105" s="251"/>
      <c r="D105" s="245"/>
      <c r="E105" s="244"/>
      <c r="F105" s="245"/>
      <c r="G105" s="366"/>
      <c r="H105" s="245"/>
      <c r="I105" s="230"/>
    </row>
    <row r="106" spans="2:9" outlineLevel="2" x14ac:dyDescent="0.25">
      <c r="B106" s="553"/>
      <c r="C106" s="251"/>
      <c r="D106" s="245"/>
      <c r="E106" s="244"/>
      <c r="F106" s="245"/>
      <c r="G106" s="366"/>
      <c r="H106" s="245"/>
      <c r="I106" s="230"/>
    </row>
    <row r="107" spans="2:9" outlineLevel="2" x14ac:dyDescent="0.25">
      <c r="B107" s="553"/>
      <c r="C107" s="251"/>
      <c r="D107" s="245"/>
      <c r="E107" s="244"/>
      <c r="F107" s="245"/>
      <c r="G107" s="366"/>
      <c r="H107" s="245"/>
      <c r="I107" s="230"/>
    </row>
    <row r="108" spans="2:9" outlineLevel="2" x14ac:dyDescent="0.25">
      <c r="B108" s="553"/>
      <c r="C108" s="251"/>
      <c r="D108" s="245"/>
      <c r="E108" s="244"/>
      <c r="F108" s="245"/>
      <c r="G108" s="366"/>
      <c r="H108" s="245"/>
      <c r="I108" s="230"/>
    </row>
    <row r="109" spans="2:9" outlineLevel="2" x14ac:dyDescent="0.25">
      <c r="B109" s="553"/>
      <c r="C109" s="251"/>
      <c r="D109" s="245"/>
      <c r="E109" s="244"/>
      <c r="F109" s="245"/>
      <c r="G109" s="366"/>
      <c r="H109" s="245"/>
      <c r="I109" s="230"/>
    </row>
    <row r="110" spans="2:9" outlineLevel="2" x14ac:dyDescent="0.25">
      <c r="B110" s="553"/>
      <c r="C110" s="251"/>
      <c r="D110" s="245"/>
      <c r="E110" s="244"/>
      <c r="F110" s="245"/>
      <c r="G110" s="366"/>
      <c r="H110" s="245"/>
      <c r="I110" s="230"/>
    </row>
    <row r="111" spans="2:9" outlineLevel="2" x14ac:dyDescent="0.25">
      <c r="B111" s="553"/>
      <c r="C111" s="251"/>
      <c r="D111" s="245"/>
      <c r="E111" s="244"/>
      <c r="F111" s="245"/>
      <c r="G111" s="366"/>
      <c r="H111" s="245"/>
      <c r="I111" s="230"/>
    </row>
    <row r="112" spans="2:9" ht="15" customHeight="1" outlineLevel="2" x14ac:dyDescent="0.25">
      <c r="B112" s="600"/>
      <c r="C112" s="253"/>
      <c r="D112" s="247"/>
      <c r="E112" s="246"/>
      <c r="F112" s="247"/>
      <c r="G112" s="379"/>
      <c r="H112" s="247"/>
      <c r="I112" s="465"/>
    </row>
    <row r="113" spans="1:9" ht="15" customHeight="1" outlineLevel="1" x14ac:dyDescent="0.25">
      <c r="C113" s="41"/>
      <c r="D113" s="41"/>
      <c r="E113" s="41"/>
      <c r="F113" s="41"/>
      <c r="G113" s="41"/>
      <c r="H113" s="41"/>
      <c r="I113" s="41"/>
    </row>
    <row r="114" spans="1:9" ht="22.5" customHeight="1" outlineLevel="1" x14ac:dyDescent="0.25">
      <c r="B114" s="232" t="s">
        <v>427</v>
      </c>
      <c r="C114" s="233"/>
      <c r="D114" s="233"/>
      <c r="E114" s="233"/>
      <c r="F114" s="233"/>
      <c r="G114" s="233"/>
      <c r="H114" s="233"/>
      <c r="I114" s="234"/>
    </row>
    <row r="115" spans="1:9" ht="26.25" customHeight="1" outlineLevel="2" x14ac:dyDescent="0.25">
      <c r="C115" s="1332" t="s">
        <v>428</v>
      </c>
      <c r="D115" s="1332"/>
      <c r="E115" s="1332"/>
      <c r="F115" s="1332"/>
      <c r="G115" s="1332"/>
      <c r="H115" s="1332"/>
      <c r="I115" s="1333"/>
    </row>
    <row r="116" spans="1:9" ht="26.25" customHeight="1" outlineLevel="2" x14ac:dyDescent="0.25">
      <c r="C116" s="1331" t="str">
        <f ca="1">CONCATENATE("$, real ",dms_DollarReal)</f>
        <v>$, real June 2026</v>
      </c>
      <c r="D116" s="1331"/>
      <c r="E116" s="1331"/>
      <c r="F116" s="1331"/>
      <c r="G116" s="1331"/>
      <c r="H116" s="1331"/>
      <c r="I116" s="1334"/>
    </row>
    <row r="117" spans="1:9" ht="27" customHeight="1" outlineLevel="2" x14ac:dyDescent="0.25">
      <c r="A117" s="238"/>
      <c r="B117" s="599" t="s">
        <v>424</v>
      </c>
      <c r="C117" s="381" t="str">
        <f ca="1">dms_y1</f>
        <v>2024-25</v>
      </c>
      <c r="D117" s="298" t="str">
        <f ca="1">dms_y2</f>
        <v>2025-26</v>
      </c>
      <c r="E117" s="297" t="str">
        <f ca="1">dms_y3</f>
        <v>2026-27</v>
      </c>
      <c r="F117" s="297" t="str">
        <f ca="1">dms_y4</f>
        <v>2027-28</v>
      </c>
      <c r="G117" s="297" t="str">
        <f ca="1">dms_y5</f>
        <v>2028-29</v>
      </c>
      <c r="H117" s="297" t="str">
        <f ca="1">dms_y6</f>
        <v>2029-30</v>
      </c>
      <c r="I117" s="382" t="str">
        <f ca="1">dms_y7</f>
        <v>2030-31</v>
      </c>
    </row>
    <row r="118" spans="1:9" outlineLevel="2" x14ac:dyDescent="0.25">
      <c r="A118" s="238"/>
      <c r="B118" s="603" t="s">
        <v>425</v>
      </c>
      <c r="C118" s="249">
        <v>0</v>
      </c>
      <c r="D118" s="242">
        <v>0</v>
      </c>
      <c r="E118" s="241">
        <v>33281154</v>
      </c>
      <c r="F118" s="242">
        <v>34590017</v>
      </c>
      <c r="G118" s="351">
        <v>35404686</v>
      </c>
      <c r="H118" s="242">
        <v>37831097</v>
      </c>
      <c r="I118" s="243">
        <v>39347117</v>
      </c>
    </row>
    <row r="119" spans="1:9" outlineLevel="2" x14ac:dyDescent="0.25">
      <c r="A119" s="238"/>
      <c r="B119" s="604" t="s">
        <v>426</v>
      </c>
      <c r="C119" s="251">
        <v>0</v>
      </c>
      <c r="D119" s="245">
        <v>0</v>
      </c>
      <c r="E119" s="244">
        <v>2700182</v>
      </c>
      <c r="F119" s="245">
        <v>2751951</v>
      </c>
      <c r="G119" s="366">
        <v>2748652</v>
      </c>
      <c r="H119" s="245">
        <v>2906563</v>
      </c>
      <c r="I119" s="230">
        <v>2999185</v>
      </c>
    </row>
    <row r="120" spans="1:9" outlineLevel="2" x14ac:dyDescent="0.25">
      <c r="A120" s="238"/>
      <c r="B120" s="604"/>
      <c r="C120" s="251"/>
      <c r="D120" s="245"/>
      <c r="E120" s="244"/>
      <c r="F120" s="245"/>
      <c r="G120" s="366"/>
      <c r="H120" s="245"/>
      <c r="I120" s="230"/>
    </row>
    <row r="121" spans="1:9" outlineLevel="2" x14ac:dyDescent="0.25">
      <c r="A121" s="238"/>
      <c r="B121" s="604"/>
      <c r="C121" s="251"/>
      <c r="D121" s="245"/>
      <c r="E121" s="244"/>
      <c r="F121" s="245"/>
      <c r="G121" s="366"/>
      <c r="H121" s="245"/>
      <c r="I121" s="230"/>
    </row>
    <row r="122" spans="1:9" outlineLevel="2" x14ac:dyDescent="0.25">
      <c r="A122" s="238"/>
      <c r="B122" s="604"/>
      <c r="C122" s="251"/>
      <c r="D122" s="245"/>
      <c r="E122" s="244"/>
      <c r="F122" s="245"/>
      <c r="G122" s="366"/>
      <c r="H122" s="245"/>
      <c r="I122" s="230"/>
    </row>
    <row r="123" spans="1:9" outlineLevel="2" x14ac:dyDescent="0.25">
      <c r="A123" s="238"/>
      <c r="B123" s="604"/>
      <c r="C123" s="251"/>
      <c r="D123" s="245"/>
      <c r="E123" s="244"/>
      <c r="F123" s="245"/>
      <c r="G123" s="366"/>
      <c r="H123" s="245"/>
      <c r="I123" s="230"/>
    </row>
    <row r="124" spans="1:9" outlineLevel="2" x14ac:dyDescent="0.25">
      <c r="A124" s="238"/>
      <c r="B124" s="604"/>
      <c r="C124" s="251"/>
      <c r="D124" s="245"/>
      <c r="E124" s="244"/>
      <c r="F124" s="245"/>
      <c r="G124" s="366"/>
      <c r="H124" s="245"/>
      <c r="I124" s="230"/>
    </row>
    <row r="125" spans="1:9" outlineLevel="2" x14ac:dyDescent="0.25">
      <c r="A125" s="238"/>
      <c r="B125" s="604"/>
      <c r="C125" s="251"/>
      <c r="D125" s="245"/>
      <c r="E125" s="244"/>
      <c r="F125" s="245"/>
      <c r="G125" s="366"/>
      <c r="H125" s="245"/>
      <c r="I125" s="230"/>
    </row>
    <row r="126" spans="1:9" outlineLevel="2" x14ac:dyDescent="0.25">
      <c r="A126" s="238"/>
      <c r="B126" s="604"/>
      <c r="C126" s="251"/>
      <c r="D126" s="245"/>
      <c r="E126" s="244"/>
      <c r="F126" s="245"/>
      <c r="G126" s="366"/>
      <c r="H126" s="245"/>
      <c r="I126" s="230"/>
    </row>
    <row r="127" spans="1:9" outlineLevel="2" x14ac:dyDescent="0.25">
      <c r="A127" s="238"/>
      <c r="B127" s="604"/>
      <c r="C127" s="251"/>
      <c r="D127" s="245"/>
      <c r="E127" s="244"/>
      <c r="F127" s="245"/>
      <c r="G127" s="366"/>
      <c r="H127" s="245"/>
      <c r="I127" s="230"/>
    </row>
    <row r="128" spans="1:9" outlineLevel="2" x14ac:dyDescent="0.25">
      <c r="A128" s="238"/>
      <c r="B128" s="604"/>
      <c r="C128" s="251"/>
      <c r="D128" s="245"/>
      <c r="E128" s="244"/>
      <c r="F128" s="245"/>
      <c r="G128" s="366"/>
      <c r="H128" s="245"/>
      <c r="I128" s="230"/>
    </row>
    <row r="129" spans="1:9" outlineLevel="2" x14ac:dyDescent="0.25">
      <c r="A129" s="238"/>
      <c r="B129" s="604"/>
      <c r="C129" s="251"/>
      <c r="D129" s="245"/>
      <c r="E129" s="244"/>
      <c r="F129" s="245"/>
      <c r="G129" s="366"/>
      <c r="H129" s="245"/>
      <c r="I129" s="230"/>
    </row>
    <row r="130" spans="1:9" outlineLevel="2" x14ac:dyDescent="0.25">
      <c r="A130" s="238"/>
      <c r="B130" s="604"/>
      <c r="C130" s="251"/>
      <c r="D130" s="245"/>
      <c r="E130" s="244"/>
      <c r="F130" s="245"/>
      <c r="G130" s="366"/>
      <c r="H130" s="245"/>
      <c r="I130" s="230"/>
    </row>
    <row r="131" spans="1:9" outlineLevel="2" x14ac:dyDescent="0.25">
      <c r="A131" s="238"/>
      <c r="B131" s="604"/>
      <c r="C131" s="251"/>
      <c r="D131" s="245"/>
      <c r="E131" s="244"/>
      <c r="F131" s="245"/>
      <c r="G131" s="366"/>
      <c r="H131" s="245"/>
      <c r="I131" s="230"/>
    </row>
    <row r="132" spans="1:9" outlineLevel="2" x14ac:dyDescent="0.25">
      <c r="A132" s="238"/>
      <c r="B132" s="604"/>
      <c r="C132" s="251"/>
      <c r="D132" s="245"/>
      <c r="E132" s="244"/>
      <c r="F132" s="245"/>
      <c r="G132" s="366"/>
      <c r="H132" s="245"/>
      <c r="I132" s="230"/>
    </row>
    <row r="133" spans="1:9" outlineLevel="2" x14ac:dyDescent="0.25">
      <c r="A133" s="238"/>
      <c r="B133" s="604"/>
      <c r="C133" s="251"/>
      <c r="D133" s="245"/>
      <c r="E133" s="244"/>
      <c r="F133" s="245"/>
      <c r="G133" s="366"/>
      <c r="H133" s="245"/>
      <c r="I133" s="230"/>
    </row>
    <row r="134" spans="1:9" outlineLevel="2" x14ac:dyDescent="0.25">
      <c r="A134" s="238"/>
      <c r="B134" s="604"/>
      <c r="C134" s="251"/>
      <c r="D134" s="245"/>
      <c r="E134" s="244"/>
      <c r="F134" s="245"/>
      <c r="G134" s="366"/>
      <c r="H134" s="245"/>
      <c r="I134" s="230"/>
    </row>
    <row r="135" spans="1:9" outlineLevel="2" x14ac:dyDescent="0.25">
      <c r="A135" s="238"/>
      <c r="B135" s="604"/>
      <c r="C135" s="251"/>
      <c r="D135" s="245"/>
      <c r="E135" s="244"/>
      <c r="F135" s="245"/>
      <c r="G135" s="366"/>
      <c r="H135" s="245"/>
      <c r="I135" s="230"/>
    </row>
    <row r="136" spans="1:9" outlineLevel="2" x14ac:dyDescent="0.25">
      <c r="A136" s="238"/>
      <c r="B136" s="604"/>
      <c r="C136" s="251"/>
      <c r="D136" s="245"/>
      <c r="E136" s="244"/>
      <c r="F136" s="245"/>
      <c r="G136" s="366"/>
      <c r="H136" s="245"/>
      <c r="I136" s="230"/>
    </row>
    <row r="137" spans="1:9" ht="15" customHeight="1" outlineLevel="2" x14ac:dyDescent="0.25">
      <c r="A137" s="238"/>
      <c r="B137" s="605"/>
      <c r="C137" s="253"/>
      <c r="D137" s="247"/>
      <c r="E137" s="246"/>
      <c r="F137" s="247"/>
      <c r="G137" s="379"/>
      <c r="H137" s="247"/>
      <c r="I137" s="465"/>
    </row>
    <row r="138" spans="1:9" outlineLevel="1" x14ac:dyDescent="0.25">
      <c r="C138" s="41"/>
      <c r="D138" s="41"/>
      <c r="E138" s="41"/>
      <c r="F138" s="41"/>
      <c r="G138" s="41"/>
      <c r="H138" s="41"/>
      <c r="I138" s="41"/>
    </row>
    <row r="139" spans="1:9" ht="15" customHeight="1" x14ac:dyDescent="0.25">
      <c r="C139" s="41"/>
      <c r="D139" s="41"/>
      <c r="E139" s="41"/>
      <c r="F139" s="41"/>
      <c r="G139" s="41"/>
      <c r="H139" s="41"/>
      <c r="I139" s="41"/>
    </row>
    <row r="140" spans="1:9" ht="30.75" customHeight="1" x14ac:dyDescent="0.25">
      <c r="A140" s="238"/>
      <c r="B140" s="31" t="s">
        <v>429</v>
      </c>
      <c r="C140" s="31"/>
      <c r="D140" s="31"/>
      <c r="E140" s="31"/>
      <c r="F140" s="31"/>
      <c r="G140" s="31"/>
      <c r="H140" s="31"/>
      <c r="I140" s="31"/>
    </row>
    <row r="141" spans="1:9" ht="26.25" customHeight="1" outlineLevel="2" x14ac:dyDescent="0.25">
      <c r="A141" s="238"/>
      <c r="C141" s="1332" t="s">
        <v>421</v>
      </c>
      <c r="D141" s="1332"/>
      <c r="E141" s="1332"/>
      <c r="F141" s="1332"/>
      <c r="G141" s="1332"/>
      <c r="H141" s="1332"/>
      <c r="I141" s="1333"/>
    </row>
    <row r="142" spans="1:9" ht="26.25" customHeight="1" outlineLevel="2" x14ac:dyDescent="0.25">
      <c r="A142" s="238"/>
      <c r="C142" s="1331" t="str">
        <f ca="1">CONCATENATE("$, real ",dms_DollarReal)</f>
        <v>$, real June 2026</v>
      </c>
      <c r="D142" s="1331"/>
      <c r="E142" s="1331"/>
      <c r="F142" s="1331"/>
      <c r="G142" s="1331"/>
      <c r="H142" s="1331"/>
      <c r="I142" s="1334"/>
    </row>
    <row r="143" spans="1:9" ht="15" customHeight="1" outlineLevel="2" x14ac:dyDescent="0.25">
      <c r="A143" s="238"/>
      <c r="B143" s="599" t="s">
        <v>430</v>
      </c>
      <c r="C143" s="381" t="str">
        <f ca="1">dms_y1</f>
        <v>2024-25</v>
      </c>
      <c r="D143" s="298" t="str">
        <f ca="1">dms_y2</f>
        <v>2025-26</v>
      </c>
      <c r="E143" s="297" t="str">
        <f ca="1">dms_y3</f>
        <v>2026-27</v>
      </c>
      <c r="F143" s="297" t="str">
        <f ca="1">dms_y4</f>
        <v>2027-28</v>
      </c>
      <c r="G143" s="297" t="str">
        <f ca="1">dms_y5</f>
        <v>2028-29</v>
      </c>
      <c r="H143" s="297" t="str">
        <f ca="1">dms_y6</f>
        <v>2029-30</v>
      </c>
      <c r="I143" s="382" t="str">
        <f ca="1">dms_y7</f>
        <v>2030-31</v>
      </c>
    </row>
    <row r="144" spans="1:9" outlineLevel="2" x14ac:dyDescent="0.25">
      <c r="A144" s="238"/>
      <c r="B144" s="554" t="s">
        <v>307</v>
      </c>
      <c r="C144" s="348">
        <v>0</v>
      </c>
      <c r="D144" s="242">
        <v>1757</v>
      </c>
      <c r="E144" s="241">
        <v>2015</v>
      </c>
      <c r="F144" s="242">
        <v>2034</v>
      </c>
      <c r="G144" s="351">
        <v>2056</v>
      </c>
      <c r="H144" s="242">
        <v>2080</v>
      </c>
      <c r="I144" s="243">
        <v>2107</v>
      </c>
    </row>
    <row r="145" spans="1:9" outlineLevel="2" x14ac:dyDescent="0.25">
      <c r="A145" s="238"/>
      <c r="B145" s="553" t="s">
        <v>308</v>
      </c>
      <c r="C145" s="362">
        <v>583023</v>
      </c>
      <c r="D145" s="245">
        <v>464880</v>
      </c>
      <c r="E145" s="244">
        <v>454573</v>
      </c>
      <c r="F145" s="245">
        <v>426071</v>
      </c>
      <c r="G145" s="366">
        <v>395870</v>
      </c>
      <c r="H145" s="245">
        <v>365397</v>
      </c>
      <c r="I145" s="230">
        <v>336097</v>
      </c>
    </row>
    <row r="146" spans="1:9" outlineLevel="2" x14ac:dyDescent="0.25">
      <c r="A146" s="238"/>
      <c r="B146" s="553" t="s">
        <v>309</v>
      </c>
      <c r="C146" s="362">
        <v>926872</v>
      </c>
      <c r="D146" s="245">
        <v>791709</v>
      </c>
      <c r="E146" s="244">
        <v>1274648</v>
      </c>
      <c r="F146" s="245">
        <v>1394138</v>
      </c>
      <c r="G146" s="366">
        <v>1466022</v>
      </c>
      <c r="H146" s="245">
        <v>1443619</v>
      </c>
      <c r="I146" s="230">
        <v>1377230</v>
      </c>
    </row>
    <row r="147" spans="1:9" outlineLevel="2" x14ac:dyDescent="0.25">
      <c r="A147" s="238"/>
      <c r="B147" s="553" t="s">
        <v>310</v>
      </c>
      <c r="C147" s="362">
        <v>0</v>
      </c>
      <c r="D147" s="245">
        <v>0</v>
      </c>
      <c r="E147" s="244">
        <v>0</v>
      </c>
      <c r="F147" s="245">
        <v>0</v>
      </c>
      <c r="G147" s="366">
        <v>0</v>
      </c>
      <c r="H147" s="245">
        <v>0</v>
      </c>
      <c r="I147" s="230">
        <v>0</v>
      </c>
    </row>
    <row r="148" spans="1:9" outlineLevel="2" x14ac:dyDescent="0.25">
      <c r="A148" s="238"/>
      <c r="B148" s="553" t="s">
        <v>311</v>
      </c>
      <c r="C148" s="362">
        <v>166880</v>
      </c>
      <c r="D148" s="245">
        <v>68399</v>
      </c>
      <c r="E148" s="244">
        <v>130536</v>
      </c>
      <c r="F148" s="245">
        <v>122331</v>
      </c>
      <c r="G148" s="366">
        <v>113646</v>
      </c>
      <c r="H148" s="245">
        <v>105099</v>
      </c>
      <c r="I148" s="230">
        <v>96963</v>
      </c>
    </row>
    <row r="149" spans="1:9" outlineLevel="2" x14ac:dyDescent="0.25">
      <c r="A149" s="238"/>
      <c r="B149" s="553" t="s">
        <v>312</v>
      </c>
      <c r="C149" s="362">
        <v>0</v>
      </c>
      <c r="D149" s="245">
        <v>0</v>
      </c>
      <c r="E149" s="244">
        <v>0</v>
      </c>
      <c r="F149" s="245">
        <v>0</v>
      </c>
      <c r="G149" s="366">
        <v>0</v>
      </c>
      <c r="H149" s="245">
        <v>0</v>
      </c>
      <c r="I149" s="230">
        <v>0</v>
      </c>
    </row>
    <row r="150" spans="1:9" outlineLevel="2" x14ac:dyDescent="0.25">
      <c r="A150" s="238"/>
      <c r="B150" s="553" t="s">
        <v>313</v>
      </c>
      <c r="C150" s="362">
        <v>440196</v>
      </c>
      <c r="D150" s="245">
        <v>434723</v>
      </c>
      <c r="E150" s="244">
        <v>0</v>
      </c>
      <c r="F150" s="245">
        <v>0</v>
      </c>
      <c r="G150" s="366">
        <v>0</v>
      </c>
      <c r="H150" s="245">
        <v>0</v>
      </c>
      <c r="I150" s="230">
        <v>0</v>
      </c>
    </row>
    <row r="151" spans="1:9" outlineLevel="2" x14ac:dyDescent="0.25">
      <c r="A151" s="238"/>
      <c r="B151" s="553" t="s">
        <v>314</v>
      </c>
      <c r="C151" s="362">
        <v>0</v>
      </c>
      <c r="D151" s="245">
        <v>0</v>
      </c>
      <c r="E151" s="244">
        <v>0</v>
      </c>
      <c r="F151" s="245">
        <v>0</v>
      </c>
      <c r="G151" s="366">
        <v>0</v>
      </c>
      <c r="H151" s="245">
        <v>0</v>
      </c>
      <c r="I151" s="230">
        <v>0</v>
      </c>
    </row>
    <row r="152" spans="1:9" outlineLevel="2" x14ac:dyDescent="0.25">
      <c r="A152" s="238"/>
      <c r="B152" s="553" t="s">
        <v>315</v>
      </c>
      <c r="C152" s="362">
        <v>0</v>
      </c>
      <c r="D152" s="245">
        <v>0</v>
      </c>
      <c r="E152" s="244">
        <v>49178</v>
      </c>
      <c r="F152" s="245">
        <v>49478</v>
      </c>
      <c r="G152" s="366">
        <v>49853</v>
      </c>
      <c r="H152" s="245">
        <v>50290</v>
      </c>
      <c r="I152" s="230">
        <v>50777</v>
      </c>
    </row>
    <row r="153" spans="1:9" outlineLevel="2" x14ac:dyDescent="0.25">
      <c r="A153" s="238"/>
      <c r="B153" s="553" t="s">
        <v>316</v>
      </c>
      <c r="C153" s="362">
        <v>0</v>
      </c>
      <c r="D153" s="245">
        <v>0</v>
      </c>
      <c r="E153" s="244">
        <v>353060</v>
      </c>
      <c r="F153" s="245">
        <v>355517</v>
      </c>
      <c r="G153" s="366">
        <v>358515</v>
      </c>
      <c r="H153" s="245">
        <v>361971</v>
      </c>
      <c r="I153" s="230">
        <v>365789</v>
      </c>
    </row>
    <row r="154" spans="1:9" outlineLevel="2" x14ac:dyDescent="0.25">
      <c r="A154" s="238"/>
      <c r="B154" s="553" t="s">
        <v>317</v>
      </c>
      <c r="C154" s="362">
        <v>0</v>
      </c>
      <c r="D154" s="245">
        <v>0</v>
      </c>
      <c r="E154" s="244">
        <v>222357</v>
      </c>
      <c r="F154" s="245">
        <v>243201</v>
      </c>
      <c r="G154" s="366">
        <v>255741</v>
      </c>
      <c r="H154" s="245">
        <v>251833</v>
      </c>
      <c r="I154" s="230">
        <v>240252</v>
      </c>
    </row>
    <row r="155" spans="1:9" outlineLevel="2" x14ac:dyDescent="0.25">
      <c r="A155" s="238"/>
      <c r="B155" s="553" t="s">
        <v>318</v>
      </c>
      <c r="C155" s="362">
        <v>0</v>
      </c>
      <c r="D155" s="245">
        <v>0</v>
      </c>
      <c r="E155" s="244">
        <v>15871</v>
      </c>
      <c r="F155" s="245">
        <v>14873</v>
      </c>
      <c r="G155" s="366">
        <v>13817</v>
      </c>
      <c r="H155" s="245">
        <v>12778</v>
      </c>
      <c r="I155" s="230">
        <v>11789</v>
      </c>
    </row>
    <row r="156" spans="1:9" outlineLevel="2" x14ac:dyDescent="0.25">
      <c r="A156" s="238"/>
      <c r="B156" s="553" t="s">
        <v>319</v>
      </c>
      <c r="C156" s="362">
        <v>0</v>
      </c>
      <c r="D156" s="245">
        <v>0</v>
      </c>
      <c r="E156" s="244">
        <v>604</v>
      </c>
      <c r="F156" s="245">
        <v>607</v>
      </c>
      <c r="G156" s="366">
        <v>612</v>
      </c>
      <c r="H156" s="245">
        <v>617</v>
      </c>
      <c r="I156" s="230">
        <v>623</v>
      </c>
    </row>
    <row r="157" spans="1:9" outlineLevel="2" x14ac:dyDescent="0.25">
      <c r="A157" s="238"/>
      <c r="B157" s="553" t="s">
        <v>320</v>
      </c>
      <c r="C157" s="362">
        <v>0</v>
      </c>
      <c r="D157" s="245">
        <v>0</v>
      </c>
      <c r="E157" s="244">
        <v>6965</v>
      </c>
      <c r="F157" s="245">
        <v>7014</v>
      </c>
      <c r="G157" s="366">
        <v>7073</v>
      </c>
      <c r="H157" s="245">
        <v>7141</v>
      </c>
      <c r="I157" s="230">
        <v>7217</v>
      </c>
    </row>
    <row r="158" spans="1:9" outlineLevel="2" x14ac:dyDescent="0.25">
      <c r="A158" s="238"/>
      <c r="B158" s="553" t="s">
        <v>321</v>
      </c>
      <c r="C158" s="362">
        <v>0</v>
      </c>
      <c r="D158" s="245">
        <v>0</v>
      </c>
      <c r="E158" s="244">
        <v>0</v>
      </c>
      <c r="F158" s="245">
        <v>0</v>
      </c>
      <c r="G158" s="366">
        <v>0</v>
      </c>
      <c r="H158" s="245">
        <v>0</v>
      </c>
      <c r="I158" s="230">
        <v>0</v>
      </c>
    </row>
    <row r="159" spans="1:9" outlineLevel="2" x14ac:dyDescent="0.25">
      <c r="A159" s="238"/>
      <c r="B159" s="553"/>
      <c r="C159" s="362"/>
      <c r="D159" s="245"/>
      <c r="E159" s="244"/>
      <c r="F159" s="245"/>
      <c r="G159" s="366"/>
      <c r="H159" s="245"/>
      <c r="I159" s="230"/>
    </row>
    <row r="160" spans="1:9" outlineLevel="2" x14ac:dyDescent="0.25">
      <c r="A160" s="238"/>
      <c r="B160" s="553"/>
      <c r="C160" s="362"/>
      <c r="D160" s="245"/>
      <c r="E160" s="244"/>
      <c r="F160" s="245"/>
      <c r="G160" s="366"/>
      <c r="H160" s="245"/>
      <c r="I160" s="230"/>
    </row>
    <row r="161" spans="1:9" outlineLevel="2" x14ac:dyDescent="0.25">
      <c r="A161" s="238"/>
      <c r="B161" s="553"/>
      <c r="C161" s="362"/>
      <c r="D161" s="245"/>
      <c r="E161" s="244"/>
      <c r="F161" s="245"/>
      <c r="G161" s="366"/>
      <c r="H161" s="245"/>
      <c r="I161" s="230"/>
    </row>
    <row r="162" spans="1:9" outlineLevel="2" x14ac:dyDescent="0.25">
      <c r="A162" s="238"/>
      <c r="B162" s="553"/>
      <c r="C162" s="362"/>
      <c r="D162" s="245"/>
      <c r="E162" s="244"/>
      <c r="F162" s="245"/>
      <c r="G162" s="366"/>
      <c r="H162" s="245"/>
      <c r="I162" s="230"/>
    </row>
    <row r="163" spans="1:9" ht="15" customHeight="1" outlineLevel="2" x14ac:dyDescent="0.25">
      <c r="A163" s="238"/>
      <c r="B163" s="559"/>
      <c r="C163" s="367"/>
      <c r="D163" s="368"/>
      <c r="E163" s="621"/>
      <c r="F163" s="368"/>
      <c r="G163" s="620"/>
      <c r="H163" s="368"/>
      <c r="I163" s="402"/>
    </row>
    <row r="164" spans="1:9" ht="15" customHeight="1" outlineLevel="2" x14ac:dyDescent="0.25">
      <c r="A164" s="238"/>
      <c r="B164" s="622" t="s">
        <v>112</v>
      </c>
      <c r="C164" s="623">
        <f t="shared" ref="C164:I164" si="1">SUM(C144:C163)</f>
        <v>2116971</v>
      </c>
      <c r="D164" s="623">
        <f t="shared" si="1"/>
        <v>1761468</v>
      </c>
      <c r="E164" s="623">
        <f t="shared" si="1"/>
        <v>2509807</v>
      </c>
      <c r="F164" s="623">
        <f t="shared" si="1"/>
        <v>2615264</v>
      </c>
      <c r="G164" s="623">
        <f t="shared" si="1"/>
        <v>2663205</v>
      </c>
      <c r="H164" s="623">
        <f t="shared" si="1"/>
        <v>2600825</v>
      </c>
      <c r="I164" s="624">
        <f t="shared" si="1"/>
        <v>2488844</v>
      </c>
    </row>
    <row r="166" spans="1:9" ht="15" customHeight="1" x14ac:dyDescent="0.25"/>
    <row r="167" spans="1:9" ht="30.75" customHeight="1" x14ac:dyDescent="0.25">
      <c r="A167" s="238"/>
      <c r="B167" s="31" t="s">
        <v>431</v>
      </c>
      <c r="C167" s="31"/>
      <c r="D167" s="31"/>
      <c r="E167" s="31"/>
      <c r="F167" s="31"/>
      <c r="G167" s="31"/>
      <c r="H167" s="31"/>
      <c r="I167" s="31"/>
    </row>
    <row r="168" spans="1:9" ht="26.25" customHeight="1" outlineLevel="2" x14ac:dyDescent="0.25">
      <c r="A168" s="238"/>
      <c r="C168" s="1332" t="s">
        <v>421</v>
      </c>
      <c r="D168" s="1332"/>
      <c r="E168" s="1332"/>
      <c r="F168" s="1332"/>
      <c r="G168" s="1332"/>
      <c r="H168" s="1332"/>
      <c r="I168" s="1333"/>
    </row>
    <row r="169" spans="1:9" ht="26.25" customHeight="1" outlineLevel="2" x14ac:dyDescent="0.25">
      <c r="A169" s="238"/>
      <c r="C169" s="1331" t="str">
        <f ca="1">CONCATENATE("$, real ",dms_DollarReal)</f>
        <v>$, real June 2026</v>
      </c>
      <c r="D169" s="1331"/>
      <c r="E169" s="1331"/>
      <c r="F169" s="1331"/>
      <c r="G169" s="1331"/>
      <c r="H169" s="1331"/>
      <c r="I169" s="1334"/>
    </row>
    <row r="170" spans="1:9" ht="15" customHeight="1" outlineLevel="2" x14ac:dyDescent="0.25">
      <c r="A170" s="238"/>
      <c r="B170" s="599" t="s">
        <v>430</v>
      </c>
      <c r="C170" s="381" t="str">
        <f ca="1">dms_y1</f>
        <v>2024-25</v>
      </c>
      <c r="D170" s="298" t="str">
        <f ca="1">dms_y2</f>
        <v>2025-26</v>
      </c>
      <c r="E170" s="297" t="str">
        <f ca="1">dms_y3</f>
        <v>2026-27</v>
      </c>
      <c r="F170" s="297" t="str">
        <f ca="1">dms_y4</f>
        <v>2027-28</v>
      </c>
      <c r="G170" s="297" t="str">
        <f ca="1">dms_y5</f>
        <v>2028-29</v>
      </c>
      <c r="H170" s="297" t="str">
        <f ca="1">dms_y6</f>
        <v>2029-30</v>
      </c>
      <c r="I170" s="382" t="str">
        <f ca="1">dms_y7</f>
        <v>2030-31</v>
      </c>
    </row>
    <row r="171" spans="1:9" outlineLevel="2" x14ac:dyDescent="0.25">
      <c r="A171" s="238"/>
      <c r="B171" s="554"/>
      <c r="C171" s="348"/>
      <c r="D171" s="351"/>
      <c r="E171" s="241"/>
      <c r="F171" s="242"/>
      <c r="G171" s="242"/>
      <c r="H171" s="242"/>
      <c r="I171" s="243"/>
    </row>
    <row r="172" spans="1:9" outlineLevel="2" x14ac:dyDescent="0.25">
      <c r="A172" s="238"/>
      <c r="B172" s="553"/>
      <c r="C172" s="362"/>
      <c r="D172" s="366"/>
      <c r="E172" s="244"/>
      <c r="F172" s="245"/>
      <c r="G172" s="245"/>
      <c r="H172" s="245"/>
      <c r="I172" s="230"/>
    </row>
    <row r="173" spans="1:9" outlineLevel="2" x14ac:dyDescent="0.25">
      <c r="A173" s="238"/>
      <c r="B173" s="553"/>
      <c r="C173" s="362"/>
      <c r="D173" s="366"/>
      <c r="E173" s="244"/>
      <c r="F173" s="245"/>
      <c r="G173" s="245"/>
      <c r="H173" s="245"/>
      <c r="I173" s="230"/>
    </row>
    <row r="174" spans="1:9" outlineLevel="2" x14ac:dyDescent="0.25">
      <c r="A174" s="238"/>
      <c r="B174" s="553"/>
      <c r="C174" s="362"/>
      <c r="D174" s="366"/>
      <c r="E174" s="244"/>
      <c r="F174" s="245"/>
      <c r="G174" s="245"/>
      <c r="H174" s="245"/>
      <c r="I174" s="230"/>
    </row>
    <row r="175" spans="1:9" outlineLevel="2" x14ac:dyDescent="0.25">
      <c r="A175" s="238"/>
      <c r="B175" s="553"/>
      <c r="C175" s="362"/>
      <c r="D175" s="366"/>
      <c r="E175" s="244"/>
      <c r="F175" s="245"/>
      <c r="G175" s="245"/>
      <c r="H175" s="245"/>
      <c r="I175" s="230"/>
    </row>
    <row r="176" spans="1:9" ht="15" customHeight="1" outlineLevel="2" x14ac:dyDescent="0.25">
      <c r="A176" s="238"/>
      <c r="B176" s="559"/>
      <c r="C176" s="367"/>
      <c r="D176" s="620"/>
      <c r="E176" s="621"/>
      <c r="F176" s="368"/>
      <c r="G176" s="368"/>
      <c r="H176" s="368"/>
      <c r="I176" s="402"/>
    </row>
    <row r="177" spans="1:9" ht="15" customHeight="1" outlineLevel="2" x14ac:dyDescent="0.25">
      <c r="A177" s="238"/>
      <c r="B177" s="622" t="s">
        <v>112</v>
      </c>
      <c r="C177" s="623">
        <f t="shared" ref="C177:I177" si="2">SUM(C171:C176)</f>
        <v>0</v>
      </c>
      <c r="D177" s="623">
        <f t="shared" si="2"/>
        <v>0</v>
      </c>
      <c r="E177" s="623">
        <f t="shared" si="2"/>
        <v>0</v>
      </c>
      <c r="F177" s="623">
        <f t="shared" si="2"/>
        <v>0</v>
      </c>
      <c r="G177" s="623">
        <f t="shared" si="2"/>
        <v>0</v>
      </c>
      <c r="H177" s="623">
        <f t="shared" si="2"/>
        <v>0</v>
      </c>
      <c r="I177" s="624">
        <f t="shared" si="2"/>
        <v>0</v>
      </c>
    </row>
    <row r="178" spans="1:9" x14ac:dyDescent="0.25">
      <c r="C178" s="41"/>
      <c r="D178" s="41"/>
      <c r="E178" s="41"/>
      <c r="F178" s="41"/>
      <c r="G178" s="41"/>
      <c r="H178" s="41"/>
      <c r="I178" s="41"/>
    </row>
    <row r="179" spans="1:9" ht="15" customHeight="1" x14ac:dyDescent="0.25">
      <c r="C179" s="41"/>
      <c r="D179" s="41"/>
      <c r="E179" s="41"/>
      <c r="F179" s="41"/>
      <c r="G179" s="41"/>
      <c r="H179" s="41"/>
      <c r="I179" s="41"/>
    </row>
    <row r="180" spans="1:9" ht="30.75" customHeight="1" x14ac:dyDescent="0.25">
      <c r="A180" s="238"/>
      <c r="B180" s="31" t="s">
        <v>432</v>
      </c>
      <c r="C180" s="31"/>
      <c r="D180" s="31"/>
      <c r="E180" s="31"/>
      <c r="F180" s="31"/>
      <c r="G180" s="31"/>
      <c r="H180" s="31"/>
      <c r="I180" s="31"/>
    </row>
    <row r="181" spans="1:9" ht="26.25" customHeight="1" outlineLevel="2" x14ac:dyDescent="0.25">
      <c r="A181" s="238"/>
      <c r="C181" s="1332" t="s">
        <v>421</v>
      </c>
      <c r="D181" s="1332"/>
      <c r="E181" s="1332"/>
      <c r="F181" s="1332"/>
      <c r="G181" s="1332"/>
      <c r="H181" s="1332"/>
      <c r="I181" s="1333"/>
    </row>
    <row r="182" spans="1:9" ht="15" customHeight="1" outlineLevel="2" x14ac:dyDescent="0.25">
      <c r="A182" s="238"/>
      <c r="C182" s="1331" t="str">
        <f ca="1">CONCATENATE("$, real ",dms_DollarReal)</f>
        <v>$, real June 2026</v>
      </c>
      <c r="D182" s="1331"/>
      <c r="E182" s="1331"/>
      <c r="F182" s="1331"/>
      <c r="G182" s="1331"/>
      <c r="H182" s="1331"/>
      <c r="I182" s="1334"/>
    </row>
    <row r="183" spans="1:9" ht="15" customHeight="1" outlineLevel="2" x14ac:dyDescent="0.25">
      <c r="A183" s="238"/>
      <c r="B183" s="599" t="s">
        <v>430</v>
      </c>
      <c r="C183" s="381" t="str">
        <f ca="1">dms_y1</f>
        <v>2024-25</v>
      </c>
      <c r="D183" s="298" t="str">
        <f ca="1">dms_y2</f>
        <v>2025-26</v>
      </c>
      <c r="E183" s="297" t="str">
        <f ca="1">dms_y3</f>
        <v>2026-27</v>
      </c>
      <c r="F183" s="297" t="str">
        <f ca="1">dms_y4</f>
        <v>2027-28</v>
      </c>
      <c r="G183" s="297" t="str">
        <f ca="1">dms_y5</f>
        <v>2028-29</v>
      </c>
      <c r="H183" s="297" t="str">
        <f ca="1">dms_y6</f>
        <v>2029-30</v>
      </c>
      <c r="I183" s="382" t="str">
        <f ca="1">dms_y7</f>
        <v>2030-31</v>
      </c>
    </row>
    <row r="184" spans="1:9" outlineLevel="2" x14ac:dyDescent="0.25">
      <c r="A184" s="238"/>
      <c r="B184" s="554"/>
      <c r="C184" s="348"/>
      <c r="D184" s="351"/>
      <c r="E184" s="241"/>
      <c r="F184" s="242"/>
      <c r="G184" s="242"/>
      <c r="H184" s="242"/>
      <c r="I184" s="243"/>
    </row>
    <row r="185" spans="1:9" outlineLevel="2" x14ac:dyDescent="0.25">
      <c r="A185" s="238"/>
      <c r="B185" s="553"/>
      <c r="C185" s="362"/>
      <c r="D185" s="366"/>
      <c r="E185" s="244"/>
      <c r="F185" s="245"/>
      <c r="G185" s="245"/>
      <c r="H185" s="245"/>
      <c r="I185" s="230"/>
    </row>
    <row r="186" spans="1:9" outlineLevel="2" x14ac:dyDescent="0.25">
      <c r="A186" s="238"/>
      <c r="B186" s="553"/>
      <c r="C186" s="362"/>
      <c r="D186" s="366"/>
      <c r="E186" s="244"/>
      <c r="F186" s="245"/>
      <c r="G186" s="245"/>
      <c r="H186" s="245"/>
      <c r="I186" s="230"/>
    </row>
    <row r="187" spans="1:9" outlineLevel="2" x14ac:dyDescent="0.25">
      <c r="A187" s="238"/>
      <c r="B187" s="553"/>
      <c r="C187" s="362"/>
      <c r="D187" s="366"/>
      <c r="E187" s="244"/>
      <c r="F187" s="245"/>
      <c r="G187" s="245"/>
      <c r="H187" s="245"/>
      <c r="I187" s="230"/>
    </row>
    <row r="188" spans="1:9" outlineLevel="2" x14ac:dyDescent="0.25">
      <c r="A188" s="238"/>
      <c r="B188" s="553"/>
      <c r="C188" s="362"/>
      <c r="D188" s="366"/>
      <c r="E188" s="244"/>
      <c r="F188" s="245"/>
      <c r="G188" s="245"/>
      <c r="H188" s="245"/>
      <c r="I188" s="230"/>
    </row>
    <row r="189" spans="1:9" ht="15" customHeight="1" outlineLevel="2" x14ac:dyDescent="0.25">
      <c r="A189" s="238"/>
      <c r="B189" s="600"/>
      <c r="C189" s="363"/>
      <c r="D189" s="379"/>
      <c r="E189" s="246"/>
      <c r="F189" s="247"/>
      <c r="G189" s="247"/>
      <c r="H189" s="247"/>
      <c r="I189" s="465"/>
    </row>
    <row r="190" spans="1:9" ht="15" customHeight="1" outlineLevel="2" x14ac:dyDescent="0.25">
      <c r="A190" s="238"/>
      <c r="B190" s="622" t="s">
        <v>112</v>
      </c>
      <c r="C190" s="623">
        <f t="shared" ref="C190:I190" si="3">SUM(C184:C189)</f>
        <v>0</v>
      </c>
      <c r="D190" s="623">
        <f t="shared" si="3"/>
        <v>0</v>
      </c>
      <c r="E190" s="623">
        <f t="shared" si="3"/>
        <v>0</v>
      </c>
      <c r="F190" s="623">
        <f t="shared" si="3"/>
        <v>0</v>
      </c>
      <c r="G190" s="623">
        <f t="shared" si="3"/>
        <v>0</v>
      </c>
      <c r="H190" s="623">
        <f t="shared" si="3"/>
        <v>0</v>
      </c>
      <c r="I190" s="624">
        <f t="shared" si="3"/>
        <v>0</v>
      </c>
    </row>
    <row r="191" spans="1:9" x14ac:dyDescent="0.25">
      <c r="A191" s="238"/>
    </row>
    <row r="192" spans="1:9" ht="15" customHeight="1" x14ac:dyDescent="0.25">
      <c r="A192" s="238"/>
    </row>
    <row r="193" spans="1:9" ht="26.25" customHeight="1" x14ac:dyDescent="0.25">
      <c r="A193" s="238"/>
      <c r="B193" s="31" t="s">
        <v>433</v>
      </c>
      <c r="C193" s="31"/>
      <c r="D193" s="31"/>
      <c r="E193" s="31"/>
      <c r="F193" s="31"/>
      <c r="G193" s="31"/>
      <c r="H193" s="31"/>
      <c r="I193" s="31"/>
    </row>
    <row r="194" spans="1:9" ht="26.25" customHeight="1" outlineLevel="2" x14ac:dyDescent="0.25">
      <c r="A194" s="238"/>
      <c r="C194" s="1332" t="s">
        <v>421</v>
      </c>
      <c r="D194" s="1332"/>
      <c r="E194" s="1332"/>
      <c r="F194" s="1332"/>
      <c r="G194" s="1332"/>
      <c r="H194" s="1332"/>
      <c r="I194" s="1333"/>
    </row>
    <row r="195" spans="1:9" ht="15" customHeight="1" outlineLevel="2" x14ac:dyDescent="0.25">
      <c r="A195" s="238"/>
      <c r="C195" s="1331" t="str">
        <f ca="1">CONCATENATE("$, real ",dms_DollarReal)</f>
        <v>$, real June 2026</v>
      </c>
      <c r="D195" s="1331"/>
      <c r="E195" s="1331"/>
      <c r="F195" s="1331"/>
      <c r="G195" s="1331"/>
      <c r="H195" s="1331"/>
      <c r="I195" s="1334"/>
    </row>
    <row r="196" spans="1:9" ht="30.75" customHeight="1" outlineLevel="2" x14ac:dyDescent="0.25">
      <c r="C196" s="381" t="str">
        <f ca="1">dms_y1</f>
        <v>2024-25</v>
      </c>
      <c r="D196" s="298" t="str">
        <f ca="1">dms_y2</f>
        <v>2025-26</v>
      </c>
      <c r="E196" s="297" t="str">
        <f ca="1">dms_y3</f>
        <v>2026-27</v>
      </c>
      <c r="F196" s="297" t="str">
        <f ca="1">dms_y4</f>
        <v>2027-28</v>
      </c>
      <c r="G196" s="297" t="str">
        <f ca="1">dms_y5</f>
        <v>2028-29</v>
      </c>
      <c r="H196" s="297" t="str">
        <f ca="1">dms_y6</f>
        <v>2029-30</v>
      </c>
      <c r="I196" s="382" t="str">
        <f ca="1">dms_y7</f>
        <v>2030-31</v>
      </c>
    </row>
    <row r="197" spans="1:9" ht="32.25" customHeight="1" outlineLevel="2" x14ac:dyDescent="0.25">
      <c r="A197" s="238"/>
      <c r="B197" s="280" t="s">
        <v>112</v>
      </c>
      <c r="C197" s="281">
        <f t="shared" ref="C197:I197" si="4">SUM(C190,C177,C164,C87)</f>
        <v>77170604</v>
      </c>
      <c r="D197" s="281">
        <f t="shared" si="4"/>
        <v>76657483</v>
      </c>
      <c r="E197" s="281">
        <f t="shared" si="4"/>
        <v>82034417</v>
      </c>
      <c r="F197" s="281">
        <f t="shared" si="4"/>
        <v>85217848</v>
      </c>
      <c r="G197" s="281">
        <f t="shared" si="4"/>
        <v>87750408</v>
      </c>
      <c r="H197" s="281">
        <f t="shared" si="4"/>
        <v>89584005</v>
      </c>
      <c r="I197" s="282">
        <f t="shared" si="4"/>
        <v>91102775</v>
      </c>
    </row>
    <row r="198" spans="1:9" outlineLevel="2" x14ac:dyDescent="0.25"/>
    <row r="201" spans="1:9" ht="25.5" customHeight="1" x14ac:dyDescent="0.25"/>
  </sheetData>
  <dataValidations count="1">
    <dataValidation allowBlank="1" showInputMessage="1" showErrorMessage="1" promptTitle="Tariff" prompt="For consistency in AER database, tariff names in this worksheet are populated from tariff names entered in worksheet N1. Demand." sqref="B12:B86" xr:uid="{00000000-0002-0000-1600-000000000000}"/>
  </dataValidations>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D9D9D9"/>
  </sheetPr>
  <dimension ref="A1:G22"/>
  <sheetViews>
    <sheetView showGridLines="0" workbookViewId="0">
      <selection activeCell="B2" sqref="B2"/>
    </sheetView>
  </sheetViews>
  <sheetFormatPr defaultColWidth="8.7109375" defaultRowHeight="15" x14ac:dyDescent="0.25"/>
  <cols>
    <col min="1" max="1" width="4.140625" style="1407" customWidth="1"/>
    <col min="2" max="6" width="32.85546875" style="1407" customWidth="1"/>
    <col min="7" max="7" width="8.7109375" style="1407"/>
  </cols>
  <sheetData>
    <row r="1" s="1407" customFormat="1" ht="49.5" customHeight="1" x14ac:dyDescent="0.25"/>
    <row r="2" s="1407" customFormat="1" ht="49.5" customHeight="1" x14ac:dyDescent="0.25"/>
    <row r="3" s="1407" customFormat="1" ht="49.5" customHeight="1" x14ac:dyDescent="0.25"/>
    <row r="4" s="1407" customFormat="1" ht="49.5" customHeight="1" x14ac:dyDescent="0.25"/>
    <row r="5" s="1407" customFormat="1" ht="49.5" customHeight="1" x14ac:dyDescent="0.25"/>
    <row r="6" s="1407" customFormat="1" ht="49.5" customHeight="1" x14ac:dyDescent="0.25"/>
    <row r="7" s="1407" customFormat="1" ht="49.5" customHeight="1" x14ac:dyDescent="0.25"/>
    <row r="8" s="1407" customFormat="1" ht="49.5" customHeight="1" x14ac:dyDescent="0.25"/>
    <row r="9" s="1407" customFormat="1" ht="49.5" customHeight="1" x14ac:dyDescent="0.25"/>
    <row r="10" s="1407" customFormat="1" ht="49.5" customHeight="1" x14ac:dyDescent="0.25"/>
    <row r="11" s="1407" customFormat="1" ht="49.5" customHeight="1" x14ac:dyDescent="0.25"/>
    <row r="12" s="1407" customFormat="1" ht="49.5" customHeight="1" x14ac:dyDescent="0.25"/>
    <row r="13" s="1407" customFormat="1" ht="49.5" customHeight="1" x14ac:dyDescent="0.25"/>
    <row r="14" s="1407" customFormat="1" ht="49.5" customHeight="1" x14ac:dyDescent="0.25"/>
    <row r="15" s="1407" customFormat="1" ht="49.5" customHeight="1" x14ac:dyDescent="0.25"/>
    <row r="16" s="1407" customFormat="1" ht="49.5" customHeight="1" x14ac:dyDescent="0.25"/>
    <row r="17" s="1407" customFormat="1" ht="49.5" customHeight="1" x14ac:dyDescent="0.25"/>
    <row r="18" s="1407" customFormat="1" ht="49.5" customHeight="1" x14ac:dyDescent="0.25"/>
    <row r="19" s="1407" customFormat="1" ht="49.5" customHeight="1" x14ac:dyDescent="0.25"/>
    <row r="20" s="1407" customFormat="1" ht="49.5" customHeight="1" x14ac:dyDescent="0.25"/>
    <row r="21" s="1407" customFormat="1" ht="49.5" customHeight="1" x14ac:dyDescent="0.25"/>
    <row r="22" s="1407" customFormat="1" ht="49.5" customHeight="1" x14ac:dyDescent="0.25"/>
  </sheetData>
  <sheetProtection algorithmName="SHA-256" hashValue="EAE4OGCs0jgl5uv97OJdoGadGFBINlQgeZq0g7vhpB8=" saltValue="imm7cSGTeg5XD8eWrCay5Q==" spinCount="100000" sheet="1" objects="1" scenarios="1"/>
  <pageMargins left="0.7" right="0.7" top="0.75" bottom="0.75" header="0.3" footer="0.3"/>
  <headerFooter>
    <oddFooter>&amp;C_x000D_&amp;1#&amp;"Calibri"&amp;10&amp;K000000 Ringfenced Confidential - Commercially Sensitive</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0000"/>
  </sheetPr>
  <dimension ref="B1:CM110"/>
  <sheetViews>
    <sheetView showGridLines="0" workbookViewId="0">
      <selection activeCell="G31" sqref="G31"/>
    </sheetView>
  </sheetViews>
  <sheetFormatPr defaultColWidth="9.140625" defaultRowHeight="15" x14ac:dyDescent="0.25"/>
  <cols>
    <col min="2" max="2" width="43.5703125" customWidth="1"/>
    <col min="3" max="3" width="19.5703125" customWidth="1"/>
    <col min="4" max="5" width="15.5703125" customWidth="1"/>
    <col min="6" max="6" width="19.42578125" customWidth="1"/>
    <col min="7" max="7" width="19.85546875" customWidth="1"/>
    <col min="8" max="8" width="21.5703125" customWidth="1"/>
    <col min="9" max="10" width="22" customWidth="1"/>
    <col min="11" max="11" width="21.5703125" customWidth="1"/>
    <col min="12" max="14" width="22" customWidth="1"/>
    <col min="15" max="15" width="19.85546875" customWidth="1"/>
    <col min="16" max="16" width="18" customWidth="1"/>
    <col min="17" max="17" width="47.140625" customWidth="1"/>
    <col min="18" max="18" width="17.140625" customWidth="1"/>
    <col min="19" max="20" width="29" customWidth="1"/>
    <col min="21" max="21" width="31.42578125" customWidth="1"/>
    <col min="22" max="22" width="17.7109375" customWidth="1"/>
    <col min="23" max="23" width="53.28515625" customWidth="1"/>
    <col min="24" max="24" width="37" customWidth="1"/>
    <col min="25" max="25" width="17.85546875" customWidth="1"/>
  </cols>
  <sheetData>
    <row r="1" spans="2:91" ht="51" customHeight="1" x14ac:dyDescent="0.25">
      <c r="B1" s="630" t="s">
        <v>434</v>
      </c>
      <c r="C1" s="631"/>
      <c r="D1" s="631"/>
      <c r="E1" s="631"/>
      <c r="F1" s="631"/>
      <c r="G1" s="631"/>
      <c r="H1" s="631"/>
      <c r="I1" s="631"/>
      <c r="J1" s="631"/>
      <c r="K1" s="631"/>
      <c r="L1" s="631"/>
      <c r="M1" s="631"/>
      <c r="N1" s="631"/>
      <c r="O1" s="631"/>
    </row>
    <row r="2" spans="2:91" ht="30" customHeight="1" x14ac:dyDescent="0.25"/>
    <row r="3" spans="2:91" x14ac:dyDescent="0.25">
      <c r="B3" t="s">
        <v>435</v>
      </c>
    </row>
    <row r="4" spans="2:91" ht="19.5" customHeight="1" x14ac:dyDescent="0.25">
      <c r="B4" s="1564" t="s">
        <v>436</v>
      </c>
      <c r="C4" s="1565"/>
      <c r="D4" s="1565"/>
      <c r="E4" s="1565"/>
      <c r="F4" s="1565"/>
      <c r="G4" s="1565"/>
      <c r="H4" s="1565"/>
      <c r="I4" s="1565"/>
      <c r="J4" s="1565"/>
      <c r="K4" s="1565"/>
      <c r="L4" s="1565"/>
      <c r="M4" s="1565"/>
      <c r="N4" s="1565"/>
      <c r="O4" s="1565"/>
      <c r="P4" s="1565"/>
      <c r="Q4" s="1565"/>
      <c r="R4" s="1565"/>
      <c r="S4" s="1565"/>
      <c r="T4" s="1565"/>
      <c r="U4" s="1565"/>
      <c r="V4" s="1565"/>
      <c r="W4" s="1565"/>
    </row>
    <row r="5" spans="2:91" s="1226" customFormat="1" ht="19.5" customHeight="1" x14ac:dyDescent="0.25">
      <c r="B5" s="1233"/>
      <c r="C5" s="1232"/>
      <c r="D5" s="1232"/>
      <c r="E5" s="1232"/>
      <c r="F5" s="1227" t="s">
        <v>437</v>
      </c>
      <c r="G5" s="1230" t="s">
        <v>438</v>
      </c>
      <c r="H5" s="1227" t="s">
        <v>439</v>
      </c>
      <c r="I5" s="1227" t="s">
        <v>440</v>
      </c>
      <c r="J5" s="1227" t="s">
        <v>441</v>
      </c>
      <c r="K5" s="1230" t="s">
        <v>442</v>
      </c>
      <c r="L5" s="1230" t="s">
        <v>443</v>
      </c>
      <c r="M5" s="1230" t="s">
        <v>444</v>
      </c>
      <c r="N5" s="1230" t="s">
        <v>445</v>
      </c>
      <c r="O5" s="1231" t="s">
        <v>446</v>
      </c>
      <c r="P5" s="1227" t="s">
        <v>447</v>
      </c>
      <c r="Q5" s="1230" t="s">
        <v>448</v>
      </c>
      <c r="R5" s="1230" t="s">
        <v>449</v>
      </c>
      <c r="S5" s="1230" t="s">
        <v>450</v>
      </c>
      <c r="T5" s="1230" t="s">
        <v>451</v>
      </c>
      <c r="U5" s="1230" t="b">
        <f>INDEX(dms_CF_8.1_Neg, MATCH(dms_TradingName,dms_CF_TradingName))="Y"</f>
        <v>0</v>
      </c>
      <c r="V5" s="1227" t="s">
        <v>452</v>
      </c>
      <c r="W5" s="1229"/>
      <c r="X5" s="1228"/>
      <c r="Y5" s="1227" t="s">
        <v>453</v>
      </c>
    </row>
    <row r="6" spans="2:91" s="1225" customFormat="1" ht="41.25" customHeight="1" x14ac:dyDescent="0.25">
      <c r="B6" s="1357" t="s">
        <v>454</v>
      </c>
      <c r="C6" s="1358" t="s">
        <v>455</v>
      </c>
      <c r="D6" s="1359" t="s">
        <v>456</v>
      </c>
      <c r="E6" s="1359" t="s">
        <v>457</v>
      </c>
      <c r="F6" s="1360" t="s">
        <v>458</v>
      </c>
      <c r="G6" s="1360" t="s">
        <v>459</v>
      </c>
      <c r="H6" s="1360" t="s">
        <v>460</v>
      </c>
      <c r="I6" s="1360" t="s">
        <v>461</v>
      </c>
      <c r="J6" s="1360" t="s">
        <v>462</v>
      </c>
      <c r="K6" s="1360" t="s">
        <v>463</v>
      </c>
      <c r="L6" s="1360" t="s">
        <v>464</v>
      </c>
      <c r="M6" s="1360" t="s">
        <v>465</v>
      </c>
      <c r="N6" s="1360" t="s">
        <v>466</v>
      </c>
      <c r="O6" s="1360" t="s">
        <v>467</v>
      </c>
      <c r="P6" s="1360" t="s">
        <v>468</v>
      </c>
      <c r="Q6" s="1361" t="s">
        <v>469</v>
      </c>
      <c r="R6" s="1362" t="s">
        <v>470</v>
      </c>
      <c r="S6" s="1363" t="s">
        <v>471</v>
      </c>
      <c r="T6" s="1363" t="s">
        <v>472</v>
      </c>
      <c r="U6" s="1363" t="s">
        <v>473</v>
      </c>
      <c r="V6" s="1364" t="s">
        <v>474</v>
      </c>
      <c r="W6" s="1364" t="s">
        <v>475</v>
      </c>
      <c r="X6" s="1365" t="s">
        <v>476</v>
      </c>
      <c r="Y6" s="1366" t="s">
        <v>477</v>
      </c>
    </row>
    <row r="7" spans="2:91" ht="17.25" customHeight="1" x14ac:dyDescent="0.25">
      <c r="B7" s="1367" t="s">
        <v>478</v>
      </c>
      <c r="C7" s="1224" t="s">
        <v>479</v>
      </c>
      <c r="D7" s="1224" t="s">
        <v>480</v>
      </c>
      <c r="E7" s="1224" t="s">
        <v>481</v>
      </c>
      <c r="F7" s="632" t="s">
        <v>482</v>
      </c>
      <c r="G7" s="633" t="s">
        <v>482</v>
      </c>
      <c r="H7" s="633" t="s">
        <v>482</v>
      </c>
      <c r="I7" s="633" t="s">
        <v>482</v>
      </c>
      <c r="J7" s="633" t="s">
        <v>482</v>
      </c>
      <c r="K7" s="633" t="s">
        <v>482</v>
      </c>
      <c r="L7" s="633" t="s">
        <v>482</v>
      </c>
      <c r="M7" s="633" t="s">
        <v>482</v>
      </c>
      <c r="N7" s="633" t="s">
        <v>482</v>
      </c>
      <c r="O7" s="633" t="s">
        <v>482</v>
      </c>
      <c r="P7" s="632" t="s">
        <v>482</v>
      </c>
      <c r="Q7" s="1223" t="s">
        <v>482</v>
      </c>
      <c r="R7" s="632" t="s">
        <v>482</v>
      </c>
      <c r="S7" s="632" t="s">
        <v>482</v>
      </c>
      <c r="T7" s="633" t="s">
        <v>482</v>
      </c>
      <c r="U7" s="633" t="s">
        <v>482</v>
      </c>
      <c r="V7" s="632" t="s">
        <v>482</v>
      </c>
      <c r="W7" s="633" t="s">
        <v>482</v>
      </c>
      <c r="X7" s="1222" t="s">
        <v>482</v>
      </c>
      <c r="Y7" s="1368" t="s">
        <v>482</v>
      </c>
    </row>
    <row r="8" spans="2:91" x14ac:dyDescent="0.25">
      <c r="B8" s="1369" t="s">
        <v>483</v>
      </c>
      <c r="C8" s="1221" t="s">
        <v>484</v>
      </c>
      <c r="D8" s="1221" t="s">
        <v>480</v>
      </c>
      <c r="E8" s="1221" t="s">
        <v>481</v>
      </c>
      <c r="F8" s="1219" t="s">
        <v>482</v>
      </c>
      <c r="G8" s="1220" t="s">
        <v>482</v>
      </c>
      <c r="H8" s="1220" t="s">
        <v>482</v>
      </c>
      <c r="I8" s="1220" t="s">
        <v>482</v>
      </c>
      <c r="J8" s="1220" t="s">
        <v>482</v>
      </c>
      <c r="K8" s="1220" t="s">
        <v>482</v>
      </c>
      <c r="L8" s="1220" t="s">
        <v>482</v>
      </c>
      <c r="M8" s="1220" t="s">
        <v>482</v>
      </c>
      <c r="N8" s="1220" t="s">
        <v>482</v>
      </c>
      <c r="O8" s="1220" t="s">
        <v>482</v>
      </c>
      <c r="P8" s="1219" t="s">
        <v>482</v>
      </c>
      <c r="Q8" s="1219" t="s">
        <v>482</v>
      </c>
      <c r="R8" s="1219" t="s">
        <v>482</v>
      </c>
      <c r="S8" s="1219" t="s">
        <v>482</v>
      </c>
      <c r="T8" s="1220" t="s">
        <v>482</v>
      </c>
      <c r="U8" s="1220" t="s">
        <v>482</v>
      </c>
      <c r="V8" s="1219" t="s">
        <v>482</v>
      </c>
      <c r="W8" s="634" t="s">
        <v>482</v>
      </c>
      <c r="X8" s="1218" t="s">
        <v>482</v>
      </c>
      <c r="Y8" s="1370" t="s">
        <v>482</v>
      </c>
    </row>
    <row r="9" spans="2:91" ht="15" customHeight="1" x14ac:dyDescent="0.25">
      <c r="B9" s="1371"/>
      <c r="C9" s="1372"/>
      <c r="D9" s="1372"/>
      <c r="E9" s="1372"/>
      <c r="F9" s="1373"/>
      <c r="G9" s="1374"/>
      <c r="H9" s="1374"/>
      <c r="I9" s="1374"/>
      <c r="J9" s="1374"/>
      <c r="K9" s="1374"/>
      <c r="L9" s="1374"/>
      <c r="M9" s="1374"/>
      <c r="N9" s="1374"/>
      <c r="O9" s="1374"/>
      <c r="P9" s="1373"/>
      <c r="Q9" s="1373"/>
      <c r="R9" s="1373"/>
      <c r="S9" s="1373"/>
      <c r="T9" s="1374"/>
      <c r="U9" s="1374"/>
      <c r="V9" s="1373"/>
      <c r="W9" s="1374"/>
      <c r="X9" s="1375"/>
      <c r="Y9" s="1376"/>
    </row>
    <row r="12" spans="2:91" x14ac:dyDescent="0.25">
      <c r="B12" s="635" t="s">
        <v>485</v>
      </c>
    </row>
    <row r="13" spans="2:91" x14ac:dyDescent="0.25">
      <c r="B13" s="636" t="s">
        <v>486</v>
      </c>
    </row>
    <row r="14" spans="2:91" x14ac:dyDescent="0.25">
      <c r="AM14" s="1563"/>
      <c r="AN14" s="1563"/>
      <c r="AO14" s="1563"/>
      <c r="AP14" s="1563"/>
      <c r="AQ14" s="1563"/>
      <c r="AR14" s="1563"/>
      <c r="AS14" s="1563"/>
      <c r="AT14" s="1563"/>
      <c r="AU14" s="1563"/>
      <c r="AV14" s="1563"/>
      <c r="AW14" s="1563"/>
      <c r="AX14" s="1563"/>
      <c r="AY14" s="1563"/>
      <c r="AZ14" s="1563"/>
      <c r="BA14" s="1563"/>
      <c r="BB14" s="1563"/>
      <c r="BC14" s="1563"/>
      <c r="BD14" s="1563"/>
      <c r="BE14" s="1563"/>
      <c r="BF14" s="1563"/>
      <c r="BG14" s="1563"/>
      <c r="BH14" s="1563"/>
      <c r="BR14" s="1563"/>
      <c r="BS14" s="1563"/>
      <c r="BT14" s="1563"/>
      <c r="BU14" s="1563"/>
      <c r="BV14" s="1563"/>
      <c r="BW14" s="1563"/>
      <c r="BX14" s="1563"/>
      <c r="BY14" s="1563"/>
      <c r="BZ14" s="1563"/>
      <c r="CA14" s="1563"/>
      <c r="CB14" s="1563"/>
      <c r="CC14" s="1563"/>
      <c r="CD14" s="1563"/>
      <c r="CE14" s="1563"/>
      <c r="CF14" s="1563"/>
      <c r="CG14" s="1563"/>
      <c r="CH14" s="1563"/>
      <c r="CI14" s="1563"/>
      <c r="CJ14" s="1563"/>
      <c r="CK14" s="1563"/>
      <c r="CL14" s="1563"/>
      <c r="CM14" s="1563"/>
    </row>
    <row r="15" spans="2:91" x14ac:dyDescent="0.25">
      <c r="B15" s="637" t="s">
        <v>487</v>
      </c>
      <c r="AM15" s="1563"/>
      <c r="AN15" s="1563"/>
      <c r="AO15" s="1563"/>
      <c r="AP15" s="1563"/>
      <c r="AQ15" s="1563"/>
      <c r="AR15" s="1563"/>
      <c r="AS15" s="1563"/>
      <c r="AT15" s="1563"/>
      <c r="AU15" s="1563"/>
      <c r="AV15" s="1563"/>
      <c r="AW15" s="1563"/>
      <c r="AX15" s="1563"/>
      <c r="AY15" s="1563"/>
      <c r="AZ15" s="1563"/>
      <c r="BA15" s="1563"/>
      <c r="BB15" s="1563"/>
      <c r="BC15" s="1563"/>
      <c r="BD15" s="1563"/>
      <c r="BE15" s="1563"/>
      <c r="BF15" s="1563"/>
      <c r="BG15" s="1563"/>
      <c r="BH15" s="1563"/>
      <c r="BR15" s="1563"/>
      <c r="BS15" s="1563"/>
      <c r="BT15" s="1563"/>
      <c r="BU15" s="1563"/>
      <c r="BV15" s="1563"/>
      <c r="BW15" s="1563"/>
      <c r="BX15" s="1563"/>
      <c r="BY15" s="1563"/>
      <c r="BZ15" s="1563"/>
      <c r="CA15" s="1563"/>
      <c r="CB15" s="1563"/>
      <c r="CC15" s="1563"/>
      <c r="CD15" s="1563"/>
      <c r="CE15" s="1563"/>
      <c r="CF15" s="1563"/>
      <c r="CG15" s="1563"/>
      <c r="CH15" s="1563"/>
      <c r="CI15" s="1563"/>
      <c r="CJ15" s="1563"/>
      <c r="CK15" s="1563"/>
      <c r="CL15" s="1563"/>
      <c r="CM15" s="1563"/>
    </row>
    <row r="16" spans="2:91" x14ac:dyDescent="0.25">
      <c r="B16" s="38" t="s">
        <v>488</v>
      </c>
      <c r="C16" s="637"/>
      <c r="D16" s="38"/>
      <c r="E16" s="38"/>
      <c r="F16" s="637" t="s">
        <v>489</v>
      </c>
      <c r="G16" s="637"/>
      <c r="H16" s="637"/>
      <c r="AM16" s="1563"/>
      <c r="AN16" s="1563"/>
      <c r="AO16" s="1563"/>
      <c r="AP16" s="1563"/>
      <c r="AQ16" s="1563"/>
      <c r="AR16" s="1563"/>
      <c r="AS16" s="1563"/>
      <c r="AT16" s="1563"/>
      <c r="AU16" s="1563"/>
      <c r="AV16" s="1563"/>
      <c r="AW16" s="1563"/>
      <c r="AX16" s="1563"/>
      <c r="AY16" s="1563"/>
      <c r="AZ16" s="1563"/>
      <c r="BA16" s="1563"/>
      <c r="BB16" s="1563"/>
      <c r="BC16" s="1563"/>
      <c r="BD16" s="1563"/>
      <c r="BE16" s="1563"/>
      <c r="BF16" s="1563"/>
      <c r="BG16" s="1563"/>
      <c r="BH16" s="1563"/>
      <c r="BR16" s="1563"/>
      <c r="BS16" s="1563"/>
      <c r="BT16" s="1563"/>
      <c r="BU16" s="1563"/>
      <c r="BV16" s="1563"/>
      <c r="BW16" s="1563"/>
      <c r="BX16" s="1563"/>
      <c r="BY16" s="1563"/>
      <c r="BZ16" s="1563"/>
      <c r="CA16" s="1563"/>
      <c r="CB16" s="1563"/>
      <c r="CC16" s="1563"/>
      <c r="CD16" s="1563"/>
      <c r="CE16" s="1563"/>
      <c r="CF16" s="1563"/>
      <c r="CG16" s="1563"/>
      <c r="CH16" s="1563"/>
      <c r="CI16" s="1563"/>
      <c r="CJ16" s="1563"/>
      <c r="CK16" s="1563"/>
      <c r="CL16" s="1563"/>
      <c r="CM16" s="1563"/>
    </row>
    <row r="17" spans="2:6" x14ac:dyDescent="0.25">
      <c r="B17" s="63"/>
      <c r="F17" s="41"/>
    </row>
    <row r="18" spans="2:6" x14ac:dyDescent="0.25">
      <c r="B18" s="63" t="s">
        <v>490</v>
      </c>
      <c r="F18" s="63" t="s">
        <v>491</v>
      </c>
    </row>
    <row r="19" spans="2:6" x14ac:dyDescent="0.25">
      <c r="B19" s="63" t="s">
        <v>492</v>
      </c>
      <c r="F19" s="63" t="s">
        <v>493</v>
      </c>
    </row>
    <row r="20" spans="2:6" x14ac:dyDescent="0.25">
      <c r="B20" s="63" t="s">
        <v>494</v>
      </c>
      <c r="F20" s="63" t="s">
        <v>495</v>
      </c>
    </row>
    <row r="21" spans="2:6" x14ac:dyDescent="0.25">
      <c r="B21" s="63" t="s">
        <v>496</v>
      </c>
      <c r="F21" s="41" t="s">
        <v>497</v>
      </c>
    </row>
    <row r="22" spans="2:6" x14ac:dyDescent="0.25">
      <c r="B22" s="63" t="s">
        <v>498</v>
      </c>
      <c r="F22" s="63" t="s">
        <v>499</v>
      </c>
    </row>
    <row r="23" spans="2:6" x14ac:dyDescent="0.25">
      <c r="B23" s="75" t="s">
        <v>500</v>
      </c>
      <c r="F23" s="75" t="s">
        <v>501</v>
      </c>
    </row>
    <row r="24" spans="2:6" x14ac:dyDescent="0.25">
      <c r="B24" s="63"/>
    </row>
    <row r="26" spans="2:6" x14ac:dyDescent="0.25">
      <c r="B26" s="41" t="s">
        <v>23</v>
      </c>
    </row>
    <row r="27" spans="2:6" x14ac:dyDescent="0.25">
      <c r="B27" s="75" t="s">
        <v>502</v>
      </c>
    </row>
    <row r="28" spans="2:6" x14ac:dyDescent="0.25">
      <c r="B28" s="75" t="s">
        <v>503</v>
      </c>
    </row>
    <row r="31" spans="2:6" ht="21.6" customHeight="1" x14ac:dyDescent="0.25">
      <c r="B31" s="383" t="s">
        <v>504</v>
      </c>
      <c r="C31" s="76"/>
    </row>
    <row r="32" spans="2:6" ht="16.149999999999999" customHeight="1" x14ac:dyDescent="0.25">
      <c r="B32" s="31" t="s">
        <v>505</v>
      </c>
      <c r="C32" s="76" t="s">
        <v>506</v>
      </c>
    </row>
    <row r="33" spans="2:3" ht="15.6" customHeight="1" x14ac:dyDescent="0.25">
      <c r="B33" s="1217" t="s">
        <v>507</v>
      </c>
      <c r="C33" s="76" t="s">
        <v>508</v>
      </c>
    </row>
    <row r="34" spans="2:3" x14ac:dyDescent="0.25">
      <c r="B34" s="33" t="s">
        <v>509</v>
      </c>
      <c r="C34" s="76" t="s">
        <v>510</v>
      </c>
    </row>
    <row r="35" spans="2:3" x14ac:dyDescent="0.25">
      <c r="B35" s="1216" t="s">
        <v>511</v>
      </c>
      <c r="C35" s="76" t="s">
        <v>512</v>
      </c>
    </row>
    <row r="36" spans="2:3" x14ac:dyDescent="0.25">
      <c r="B36" s="1215" t="s">
        <v>513</v>
      </c>
      <c r="C36" s="76" t="s">
        <v>514</v>
      </c>
    </row>
    <row r="37" spans="2:3" x14ac:dyDescent="0.25">
      <c r="B37" s="34">
        <v>5.1109999999999998</v>
      </c>
      <c r="C37" s="76" t="s">
        <v>515</v>
      </c>
    </row>
    <row r="38" spans="2:3" x14ac:dyDescent="0.25">
      <c r="B38" s="638">
        <v>5.45E-2</v>
      </c>
      <c r="C38" s="76" t="s">
        <v>516</v>
      </c>
    </row>
    <row r="39" spans="2:3" x14ac:dyDescent="0.25">
      <c r="B39" s="1214">
        <v>5.5555000000000003</v>
      </c>
      <c r="C39" s="76" t="s">
        <v>517</v>
      </c>
    </row>
    <row r="40" spans="2:3" x14ac:dyDescent="0.25">
      <c r="B40" s="35" t="s">
        <v>518</v>
      </c>
      <c r="C40" s="76" t="s">
        <v>519</v>
      </c>
    </row>
    <row r="41" spans="2:3" x14ac:dyDescent="0.25">
      <c r="B41" s="1213" t="s">
        <v>518</v>
      </c>
      <c r="C41" t="s">
        <v>520</v>
      </c>
    </row>
    <row r="42" spans="2:3" ht="15" customHeight="1" x14ac:dyDescent="0.25">
      <c r="B42" s="639" t="s">
        <v>518</v>
      </c>
      <c r="C42" s="76" t="s">
        <v>521</v>
      </c>
    </row>
    <row r="43" spans="2:3" ht="15" customHeight="1" x14ac:dyDescent="0.25">
      <c r="B43" s="1212" t="s">
        <v>112</v>
      </c>
      <c r="C43" s="76" t="s">
        <v>522</v>
      </c>
    </row>
    <row r="44" spans="2:3" ht="15" customHeight="1" x14ac:dyDescent="0.25">
      <c r="B44" t="s">
        <v>112</v>
      </c>
      <c r="C44" t="s">
        <v>523</v>
      </c>
    </row>
    <row r="45" spans="2:3" x14ac:dyDescent="0.25">
      <c r="B45" s="1211" t="s">
        <v>524</v>
      </c>
      <c r="C45" t="s">
        <v>525</v>
      </c>
    </row>
    <row r="46" spans="2:3" ht="15" customHeight="1" x14ac:dyDescent="0.25">
      <c r="B46" s="297">
        <v>2019</v>
      </c>
      <c r="C46" t="s">
        <v>526</v>
      </c>
    </row>
    <row r="47" spans="2:3" ht="15" customHeight="1" x14ac:dyDescent="0.25">
      <c r="B47" s="298">
        <v>2019</v>
      </c>
      <c r="C47" t="s">
        <v>527</v>
      </c>
    </row>
    <row r="48" spans="2:3" x14ac:dyDescent="0.25">
      <c r="B48" s="1210" t="s">
        <v>158</v>
      </c>
      <c r="C48" t="s">
        <v>528</v>
      </c>
    </row>
    <row r="49" spans="2:3" ht="15" customHeight="1" x14ac:dyDescent="0.25">
      <c r="B49" s="318">
        <v>2019</v>
      </c>
      <c r="C49" t="s">
        <v>529</v>
      </c>
    </row>
    <row r="50" spans="2:3" ht="15" customHeight="1" x14ac:dyDescent="0.25">
      <c r="B50" s="319">
        <v>2019</v>
      </c>
      <c r="C50" t="s">
        <v>530</v>
      </c>
    </row>
    <row r="109" spans="3:3" x14ac:dyDescent="0.25">
      <c r="C109" s="37"/>
    </row>
    <row r="110" spans="3:3" x14ac:dyDescent="0.25">
      <c r="C110" s="37"/>
    </row>
  </sheetData>
  <sheetProtection algorithmName="SHA-256" hashValue="w2MoEG73q5Tfma2qrXV9XN1mQNtLGyagz+w4pfpR3v0=" saltValue="yFI0bMDBUFHQU6C4f1s75g==" spinCount="100000" sheet="1" objects="1" scenarios="1"/>
  <mergeCells count="7">
    <mergeCell ref="AM16:BH16"/>
    <mergeCell ref="BR16:CM16"/>
    <mergeCell ref="B4:W4"/>
    <mergeCell ref="AM14:BH14"/>
    <mergeCell ref="BR14:CM14"/>
    <mergeCell ref="AM15:BH15"/>
    <mergeCell ref="BR15:CM15"/>
  </mergeCells>
  <conditionalFormatting sqref="F7:Y9">
    <cfRule type="cellIs" dxfId="16" priority="6" operator="equal">
      <formula>"Y"</formula>
    </cfRule>
  </conditionalFormatting>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0000"/>
  </sheetPr>
  <dimension ref="B1:CK239"/>
  <sheetViews>
    <sheetView showGridLines="0" workbookViewId="0">
      <selection activeCell="G31" sqref="G31"/>
    </sheetView>
  </sheetViews>
  <sheetFormatPr defaultColWidth="9.140625" defaultRowHeight="15" x14ac:dyDescent="0.25"/>
  <cols>
    <col min="2" max="2" width="47.28515625" customWidth="1"/>
    <col min="3" max="3" width="40.7109375" customWidth="1"/>
    <col min="4" max="4" width="31.42578125" customWidth="1"/>
    <col min="5" max="5" width="33.140625" customWidth="1"/>
    <col min="6" max="6" width="43.140625" customWidth="1"/>
    <col min="7" max="7" width="38.7109375" customWidth="1"/>
    <col min="8" max="8" width="27.42578125" customWidth="1"/>
    <col min="9" max="9" width="28.140625" customWidth="1"/>
    <col min="10" max="10" width="35.7109375" customWidth="1"/>
    <col min="11" max="11" width="31.85546875" customWidth="1"/>
    <col min="12" max="12" width="37" customWidth="1"/>
    <col min="13" max="13" width="28.28515625" customWidth="1"/>
    <col min="14" max="14" width="24.5703125" customWidth="1"/>
    <col min="15" max="15" width="33" customWidth="1"/>
    <col min="16" max="16" width="47" customWidth="1"/>
    <col min="17" max="17" width="40.140625" customWidth="1"/>
    <col min="18" max="18" width="24.85546875" customWidth="1"/>
    <col min="19" max="19" width="22.7109375" customWidth="1"/>
    <col min="20" max="20" width="22" customWidth="1"/>
  </cols>
  <sheetData>
    <row r="1" spans="2:28" ht="51" customHeight="1" x14ac:dyDescent="0.25">
      <c r="B1" s="630" t="s">
        <v>531</v>
      </c>
      <c r="C1" s="631"/>
      <c r="D1" s="631"/>
      <c r="E1" s="631"/>
      <c r="F1" s="631"/>
      <c r="G1" s="631"/>
      <c r="H1" s="631"/>
      <c r="I1" s="631"/>
      <c r="J1" s="631"/>
      <c r="K1" s="631"/>
      <c r="L1" s="631"/>
      <c r="M1" s="631"/>
      <c r="N1" s="631"/>
    </row>
    <row r="2" spans="2:28" ht="30" customHeight="1" x14ac:dyDescent="0.25">
      <c r="V2" t="str">
        <f>dms_TradingNameFull</f>
        <v>Icon Distribution Investments Limited (ABN 83 073 025 224) and Jemena Networks (ACT) Pty Ltd (ABN 24 008 552 663)</v>
      </c>
    </row>
    <row r="3" spans="2:28" ht="28.9" customHeight="1" x14ac:dyDescent="0.45">
      <c r="B3" s="640" t="s">
        <v>532</v>
      </c>
      <c r="C3" s="640"/>
      <c r="D3" s="640"/>
      <c r="E3" s="640"/>
      <c r="F3" s="640"/>
      <c r="G3" s="640"/>
      <c r="H3" s="640"/>
      <c r="I3" s="640"/>
      <c r="J3" s="640"/>
      <c r="K3" s="640"/>
      <c r="L3" s="640"/>
      <c r="M3" s="640"/>
      <c r="N3" s="640"/>
    </row>
    <row r="4" spans="2:28" ht="30" customHeight="1" x14ac:dyDescent="0.25"/>
    <row r="5" spans="2:28" ht="29.25" customHeight="1" x14ac:dyDescent="0.25">
      <c r="B5" s="1579" t="s">
        <v>533</v>
      </c>
      <c r="C5" s="641" t="s">
        <v>534</v>
      </c>
      <c r="D5" s="641" t="s">
        <v>535</v>
      </c>
      <c r="E5" s="587"/>
      <c r="W5" s="50"/>
      <c r="X5" s="50"/>
      <c r="AA5" s="68"/>
      <c r="AB5" s="68"/>
    </row>
    <row r="6" spans="2:28" ht="15" customHeight="1" x14ac:dyDescent="0.25">
      <c r="B6" s="1579"/>
      <c r="C6" s="642" t="s">
        <v>536</v>
      </c>
      <c r="D6" s="642" t="s">
        <v>536</v>
      </c>
      <c r="E6" s="587"/>
      <c r="W6" s="50"/>
      <c r="X6" s="50"/>
      <c r="AA6" s="68"/>
      <c r="AB6" s="68"/>
    </row>
    <row r="7" spans="2:28" ht="15" customHeight="1" x14ac:dyDescent="0.25">
      <c r="B7" s="1579"/>
      <c r="C7" s="643" t="s">
        <v>537</v>
      </c>
      <c r="D7" s="644" t="s">
        <v>90</v>
      </c>
      <c r="E7" s="74"/>
      <c r="S7" s="50"/>
      <c r="T7" s="50"/>
      <c r="U7" s="50"/>
      <c r="V7" s="50"/>
      <c r="W7" s="50"/>
      <c r="X7" s="50"/>
    </row>
    <row r="8" spans="2:28" ht="15" customHeight="1" x14ac:dyDescent="0.25">
      <c r="B8" s="1579"/>
      <c r="C8" s="645" t="s">
        <v>538</v>
      </c>
      <c r="D8" s="646" t="s">
        <v>485</v>
      </c>
      <c r="E8" s="74"/>
      <c r="S8" s="50"/>
      <c r="T8" s="50"/>
      <c r="U8" s="50"/>
      <c r="V8" s="50"/>
      <c r="W8" s="50"/>
      <c r="X8" s="50"/>
    </row>
    <row r="9" spans="2:28" ht="15" customHeight="1" x14ac:dyDescent="0.25">
      <c r="B9" s="1579"/>
      <c r="C9" s="645" t="s">
        <v>88</v>
      </c>
      <c r="D9" s="647"/>
      <c r="E9" s="74"/>
      <c r="S9" s="50"/>
      <c r="T9" s="50"/>
      <c r="U9" s="50"/>
      <c r="V9" s="50"/>
      <c r="W9" s="50"/>
      <c r="X9" s="50"/>
    </row>
    <row r="10" spans="2:28" ht="15.75" customHeight="1" x14ac:dyDescent="0.25">
      <c r="B10" s="1579"/>
      <c r="C10" s="648"/>
      <c r="D10" s="649"/>
      <c r="E10" s="74"/>
      <c r="S10" s="50"/>
      <c r="T10" s="50"/>
      <c r="U10" s="50"/>
      <c r="V10" s="50"/>
      <c r="W10" s="50"/>
      <c r="X10" s="50"/>
    </row>
    <row r="11" spans="2:28" ht="15" customHeight="1" x14ac:dyDescent="0.25">
      <c r="B11" s="1579"/>
      <c r="C11" s="76"/>
      <c r="D11" s="11"/>
      <c r="E11" s="74"/>
      <c r="S11" s="50"/>
      <c r="T11" s="50"/>
      <c r="U11" s="50"/>
      <c r="V11" s="50"/>
      <c r="W11" s="50"/>
      <c r="X11" s="50"/>
    </row>
    <row r="12" spans="2:28" ht="83.45" customHeight="1" x14ac:dyDescent="0.25">
      <c r="B12" s="1579"/>
      <c r="C12" s="650" t="s">
        <v>539</v>
      </c>
      <c r="D12" s="650" t="s">
        <v>540</v>
      </c>
      <c r="S12" s="50"/>
      <c r="T12" s="50"/>
      <c r="U12" s="50"/>
      <c r="V12" s="50"/>
      <c r="W12" s="50"/>
      <c r="X12" s="50"/>
    </row>
    <row r="13" spans="2:28" ht="24" customHeight="1" x14ac:dyDescent="0.25">
      <c r="B13" s="1579"/>
      <c r="C13" s="641" t="s">
        <v>541</v>
      </c>
      <c r="D13" s="641" t="s">
        <v>542</v>
      </c>
      <c r="G13" s="74"/>
      <c r="H13" s="75"/>
      <c r="S13" s="50"/>
      <c r="T13" s="50"/>
      <c r="U13" s="50"/>
      <c r="V13" s="50"/>
      <c r="W13" s="50"/>
      <c r="X13" s="50"/>
    </row>
    <row r="14" spans="2:28" x14ac:dyDescent="0.25">
      <c r="B14" s="1579"/>
      <c r="C14" s="651" t="s">
        <v>536</v>
      </c>
      <c r="D14" s="652" t="s">
        <v>543</v>
      </c>
      <c r="G14" s="74"/>
      <c r="S14" s="50"/>
      <c r="T14" s="50"/>
      <c r="U14" s="50"/>
      <c r="V14" s="50"/>
      <c r="W14" s="50"/>
      <c r="X14" s="50"/>
    </row>
    <row r="15" spans="2:28" x14ac:dyDescent="0.25">
      <c r="B15" s="1579"/>
      <c r="C15" s="646" t="s">
        <v>544</v>
      </c>
      <c r="D15" s="653" t="s">
        <v>545</v>
      </c>
      <c r="H15" s="75"/>
      <c r="S15" s="50"/>
      <c r="T15" s="50"/>
      <c r="U15" s="50"/>
      <c r="V15" s="50"/>
      <c r="W15" s="50"/>
      <c r="X15" s="50"/>
    </row>
    <row r="16" spans="2:28" x14ac:dyDescent="0.25">
      <c r="B16" s="1579"/>
      <c r="C16" s="646" t="s">
        <v>546</v>
      </c>
      <c r="D16" s="653" t="s">
        <v>547</v>
      </c>
      <c r="H16" s="75"/>
      <c r="S16" s="50"/>
      <c r="T16" s="50"/>
      <c r="U16" s="50"/>
      <c r="V16" s="50"/>
      <c r="W16" s="50"/>
      <c r="X16" s="50"/>
    </row>
    <row r="17" spans="2:24" ht="15" customHeight="1" x14ac:dyDescent="0.25">
      <c r="B17" s="1579"/>
      <c r="C17" s="646" t="s">
        <v>548</v>
      </c>
      <c r="D17" s="654" t="s">
        <v>549</v>
      </c>
      <c r="H17" s="75"/>
      <c r="S17" s="50"/>
      <c r="T17" s="50"/>
      <c r="U17" s="50"/>
      <c r="V17" s="50"/>
      <c r="W17" s="50"/>
      <c r="X17" s="50"/>
    </row>
    <row r="18" spans="2:24" x14ac:dyDescent="0.25">
      <c r="B18" s="1579"/>
      <c r="C18" s="646" t="s">
        <v>550</v>
      </c>
      <c r="D18" s="76"/>
      <c r="S18" s="50"/>
      <c r="T18" s="50"/>
      <c r="U18" s="50"/>
      <c r="V18" s="50"/>
      <c r="W18" s="50"/>
      <c r="X18" s="50"/>
    </row>
    <row r="19" spans="2:24" x14ac:dyDescent="0.25">
      <c r="B19" s="1579"/>
      <c r="C19" s="646" t="s">
        <v>551</v>
      </c>
      <c r="D19" s="76"/>
      <c r="S19" s="50"/>
      <c r="T19" s="50"/>
      <c r="U19" s="50"/>
      <c r="V19" s="50"/>
      <c r="W19" s="50"/>
      <c r="X19" s="50"/>
    </row>
    <row r="20" spans="2:24" x14ac:dyDescent="0.25">
      <c r="B20" s="1579"/>
      <c r="C20" s="646" t="s">
        <v>552</v>
      </c>
      <c r="D20" s="76"/>
      <c r="J20" s="76"/>
      <c r="L20" s="13"/>
      <c r="O20" s="50"/>
      <c r="P20" s="50"/>
      <c r="Q20" s="50"/>
      <c r="R20" s="50"/>
      <c r="S20" s="50"/>
      <c r="T20" s="50"/>
      <c r="U20" s="50"/>
      <c r="V20" s="50"/>
      <c r="W20" s="50"/>
      <c r="X20" s="50"/>
    </row>
    <row r="21" spans="2:24" x14ac:dyDescent="0.25">
      <c r="B21" s="1579"/>
      <c r="C21" s="646" t="s">
        <v>553</v>
      </c>
      <c r="D21" s="76"/>
      <c r="J21" s="76"/>
      <c r="L21" s="13"/>
      <c r="O21" s="50"/>
      <c r="P21" s="50"/>
      <c r="Q21" s="50"/>
      <c r="R21" s="50"/>
      <c r="S21" s="50"/>
      <c r="T21" s="50"/>
      <c r="U21" s="50"/>
      <c r="V21" s="50"/>
      <c r="W21" s="50"/>
      <c r="X21" s="50"/>
    </row>
    <row r="22" spans="2:24" x14ac:dyDescent="0.25">
      <c r="B22" s="1579"/>
      <c r="C22" s="646" t="s">
        <v>554</v>
      </c>
      <c r="D22" s="76"/>
      <c r="J22" s="76"/>
      <c r="L22" s="13"/>
      <c r="O22" s="50"/>
      <c r="P22" s="50"/>
      <c r="Q22" s="50"/>
      <c r="R22" s="50"/>
      <c r="S22" s="50"/>
      <c r="T22" s="50"/>
      <c r="U22" s="50"/>
      <c r="V22" s="50"/>
      <c r="W22" s="50"/>
    </row>
    <row r="23" spans="2:24" x14ac:dyDescent="0.25">
      <c r="B23" s="1579"/>
      <c r="C23" s="646" t="s">
        <v>555</v>
      </c>
      <c r="D23" s="76"/>
      <c r="J23" s="76"/>
      <c r="L23" s="13"/>
      <c r="O23" s="50"/>
      <c r="P23" s="50"/>
      <c r="Q23" s="50"/>
      <c r="R23" s="50"/>
      <c r="S23" s="50"/>
      <c r="T23" s="50"/>
      <c r="U23" s="50"/>
      <c r="V23" s="50"/>
      <c r="W23" s="50"/>
    </row>
    <row r="24" spans="2:24" x14ac:dyDescent="0.25">
      <c r="B24" s="1579"/>
      <c r="C24" s="646" t="s">
        <v>556</v>
      </c>
      <c r="D24" s="76"/>
      <c r="J24" s="76"/>
      <c r="L24" s="13"/>
      <c r="O24" s="50"/>
      <c r="P24" s="50"/>
      <c r="Q24" s="50"/>
      <c r="R24" s="50"/>
      <c r="S24" s="50"/>
      <c r="T24" s="50"/>
      <c r="U24" s="50"/>
      <c r="V24" s="50"/>
      <c r="W24" s="50"/>
    </row>
    <row r="25" spans="2:24" x14ac:dyDescent="0.25">
      <c r="B25" s="1579"/>
      <c r="C25" s="646" t="s">
        <v>557</v>
      </c>
      <c r="D25" s="76"/>
      <c r="J25" s="76"/>
      <c r="L25" s="13"/>
      <c r="O25" s="50"/>
      <c r="P25" s="50"/>
      <c r="Q25" s="50"/>
      <c r="R25" s="50"/>
      <c r="S25" s="50"/>
      <c r="T25" s="50"/>
      <c r="U25" s="50"/>
      <c r="V25" s="50"/>
      <c r="W25" s="50"/>
    </row>
    <row r="26" spans="2:24" x14ac:dyDescent="0.25">
      <c r="B26" s="1579"/>
      <c r="C26" s="646" t="s">
        <v>558</v>
      </c>
      <c r="D26" s="76"/>
      <c r="J26" s="76"/>
      <c r="L26" s="13"/>
      <c r="O26" s="50"/>
      <c r="P26" s="50"/>
      <c r="Q26" s="50"/>
      <c r="R26" s="50"/>
      <c r="S26" s="50"/>
      <c r="T26" s="50"/>
      <c r="U26" s="50"/>
      <c r="V26" s="50"/>
      <c r="W26" s="50"/>
    </row>
    <row r="27" spans="2:24" x14ac:dyDescent="0.25">
      <c r="B27" s="1579"/>
      <c r="C27" s="646" t="s">
        <v>85</v>
      </c>
      <c r="D27" s="76"/>
      <c r="G27" s="74"/>
      <c r="J27" s="76"/>
      <c r="L27" s="13"/>
      <c r="O27" s="50"/>
      <c r="P27" s="50"/>
      <c r="Q27" s="50"/>
      <c r="R27" s="50"/>
      <c r="S27" s="50"/>
      <c r="T27" s="50"/>
      <c r="U27" s="50"/>
      <c r="V27" s="50"/>
      <c r="W27" s="50"/>
    </row>
    <row r="28" spans="2:24" x14ac:dyDescent="0.25">
      <c r="B28" s="1579"/>
      <c r="C28" s="646" t="s">
        <v>559</v>
      </c>
      <c r="D28" s="76"/>
      <c r="G28" s="74"/>
      <c r="J28" s="76"/>
      <c r="L28" s="13"/>
      <c r="O28" s="50"/>
      <c r="P28" s="50"/>
      <c r="Q28" s="50"/>
      <c r="R28" s="50"/>
      <c r="S28" s="50"/>
      <c r="T28" s="50"/>
      <c r="U28" s="50"/>
      <c r="V28" s="50"/>
      <c r="W28" s="50"/>
    </row>
    <row r="29" spans="2:24" ht="15" customHeight="1" x14ac:dyDescent="0.25">
      <c r="B29" s="1579"/>
      <c r="C29" s="655" t="s">
        <v>560</v>
      </c>
      <c r="D29" s="76"/>
      <c r="G29" s="74"/>
      <c r="J29" s="76"/>
      <c r="L29" s="13"/>
      <c r="O29" s="50"/>
      <c r="P29" s="50"/>
      <c r="Q29" s="50"/>
      <c r="R29" s="50"/>
      <c r="S29" s="50"/>
      <c r="T29" s="50"/>
      <c r="U29" s="50"/>
      <c r="V29" s="50"/>
      <c r="W29" s="50"/>
    </row>
    <row r="30" spans="2:24" ht="15" customHeight="1" x14ac:dyDescent="0.45">
      <c r="B30" s="656"/>
      <c r="G30" s="74"/>
      <c r="I30" s="75"/>
      <c r="J30" s="76"/>
      <c r="K30" s="75"/>
      <c r="L30" s="13"/>
      <c r="O30" s="50"/>
      <c r="P30" s="50"/>
      <c r="Q30" s="50"/>
      <c r="R30" s="50"/>
      <c r="S30" s="50"/>
      <c r="T30" s="50"/>
      <c r="U30" s="50"/>
      <c r="V30" s="50"/>
      <c r="W30" s="50"/>
    </row>
    <row r="31" spans="2:24" ht="28.9" customHeight="1" x14ac:dyDescent="0.45">
      <c r="B31" s="656"/>
    </row>
    <row r="32" spans="2:24" ht="29.45" customHeight="1" x14ac:dyDescent="0.45">
      <c r="B32" s="656"/>
      <c r="D32" s="76"/>
      <c r="G32" s="74"/>
      <c r="K32" s="657" t="s">
        <v>561</v>
      </c>
      <c r="M32" s="13"/>
      <c r="N32" t="s">
        <v>562</v>
      </c>
      <c r="P32" s="50"/>
      <c r="Q32" s="50"/>
      <c r="R32" s="50"/>
      <c r="S32" s="50"/>
      <c r="T32" s="50"/>
      <c r="U32" s="50"/>
      <c r="V32" s="50"/>
      <c r="W32" s="50"/>
      <c r="X32" s="50"/>
    </row>
    <row r="33" spans="2:89" ht="30.75" customHeight="1" x14ac:dyDescent="0.25">
      <c r="B33" s="1576" t="s">
        <v>563</v>
      </c>
      <c r="C33" s="658" t="s">
        <v>564</v>
      </c>
      <c r="D33" s="659" t="s">
        <v>565</v>
      </c>
      <c r="E33" s="658" t="s">
        <v>566</v>
      </c>
      <c r="F33" s="659" t="s">
        <v>567</v>
      </c>
      <c r="G33" s="658" t="s">
        <v>568</v>
      </c>
      <c r="H33" s="660" t="s">
        <v>569</v>
      </c>
      <c r="I33" s="36" t="s">
        <v>570</v>
      </c>
      <c r="J33" s="661" t="s">
        <v>571</v>
      </c>
      <c r="K33" s="1247" t="s">
        <v>572</v>
      </c>
      <c r="L33" s="1246"/>
      <c r="N33" s="36" t="s">
        <v>573</v>
      </c>
      <c r="R33" s="50"/>
      <c r="S33" s="50"/>
      <c r="T33" s="50"/>
      <c r="U33" s="50"/>
      <c r="V33" s="50"/>
      <c r="W33" s="50"/>
    </row>
    <row r="34" spans="2:89" ht="15" customHeight="1" x14ac:dyDescent="0.25">
      <c r="B34" s="1576"/>
      <c r="C34" s="662" t="s">
        <v>574</v>
      </c>
      <c r="D34" s="663" t="s">
        <v>575</v>
      </c>
      <c r="E34" s="664" t="s">
        <v>576</v>
      </c>
      <c r="F34" s="665" t="s">
        <v>577</v>
      </c>
      <c r="G34" s="666" t="s">
        <v>576</v>
      </c>
      <c r="H34" s="667" t="s">
        <v>578</v>
      </c>
      <c r="I34" s="668" t="s">
        <v>579</v>
      </c>
      <c r="J34" s="669" t="s">
        <v>580</v>
      </c>
      <c r="K34" s="1580" t="s">
        <v>579</v>
      </c>
      <c r="L34" s="670" t="s">
        <v>580</v>
      </c>
      <c r="N34" s="1117" t="s">
        <v>353</v>
      </c>
      <c r="R34" s="50"/>
      <c r="S34" s="50"/>
      <c r="T34" s="50"/>
      <c r="U34" s="50"/>
      <c r="V34" s="50"/>
      <c r="W34" s="50"/>
      <c r="AK34" s="1563"/>
      <c r="AL34" s="1563"/>
      <c r="AM34" s="1563"/>
      <c r="AN34" s="1563"/>
      <c r="AO34" s="1563"/>
      <c r="AP34" s="1563"/>
      <c r="AQ34" s="1563"/>
      <c r="AR34" s="1563"/>
      <c r="AS34" s="1563"/>
      <c r="AT34" s="1563"/>
      <c r="AU34" s="1563"/>
      <c r="AV34" s="1563"/>
      <c r="AW34" s="1563"/>
      <c r="AX34" s="1563"/>
      <c r="AY34" s="1563"/>
      <c r="AZ34" s="1563"/>
      <c r="BA34" s="1563"/>
      <c r="BB34" s="1563"/>
      <c r="BC34" s="1563"/>
      <c r="BD34" s="1563"/>
      <c r="BE34" s="1563"/>
      <c r="BF34" s="1563"/>
      <c r="BP34" s="1563"/>
      <c r="BQ34" s="1563"/>
      <c r="BR34" s="1563"/>
      <c r="BS34" s="1563"/>
      <c r="BT34" s="1563"/>
      <c r="BU34" s="1563"/>
      <c r="BV34" s="1563"/>
      <c r="BW34" s="1563"/>
      <c r="BX34" s="1563"/>
      <c r="BY34" s="1563"/>
      <c r="BZ34" s="1563"/>
      <c r="CA34" s="1563"/>
      <c r="CB34" s="1563"/>
      <c r="CC34" s="1563"/>
      <c r="CD34" s="1563"/>
      <c r="CE34" s="1563"/>
      <c r="CF34" s="1563"/>
      <c r="CG34" s="1563"/>
      <c r="CH34" s="1563"/>
      <c r="CI34" s="1563"/>
      <c r="CJ34" s="1563"/>
      <c r="CK34" s="1563"/>
    </row>
    <row r="35" spans="2:89" ht="15" customHeight="1" x14ac:dyDescent="0.25">
      <c r="B35" s="1576"/>
      <c r="C35" s="671" t="s">
        <v>581</v>
      </c>
      <c r="D35" s="672" t="s">
        <v>582</v>
      </c>
      <c r="E35" s="673" t="s">
        <v>583</v>
      </c>
      <c r="F35" s="673" t="s">
        <v>584</v>
      </c>
      <c r="G35" s="674" t="s">
        <v>583</v>
      </c>
      <c r="H35" s="675" t="s">
        <v>585</v>
      </c>
      <c r="I35" s="676" t="s">
        <v>586</v>
      </c>
      <c r="J35" s="677" t="s">
        <v>587</v>
      </c>
      <c r="K35" s="1581"/>
      <c r="L35" s="678" t="s">
        <v>587</v>
      </c>
      <c r="N35" s="937" t="s">
        <v>354</v>
      </c>
      <c r="R35" s="50"/>
      <c r="S35" s="50"/>
      <c r="T35" s="50"/>
      <c r="U35" s="50"/>
      <c r="V35" s="50"/>
      <c r="W35" s="50"/>
      <c r="AK35" s="1563"/>
      <c r="AL35" s="1563"/>
      <c r="AM35" s="1563"/>
      <c r="AN35" s="1563"/>
      <c r="AO35" s="1563"/>
      <c r="AP35" s="1563"/>
      <c r="AQ35" s="1563"/>
      <c r="AR35" s="1563"/>
      <c r="AS35" s="1563"/>
      <c r="AT35" s="1563"/>
      <c r="AU35" s="1563"/>
      <c r="AV35" s="1563"/>
      <c r="AW35" s="1563"/>
      <c r="AX35" s="1563"/>
      <c r="AY35" s="1563"/>
      <c r="AZ35" s="1563"/>
      <c r="BA35" s="1563"/>
      <c r="BB35" s="1563"/>
      <c r="BC35" s="1563"/>
      <c r="BD35" s="1563"/>
      <c r="BE35" s="1563"/>
      <c r="BF35" s="1563"/>
      <c r="BP35" s="1563"/>
      <c r="BQ35" s="1563"/>
      <c r="BR35" s="1563"/>
      <c r="BS35" s="1563"/>
      <c r="BT35" s="1563"/>
      <c r="BU35" s="1563"/>
      <c r="BV35" s="1563"/>
      <c r="BW35" s="1563"/>
      <c r="BX35" s="1563"/>
      <c r="BY35" s="1563"/>
      <c r="BZ35" s="1563"/>
      <c r="CA35" s="1563"/>
      <c r="CB35" s="1563"/>
      <c r="CC35" s="1563"/>
      <c r="CD35" s="1563"/>
      <c r="CE35" s="1563"/>
      <c r="CF35" s="1563"/>
      <c r="CG35" s="1563"/>
      <c r="CH35" s="1563"/>
      <c r="CI35" s="1563"/>
      <c r="CJ35" s="1563"/>
      <c r="CK35" s="1563"/>
    </row>
    <row r="36" spans="2:89" ht="15.75" customHeight="1" x14ac:dyDescent="0.25">
      <c r="B36" s="1576"/>
      <c r="C36" s="671" t="s">
        <v>588</v>
      </c>
      <c r="D36" s="672" t="s">
        <v>589</v>
      </c>
      <c r="E36" s="679" t="s">
        <v>590</v>
      </c>
      <c r="F36" s="673" t="s">
        <v>591</v>
      </c>
      <c r="G36" s="680" t="s">
        <v>590</v>
      </c>
      <c r="H36" s="675" t="s">
        <v>592</v>
      </c>
      <c r="I36" s="676" t="s">
        <v>174</v>
      </c>
      <c r="J36" s="681" t="s">
        <v>174</v>
      </c>
      <c r="K36" s="1582"/>
      <c r="L36" s="682" t="s">
        <v>174</v>
      </c>
      <c r="N36" s="937" t="s">
        <v>355</v>
      </c>
      <c r="R36" s="50"/>
      <c r="S36" s="50"/>
      <c r="T36" s="50"/>
      <c r="U36" s="50"/>
      <c r="V36" s="50"/>
      <c r="W36" s="50"/>
      <c r="AK36" s="1563"/>
      <c r="AL36" s="1563"/>
      <c r="AM36" s="1563"/>
      <c r="AN36" s="1563"/>
      <c r="AO36" s="1563"/>
      <c r="AP36" s="1563"/>
      <c r="AQ36" s="1563"/>
      <c r="AR36" s="1563"/>
      <c r="AS36" s="1563"/>
      <c r="AT36" s="1563"/>
      <c r="AU36" s="1563"/>
      <c r="AV36" s="1563"/>
      <c r="AW36" s="1563"/>
      <c r="AX36" s="1563"/>
      <c r="AY36" s="1563"/>
      <c r="AZ36" s="1563"/>
      <c r="BA36" s="1563"/>
      <c r="BB36" s="1563"/>
      <c r="BC36" s="1563"/>
      <c r="BD36" s="1563"/>
      <c r="BE36" s="1563"/>
      <c r="BF36" s="1563"/>
      <c r="BP36" s="1563"/>
      <c r="BQ36" s="1563"/>
      <c r="BR36" s="1563"/>
      <c r="BS36" s="1563"/>
      <c r="BT36" s="1563"/>
      <c r="BU36" s="1563"/>
      <c r="BV36" s="1563"/>
      <c r="BW36" s="1563"/>
      <c r="BX36" s="1563"/>
      <c r="BY36" s="1563"/>
      <c r="BZ36" s="1563"/>
      <c r="CA36" s="1563"/>
      <c r="CB36" s="1563"/>
      <c r="CC36" s="1563"/>
      <c r="CD36" s="1563"/>
      <c r="CE36" s="1563"/>
      <c r="CF36" s="1563"/>
      <c r="CG36" s="1563"/>
      <c r="CH36" s="1563"/>
      <c r="CI36" s="1563"/>
      <c r="CJ36" s="1563"/>
      <c r="CK36" s="1563"/>
    </row>
    <row r="37" spans="2:89" ht="15.75" customHeight="1" x14ac:dyDescent="0.25">
      <c r="B37" s="1576"/>
      <c r="C37" s="671" t="s">
        <v>174</v>
      </c>
      <c r="D37" s="672" t="s">
        <v>174</v>
      </c>
      <c r="E37" s="679" t="s">
        <v>593</v>
      </c>
      <c r="F37" s="673" t="s">
        <v>594</v>
      </c>
      <c r="G37" s="680" t="s">
        <v>593</v>
      </c>
      <c r="H37" s="675" t="s">
        <v>595</v>
      </c>
      <c r="I37" s="676" t="s">
        <v>596</v>
      </c>
      <c r="J37" s="683" t="s">
        <v>597</v>
      </c>
      <c r="K37" s="1583" t="s">
        <v>586</v>
      </c>
      <c r="L37" s="684" t="s">
        <v>597</v>
      </c>
      <c r="N37" s="937" t="s">
        <v>356</v>
      </c>
      <c r="R37" s="50"/>
      <c r="S37" s="50"/>
      <c r="T37" s="50"/>
      <c r="U37" s="50"/>
      <c r="V37" s="50"/>
      <c r="W37" s="50"/>
    </row>
    <row r="38" spans="2:89" ht="15" customHeight="1" x14ac:dyDescent="0.25">
      <c r="B38" s="1576"/>
      <c r="C38" s="425"/>
      <c r="D38" s="27"/>
      <c r="E38" s="679" t="s">
        <v>598</v>
      </c>
      <c r="F38" s="673" t="s">
        <v>599</v>
      </c>
      <c r="G38" s="680" t="s">
        <v>600</v>
      </c>
      <c r="H38" s="675" t="s">
        <v>601</v>
      </c>
      <c r="I38" s="676" t="s">
        <v>602</v>
      </c>
      <c r="J38" s="685" t="s">
        <v>603</v>
      </c>
      <c r="K38" s="1581"/>
      <c r="L38" s="678" t="s">
        <v>603</v>
      </c>
      <c r="N38" s="937" t="s">
        <v>357</v>
      </c>
      <c r="R38" s="50"/>
      <c r="S38" s="50"/>
      <c r="T38" s="50"/>
      <c r="U38" s="50"/>
      <c r="V38" s="50"/>
      <c r="W38" s="50"/>
    </row>
    <row r="39" spans="2:89" ht="15" customHeight="1" x14ac:dyDescent="0.25">
      <c r="B39" s="1576"/>
      <c r="C39" s="425"/>
      <c r="D39" s="27"/>
      <c r="E39" s="679" t="s">
        <v>604</v>
      </c>
      <c r="F39" s="673" t="s">
        <v>605</v>
      </c>
      <c r="G39" s="680" t="s">
        <v>598</v>
      </c>
      <c r="H39" s="675" t="s">
        <v>606</v>
      </c>
      <c r="I39" s="676" t="s">
        <v>607</v>
      </c>
      <c r="J39" s="685" t="s">
        <v>608</v>
      </c>
      <c r="K39" s="1581"/>
      <c r="L39" s="678" t="s">
        <v>608</v>
      </c>
      <c r="N39" s="937" t="s">
        <v>358</v>
      </c>
      <c r="U39" s="50"/>
      <c r="V39" s="50"/>
      <c r="W39" s="50"/>
    </row>
    <row r="40" spans="2:89" ht="15" customHeight="1" x14ac:dyDescent="0.25">
      <c r="B40" s="1576"/>
      <c r="C40" s="425"/>
      <c r="D40" s="27"/>
      <c r="E40" s="679" t="s">
        <v>609</v>
      </c>
      <c r="F40" s="673" t="s">
        <v>610</v>
      </c>
      <c r="G40" s="680" t="s">
        <v>604</v>
      </c>
      <c r="H40" s="675" t="s">
        <v>611</v>
      </c>
      <c r="I40" s="676" t="s">
        <v>612</v>
      </c>
      <c r="J40" s="685" t="s">
        <v>581</v>
      </c>
      <c r="K40" s="1581"/>
      <c r="L40" s="678" t="s">
        <v>581</v>
      </c>
      <c r="N40" s="937" t="s">
        <v>359</v>
      </c>
      <c r="R40" s="50"/>
      <c r="S40" s="50"/>
      <c r="T40" s="50"/>
      <c r="U40" s="50"/>
      <c r="V40" s="50"/>
      <c r="W40" s="50"/>
    </row>
    <row r="41" spans="2:89" ht="15.75" customHeight="1" x14ac:dyDescent="0.25">
      <c r="B41" s="1576"/>
      <c r="C41" s="425"/>
      <c r="D41" s="27"/>
      <c r="E41" s="686"/>
      <c r="F41" s="673" t="s">
        <v>613</v>
      </c>
      <c r="G41" s="680" t="s">
        <v>609</v>
      </c>
      <c r="H41" s="675" t="s">
        <v>614</v>
      </c>
      <c r="I41" s="676" t="s">
        <v>615</v>
      </c>
      <c r="J41" s="687" t="s">
        <v>616</v>
      </c>
      <c r="K41" s="1582"/>
      <c r="L41" s="682" t="s">
        <v>616</v>
      </c>
      <c r="N41" s="937" t="s">
        <v>360</v>
      </c>
      <c r="R41" s="50"/>
      <c r="S41" s="50"/>
      <c r="T41" s="50"/>
      <c r="U41" s="50"/>
      <c r="V41" s="50"/>
      <c r="W41" s="50"/>
    </row>
    <row r="42" spans="2:89" ht="15" customHeight="1" x14ac:dyDescent="0.25">
      <c r="B42" s="1576"/>
      <c r="C42" s="425"/>
      <c r="D42" s="27"/>
      <c r="E42" s="686"/>
      <c r="F42" s="673" t="s">
        <v>617</v>
      </c>
      <c r="G42" s="688"/>
      <c r="H42" s="675" t="s">
        <v>618</v>
      </c>
      <c r="I42" s="676" t="s">
        <v>595</v>
      </c>
      <c r="J42" s="689" t="s">
        <v>619</v>
      </c>
      <c r="K42" s="1206" t="s">
        <v>174</v>
      </c>
      <c r="L42" s="690" t="s">
        <v>619</v>
      </c>
      <c r="N42" s="937" t="s">
        <v>362</v>
      </c>
      <c r="R42" s="50"/>
      <c r="S42" s="50"/>
      <c r="T42" s="50"/>
      <c r="U42" s="50"/>
      <c r="V42" s="50"/>
      <c r="W42" s="50"/>
    </row>
    <row r="43" spans="2:89" ht="15.75" customHeight="1" x14ac:dyDescent="0.25">
      <c r="B43" s="1576"/>
      <c r="C43" s="425"/>
      <c r="D43" s="691"/>
      <c r="E43" s="686"/>
      <c r="F43" s="673" t="s">
        <v>620</v>
      </c>
      <c r="G43" s="688"/>
      <c r="H43" s="675" t="s">
        <v>174</v>
      </c>
      <c r="I43" s="676" t="s">
        <v>578</v>
      </c>
      <c r="J43" s="692" t="s">
        <v>621</v>
      </c>
      <c r="K43" s="693" t="s">
        <v>596</v>
      </c>
      <c r="L43" s="694"/>
      <c r="N43" s="937" t="s">
        <v>363</v>
      </c>
      <c r="R43" s="50"/>
      <c r="S43" s="50"/>
      <c r="T43" s="50"/>
      <c r="U43" s="50"/>
      <c r="V43" s="50"/>
      <c r="W43" s="50"/>
    </row>
    <row r="44" spans="2:89" ht="15.75" customHeight="1" x14ac:dyDescent="0.25">
      <c r="B44" s="1576"/>
      <c r="C44" s="425"/>
      <c r="D44" s="691"/>
      <c r="E44" s="686"/>
      <c r="F44" s="673" t="s">
        <v>622</v>
      </c>
      <c r="G44" s="688"/>
      <c r="H44" s="425"/>
      <c r="I44" s="676" t="s">
        <v>623</v>
      </c>
      <c r="J44" s="677" t="s">
        <v>624</v>
      </c>
      <c r="K44" s="693" t="s">
        <v>602</v>
      </c>
      <c r="L44" s="694"/>
      <c r="N44" s="937" t="s">
        <v>174</v>
      </c>
      <c r="R44" s="50"/>
      <c r="S44" s="50"/>
      <c r="T44" s="50"/>
      <c r="U44" s="50"/>
      <c r="V44" s="50"/>
      <c r="W44" s="50"/>
    </row>
    <row r="45" spans="2:89" ht="15" customHeight="1" x14ac:dyDescent="0.25">
      <c r="B45" s="1576"/>
      <c r="C45" s="425"/>
      <c r="D45" s="691"/>
      <c r="E45" s="686"/>
      <c r="F45" s="673" t="s">
        <v>625</v>
      </c>
      <c r="G45" s="688"/>
      <c r="H45" s="425"/>
      <c r="I45" s="676" t="s">
        <v>626</v>
      </c>
      <c r="J45" s="695" t="s">
        <v>627</v>
      </c>
      <c r="K45" s="1583" t="s">
        <v>607</v>
      </c>
      <c r="L45" s="696" t="s">
        <v>621</v>
      </c>
      <c r="N45" s="27"/>
      <c r="R45" s="50"/>
      <c r="S45" s="50"/>
      <c r="T45" s="50"/>
      <c r="U45" s="50"/>
      <c r="V45" s="50"/>
      <c r="W45" s="50"/>
    </row>
    <row r="46" spans="2:89" ht="15.75" customHeight="1" x14ac:dyDescent="0.25">
      <c r="B46" s="1576"/>
      <c r="C46" s="425"/>
      <c r="D46" s="691"/>
      <c r="E46" s="686"/>
      <c r="F46" s="673" t="s">
        <v>174</v>
      </c>
      <c r="G46" s="688"/>
      <c r="H46" s="425"/>
      <c r="I46" s="676" t="s">
        <v>628</v>
      </c>
      <c r="J46" s="685" t="s">
        <v>174</v>
      </c>
      <c r="K46" s="1582"/>
      <c r="L46" s="697" t="s">
        <v>624</v>
      </c>
      <c r="N46" s="27"/>
      <c r="R46" s="50"/>
      <c r="S46" s="50"/>
      <c r="T46" s="50"/>
      <c r="U46" s="50"/>
      <c r="V46" s="50"/>
      <c r="W46" s="50"/>
    </row>
    <row r="47" spans="2:89" x14ac:dyDescent="0.25">
      <c r="B47" s="1576"/>
      <c r="C47" s="425"/>
      <c r="D47" s="27"/>
      <c r="E47" s="27"/>
      <c r="F47" s="27"/>
      <c r="G47" s="688"/>
      <c r="H47" s="425"/>
      <c r="I47" s="676" t="s">
        <v>629</v>
      </c>
      <c r="J47" s="685" t="s">
        <v>630</v>
      </c>
      <c r="K47" s="1205" t="s">
        <v>612</v>
      </c>
      <c r="L47" s="698" t="s">
        <v>627</v>
      </c>
      <c r="N47" s="27"/>
    </row>
    <row r="48" spans="2:89" x14ac:dyDescent="0.25">
      <c r="B48" s="1576"/>
      <c r="C48" s="425"/>
      <c r="D48" s="27"/>
      <c r="E48" s="27"/>
      <c r="F48" s="27"/>
      <c r="G48" s="688"/>
      <c r="H48" s="425"/>
      <c r="I48" s="676" t="s">
        <v>631</v>
      </c>
      <c r="J48" s="685" t="s">
        <v>632</v>
      </c>
      <c r="K48" s="1205"/>
      <c r="L48" s="699" t="s">
        <v>174</v>
      </c>
      <c r="N48" s="27"/>
    </row>
    <row r="49" spans="2:23" x14ac:dyDescent="0.25">
      <c r="B49" s="1576"/>
      <c r="C49" s="425"/>
      <c r="D49" s="27"/>
      <c r="E49" s="27"/>
      <c r="F49" s="27"/>
      <c r="G49" s="688"/>
      <c r="H49" s="425"/>
      <c r="I49" s="676" t="s">
        <v>633</v>
      </c>
      <c r="J49" s="677" t="s">
        <v>634</v>
      </c>
      <c r="K49" s="1205"/>
      <c r="L49" s="699" t="s">
        <v>630</v>
      </c>
      <c r="N49" s="27"/>
    </row>
    <row r="50" spans="2:23" x14ac:dyDescent="0.25">
      <c r="B50" s="1576"/>
      <c r="C50" s="425"/>
      <c r="D50" s="27"/>
      <c r="E50" s="27"/>
      <c r="F50" s="27"/>
      <c r="G50" s="688"/>
      <c r="H50" s="425"/>
      <c r="I50" s="27"/>
      <c r="J50" s="689" t="s">
        <v>615</v>
      </c>
      <c r="K50" s="1205"/>
      <c r="L50" s="699" t="s">
        <v>632</v>
      </c>
      <c r="N50" s="27"/>
    </row>
    <row r="51" spans="2:23" x14ac:dyDescent="0.25">
      <c r="B51" s="1576"/>
      <c r="C51" s="425"/>
      <c r="D51" s="27"/>
      <c r="E51" s="27"/>
      <c r="F51" s="27"/>
      <c r="G51" s="688"/>
      <c r="H51" s="425"/>
      <c r="I51" s="27"/>
      <c r="J51" s="692" t="s">
        <v>635</v>
      </c>
      <c r="K51" s="1206"/>
      <c r="L51" s="697" t="s">
        <v>634</v>
      </c>
      <c r="N51" s="27"/>
    </row>
    <row r="52" spans="2:23" x14ac:dyDescent="0.25">
      <c r="B52" s="1576"/>
      <c r="C52" s="425"/>
      <c r="D52" s="27"/>
      <c r="E52" s="27"/>
      <c r="F52" s="27"/>
      <c r="G52" s="688"/>
      <c r="H52" s="425"/>
      <c r="I52" s="27"/>
      <c r="J52" s="685" t="s">
        <v>636</v>
      </c>
      <c r="K52" s="1206" t="s">
        <v>615</v>
      </c>
      <c r="L52" s="700" t="s">
        <v>615</v>
      </c>
      <c r="N52" s="27"/>
    </row>
    <row r="53" spans="2:23" x14ac:dyDescent="0.25">
      <c r="B53" s="1576"/>
      <c r="C53" s="425"/>
      <c r="D53" s="27"/>
      <c r="E53" s="27"/>
      <c r="F53" s="27"/>
      <c r="G53" s="688"/>
      <c r="H53" s="425"/>
      <c r="I53" s="701"/>
      <c r="J53" s="685" t="s">
        <v>637</v>
      </c>
      <c r="K53" s="702" t="s">
        <v>595</v>
      </c>
      <c r="L53" s="703" t="s">
        <v>635</v>
      </c>
      <c r="N53" s="701"/>
      <c r="Q53" s="50"/>
      <c r="R53" s="50"/>
      <c r="S53" s="50"/>
      <c r="T53" s="50"/>
      <c r="U53" s="50"/>
      <c r="V53" s="50"/>
    </row>
    <row r="54" spans="2:23" x14ac:dyDescent="0.25">
      <c r="B54" s="1576"/>
      <c r="C54" s="425"/>
      <c r="D54" s="27"/>
      <c r="E54" s="27"/>
      <c r="F54" s="27"/>
      <c r="G54" s="688"/>
      <c r="H54" s="425"/>
      <c r="I54" s="701"/>
      <c r="J54" s="685" t="s">
        <v>638</v>
      </c>
      <c r="K54" s="702"/>
      <c r="L54" s="699" t="s">
        <v>636</v>
      </c>
      <c r="N54" s="701"/>
      <c r="Q54" s="50"/>
      <c r="R54" s="50"/>
      <c r="S54" s="50"/>
      <c r="T54" s="50"/>
      <c r="U54" s="50"/>
      <c r="V54" s="50"/>
    </row>
    <row r="55" spans="2:23" x14ac:dyDescent="0.25">
      <c r="B55" s="1576"/>
      <c r="C55" s="425"/>
      <c r="D55" s="27"/>
      <c r="E55" s="27"/>
      <c r="F55" s="27"/>
      <c r="G55" s="688"/>
      <c r="H55" s="425"/>
      <c r="I55" s="701"/>
      <c r="J55" s="704"/>
      <c r="K55" s="702"/>
      <c r="L55" s="699" t="s">
        <v>637</v>
      </c>
      <c r="N55" s="701"/>
      <c r="Q55" s="50"/>
      <c r="R55" s="50"/>
      <c r="S55" s="50"/>
      <c r="T55" s="50"/>
      <c r="U55" s="50"/>
      <c r="V55" s="50"/>
    </row>
    <row r="56" spans="2:23" ht="15" customHeight="1" x14ac:dyDescent="0.25">
      <c r="B56" s="1576"/>
      <c r="C56" s="705"/>
      <c r="D56" s="30"/>
      <c r="E56" s="30"/>
      <c r="F56" s="30"/>
      <c r="G56" s="706"/>
      <c r="H56" s="705"/>
      <c r="I56" s="707"/>
      <c r="J56" s="708"/>
      <c r="K56" s="709"/>
      <c r="L56" s="697" t="s">
        <v>638</v>
      </c>
      <c r="N56" s="707"/>
      <c r="Q56" s="50"/>
      <c r="R56" s="50"/>
      <c r="S56" s="50"/>
      <c r="T56" s="50"/>
      <c r="U56" s="50"/>
      <c r="V56" s="50"/>
    </row>
    <row r="57" spans="2:23" x14ac:dyDescent="0.25">
      <c r="I57" s="50"/>
      <c r="K57" s="1206" t="s">
        <v>578</v>
      </c>
      <c r="L57" s="694"/>
      <c r="Q57" s="50"/>
      <c r="R57" s="50"/>
      <c r="S57" s="50"/>
      <c r="T57" s="50"/>
      <c r="U57" s="50"/>
      <c r="V57" s="50"/>
    </row>
    <row r="58" spans="2:23" x14ac:dyDescent="0.25">
      <c r="I58" s="50"/>
      <c r="K58" s="710" t="s">
        <v>623</v>
      </c>
      <c r="L58" s="694"/>
      <c r="Q58" s="50"/>
      <c r="R58" s="50"/>
      <c r="S58" s="50"/>
      <c r="T58" s="50"/>
      <c r="U58" s="50"/>
      <c r="V58" s="50"/>
    </row>
    <row r="59" spans="2:23" ht="15.75" customHeight="1" x14ac:dyDescent="0.25">
      <c r="I59" s="50"/>
      <c r="K59" s="711" t="s">
        <v>626</v>
      </c>
      <c r="L59" s="694"/>
      <c r="Q59" s="50"/>
      <c r="R59" s="50"/>
      <c r="S59" s="50"/>
      <c r="T59" s="50"/>
      <c r="U59" s="50"/>
      <c r="V59" s="50"/>
    </row>
    <row r="60" spans="2:23" x14ac:dyDescent="0.25">
      <c r="I60" s="50"/>
      <c r="K60" s="711" t="s">
        <v>628</v>
      </c>
      <c r="L60" s="694"/>
      <c r="Q60" s="50"/>
      <c r="R60" s="50"/>
      <c r="S60" s="50"/>
      <c r="T60" s="50"/>
      <c r="U60" s="50"/>
      <c r="V60" s="50"/>
    </row>
    <row r="61" spans="2:23" x14ac:dyDescent="0.25">
      <c r="I61" s="50"/>
      <c r="K61" s="711" t="s">
        <v>629</v>
      </c>
      <c r="L61" s="694"/>
      <c r="Q61" s="50"/>
      <c r="R61" s="50"/>
      <c r="S61" s="50"/>
      <c r="T61" s="50"/>
      <c r="U61" s="50"/>
      <c r="V61" s="50"/>
    </row>
    <row r="62" spans="2:23" x14ac:dyDescent="0.25">
      <c r="I62" s="50"/>
      <c r="K62" s="711" t="s">
        <v>631</v>
      </c>
      <c r="L62" s="694"/>
      <c r="Q62" s="50"/>
      <c r="R62" s="50"/>
      <c r="S62" s="50"/>
      <c r="T62" s="50"/>
      <c r="U62" s="50"/>
      <c r="V62" s="50"/>
    </row>
    <row r="63" spans="2:23" ht="15" customHeight="1" x14ac:dyDescent="0.25">
      <c r="I63" s="50"/>
      <c r="K63" s="712" t="s">
        <v>633</v>
      </c>
      <c r="L63" s="713"/>
      <c r="Q63" s="50"/>
      <c r="R63" s="50"/>
      <c r="S63" s="50"/>
      <c r="T63" s="50"/>
      <c r="U63" s="50"/>
      <c r="V63" s="50"/>
    </row>
    <row r="64" spans="2:23" x14ac:dyDescent="0.25">
      <c r="I64" s="50"/>
      <c r="J64" s="50"/>
      <c r="K64" s="50"/>
      <c r="R64" s="50"/>
      <c r="S64" s="50"/>
      <c r="T64" s="50"/>
      <c r="U64" s="50"/>
      <c r="V64" s="50"/>
      <c r="W64" s="50"/>
    </row>
    <row r="65" spans="2:23" ht="29.45" customHeight="1" x14ac:dyDescent="0.45">
      <c r="B65" s="656"/>
      <c r="K65" s="76"/>
      <c r="L65" s="13"/>
      <c r="O65" s="50"/>
      <c r="P65" s="50"/>
      <c r="Q65" s="50"/>
      <c r="R65" s="50"/>
      <c r="S65" s="50"/>
      <c r="T65" s="50"/>
      <c r="U65" s="50"/>
      <c r="V65" s="50"/>
      <c r="W65" s="50"/>
    </row>
    <row r="66" spans="2:23" ht="28.15" customHeight="1" x14ac:dyDescent="0.25">
      <c r="B66" s="1575" t="s">
        <v>639</v>
      </c>
      <c r="C66" s="658" t="s">
        <v>640</v>
      </c>
      <c r="D66" s="659" t="s">
        <v>641</v>
      </c>
      <c r="E66" s="658" t="s">
        <v>642</v>
      </c>
      <c r="F66" s="659" t="s">
        <v>643</v>
      </c>
      <c r="G66" s="658" t="s">
        <v>644</v>
      </c>
      <c r="J66" s="76"/>
      <c r="K66" s="76"/>
      <c r="L66" s="13"/>
      <c r="O66" s="50"/>
      <c r="P66" s="50"/>
      <c r="Q66" s="50"/>
      <c r="R66" s="50"/>
      <c r="S66" s="50"/>
      <c r="T66" s="50"/>
      <c r="U66" s="50"/>
      <c r="V66" s="50"/>
      <c r="W66" s="50"/>
    </row>
    <row r="67" spans="2:23" x14ac:dyDescent="0.25">
      <c r="B67" s="1576"/>
      <c r="C67" s="662" t="s">
        <v>645</v>
      </c>
      <c r="D67" s="663" t="s">
        <v>575</v>
      </c>
      <c r="E67" s="664" t="s">
        <v>576</v>
      </c>
      <c r="F67" s="665" t="s">
        <v>577</v>
      </c>
      <c r="G67" s="714" t="s">
        <v>576</v>
      </c>
    </row>
    <row r="68" spans="2:23" x14ac:dyDescent="0.25">
      <c r="B68" s="1576"/>
      <c r="C68" s="671" t="s">
        <v>588</v>
      </c>
      <c r="D68" s="672" t="s">
        <v>646</v>
      </c>
      <c r="E68" s="673" t="s">
        <v>583</v>
      </c>
      <c r="F68" s="673" t="s">
        <v>584</v>
      </c>
      <c r="G68" s="715" t="s">
        <v>583</v>
      </c>
    </row>
    <row r="69" spans="2:23" x14ac:dyDescent="0.25">
      <c r="B69" s="1576"/>
      <c r="C69" s="671" t="s">
        <v>647</v>
      </c>
      <c r="D69" s="672" t="s">
        <v>648</v>
      </c>
      <c r="E69" s="679" t="s">
        <v>590</v>
      </c>
      <c r="F69" s="673" t="s">
        <v>591</v>
      </c>
      <c r="G69" s="716" t="s">
        <v>590</v>
      </c>
    </row>
    <row r="70" spans="2:23" x14ac:dyDescent="0.25">
      <c r="B70" s="1576"/>
      <c r="C70" s="671" t="s">
        <v>174</v>
      </c>
      <c r="D70" s="672" t="s">
        <v>174</v>
      </c>
      <c r="E70" s="679" t="s">
        <v>593</v>
      </c>
      <c r="F70" s="673" t="s">
        <v>594</v>
      </c>
      <c r="G70" s="716" t="s">
        <v>593</v>
      </c>
    </row>
    <row r="71" spans="2:23" x14ac:dyDescent="0.25">
      <c r="B71" s="1576"/>
      <c r="C71" s="425"/>
      <c r="D71" s="27"/>
      <c r="E71" s="679" t="s">
        <v>649</v>
      </c>
      <c r="F71" s="673" t="s">
        <v>599</v>
      </c>
      <c r="G71" s="716" t="s">
        <v>600</v>
      </c>
    </row>
    <row r="72" spans="2:23" x14ac:dyDescent="0.25">
      <c r="B72" s="1576"/>
      <c r="C72" s="425"/>
      <c r="D72" s="27"/>
      <c r="E72" s="679" t="s">
        <v>598</v>
      </c>
      <c r="F72" s="673" t="s">
        <v>605</v>
      </c>
      <c r="G72" s="716" t="s">
        <v>598</v>
      </c>
    </row>
    <row r="73" spans="2:23" x14ac:dyDescent="0.25">
      <c r="B73" s="1576"/>
      <c r="C73" s="425"/>
      <c r="D73" s="27"/>
      <c r="E73" s="679" t="s">
        <v>604</v>
      </c>
      <c r="F73" s="673" t="s">
        <v>610</v>
      </c>
      <c r="G73" s="716" t="s">
        <v>604</v>
      </c>
    </row>
    <row r="74" spans="2:23" x14ac:dyDescent="0.25">
      <c r="B74" s="1576"/>
      <c r="C74" s="425"/>
      <c r="D74" s="27"/>
      <c r="E74" s="679" t="s">
        <v>609</v>
      </c>
      <c r="F74" s="673" t="s">
        <v>613</v>
      </c>
      <c r="G74" s="716" t="s">
        <v>609</v>
      </c>
    </row>
    <row r="75" spans="2:23" x14ac:dyDescent="0.25">
      <c r="B75" s="1576"/>
      <c r="C75" s="425"/>
      <c r="D75" s="27"/>
      <c r="E75" s="27"/>
      <c r="F75" s="673" t="s">
        <v>617</v>
      </c>
      <c r="G75" s="717"/>
    </row>
    <row r="76" spans="2:23" x14ac:dyDescent="0.25">
      <c r="B76" s="1576"/>
      <c r="C76" s="425"/>
      <c r="D76" s="27"/>
      <c r="E76" s="27"/>
      <c r="F76" s="673" t="s">
        <v>620</v>
      </c>
      <c r="G76" s="717"/>
    </row>
    <row r="77" spans="2:23" x14ac:dyDescent="0.25">
      <c r="B77" s="1576"/>
      <c r="C77" s="425"/>
      <c r="D77" s="27"/>
      <c r="E77" s="27"/>
      <c r="F77" s="673" t="s">
        <v>622</v>
      </c>
      <c r="G77" s="717"/>
    </row>
    <row r="78" spans="2:23" x14ac:dyDescent="0.25">
      <c r="B78" s="1576"/>
      <c r="C78" s="425"/>
      <c r="D78" s="27"/>
      <c r="E78" s="27"/>
      <c r="F78" s="673" t="s">
        <v>625</v>
      </c>
      <c r="G78" s="717"/>
    </row>
    <row r="79" spans="2:23" ht="15" customHeight="1" x14ac:dyDescent="0.25">
      <c r="B79" s="1576"/>
      <c r="C79" s="705"/>
      <c r="D79" s="30"/>
      <c r="E79" s="30"/>
      <c r="F79" s="718" t="s">
        <v>174</v>
      </c>
      <c r="G79" s="719"/>
    </row>
    <row r="82" spans="2:21" ht="28.9" customHeight="1" x14ac:dyDescent="0.45">
      <c r="B82" s="656"/>
    </row>
    <row r="83" spans="2:21" ht="31.15" customHeight="1" x14ac:dyDescent="0.5">
      <c r="B83" s="720" t="s">
        <v>650</v>
      </c>
      <c r="C83" s="721"/>
      <c r="D83" s="721"/>
      <c r="E83" s="721"/>
      <c r="F83" s="721"/>
      <c r="G83" s="721"/>
      <c r="H83" s="721"/>
      <c r="I83" s="721"/>
      <c r="J83" s="721"/>
      <c r="K83" s="721"/>
      <c r="L83" s="721"/>
      <c r="M83" s="721"/>
      <c r="N83" s="721"/>
      <c r="O83" s="721"/>
      <c r="P83" s="721"/>
      <c r="Q83" s="721"/>
    </row>
    <row r="84" spans="2:21" ht="30.75" customHeight="1" x14ac:dyDescent="0.45">
      <c r="B84" s="656"/>
      <c r="C84" s="50"/>
      <c r="D84" s="70"/>
      <c r="E84" s="70"/>
      <c r="F84" s="70"/>
      <c r="G84" s="70"/>
      <c r="H84" s="50"/>
      <c r="I84" s="50"/>
      <c r="J84" s="50"/>
      <c r="K84" s="50"/>
      <c r="L84" s="50"/>
      <c r="M84" s="1245" t="s">
        <v>651</v>
      </c>
      <c r="N84" s="1244"/>
      <c r="O84" s="1244"/>
      <c r="P84" s="1244"/>
      <c r="Q84" s="1244"/>
      <c r="U84" s="50"/>
    </row>
    <row r="85" spans="2:21" s="320" customFormat="1" ht="42" customHeight="1" x14ac:dyDescent="0.25">
      <c r="B85" s="1575" t="s">
        <v>652</v>
      </c>
      <c r="C85" s="722" t="s">
        <v>653</v>
      </c>
      <c r="D85" s="723" t="s">
        <v>654</v>
      </c>
      <c r="E85" s="724" t="s">
        <v>655</v>
      </c>
      <c r="F85" s="723" t="s">
        <v>656</v>
      </c>
      <c r="G85" s="723" t="s">
        <v>657</v>
      </c>
      <c r="H85" s="723" t="s">
        <v>658</v>
      </c>
      <c r="I85" s="723" t="s">
        <v>659</v>
      </c>
      <c r="J85" s="723" t="s">
        <v>660</v>
      </c>
      <c r="K85" s="725" t="s">
        <v>661</v>
      </c>
      <c r="L85" s="726" t="s">
        <v>662</v>
      </c>
      <c r="M85" s="723" t="s">
        <v>663</v>
      </c>
      <c r="N85" s="723" t="s">
        <v>664</v>
      </c>
      <c r="O85" s="723" t="s">
        <v>665</v>
      </c>
      <c r="P85" s="723" t="s">
        <v>666</v>
      </c>
      <c r="Q85" s="723"/>
      <c r="U85" s="380"/>
    </row>
    <row r="86" spans="2:21" ht="15" customHeight="1" x14ac:dyDescent="0.25">
      <c r="B86" s="1576"/>
      <c r="C86" s="727" t="s">
        <v>667</v>
      </c>
      <c r="D86" s="728" t="s">
        <v>229</v>
      </c>
      <c r="E86" s="728" t="s">
        <v>229</v>
      </c>
      <c r="F86" s="728" t="s">
        <v>229</v>
      </c>
      <c r="G86" s="728" t="s">
        <v>229</v>
      </c>
      <c r="H86" s="729" t="s">
        <v>668</v>
      </c>
      <c r="I86" s="729" t="s">
        <v>668</v>
      </c>
      <c r="J86" s="729" t="s">
        <v>669</v>
      </c>
      <c r="K86" s="730" t="s">
        <v>229</v>
      </c>
      <c r="L86" s="731" t="s">
        <v>670</v>
      </c>
      <c r="M86" s="1243" t="s">
        <v>671</v>
      </c>
      <c r="N86" s="1242" t="s">
        <v>672</v>
      </c>
      <c r="O86" s="729" t="s">
        <v>205</v>
      </c>
      <c r="P86" s="729" t="s">
        <v>222</v>
      </c>
      <c r="Q86" s="729"/>
      <c r="U86" s="50"/>
    </row>
    <row r="87" spans="2:21" ht="15" customHeight="1" x14ac:dyDescent="0.25">
      <c r="B87" s="1576"/>
      <c r="C87" s="732" t="s">
        <v>667</v>
      </c>
      <c r="D87" s="733" t="s">
        <v>229</v>
      </c>
      <c r="E87" s="733" t="s">
        <v>229</v>
      </c>
      <c r="F87" s="733" t="s">
        <v>229</v>
      </c>
      <c r="G87" s="733" t="s">
        <v>229</v>
      </c>
      <c r="H87" s="734" t="s">
        <v>229</v>
      </c>
      <c r="I87" s="734" t="s">
        <v>229</v>
      </c>
      <c r="J87" s="734" t="s">
        <v>673</v>
      </c>
      <c r="K87" s="735" t="s">
        <v>229</v>
      </c>
      <c r="L87" s="736" t="s">
        <v>229</v>
      </c>
      <c r="M87" s="1240" t="s">
        <v>671</v>
      </c>
      <c r="N87" s="1241" t="s">
        <v>671</v>
      </c>
      <c r="O87" s="734" t="s">
        <v>206</v>
      </c>
      <c r="P87" s="734" t="s">
        <v>207</v>
      </c>
      <c r="Q87" s="734"/>
      <c r="U87" s="50"/>
    </row>
    <row r="88" spans="2:21" ht="15" customHeight="1" x14ac:dyDescent="0.25">
      <c r="B88" s="1576"/>
      <c r="C88" s="732" t="s">
        <v>667</v>
      </c>
      <c r="D88" s="733" t="s">
        <v>674</v>
      </c>
      <c r="E88" s="733" t="s">
        <v>674</v>
      </c>
      <c r="F88" s="733" t="s">
        <v>674</v>
      </c>
      <c r="G88" s="733" t="s">
        <v>674</v>
      </c>
      <c r="H88" s="734" t="s">
        <v>668</v>
      </c>
      <c r="I88" s="734" t="s">
        <v>668</v>
      </c>
      <c r="J88" s="734" t="s">
        <v>675</v>
      </c>
      <c r="K88" s="735" t="s">
        <v>229</v>
      </c>
      <c r="L88" s="736" t="s">
        <v>676</v>
      </c>
      <c r="M88" s="1240" t="s">
        <v>671</v>
      </c>
      <c r="N88" s="1241" t="s">
        <v>671</v>
      </c>
      <c r="O88" s="734" t="s">
        <v>207</v>
      </c>
      <c r="P88" s="734" t="s">
        <v>207</v>
      </c>
      <c r="Q88" s="734"/>
      <c r="U88" s="50"/>
    </row>
    <row r="89" spans="2:21" ht="15" customHeight="1" x14ac:dyDescent="0.25">
      <c r="B89" s="1576"/>
      <c r="C89" s="732" t="s">
        <v>667</v>
      </c>
      <c r="D89" s="733" t="s">
        <v>229</v>
      </c>
      <c r="E89" s="733" t="s">
        <v>229</v>
      </c>
      <c r="F89" s="733" t="s">
        <v>229</v>
      </c>
      <c r="G89" s="733" t="s">
        <v>229</v>
      </c>
      <c r="H89" s="734" t="s">
        <v>668</v>
      </c>
      <c r="I89" s="734" t="s">
        <v>668</v>
      </c>
      <c r="J89" s="734" t="s">
        <v>677</v>
      </c>
      <c r="K89" s="735" t="s">
        <v>676</v>
      </c>
      <c r="L89" s="736" t="s">
        <v>229</v>
      </c>
      <c r="M89" s="1240" t="s">
        <v>668</v>
      </c>
      <c r="N89" s="1238"/>
      <c r="O89" s="1237"/>
      <c r="U89" s="50"/>
    </row>
    <row r="90" spans="2:21" ht="15" customHeight="1" x14ac:dyDescent="0.25">
      <c r="B90" s="1576"/>
      <c r="C90" s="732" t="s">
        <v>678</v>
      </c>
      <c r="D90" s="733" t="s">
        <v>679</v>
      </c>
      <c r="E90" s="733" t="s">
        <v>679</v>
      </c>
      <c r="F90" s="733" t="s">
        <v>679</v>
      </c>
      <c r="G90" s="733" t="s">
        <v>679</v>
      </c>
      <c r="H90" s="734" t="s">
        <v>229</v>
      </c>
      <c r="I90" s="734" t="s">
        <v>229</v>
      </c>
      <c r="J90" s="734" t="s">
        <v>680</v>
      </c>
      <c r="K90" s="737"/>
      <c r="L90" s="738"/>
      <c r="M90" s="1239"/>
      <c r="N90" s="1238"/>
      <c r="O90" s="1237"/>
      <c r="P90" s="1237"/>
      <c r="Q90" s="1237"/>
      <c r="U90" s="50"/>
    </row>
    <row r="91" spans="2:21" ht="15" customHeight="1" x14ac:dyDescent="0.25">
      <c r="B91" s="1576"/>
      <c r="C91" s="732" t="s">
        <v>678</v>
      </c>
      <c r="D91" s="733" t="s">
        <v>681</v>
      </c>
      <c r="E91" s="733" t="s">
        <v>681</v>
      </c>
      <c r="F91" s="733" t="s">
        <v>681</v>
      </c>
      <c r="G91" s="733" t="s">
        <v>681</v>
      </c>
      <c r="H91" s="734" t="s">
        <v>682</v>
      </c>
      <c r="I91" s="734" t="s">
        <v>682</v>
      </c>
      <c r="J91" s="734" t="s">
        <v>683</v>
      </c>
      <c r="K91" s="737"/>
      <c r="L91" s="738"/>
      <c r="M91" s="1239"/>
      <c r="N91" s="1238"/>
      <c r="O91" s="1237"/>
      <c r="P91" s="1237"/>
      <c r="Q91" s="1237"/>
      <c r="U91" s="50"/>
    </row>
    <row r="92" spans="2:21" ht="15" customHeight="1" x14ac:dyDescent="0.25">
      <c r="B92" s="1576"/>
      <c r="C92" s="732" t="s">
        <v>678</v>
      </c>
      <c r="D92" s="733" t="s">
        <v>679</v>
      </c>
      <c r="E92" s="733" t="s">
        <v>679</v>
      </c>
      <c r="F92" s="733" t="s">
        <v>679</v>
      </c>
      <c r="G92" s="733" t="s">
        <v>679</v>
      </c>
      <c r="H92" s="739"/>
      <c r="I92" s="739"/>
      <c r="J92" s="739"/>
      <c r="K92" s="737"/>
      <c r="L92" s="738"/>
      <c r="M92" s="1239"/>
      <c r="N92" s="1238"/>
      <c r="O92" s="1237"/>
      <c r="P92" s="1237"/>
      <c r="Q92" s="1237"/>
      <c r="U92" s="50"/>
    </row>
    <row r="93" spans="2:21" ht="15.75" customHeight="1" x14ac:dyDescent="0.25">
      <c r="B93" s="1576"/>
      <c r="C93" s="740"/>
      <c r="D93" s="733" t="s">
        <v>681</v>
      </c>
      <c r="E93" s="733" t="s">
        <v>681</v>
      </c>
      <c r="F93" s="733" t="s">
        <v>681</v>
      </c>
      <c r="G93" s="733" t="s">
        <v>681</v>
      </c>
      <c r="H93" s="739"/>
      <c r="I93" s="739"/>
      <c r="J93" s="739"/>
      <c r="K93" s="737"/>
      <c r="L93" s="738"/>
      <c r="M93" s="1239"/>
      <c r="N93" s="1238"/>
      <c r="O93" s="1237"/>
      <c r="P93" s="1237"/>
      <c r="Q93" s="1237"/>
      <c r="U93" s="50"/>
    </row>
    <row r="94" spans="2:21" ht="15" customHeight="1" x14ac:dyDescent="0.25">
      <c r="B94" s="1576"/>
      <c r="C94" s="740"/>
      <c r="D94" s="733" t="s">
        <v>679</v>
      </c>
      <c r="E94" s="733" t="s">
        <v>679</v>
      </c>
      <c r="F94" s="733" t="s">
        <v>679</v>
      </c>
      <c r="G94" s="733" t="s">
        <v>679</v>
      </c>
      <c r="H94" s="739"/>
      <c r="I94" s="739"/>
      <c r="J94" s="739"/>
      <c r="K94" s="737"/>
      <c r="L94" s="738"/>
      <c r="M94" s="1239"/>
      <c r="N94" s="1238"/>
      <c r="O94" s="1237"/>
      <c r="P94" s="1237"/>
      <c r="Q94" s="1237"/>
      <c r="U94" s="50"/>
    </row>
    <row r="95" spans="2:21" ht="15" customHeight="1" x14ac:dyDescent="0.25">
      <c r="B95" s="1576"/>
      <c r="C95" s="740"/>
      <c r="D95" s="733" t="s">
        <v>229</v>
      </c>
      <c r="E95" s="739"/>
      <c r="F95" s="733" t="s">
        <v>676</v>
      </c>
      <c r="G95" s="739"/>
      <c r="H95" s="739"/>
      <c r="I95" s="739"/>
      <c r="J95" s="739"/>
      <c r="K95" s="737"/>
      <c r="L95" s="738"/>
      <c r="M95" s="1239"/>
      <c r="N95" s="1238"/>
      <c r="O95" s="1237"/>
      <c r="P95" s="1237"/>
      <c r="Q95" s="1237"/>
      <c r="U95" s="50"/>
    </row>
    <row r="96" spans="2:21" ht="15" customHeight="1" x14ac:dyDescent="0.25">
      <c r="B96" s="1576"/>
      <c r="C96" s="740"/>
      <c r="D96" s="733" t="s">
        <v>229</v>
      </c>
      <c r="E96" s="739"/>
      <c r="F96" s="739"/>
      <c r="G96" s="739"/>
      <c r="H96" s="739"/>
      <c r="I96" s="739"/>
      <c r="J96" s="739"/>
      <c r="K96" s="737"/>
      <c r="L96" s="738"/>
      <c r="M96" s="1239"/>
      <c r="N96" s="1238"/>
      <c r="O96" s="1237"/>
      <c r="P96" s="1237"/>
      <c r="Q96" s="1237"/>
      <c r="U96" s="50"/>
    </row>
    <row r="97" spans="2:23" ht="15" customHeight="1" x14ac:dyDescent="0.25">
      <c r="B97" s="1576"/>
      <c r="C97" s="740"/>
      <c r="D97" s="733" t="s">
        <v>229</v>
      </c>
      <c r="E97" s="739"/>
      <c r="F97" s="739"/>
      <c r="G97" s="739"/>
      <c r="H97" s="739"/>
      <c r="I97" s="739"/>
      <c r="J97" s="739"/>
      <c r="K97" s="737"/>
      <c r="L97" s="738"/>
      <c r="M97" s="1239"/>
      <c r="N97" s="1238"/>
      <c r="O97" s="1237"/>
      <c r="P97" s="1237"/>
      <c r="Q97" s="1237"/>
      <c r="U97" s="50"/>
    </row>
    <row r="98" spans="2:23" ht="15" customHeight="1" x14ac:dyDescent="0.25">
      <c r="B98" s="1576"/>
      <c r="C98" s="741"/>
      <c r="D98" s="742" t="s">
        <v>676</v>
      </c>
      <c r="E98" s="743"/>
      <c r="F98" s="743"/>
      <c r="G98" s="743"/>
      <c r="H98" s="743"/>
      <c r="I98" s="743"/>
      <c r="J98" s="743"/>
      <c r="K98" s="744"/>
      <c r="L98" s="745"/>
      <c r="M98" s="1236"/>
      <c r="N98" s="1235"/>
      <c r="O98" s="1234"/>
      <c r="P98" s="1234"/>
      <c r="Q98" s="1234"/>
      <c r="U98" s="50"/>
    </row>
    <row r="99" spans="2:23" ht="28.9" customHeight="1" x14ac:dyDescent="0.45">
      <c r="B99" s="656"/>
      <c r="E99" s="587"/>
      <c r="F99" s="50"/>
      <c r="G99" s="50"/>
      <c r="H99" s="29"/>
      <c r="I99" s="50"/>
      <c r="J99" s="50"/>
      <c r="K99" s="50"/>
      <c r="L99" s="50"/>
      <c r="M99" s="50"/>
      <c r="W99" s="50"/>
    </row>
    <row r="100" spans="2:23" ht="29.45" customHeight="1" x14ac:dyDescent="0.45">
      <c r="B100" s="746"/>
    </row>
    <row r="101" spans="2:23" ht="25.5" customHeight="1" x14ac:dyDescent="0.25">
      <c r="B101" s="1576" t="s">
        <v>684</v>
      </c>
      <c r="C101" s="747" t="s">
        <v>658</v>
      </c>
    </row>
    <row r="102" spans="2:23" ht="15" customHeight="1" x14ac:dyDescent="0.25">
      <c r="B102" s="1576"/>
      <c r="C102" s="748" t="s">
        <v>668</v>
      </c>
    </row>
    <row r="103" spans="2:23" ht="15" customHeight="1" x14ac:dyDescent="0.25">
      <c r="B103" s="1576"/>
      <c r="C103" s="749" t="s">
        <v>229</v>
      </c>
    </row>
    <row r="104" spans="2:23" ht="15" customHeight="1" x14ac:dyDescent="0.25">
      <c r="B104" s="1576"/>
      <c r="C104" s="749" t="s">
        <v>668</v>
      </c>
    </row>
    <row r="105" spans="2:23" ht="15" customHeight="1" x14ac:dyDescent="0.25">
      <c r="B105" s="1576"/>
      <c r="C105" s="749" t="s">
        <v>229</v>
      </c>
    </row>
    <row r="106" spans="2:23" ht="15" customHeight="1" x14ac:dyDescent="0.25">
      <c r="B106" s="1576"/>
      <c r="C106" s="749" t="s">
        <v>668</v>
      </c>
    </row>
    <row r="107" spans="2:23" ht="15" customHeight="1" x14ac:dyDescent="0.25">
      <c r="B107" s="1576"/>
      <c r="C107" s="749" t="s">
        <v>685</v>
      </c>
    </row>
    <row r="108" spans="2:23" ht="15.75" customHeight="1" x14ac:dyDescent="0.25">
      <c r="B108" s="1576"/>
      <c r="C108" s="750" t="s">
        <v>682</v>
      </c>
    </row>
    <row r="109" spans="2:23" ht="15" customHeight="1" x14ac:dyDescent="0.25"/>
    <row r="110" spans="2:23" ht="15" customHeight="1" x14ac:dyDescent="0.25"/>
    <row r="111" spans="2:23" ht="15" customHeight="1" x14ac:dyDescent="0.25">
      <c r="B111" s="1576" t="s">
        <v>686</v>
      </c>
      <c r="C111" s="751" t="s">
        <v>687</v>
      </c>
    </row>
    <row r="112" spans="2:23" ht="15" customHeight="1" x14ac:dyDescent="0.25">
      <c r="B112" s="1576"/>
      <c r="C112" s="752" t="s">
        <v>229</v>
      </c>
    </row>
    <row r="113" spans="2:7" ht="15" customHeight="1" x14ac:dyDescent="0.25">
      <c r="B113" s="1576"/>
      <c r="C113" s="753" t="s">
        <v>229</v>
      </c>
    </row>
    <row r="114" spans="2:7" ht="15" customHeight="1" x14ac:dyDescent="0.25">
      <c r="B114" s="1576"/>
      <c r="C114" s="753" t="s">
        <v>229</v>
      </c>
    </row>
    <row r="115" spans="2:7" ht="15" customHeight="1" x14ac:dyDescent="0.25">
      <c r="B115" s="1576"/>
      <c r="C115" s="753" t="s">
        <v>229</v>
      </c>
    </row>
    <row r="116" spans="2:7" ht="15" customHeight="1" x14ac:dyDescent="0.25">
      <c r="B116" s="1576"/>
      <c r="C116" s="754" t="s">
        <v>688</v>
      </c>
    </row>
    <row r="117" spans="2:7" ht="15" customHeight="1" x14ac:dyDescent="0.25"/>
    <row r="118" spans="2:7" ht="28.9" customHeight="1" x14ac:dyDescent="0.45">
      <c r="B118" s="746"/>
    </row>
    <row r="119" spans="2:7" ht="15.75" customHeight="1" x14ac:dyDescent="0.25">
      <c r="B119" s="1577" t="s">
        <v>689</v>
      </c>
      <c r="C119" s="755" t="s">
        <v>690</v>
      </c>
      <c r="D119" s="756" t="s">
        <v>691</v>
      </c>
      <c r="E119" s="756" t="s">
        <v>692</v>
      </c>
      <c r="F119" s="756" t="s">
        <v>693</v>
      </c>
      <c r="G119" s="757" t="s">
        <v>694</v>
      </c>
    </row>
    <row r="120" spans="2:7" ht="26.25" customHeight="1" x14ac:dyDescent="0.25">
      <c r="B120" s="1578"/>
      <c r="C120" s="758" t="s">
        <v>695</v>
      </c>
      <c r="D120" s="759" t="s">
        <v>695</v>
      </c>
      <c r="E120" s="760" t="s">
        <v>696</v>
      </c>
      <c r="F120" s="760" t="s">
        <v>697</v>
      </c>
      <c r="G120" s="761" t="s">
        <v>668</v>
      </c>
    </row>
    <row r="121" spans="2:7" ht="15.75" customHeight="1" x14ac:dyDescent="0.25">
      <c r="B121" s="1578"/>
      <c r="C121" s="762" t="s">
        <v>695</v>
      </c>
      <c r="D121" s="763" t="s">
        <v>695</v>
      </c>
      <c r="E121" s="763" t="s">
        <v>698</v>
      </c>
      <c r="F121" s="763" t="s">
        <v>699</v>
      </c>
      <c r="G121" s="764"/>
    </row>
    <row r="122" spans="2:7" ht="15" customHeight="1" x14ac:dyDescent="0.25">
      <c r="B122" s="1578"/>
      <c r="C122" s="762" t="s">
        <v>700</v>
      </c>
      <c r="D122" s="763" t="s">
        <v>700</v>
      </c>
      <c r="E122" s="763" t="s">
        <v>701</v>
      </c>
      <c r="F122" s="763" t="s">
        <v>699</v>
      </c>
      <c r="G122" s="764"/>
    </row>
    <row r="123" spans="2:7" ht="15" customHeight="1" x14ac:dyDescent="0.25">
      <c r="B123" s="1578"/>
      <c r="C123" s="762" t="s">
        <v>700</v>
      </c>
      <c r="D123" s="763" t="s">
        <v>700</v>
      </c>
      <c r="E123" s="27"/>
      <c r="F123" s="763" t="s">
        <v>699</v>
      </c>
      <c r="G123" s="764"/>
    </row>
    <row r="124" spans="2:7" ht="15" customHeight="1" x14ac:dyDescent="0.25">
      <c r="B124" s="1578"/>
      <c r="C124" s="765"/>
      <c r="D124" s="27"/>
      <c r="E124" s="27"/>
      <c r="F124" s="763" t="s">
        <v>699</v>
      </c>
      <c r="G124" s="764"/>
    </row>
    <row r="125" spans="2:7" ht="15" customHeight="1" x14ac:dyDescent="0.25">
      <c r="B125" s="1578"/>
      <c r="C125" s="765"/>
      <c r="D125" s="27"/>
      <c r="E125" s="27"/>
      <c r="F125" s="763" t="s">
        <v>702</v>
      </c>
      <c r="G125" s="764"/>
    </row>
    <row r="126" spans="2:7" ht="15" customHeight="1" x14ac:dyDescent="0.25">
      <c r="B126" s="1578"/>
      <c r="C126" s="765"/>
      <c r="D126" s="27"/>
      <c r="E126" s="27"/>
      <c r="F126" s="763" t="s">
        <v>702</v>
      </c>
      <c r="G126" s="764"/>
    </row>
    <row r="127" spans="2:7" ht="15" customHeight="1" x14ac:dyDescent="0.25">
      <c r="B127" s="1578"/>
      <c r="C127" s="425"/>
      <c r="D127" s="27"/>
      <c r="E127" s="27"/>
      <c r="F127" s="763" t="s">
        <v>703</v>
      </c>
      <c r="G127" s="764"/>
    </row>
    <row r="128" spans="2:7" ht="15" customHeight="1" x14ac:dyDescent="0.25">
      <c r="B128" s="1578"/>
      <c r="C128" s="425"/>
      <c r="D128" s="27"/>
      <c r="E128" s="27"/>
      <c r="F128" s="763" t="s">
        <v>703</v>
      </c>
      <c r="G128" s="764"/>
    </row>
    <row r="129" spans="2:7" ht="15.75" customHeight="1" x14ac:dyDescent="0.25">
      <c r="B129" s="1578"/>
      <c r="C129" s="425"/>
      <c r="D129" s="27"/>
      <c r="E129" s="27"/>
      <c r="F129" s="763" t="s">
        <v>704</v>
      </c>
      <c r="G129" s="764"/>
    </row>
    <row r="130" spans="2:7" ht="15" customHeight="1" x14ac:dyDescent="0.25">
      <c r="B130" s="1578"/>
      <c r="C130" s="425"/>
      <c r="D130" s="27"/>
      <c r="E130" s="27"/>
      <c r="F130" s="763" t="s">
        <v>704</v>
      </c>
      <c r="G130" s="764"/>
    </row>
    <row r="131" spans="2:7" ht="15" customHeight="1" x14ac:dyDescent="0.25">
      <c r="B131" s="1578"/>
      <c r="C131" s="425"/>
      <c r="D131" s="27"/>
      <c r="E131" s="27"/>
      <c r="F131" s="763" t="s">
        <v>705</v>
      </c>
      <c r="G131" s="764"/>
    </row>
    <row r="132" spans="2:7" ht="15" customHeight="1" x14ac:dyDescent="0.25">
      <c r="B132" s="1578"/>
      <c r="C132" s="425"/>
      <c r="D132" s="27"/>
      <c r="E132" s="27"/>
      <c r="F132" s="763" t="s">
        <v>668</v>
      </c>
      <c r="G132" s="764"/>
    </row>
    <row r="133" spans="2:7" ht="15.75" customHeight="1" x14ac:dyDescent="0.25">
      <c r="B133" s="1578"/>
      <c r="C133" s="705"/>
      <c r="D133" s="30"/>
      <c r="E133" s="30"/>
      <c r="F133" s="766" t="s">
        <v>705</v>
      </c>
      <c r="G133" s="767"/>
    </row>
    <row r="134" spans="2:7" ht="28.9" customHeight="1" x14ac:dyDescent="0.45">
      <c r="B134" s="768"/>
      <c r="G134" s="769"/>
    </row>
    <row r="135" spans="2:7" ht="29.45" customHeight="1" x14ac:dyDescent="0.45">
      <c r="B135" s="768"/>
      <c r="C135" s="770" t="s">
        <v>706</v>
      </c>
      <c r="D135" s="770"/>
      <c r="E135" s="770"/>
      <c r="F135" s="770"/>
      <c r="G135" s="769"/>
    </row>
    <row r="136" spans="2:7" ht="15.75" customHeight="1" x14ac:dyDescent="0.25">
      <c r="B136" s="1567" t="s">
        <v>707</v>
      </c>
      <c r="C136" s="771" t="s">
        <v>690</v>
      </c>
      <c r="D136" s="772"/>
      <c r="E136" s="772" t="s">
        <v>692</v>
      </c>
      <c r="F136" s="773" t="s">
        <v>693</v>
      </c>
      <c r="G136" s="769"/>
    </row>
    <row r="137" spans="2:7" ht="15" customHeight="1" x14ac:dyDescent="0.25">
      <c r="B137" s="1568"/>
      <c r="C137" s="774" t="s">
        <v>697</v>
      </c>
      <c r="D137" s="775"/>
      <c r="E137" s="760" t="s">
        <v>699</v>
      </c>
      <c r="F137" s="776" t="s">
        <v>668</v>
      </c>
      <c r="G137" s="769"/>
    </row>
    <row r="138" spans="2:7" ht="15" customHeight="1" x14ac:dyDescent="0.25">
      <c r="B138" s="1568"/>
      <c r="C138" s="777" t="s">
        <v>671</v>
      </c>
      <c r="D138" s="27"/>
      <c r="E138" s="763" t="s">
        <v>702</v>
      </c>
      <c r="F138" s="778" t="s">
        <v>697</v>
      </c>
      <c r="G138" s="769"/>
    </row>
    <row r="139" spans="2:7" ht="15" customHeight="1" x14ac:dyDescent="0.25">
      <c r="B139" s="1568"/>
      <c r="C139" s="777" t="s">
        <v>671</v>
      </c>
      <c r="D139" s="27"/>
      <c r="E139" s="763" t="s">
        <v>703</v>
      </c>
      <c r="F139" s="778" t="s">
        <v>668</v>
      </c>
      <c r="G139" s="769"/>
    </row>
    <row r="140" spans="2:7" ht="15" customHeight="1" x14ac:dyDescent="0.25">
      <c r="B140" s="1568"/>
      <c r="C140" s="777" t="s">
        <v>697</v>
      </c>
      <c r="D140" s="27"/>
      <c r="E140" s="763" t="s">
        <v>704</v>
      </c>
      <c r="F140" s="778" t="s">
        <v>671</v>
      </c>
      <c r="G140" s="769"/>
    </row>
    <row r="141" spans="2:7" ht="15" customHeight="1" x14ac:dyDescent="0.25">
      <c r="B141" s="1568"/>
      <c r="C141" s="777" t="s">
        <v>671</v>
      </c>
      <c r="D141" s="27"/>
      <c r="E141" s="763" t="s">
        <v>699</v>
      </c>
      <c r="F141" s="26"/>
      <c r="G141" s="769"/>
    </row>
    <row r="142" spans="2:7" ht="15.75" customHeight="1" x14ac:dyDescent="0.25">
      <c r="B142" s="1568"/>
      <c r="C142" s="777" t="s">
        <v>671</v>
      </c>
      <c r="D142" s="27"/>
      <c r="E142" s="763" t="s">
        <v>668</v>
      </c>
      <c r="F142" s="26"/>
      <c r="G142" s="769"/>
    </row>
    <row r="143" spans="2:7" ht="15" customHeight="1" x14ac:dyDescent="0.25">
      <c r="B143" s="1568"/>
      <c r="C143" s="777" t="s">
        <v>697</v>
      </c>
      <c r="D143" s="27"/>
      <c r="E143" s="763" t="s">
        <v>668</v>
      </c>
      <c r="F143" s="26"/>
      <c r="G143" s="769"/>
    </row>
    <row r="144" spans="2:7" ht="15" customHeight="1" x14ac:dyDescent="0.25">
      <c r="B144" s="1568"/>
      <c r="C144" s="777" t="s">
        <v>671</v>
      </c>
      <c r="D144" s="27"/>
      <c r="E144" s="763" t="s">
        <v>699</v>
      </c>
      <c r="F144" s="26"/>
      <c r="G144" s="769"/>
    </row>
    <row r="145" spans="2:7" ht="15" customHeight="1" x14ac:dyDescent="0.25">
      <c r="B145" s="1568"/>
      <c r="C145" s="777" t="s">
        <v>671</v>
      </c>
      <c r="D145" s="27"/>
      <c r="E145" s="27"/>
      <c r="F145" s="26"/>
      <c r="G145" s="769"/>
    </row>
    <row r="146" spans="2:7" ht="15" customHeight="1" x14ac:dyDescent="0.25">
      <c r="B146" s="1568"/>
      <c r="C146" s="777" t="s">
        <v>697</v>
      </c>
      <c r="D146" s="27"/>
      <c r="E146" s="27"/>
      <c r="F146" s="26"/>
      <c r="G146" s="769"/>
    </row>
    <row r="147" spans="2:7" ht="15" customHeight="1" x14ac:dyDescent="0.25">
      <c r="B147" s="1568"/>
      <c r="C147" s="777" t="s">
        <v>671</v>
      </c>
      <c r="D147" s="27"/>
      <c r="E147" s="27"/>
      <c r="F147" s="26"/>
      <c r="G147" s="769"/>
    </row>
    <row r="148" spans="2:7" ht="15" customHeight="1" x14ac:dyDescent="0.25">
      <c r="B148" s="1568"/>
      <c r="C148" s="777" t="s">
        <v>697</v>
      </c>
      <c r="D148" s="27"/>
      <c r="E148" s="27"/>
      <c r="F148" s="26"/>
      <c r="G148" s="769"/>
    </row>
    <row r="149" spans="2:7" ht="15" customHeight="1" x14ac:dyDescent="0.25">
      <c r="B149" s="1568"/>
      <c r="C149" s="777" t="s">
        <v>671</v>
      </c>
      <c r="D149" s="27"/>
      <c r="E149" s="27"/>
      <c r="F149" s="26"/>
      <c r="G149" s="769"/>
    </row>
    <row r="150" spans="2:7" ht="15" customHeight="1" x14ac:dyDescent="0.25">
      <c r="B150" s="1568"/>
      <c r="C150" s="777" t="s">
        <v>697</v>
      </c>
      <c r="D150" s="27"/>
      <c r="E150" s="27"/>
      <c r="F150" s="26"/>
      <c r="G150" s="769"/>
    </row>
    <row r="151" spans="2:7" ht="27" customHeight="1" x14ac:dyDescent="0.25">
      <c r="B151" s="1569"/>
      <c r="C151" s="779" t="s">
        <v>671</v>
      </c>
      <c r="D151" s="780"/>
      <c r="E151" s="780"/>
      <c r="F151" s="781"/>
      <c r="G151" s="782"/>
    </row>
    <row r="152" spans="2:7" ht="29.45" customHeight="1" x14ac:dyDescent="0.45">
      <c r="B152" s="656"/>
    </row>
    <row r="153" spans="2:7" ht="15.75" customHeight="1" x14ac:dyDescent="0.25">
      <c r="B153" s="1570" t="s">
        <v>708</v>
      </c>
      <c r="C153" s="783" t="s">
        <v>709</v>
      </c>
    </row>
    <row r="154" spans="2:7" ht="15" customHeight="1" x14ac:dyDescent="0.25">
      <c r="B154" s="1570"/>
      <c r="C154" s="784" t="s">
        <v>710</v>
      </c>
    </row>
    <row r="155" spans="2:7" ht="15" customHeight="1" x14ac:dyDescent="0.25">
      <c r="B155" s="1570"/>
      <c r="C155" s="784" t="s">
        <v>711</v>
      </c>
    </row>
    <row r="156" spans="2:7" ht="15" customHeight="1" x14ac:dyDescent="0.25">
      <c r="B156" s="1570"/>
      <c r="C156" s="784" t="s">
        <v>711</v>
      </c>
    </row>
    <row r="157" spans="2:7" ht="15" customHeight="1" x14ac:dyDescent="0.25">
      <c r="B157" s="1570"/>
      <c r="C157" s="784" t="s">
        <v>711</v>
      </c>
    </row>
    <row r="158" spans="2:7" ht="15" customHeight="1" x14ac:dyDescent="0.25">
      <c r="B158" s="1570"/>
      <c r="C158" s="784" t="s">
        <v>711</v>
      </c>
    </row>
    <row r="159" spans="2:7" ht="15.75" customHeight="1" x14ac:dyDescent="0.25">
      <c r="B159" s="1570"/>
      <c r="C159" s="785" t="s">
        <v>711</v>
      </c>
    </row>
    <row r="160" spans="2:7" ht="29.45" customHeight="1" x14ac:dyDescent="0.45">
      <c r="B160" s="656"/>
    </row>
    <row r="161" spans="2:6" ht="15" customHeight="1" x14ac:dyDescent="0.25">
      <c r="B161" s="1571" t="s">
        <v>712</v>
      </c>
      <c r="C161" s="786" t="s">
        <v>713</v>
      </c>
      <c r="D161" s="787" t="s">
        <v>714</v>
      </c>
      <c r="E161" s="787" t="s">
        <v>715</v>
      </c>
      <c r="F161" s="788" t="s">
        <v>716</v>
      </c>
    </row>
    <row r="162" spans="2:6" x14ac:dyDescent="0.25">
      <c r="B162" s="1572"/>
      <c r="C162" s="789" t="s">
        <v>671</v>
      </c>
      <c r="D162" s="790" t="s">
        <v>671</v>
      </c>
      <c r="E162" s="32" t="s">
        <v>160</v>
      </c>
      <c r="F162" s="791"/>
    </row>
    <row r="163" spans="2:6" ht="15" customHeight="1" x14ac:dyDescent="0.25">
      <c r="B163" s="1572"/>
      <c r="C163" s="792" t="s">
        <v>671</v>
      </c>
      <c r="D163" s="793" t="s">
        <v>671</v>
      </c>
      <c r="E163" s="27" t="s">
        <v>161</v>
      </c>
      <c r="F163" s="794"/>
    </row>
    <row r="164" spans="2:6" ht="15" customHeight="1" x14ac:dyDescent="0.25">
      <c r="B164" s="1572"/>
      <c r="C164" s="792" t="s">
        <v>671</v>
      </c>
      <c r="D164" s="793" t="s">
        <v>671</v>
      </c>
      <c r="E164" s="27"/>
      <c r="F164" s="794"/>
    </row>
    <row r="165" spans="2:6" ht="15" customHeight="1" x14ac:dyDescent="0.25">
      <c r="B165" s="1572"/>
      <c r="C165" s="792" t="s">
        <v>671</v>
      </c>
      <c r="D165" s="793" t="s">
        <v>671</v>
      </c>
      <c r="E165" s="27"/>
      <c r="F165" s="794"/>
    </row>
    <row r="166" spans="2:6" ht="15" customHeight="1" x14ac:dyDescent="0.25">
      <c r="B166" s="1572"/>
      <c r="C166" s="792" t="s">
        <v>671</v>
      </c>
      <c r="D166" s="793" t="s">
        <v>688</v>
      </c>
      <c r="E166" s="27"/>
      <c r="F166" s="794"/>
    </row>
    <row r="167" spans="2:6" ht="15" customHeight="1" x14ac:dyDescent="0.25">
      <c r="B167" s="1572"/>
      <c r="C167" s="792" t="s">
        <v>671</v>
      </c>
      <c r="D167" s="27"/>
      <c r="E167" s="27"/>
      <c r="F167" s="794"/>
    </row>
    <row r="168" spans="2:6" ht="15" customHeight="1" x14ac:dyDescent="0.25">
      <c r="B168" s="1572"/>
      <c r="C168" s="792" t="s">
        <v>671</v>
      </c>
      <c r="D168" s="27"/>
      <c r="E168" s="27"/>
      <c r="F168" s="794"/>
    </row>
    <row r="169" spans="2:6" ht="15" customHeight="1" x14ac:dyDescent="0.25">
      <c r="B169" s="1572"/>
      <c r="C169" s="792" t="s">
        <v>671</v>
      </c>
      <c r="D169" s="27"/>
      <c r="E169" s="27"/>
      <c r="F169" s="794"/>
    </row>
    <row r="170" spans="2:6" ht="15" customHeight="1" x14ac:dyDescent="0.25">
      <c r="B170" s="1572"/>
      <c r="C170" s="792" t="s">
        <v>671</v>
      </c>
      <c r="D170" s="27"/>
      <c r="E170" s="27"/>
      <c r="F170" s="794"/>
    </row>
    <row r="171" spans="2:6" ht="15" customHeight="1" x14ac:dyDescent="0.25">
      <c r="B171" s="1572"/>
      <c r="C171" s="792" t="s">
        <v>671</v>
      </c>
      <c r="D171" s="27"/>
      <c r="E171" s="27"/>
      <c r="F171" s="794"/>
    </row>
    <row r="172" spans="2:6" ht="15" customHeight="1" x14ac:dyDescent="0.25">
      <c r="B172" s="1572"/>
      <c r="C172" s="792" t="s">
        <v>671</v>
      </c>
      <c r="D172" s="27"/>
      <c r="E172" s="27"/>
      <c r="F172" s="794"/>
    </row>
    <row r="173" spans="2:6" ht="15" customHeight="1" x14ac:dyDescent="0.25">
      <c r="B173" s="1572"/>
      <c r="C173" s="792" t="s">
        <v>671</v>
      </c>
      <c r="D173" s="27"/>
      <c r="E173" s="27"/>
      <c r="F173" s="794"/>
    </row>
    <row r="174" spans="2:6" ht="15" customHeight="1" x14ac:dyDescent="0.25">
      <c r="B174" s="1572"/>
      <c r="C174" s="792" t="s">
        <v>688</v>
      </c>
      <c r="D174" s="27"/>
      <c r="E174" s="27"/>
      <c r="F174" s="794"/>
    </row>
    <row r="175" spans="2:6" ht="15.75" customHeight="1" x14ac:dyDescent="0.25">
      <c r="B175" s="1572"/>
      <c r="C175" s="795" t="s">
        <v>688</v>
      </c>
      <c r="D175" s="30"/>
      <c r="E175" s="30"/>
      <c r="F175" s="796"/>
    </row>
    <row r="176" spans="2:6" ht="29.45" customHeight="1" x14ac:dyDescent="0.45">
      <c r="B176" s="656"/>
    </row>
    <row r="177" spans="2:23" ht="15.75" customHeight="1" x14ac:dyDescent="0.25">
      <c r="B177" s="1573" t="s">
        <v>717</v>
      </c>
      <c r="C177" s="797" t="s">
        <v>718</v>
      </c>
      <c r="D177" s="798" t="s">
        <v>719</v>
      </c>
      <c r="E177" s="799" t="s">
        <v>720</v>
      </c>
    </row>
    <row r="178" spans="2:23" ht="15.75" customHeight="1" x14ac:dyDescent="0.25">
      <c r="B178" s="1574"/>
      <c r="C178" s="800" t="s">
        <v>710</v>
      </c>
      <c r="D178" s="801" t="s">
        <v>721</v>
      </c>
      <c r="E178" s="802" t="s">
        <v>722</v>
      </c>
    </row>
    <row r="179" spans="2:23" ht="29.45" customHeight="1" x14ac:dyDescent="0.45">
      <c r="B179" s="656"/>
      <c r="C179" s="46"/>
      <c r="D179" s="50"/>
      <c r="E179" s="62"/>
    </row>
    <row r="180" spans="2:23" ht="15.75" customHeight="1" x14ac:dyDescent="0.25">
      <c r="B180" s="1573" t="s">
        <v>723</v>
      </c>
      <c r="C180" s="803" t="s">
        <v>724</v>
      </c>
      <c r="D180" s="804" t="s">
        <v>725</v>
      </c>
      <c r="E180" s="805" t="s">
        <v>726</v>
      </c>
    </row>
    <row r="181" spans="2:23" ht="15" customHeight="1" x14ac:dyDescent="0.25">
      <c r="B181" s="1573"/>
      <c r="C181" s="806" t="s">
        <v>710</v>
      </c>
      <c r="D181" s="807" t="s">
        <v>710</v>
      </c>
      <c r="E181" s="808" t="s">
        <v>727</v>
      </c>
    </row>
    <row r="182" spans="2:23" ht="26.25" customHeight="1" x14ac:dyDescent="0.25">
      <c r="B182" s="1573"/>
      <c r="C182" s="809" t="s">
        <v>711</v>
      </c>
      <c r="D182" s="810" t="s">
        <v>711</v>
      </c>
      <c r="E182" s="811"/>
    </row>
    <row r="183" spans="2:23" ht="26.25" customHeight="1" x14ac:dyDescent="0.25">
      <c r="B183" s="1573"/>
      <c r="C183" s="809" t="s">
        <v>711</v>
      </c>
      <c r="D183" s="810" t="s">
        <v>711</v>
      </c>
      <c r="E183" s="811"/>
    </row>
    <row r="184" spans="2:23" ht="26.25" customHeight="1" x14ac:dyDescent="0.25">
      <c r="B184" s="1573"/>
      <c r="C184" s="809" t="s">
        <v>711</v>
      </c>
      <c r="D184" s="810" t="s">
        <v>711</v>
      </c>
      <c r="E184" s="811"/>
    </row>
    <row r="185" spans="2:23" ht="27" customHeight="1" x14ac:dyDescent="0.25">
      <c r="B185" s="1573"/>
      <c r="C185" s="812" t="s">
        <v>711</v>
      </c>
      <c r="D185" s="813"/>
      <c r="E185" s="814"/>
    </row>
    <row r="186" spans="2:23" ht="28.9" customHeight="1" x14ac:dyDescent="0.45">
      <c r="B186" s="656"/>
    </row>
    <row r="187" spans="2:23" ht="28.9" customHeight="1" x14ac:dyDescent="0.45">
      <c r="B187" s="656"/>
    </row>
    <row r="188" spans="2:23" ht="31.15" customHeight="1" x14ac:dyDescent="0.5">
      <c r="B188" s="720" t="s">
        <v>728</v>
      </c>
      <c r="C188" s="721"/>
      <c r="D188" s="721"/>
      <c r="E188" s="721"/>
      <c r="F188" s="721"/>
      <c r="G188" s="721"/>
      <c r="H188" s="721"/>
      <c r="I188" s="721"/>
      <c r="J188" s="721"/>
      <c r="K188" s="721"/>
      <c r="L188" s="721"/>
      <c r="M188" s="721"/>
      <c r="N188" s="721"/>
      <c r="O188" s="721"/>
    </row>
    <row r="189" spans="2:23" ht="15" customHeight="1" x14ac:dyDescent="0.25"/>
    <row r="190" spans="2:23" ht="15" customHeight="1" x14ac:dyDescent="0.25">
      <c r="B190" s="815" t="s">
        <v>729</v>
      </c>
      <c r="C190" s="44"/>
      <c r="D190" s="44"/>
      <c r="E190" s="44"/>
      <c r="F190" s="45"/>
      <c r="R190" s="50"/>
      <c r="S190" s="50"/>
      <c r="T190" s="50"/>
      <c r="U190" s="50"/>
      <c r="V190" s="50"/>
      <c r="W190" s="50"/>
    </row>
    <row r="191" spans="2:23" ht="15" customHeight="1" x14ac:dyDescent="0.25">
      <c r="D191" s="816"/>
      <c r="E191" s="817"/>
      <c r="F191" s="50"/>
      <c r="Q191" s="50"/>
      <c r="R191" s="50"/>
      <c r="S191" s="50"/>
      <c r="T191" s="50"/>
      <c r="U191" s="50"/>
      <c r="V191" s="50"/>
      <c r="W191" s="50"/>
    </row>
    <row r="192" spans="2:23" ht="30.75" customHeight="1" x14ac:dyDescent="0.25">
      <c r="B192" s="1566" t="s">
        <v>730</v>
      </c>
      <c r="C192" s="818" t="s">
        <v>731</v>
      </c>
      <c r="D192" s="819" t="s">
        <v>732</v>
      </c>
      <c r="E192" s="819" t="s">
        <v>733</v>
      </c>
      <c r="F192" s="820" t="s">
        <v>734</v>
      </c>
      <c r="G192" s="48"/>
      <c r="Q192" s="50"/>
      <c r="R192" s="50"/>
      <c r="S192" s="50"/>
      <c r="T192" s="50"/>
      <c r="U192" s="50"/>
      <c r="V192" s="50"/>
      <c r="W192" s="50"/>
    </row>
    <row r="193" spans="2:23" ht="45.75" customHeight="1" x14ac:dyDescent="0.25">
      <c r="B193" s="1566"/>
      <c r="C193" s="821" t="s">
        <v>735</v>
      </c>
      <c r="D193" s="822" t="s">
        <v>736</v>
      </c>
      <c r="E193" s="823" t="s">
        <v>737</v>
      </c>
      <c r="F193" s="824" t="s">
        <v>738</v>
      </c>
      <c r="G193" s="50"/>
      <c r="Q193" s="50"/>
      <c r="R193" s="50"/>
      <c r="S193" s="50"/>
      <c r="T193" s="50"/>
      <c r="U193" s="50"/>
      <c r="V193" s="50"/>
      <c r="W193" s="50"/>
    </row>
    <row r="194" spans="2:23" x14ac:dyDescent="0.25">
      <c r="C194" s="50"/>
      <c r="D194" s="50"/>
      <c r="E194" s="587"/>
      <c r="F194" s="50"/>
      <c r="G194" s="50"/>
      <c r="Q194" s="50"/>
      <c r="R194" s="50"/>
      <c r="S194" s="50"/>
      <c r="T194" s="50"/>
      <c r="U194" s="50"/>
      <c r="V194" s="50"/>
      <c r="W194" s="50"/>
    </row>
    <row r="195" spans="2:23" ht="15" customHeight="1" x14ac:dyDescent="0.25">
      <c r="G195" s="50"/>
      <c r="Q195" s="50"/>
      <c r="R195" s="50"/>
      <c r="S195" s="50"/>
      <c r="T195" s="50"/>
      <c r="U195" s="50"/>
      <c r="V195" s="50"/>
      <c r="W195" s="50"/>
    </row>
    <row r="196" spans="2:23" ht="30" customHeight="1" x14ac:dyDescent="0.25">
      <c r="B196" s="1566" t="s">
        <v>739</v>
      </c>
      <c r="C196" s="825" t="s">
        <v>740</v>
      </c>
      <c r="D196" s="826" t="s">
        <v>741</v>
      </c>
      <c r="E196" s="827" t="s">
        <v>742</v>
      </c>
      <c r="G196" s="50"/>
      <c r="Q196" s="50"/>
      <c r="R196" s="50"/>
      <c r="S196" s="50"/>
      <c r="T196" s="50"/>
      <c r="U196" s="50"/>
      <c r="V196" s="50"/>
      <c r="W196" s="50"/>
    </row>
    <row r="197" spans="2:23" ht="40.15" customHeight="1" x14ac:dyDescent="0.25">
      <c r="B197" s="1566"/>
      <c r="C197" s="51" t="s">
        <v>743</v>
      </c>
      <c r="D197" s="52" t="s">
        <v>744</v>
      </c>
      <c r="E197" s="828" t="str">
        <f ca="1">dms_060701_StartDateTxt</f>
        <v>1-Jul-2019</v>
      </c>
      <c r="Q197" s="50"/>
      <c r="R197" s="50"/>
      <c r="S197" s="50"/>
      <c r="T197" s="50"/>
      <c r="U197" s="50"/>
      <c r="V197" s="50"/>
      <c r="W197" s="50"/>
    </row>
    <row r="198" spans="2:23" x14ac:dyDescent="0.25">
      <c r="C198" s="50"/>
      <c r="D198" s="50"/>
      <c r="E198" s="587"/>
      <c r="G198" s="50"/>
      <c r="Q198" s="50"/>
      <c r="R198" s="50"/>
      <c r="S198" s="50"/>
      <c r="T198" s="50"/>
      <c r="U198" s="50"/>
      <c r="V198" s="50"/>
      <c r="W198" s="50"/>
    </row>
    <row r="199" spans="2:23" ht="15" customHeight="1" x14ac:dyDescent="0.25">
      <c r="C199" s="50"/>
      <c r="P199" s="50"/>
      <c r="Q199" s="50"/>
      <c r="R199" s="50"/>
      <c r="S199" s="50"/>
      <c r="T199" s="50"/>
      <c r="U199" s="50"/>
      <c r="V199" s="50"/>
      <c r="W199" s="50"/>
    </row>
    <row r="200" spans="2:23" ht="22.5" customHeight="1" x14ac:dyDescent="0.25">
      <c r="B200" s="1566" t="s">
        <v>745</v>
      </c>
      <c r="C200" s="829" t="s">
        <v>746</v>
      </c>
      <c r="D200" s="830" t="s">
        <v>747</v>
      </c>
      <c r="E200" s="830" t="s">
        <v>748</v>
      </c>
      <c r="F200" s="831" t="s">
        <v>749</v>
      </c>
      <c r="Q200" s="50"/>
      <c r="R200" s="50"/>
      <c r="S200" s="50"/>
      <c r="T200" s="50"/>
      <c r="U200" s="50"/>
      <c r="V200" s="50"/>
      <c r="W200" s="50"/>
    </row>
    <row r="201" spans="2:23" ht="22.5" customHeight="1" x14ac:dyDescent="0.25">
      <c r="B201" s="1566"/>
      <c r="C201" s="51" t="s">
        <v>750</v>
      </c>
      <c r="D201" s="52" t="s">
        <v>751</v>
      </c>
      <c r="E201" s="832" t="s">
        <v>752</v>
      </c>
      <c r="F201" s="65" t="s">
        <v>753</v>
      </c>
      <c r="Q201" s="50"/>
      <c r="R201" s="50"/>
      <c r="S201" s="50"/>
      <c r="T201" s="50"/>
      <c r="U201" s="50"/>
      <c r="V201" s="50"/>
      <c r="W201" s="50"/>
    </row>
    <row r="202" spans="2:23" x14ac:dyDescent="0.25">
      <c r="B202" s="50"/>
      <c r="C202" s="50"/>
      <c r="D202" s="50"/>
      <c r="E202" s="587"/>
      <c r="F202" s="50"/>
      <c r="Q202" s="50"/>
      <c r="R202" s="50"/>
      <c r="S202" s="50"/>
      <c r="T202" s="50"/>
      <c r="U202" s="50"/>
      <c r="V202" s="50"/>
      <c r="W202" s="50"/>
    </row>
    <row r="203" spans="2:23" ht="15" customHeight="1" x14ac:dyDescent="0.25">
      <c r="C203" s="50"/>
      <c r="Q203" s="50"/>
      <c r="R203" s="50"/>
      <c r="S203" s="50"/>
      <c r="T203" s="50"/>
      <c r="U203" s="50"/>
      <c r="V203" s="50"/>
      <c r="W203" s="50"/>
    </row>
    <row r="204" spans="2:23" ht="36" customHeight="1" x14ac:dyDescent="0.25">
      <c r="B204" s="1207" t="s">
        <v>754</v>
      </c>
      <c r="C204" s="833" t="s">
        <v>755</v>
      </c>
      <c r="D204" s="66" t="s">
        <v>756</v>
      </c>
      <c r="E204" s="67" t="s">
        <v>757</v>
      </c>
      <c r="Q204" s="50"/>
      <c r="R204" s="50"/>
      <c r="S204" s="50"/>
      <c r="T204" s="50"/>
      <c r="U204" s="50"/>
      <c r="V204" s="50"/>
      <c r="W204" s="50"/>
    </row>
    <row r="206" spans="2:23" x14ac:dyDescent="0.25">
      <c r="C206" s="50"/>
      <c r="P206" s="50"/>
      <c r="Q206" s="50"/>
      <c r="R206" s="50"/>
      <c r="S206" s="50"/>
      <c r="T206" s="50"/>
      <c r="U206" s="50"/>
      <c r="V206" s="50"/>
      <c r="W206" s="50"/>
    </row>
    <row r="207" spans="2:23" s="50" customFormat="1" ht="21.75" customHeight="1" x14ac:dyDescent="0.25">
      <c r="B207" s="834" t="s">
        <v>758</v>
      </c>
      <c r="C207" s="835"/>
      <c r="D207" s="835"/>
      <c r="E207" s="835"/>
      <c r="F207" s="835"/>
      <c r="G207" s="835"/>
      <c r="H207" s="835"/>
      <c r="I207" s="835"/>
      <c r="J207" s="835"/>
      <c r="K207" s="835"/>
      <c r="L207" s="835"/>
      <c r="M207" s="835"/>
      <c r="N207" s="835"/>
      <c r="O207" s="835"/>
    </row>
    <row r="208" spans="2:23" ht="15" customHeight="1" x14ac:dyDescent="0.25">
      <c r="B208" s="55"/>
      <c r="C208" s="50"/>
      <c r="F208" s="74"/>
      <c r="K208" s="75"/>
      <c r="P208" s="50"/>
      <c r="Q208" s="50"/>
      <c r="R208" s="50"/>
      <c r="S208" s="50"/>
      <c r="T208" s="50"/>
      <c r="U208" s="50"/>
      <c r="V208" s="50"/>
      <c r="W208" s="50"/>
    </row>
    <row r="209" spans="2:23" ht="15" customHeight="1" x14ac:dyDescent="0.25">
      <c r="B209" s="1566" t="s">
        <v>759</v>
      </c>
      <c r="C209" s="836" t="s">
        <v>760</v>
      </c>
      <c r="D209" s="837" t="str">
        <f>INDEX(dms_FeederName_1,MATCH(dms_TradingName,dms_TradingName_List))</f>
        <v>CBD</v>
      </c>
      <c r="E209" s="56" t="str">
        <f>INDEX(dms_FeederName_1,MATCH(dms_TradingName,dms_TradingName_List))</f>
        <v>CBD</v>
      </c>
      <c r="F209" s="838" t="str">
        <f>INDEX(dms_FeederName_2,MATCH(dms_TradingName,dms_TradingName_List))</f>
        <v>Urban</v>
      </c>
      <c r="G209" s="57" t="str">
        <f>INDEX(dms_FeederName_2,MATCH(dms_TradingName,dms_TradingName_List))</f>
        <v>Urban</v>
      </c>
      <c r="H209" s="56" t="str">
        <f>INDEX(dms_FeederName_3,MATCH(dms_TradingName,dms_TradingName_List))</f>
        <v>Short rural</v>
      </c>
      <c r="I209" s="56" t="str">
        <f>INDEX(dms_FeederName_3,MATCH(dms_TradingName,dms_TradingName_List))</f>
        <v>Short rural</v>
      </c>
      <c r="J209" s="57" t="str">
        <f>INDEX(dms_FeederName_4,MATCH(dms_TradingName,dms_TradingName_List))</f>
        <v>Long rural</v>
      </c>
      <c r="K209" s="57" t="str">
        <f>INDEX(dms_FeederName_4,MATCH(dms_TradingName,dms_TradingName_List))</f>
        <v>Long rural</v>
      </c>
      <c r="L209" s="56" t="str">
        <f>IF((INDEX(dms_FeederName_5,MATCH(dms_TradingName,dms_TradingName_List))=0),"Network",(INDEX(dms_FeederName_5,MATCH(dms_TradingName,dms_TradingName_List))))</f>
        <v>Network</v>
      </c>
      <c r="M209" s="56" t="str">
        <f>IF((INDEX(dms_FeederName_5,MATCH(dms_TradingName,dms_TradingName_List))=0),"Network",(INDEX(dms_FeederName_5,MATCH(dms_TradingName,dms_TradingName_List))))</f>
        <v>Network</v>
      </c>
      <c r="N209" s="56" t="s">
        <v>417</v>
      </c>
      <c r="O209" s="56" t="s">
        <v>417</v>
      </c>
      <c r="P209" s="50"/>
      <c r="Q209" s="50"/>
      <c r="R209" s="50"/>
      <c r="S209" s="50"/>
      <c r="T209" s="50"/>
      <c r="U209" s="50"/>
      <c r="V209" s="50"/>
      <c r="W209" s="50"/>
    </row>
    <row r="210" spans="2:23" ht="15" customHeight="1" x14ac:dyDescent="0.25">
      <c r="B210" s="1566"/>
      <c r="C210" s="839"/>
      <c r="D210" s="58"/>
      <c r="F210" s="74"/>
      <c r="N210" s="47"/>
      <c r="P210" s="50"/>
      <c r="Q210" s="50"/>
      <c r="R210" s="50"/>
      <c r="S210" s="50"/>
      <c r="T210" s="50"/>
      <c r="U210" s="50"/>
      <c r="V210" s="50"/>
      <c r="W210" s="50"/>
    </row>
    <row r="211" spans="2:23" ht="27" customHeight="1" x14ac:dyDescent="0.25">
      <c r="B211" s="1566"/>
      <c r="C211" s="836" t="s">
        <v>761</v>
      </c>
      <c r="D211" s="840" t="s">
        <v>762</v>
      </c>
      <c r="E211" s="59" t="s">
        <v>763</v>
      </c>
      <c r="F211" s="841" t="s">
        <v>762</v>
      </c>
      <c r="G211" s="59" t="s">
        <v>763</v>
      </c>
      <c r="H211" s="59" t="s">
        <v>762</v>
      </c>
      <c r="I211" s="59" t="s">
        <v>763</v>
      </c>
      <c r="J211" s="59" t="s">
        <v>762</v>
      </c>
      <c r="K211" s="59" t="s">
        <v>763</v>
      </c>
      <c r="L211" s="59" t="s">
        <v>762</v>
      </c>
      <c r="M211" s="60" t="s">
        <v>763</v>
      </c>
      <c r="N211" s="59" t="s">
        <v>762</v>
      </c>
      <c r="O211" s="60" t="s">
        <v>763</v>
      </c>
      <c r="P211" s="50"/>
      <c r="Q211" s="50"/>
      <c r="R211" s="50"/>
      <c r="S211" s="50"/>
      <c r="T211" s="50"/>
      <c r="U211" s="50"/>
      <c r="V211" s="50"/>
      <c r="W211" s="50"/>
    </row>
    <row r="212" spans="2:23" x14ac:dyDescent="0.25">
      <c r="B212" s="1566"/>
      <c r="C212" s="50"/>
      <c r="D212" s="61" t="s">
        <v>764</v>
      </c>
      <c r="F212" s="74"/>
      <c r="P212" s="50"/>
      <c r="Q212" s="50"/>
      <c r="R212" s="50"/>
      <c r="S212" s="50"/>
      <c r="T212" s="50"/>
      <c r="U212" s="50"/>
      <c r="V212" s="50"/>
      <c r="W212" s="50"/>
    </row>
    <row r="213" spans="2:23" ht="15" customHeight="1" x14ac:dyDescent="0.25">
      <c r="B213" s="1566"/>
      <c r="C213" s="50"/>
      <c r="F213" s="74"/>
      <c r="P213" s="50"/>
      <c r="Q213" s="50"/>
      <c r="R213" s="50"/>
      <c r="S213" s="50"/>
      <c r="T213" s="50"/>
      <c r="U213" s="50"/>
      <c r="V213" s="50"/>
      <c r="W213" s="50"/>
    </row>
    <row r="214" spans="2:23" ht="15" customHeight="1" x14ac:dyDescent="0.25">
      <c r="B214" s="1566"/>
      <c r="C214" s="836" t="s">
        <v>765</v>
      </c>
      <c r="D214" s="842" t="str">
        <f>INDEX(dms_FeederName_1,MATCH(dms_TradingName,dms_TradingName_List))</f>
        <v>CBD</v>
      </c>
      <c r="E214" s="53" t="str">
        <f>INDEX(dms_FeederName_2,MATCH(dms_TradingName,dms_TradingName_List))</f>
        <v>Urban</v>
      </c>
      <c r="F214" s="53" t="str">
        <f>INDEX(dms_FeederName_3,MATCH(dms_TradingName,dms_TradingName_List))</f>
        <v>Short rural</v>
      </c>
      <c r="G214" s="53" t="str">
        <f>INDEX(dms_FeederName_4,MATCH(dms_TradingName,dms_TradingName_List))</f>
        <v>Long rural</v>
      </c>
      <c r="H214" s="54"/>
      <c r="Q214" s="50"/>
      <c r="R214" s="50"/>
      <c r="S214" s="50"/>
      <c r="T214" s="50"/>
      <c r="U214" s="50"/>
      <c r="V214" s="50"/>
      <c r="W214" s="50"/>
    </row>
    <row r="215" spans="2:23" x14ac:dyDescent="0.25">
      <c r="B215" s="50"/>
      <c r="C215" s="41"/>
      <c r="D215" s="63"/>
      <c r="E215" s="74"/>
      <c r="I215" s="64"/>
      <c r="J215" s="63"/>
      <c r="Q215" s="50"/>
      <c r="R215" s="50"/>
      <c r="S215" s="50"/>
      <c r="T215" s="50"/>
      <c r="U215" s="50"/>
      <c r="V215" s="50"/>
      <c r="W215" s="50"/>
    </row>
    <row r="216" spans="2:23" x14ac:dyDescent="0.25">
      <c r="E216" s="74"/>
      <c r="Q216" s="50"/>
      <c r="R216" s="50"/>
      <c r="S216" s="50"/>
      <c r="T216" s="50"/>
      <c r="U216" s="50"/>
      <c r="V216" s="50"/>
      <c r="W216" s="50"/>
    </row>
    <row r="217" spans="2:23" ht="29.25" customHeight="1" x14ac:dyDescent="0.25">
      <c r="B217" s="834" t="s">
        <v>766</v>
      </c>
      <c r="C217" s="834" t="s">
        <v>766</v>
      </c>
      <c r="D217" s="834"/>
      <c r="E217" s="834"/>
      <c r="F217" s="834"/>
      <c r="G217" s="834"/>
      <c r="H217" s="834"/>
      <c r="I217" s="834"/>
      <c r="J217" s="834"/>
      <c r="K217" s="834"/>
      <c r="L217" s="834"/>
      <c r="M217" s="834"/>
      <c r="Q217" s="50"/>
      <c r="R217" s="50"/>
      <c r="S217" s="50"/>
      <c r="T217" s="50"/>
      <c r="U217" s="50"/>
      <c r="V217" s="50"/>
      <c r="W217" s="50"/>
    </row>
    <row r="218" spans="2:23" ht="15.75" customHeight="1" x14ac:dyDescent="0.25">
      <c r="B218" s="843"/>
      <c r="E218" s="74"/>
      <c r="Q218" s="50"/>
      <c r="R218" s="50"/>
      <c r="S218" s="50"/>
      <c r="T218" s="50"/>
      <c r="U218" s="50"/>
      <c r="V218" s="50"/>
      <c r="W218" s="50"/>
    </row>
    <row r="219" spans="2:23" ht="15.6" customHeight="1" x14ac:dyDescent="0.25">
      <c r="B219" s="843"/>
      <c r="E219" s="74"/>
      <c r="Q219" s="50"/>
      <c r="R219" s="50"/>
      <c r="S219" s="50"/>
      <c r="T219" s="50"/>
      <c r="U219" s="50"/>
      <c r="V219" s="50"/>
      <c r="W219" s="50"/>
    </row>
    <row r="220" spans="2:23" x14ac:dyDescent="0.25">
      <c r="B220" s="844" t="s">
        <v>767</v>
      </c>
      <c r="C220" t="s">
        <v>768</v>
      </c>
      <c r="D220" t="s">
        <v>769</v>
      </c>
      <c r="E220" s="74" t="s">
        <v>770</v>
      </c>
      <c r="Q220" s="50"/>
      <c r="R220" s="50"/>
      <c r="S220" s="50"/>
      <c r="T220" s="50"/>
      <c r="U220" s="50"/>
      <c r="V220" s="50"/>
      <c r="W220" s="50"/>
    </row>
    <row r="221" spans="2:23" ht="15.6" customHeight="1" x14ac:dyDescent="0.25">
      <c r="B221" s="845"/>
      <c r="C221" t="s">
        <v>771</v>
      </c>
      <c r="E221" s="74"/>
      <c r="Q221" s="50"/>
      <c r="R221" s="50"/>
      <c r="S221" s="50"/>
      <c r="T221" s="50"/>
      <c r="U221" s="50"/>
      <c r="V221" s="50"/>
      <c r="W221" s="50"/>
    </row>
    <row r="222" spans="2:23" ht="15.6" customHeight="1" x14ac:dyDescent="0.25">
      <c r="B222" s="843"/>
      <c r="E222" s="74"/>
      <c r="Q222" s="50"/>
      <c r="R222" s="50"/>
      <c r="S222" s="50"/>
      <c r="T222" s="50"/>
      <c r="U222" s="50"/>
      <c r="V222" s="50"/>
      <c r="W222" s="50"/>
    </row>
    <row r="223" spans="2:23" ht="15.6" customHeight="1" x14ac:dyDescent="0.25">
      <c r="B223" s="843"/>
      <c r="D223" s="68"/>
      <c r="E223" s="846"/>
      <c r="F223" s="68"/>
      <c r="G223" s="68"/>
      <c r="H223" s="68"/>
      <c r="I223" s="68"/>
      <c r="J223" s="68"/>
      <c r="K223" s="68"/>
      <c r="L223" s="68"/>
      <c r="M223" s="69"/>
      <c r="Q223" s="50"/>
      <c r="R223" s="50"/>
      <c r="S223" s="50"/>
      <c r="T223" s="50"/>
      <c r="U223" s="50"/>
      <c r="V223" s="50"/>
      <c r="W223" s="50"/>
    </row>
    <row r="224" spans="2:23" x14ac:dyDescent="0.25">
      <c r="B224" s="847" t="s">
        <v>772</v>
      </c>
      <c r="C224" s="68" t="s">
        <v>773</v>
      </c>
      <c r="D224" s="68" t="s">
        <v>774</v>
      </c>
      <c r="E224" s="846" t="s">
        <v>775</v>
      </c>
      <c r="F224" s="68" t="s">
        <v>776</v>
      </c>
      <c r="G224" s="68" t="s">
        <v>777</v>
      </c>
      <c r="H224" s="68" t="s">
        <v>778</v>
      </c>
      <c r="I224" s="68" t="s">
        <v>779</v>
      </c>
      <c r="J224" s="68" t="s">
        <v>780</v>
      </c>
      <c r="K224" s="68" t="s">
        <v>781</v>
      </c>
      <c r="L224" s="68" t="s">
        <v>782</v>
      </c>
      <c r="M224" s="69"/>
      <c r="Q224" s="50"/>
      <c r="R224" s="50"/>
      <c r="S224" s="50"/>
      <c r="T224" s="50"/>
      <c r="U224" s="50"/>
      <c r="V224" s="50"/>
      <c r="W224" s="50"/>
    </row>
    <row r="225" spans="2:23" ht="15.6" customHeight="1" x14ac:dyDescent="0.25">
      <c r="B225" s="845"/>
      <c r="C225" t="s">
        <v>783</v>
      </c>
      <c r="E225" s="74"/>
      <c r="Q225" s="50"/>
      <c r="R225" s="50"/>
      <c r="S225" s="50"/>
      <c r="T225" s="50"/>
      <c r="U225" s="50"/>
      <c r="V225" s="50"/>
      <c r="W225" s="50"/>
    </row>
    <row r="226" spans="2:23" ht="15.6" customHeight="1" x14ac:dyDescent="0.25">
      <c r="B226" s="843"/>
      <c r="C226" s="76"/>
      <c r="E226" s="74"/>
      <c r="H226" s="76"/>
      <c r="I226" s="12"/>
      <c r="J226" s="76"/>
      <c r="K226" s="76"/>
      <c r="L226" s="13"/>
      <c r="Q226" s="50"/>
      <c r="R226" s="50"/>
      <c r="S226" s="50"/>
      <c r="T226" s="50"/>
      <c r="U226" s="50"/>
      <c r="V226" s="50"/>
      <c r="W226" s="50"/>
    </row>
    <row r="227" spans="2:23" x14ac:dyDescent="0.25">
      <c r="B227" s="848"/>
      <c r="E227" s="74"/>
      <c r="Q227" s="50"/>
      <c r="R227" s="50"/>
      <c r="S227" s="50"/>
      <c r="T227" s="50"/>
      <c r="U227" s="50"/>
      <c r="V227" s="50"/>
      <c r="W227" s="50"/>
    </row>
    <row r="228" spans="2:23" x14ac:dyDescent="0.25">
      <c r="B228" s="847" t="s">
        <v>784</v>
      </c>
      <c r="C228" t="s">
        <v>785</v>
      </c>
      <c r="D228" t="s">
        <v>786</v>
      </c>
      <c r="E228" s="74" t="s">
        <v>787</v>
      </c>
      <c r="F228" t="s">
        <v>788</v>
      </c>
      <c r="G228" t="s">
        <v>789</v>
      </c>
      <c r="H228" t="s">
        <v>790</v>
      </c>
      <c r="I228" t="s">
        <v>791</v>
      </c>
      <c r="J228" t="s">
        <v>792</v>
      </c>
      <c r="K228" t="s">
        <v>793</v>
      </c>
      <c r="L228" t="s">
        <v>794</v>
      </c>
      <c r="M228" t="s">
        <v>795</v>
      </c>
      <c r="Q228" s="50"/>
      <c r="R228" s="50"/>
      <c r="S228" s="50"/>
      <c r="T228" s="50"/>
      <c r="U228" s="50"/>
      <c r="V228" s="50"/>
      <c r="W228" s="50"/>
    </row>
    <row r="229" spans="2:23" x14ac:dyDescent="0.25">
      <c r="B229" s="50"/>
      <c r="E229" s="74"/>
      <c r="Q229" s="50"/>
      <c r="R229" s="50"/>
      <c r="S229" s="50"/>
      <c r="T229" s="50"/>
      <c r="U229" s="50"/>
      <c r="V229" s="50"/>
      <c r="W229" s="50"/>
    </row>
    <row r="230" spans="2:23" x14ac:dyDescent="0.25">
      <c r="Q230" s="50"/>
      <c r="R230" s="50"/>
      <c r="S230" s="50"/>
      <c r="T230" s="50"/>
      <c r="U230" s="50"/>
      <c r="V230" s="50"/>
      <c r="W230" s="50"/>
    </row>
    <row r="231" spans="2:23" x14ac:dyDescent="0.25">
      <c r="Q231" s="50"/>
      <c r="R231" s="50"/>
      <c r="S231" s="50"/>
      <c r="T231" s="50"/>
      <c r="U231" s="50"/>
      <c r="V231" s="50"/>
      <c r="W231" s="50"/>
    </row>
    <row r="232" spans="2:23" x14ac:dyDescent="0.25">
      <c r="B232" s="847" t="s">
        <v>796</v>
      </c>
      <c r="C232" t="s">
        <v>797</v>
      </c>
      <c r="D232" t="s">
        <v>798</v>
      </c>
      <c r="E232" s="849" t="s">
        <v>799</v>
      </c>
      <c r="F232" s="12" t="s">
        <v>800</v>
      </c>
      <c r="G232" s="76" t="s">
        <v>801</v>
      </c>
      <c r="H232" s="76" t="s">
        <v>802</v>
      </c>
      <c r="I232" s="13" t="s">
        <v>803</v>
      </c>
      <c r="L232" s="50"/>
      <c r="M232" s="50"/>
      <c r="N232" s="50"/>
      <c r="Q232" s="50"/>
      <c r="R232" s="50"/>
      <c r="S232" s="50"/>
      <c r="T232" s="50"/>
      <c r="U232" s="50"/>
      <c r="V232" s="50"/>
      <c r="W232" s="50"/>
    </row>
    <row r="233" spans="2:23" x14ac:dyDescent="0.25">
      <c r="B233" s="76"/>
      <c r="C233" s="76"/>
      <c r="E233" s="74"/>
      <c r="H233" s="76"/>
      <c r="I233" s="12"/>
      <c r="J233" s="76"/>
      <c r="K233" s="76"/>
      <c r="L233" s="13"/>
      <c r="Q233" s="50"/>
      <c r="R233" s="50"/>
      <c r="S233" s="50"/>
      <c r="T233" s="50"/>
      <c r="U233" s="50"/>
      <c r="V233" s="50"/>
      <c r="W233" s="50"/>
    </row>
    <row r="234" spans="2:23" x14ac:dyDescent="0.25">
      <c r="B234" s="76"/>
      <c r="C234" s="76"/>
      <c r="E234" s="74"/>
      <c r="H234" s="76"/>
      <c r="I234" s="12"/>
      <c r="J234" s="76"/>
      <c r="K234" s="76"/>
      <c r="L234" s="13"/>
      <c r="O234" s="50"/>
      <c r="P234" s="50"/>
      <c r="Q234" s="50"/>
      <c r="R234" s="50"/>
      <c r="S234" s="50"/>
      <c r="T234" s="50"/>
      <c r="U234" s="50"/>
      <c r="V234" s="50"/>
      <c r="W234" s="50"/>
    </row>
    <row r="235" spans="2:23" x14ac:dyDescent="0.25">
      <c r="B235" s="76"/>
      <c r="C235" s="76"/>
      <c r="E235" s="74"/>
      <c r="H235" s="76"/>
      <c r="I235" s="12"/>
      <c r="J235" s="76"/>
      <c r="K235" s="76"/>
      <c r="L235" s="13"/>
      <c r="O235" s="50"/>
      <c r="P235" s="50"/>
      <c r="Q235" s="50"/>
      <c r="R235" s="50"/>
      <c r="S235" s="50"/>
      <c r="T235" s="50"/>
      <c r="U235" s="50"/>
      <c r="V235" s="50"/>
      <c r="W235" s="50"/>
    </row>
    <row r="236" spans="2:23" x14ac:dyDescent="0.25">
      <c r="B236" s="76"/>
      <c r="C236" s="76"/>
      <c r="E236" s="74"/>
      <c r="H236" s="76"/>
      <c r="I236" s="12"/>
      <c r="J236" s="76"/>
      <c r="K236" s="76"/>
      <c r="L236" s="13"/>
      <c r="O236" s="50"/>
      <c r="P236" s="50"/>
      <c r="Q236" s="50"/>
      <c r="R236" s="50"/>
      <c r="S236" s="50"/>
      <c r="T236" s="50"/>
      <c r="U236" s="50"/>
      <c r="V236" s="50"/>
      <c r="W236" s="50"/>
    </row>
    <row r="237" spans="2:23" x14ac:dyDescent="0.25">
      <c r="B237" s="76"/>
      <c r="C237" s="76"/>
      <c r="E237" s="74"/>
      <c r="H237" s="76"/>
      <c r="I237" s="12"/>
      <c r="J237" s="76"/>
      <c r="K237" s="76"/>
      <c r="L237" s="13"/>
      <c r="O237" s="50"/>
      <c r="P237" s="50"/>
      <c r="Q237" s="50"/>
      <c r="R237" s="50"/>
      <c r="S237" s="50"/>
      <c r="T237" s="50"/>
      <c r="U237" s="50"/>
      <c r="V237" s="50"/>
      <c r="W237" s="50"/>
    </row>
    <row r="238" spans="2:23" x14ac:dyDescent="0.25">
      <c r="B238" s="76"/>
      <c r="C238" s="76"/>
      <c r="E238" s="74"/>
      <c r="H238" s="76"/>
      <c r="I238" s="12"/>
      <c r="J238" s="76"/>
      <c r="K238" s="76"/>
      <c r="L238" s="13"/>
      <c r="O238" s="50"/>
      <c r="P238" s="50"/>
      <c r="Q238" s="50"/>
      <c r="R238" s="50"/>
      <c r="S238" s="50"/>
      <c r="T238" s="50"/>
      <c r="U238" s="50"/>
      <c r="V238" s="50"/>
      <c r="W238" s="50"/>
    </row>
    <row r="239" spans="2:23" x14ac:dyDescent="0.25">
      <c r="B239" s="76"/>
      <c r="C239" s="76"/>
      <c r="E239" s="74"/>
      <c r="H239" s="76"/>
      <c r="I239" s="12"/>
      <c r="J239" s="76"/>
      <c r="K239" s="76"/>
      <c r="L239" s="13"/>
      <c r="O239" s="50"/>
      <c r="P239" s="50"/>
      <c r="Q239" s="50"/>
      <c r="R239" s="50"/>
      <c r="S239" s="50"/>
      <c r="T239" s="50"/>
      <c r="U239" s="50"/>
      <c r="V239" s="50"/>
      <c r="W239" s="50"/>
    </row>
  </sheetData>
  <sheetProtection algorithmName="SHA-256" hashValue="CgDi4u2Ev9pMrUIcWz021yXpu1U7N+KV1pDXc9oEAyY=" saltValue="f8KF0WyTYUHNFPXsVk0SCg==" spinCount="100000" sheet="1" objects="1" scenarios="1"/>
  <mergeCells count="25">
    <mergeCell ref="B5:B29"/>
    <mergeCell ref="B33:B56"/>
    <mergeCell ref="K34:K36"/>
    <mergeCell ref="AK34:BF34"/>
    <mergeCell ref="BP34:CK34"/>
    <mergeCell ref="AK35:BF35"/>
    <mergeCell ref="BP35:CK35"/>
    <mergeCell ref="AK36:BF36"/>
    <mergeCell ref="BP36:CK36"/>
    <mergeCell ref="K37:K41"/>
    <mergeCell ref="K45:K46"/>
    <mergeCell ref="B66:B79"/>
    <mergeCell ref="B85:B98"/>
    <mergeCell ref="B101:B108"/>
    <mergeCell ref="B111:B116"/>
    <mergeCell ref="B119:B133"/>
    <mergeCell ref="B196:B197"/>
    <mergeCell ref="B200:B201"/>
    <mergeCell ref="B209:B214"/>
    <mergeCell ref="B136:B151"/>
    <mergeCell ref="B153:B159"/>
    <mergeCell ref="B161:B175"/>
    <mergeCell ref="B177:B178"/>
    <mergeCell ref="B180:B185"/>
    <mergeCell ref="B192:B193"/>
  </mergeCells>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0000"/>
  </sheetPr>
  <dimension ref="A1:AL125"/>
  <sheetViews>
    <sheetView showGridLines="0" workbookViewId="0">
      <pane xSplit="2" topLeftCell="C1" activePane="topRight" state="frozen"/>
      <selection pane="topRight" activeCell="G31" sqref="G31"/>
    </sheetView>
  </sheetViews>
  <sheetFormatPr defaultColWidth="9.140625" defaultRowHeight="15" x14ac:dyDescent="0.25"/>
  <cols>
    <col min="1" max="1" width="16.7109375" customWidth="1"/>
    <col min="2" max="2" width="33.85546875" style="76" customWidth="1"/>
    <col min="3" max="3" width="60.5703125" style="76" customWidth="1"/>
    <col min="4" max="4" width="38.85546875" customWidth="1"/>
    <col min="5" max="5" width="26.42578125" style="74" customWidth="1"/>
    <col min="6" max="6" width="22.28515625" customWidth="1"/>
    <col min="7" max="7" width="27.28515625" customWidth="1"/>
    <col min="8" max="8" width="28.28515625" style="76" customWidth="1"/>
    <col min="9" max="9" width="23.85546875" style="12" customWidth="1"/>
    <col min="10" max="10" width="25.7109375" style="76" customWidth="1"/>
    <col min="11" max="11" width="27.85546875" style="76" customWidth="1"/>
    <col min="12" max="12" width="27.5703125" style="13" customWidth="1"/>
    <col min="13" max="13" width="27.85546875" customWidth="1"/>
    <col min="14" max="14" width="23.28515625" customWidth="1"/>
    <col min="15" max="15" width="34.28515625" style="50" customWidth="1"/>
    <col min="16" max="16" width="28.42578125" style="50" customWidth="1"/>
    <col min="17" max="18" width="22.28515625" style="50" customWidth="1"/>
    <col min="19" max="20" width="25" style="50" customWidth="1"/>
    <col min="21" max="21" width="22.5703125" style="50" customWidth="1"/>
    <col min="22" max="23" width="23.85546875" style="50" customWidth="1"/>
    <col min="24" max="24" width="26.42578125" customWidth="1"/>
    <col min="25" max="25" width="37.85546875" customWidth="1"/>
    <col min="26" max="26" width="22.7109375" customWidth="1"/>
    <col min="27" max="28" width="27" customWidth="1"/>
    <col min="29" max="30" width="30.140625" customWidth="1"/>
    <col min="31" max="31" width="25.42578125" customWidth="1"/>
    <col min="32" max="32" width="28.85546875" customWidth="1"/>
    <col min="33" max="33" width="28.5703125" customWidth="1"/>
    <col min="34" max="34" width="25.140625" customWidth="1"/>
    <col min="35" max="35" width="30" customWidth="1"/>
    <col min="36" max="36" width="32" customWidth="1"/>
    <col min="37" max="37" width="28.5703125" customWidth="1"/>
  </cols>
  <sheetData>
    <row r="1" spans="1:38" ht="51" customHeight="1" x14ac:dyDescent="0.25">
      <c r="B1" s="630" t="s">
        <v>804</v>
      </c>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row>
    <row r="2" spans="1:38" ht="24.75" customHeight="1" x14ac:dyDescent="0.25">
      <c r="V2" t="str">
        <f>dms_TradingNameFull</f>
        <v>Icon Distribution Investments Limited (ABN 83 073 025 224) and Jemena Networks (ACT) Pty Ltd (ABN 24 008 552 663)</v>
      </c>
    </row>
    <row r="3" spans="1:38" ht="15" customHeight="1" x14ac:dyDescent="0.25">
      <c r="B3" s="1325" t="s">
        <v>805</v>
      </c>
      <c r="C3" s="1324"/>
      <c r="D3" s="1324"/>
      <c r="E3" s="1324"/>
      <c r="F3" s="1324"/>
      <c r="G3" s="1323"/>
    </row>
    <row r="4" spans="1:38" x14ac:dyDescent="0.25">
      <c r="B4" s="1322" t="s">
        <v>806</v>
      </c>
      <c r="C4" s="1320">
        <v>42751</v>
      </c>
      <c r="D4" s="1318" t="s">
        <v>807</v>
      </c>
      <c r="E4" s="1319"/>
      <c r="F4" s="1318"/>
      <c r="G4" s="1317"/>
    </row>
    <row r="5" spans="1:38" x14ac:dyDescent="0.25">
      <c r="B5" s="1322"/>
      <c r="C5" s="1320">
        <v>42660</v>
      </c>
      <c r="D5" s="1318" t="s">
        <v>808</v>
      </c>
      <c r="E5" s="1319"/>
      <c r="F5" s="1318"/>
      <c r="G5" s="1317"/>
    </row>
    <row r="6" spans="1:38" x14ac:dyDescent="0.25">
      <c r="B6" s="1322"/>
      <c r="C6" s="1320">
        <v>42767</v>
      </c>
      <c r="D6" s="1318" t="s">
        <v>809</v>
      </c>
      <c r="E6" s="1319"/>
      <c r="F6" s="1318"/>
      <c r="G6" s="1317"/>
    </row>
    <row r="7" spans="1:38" x14ac:dyDescent="0.25">
      <c r="B7" s="1321"/>
      <c r="C7" s="1320">
        <v>42797</v>
      </c>
      <c r="D7" s="1318" t="s">
        <v>810</v>
      </c>
      <c r="E7" s="1319"/>
      <c r="F7" s="1318"/>
      <c r="G7" s="1317"/>
    </row>
    <row r="8" spans="1:38" x14ac:dyDescent="0.25">
      <c r="B8" s="1321"/>
      <c r="C8" s="1320">
        <v>43187</v>
      </c>
      <c r="D8" s="1318" t="s">
        <v>811</v>
      </c>
      <c r="E8" s="1319"/>
      <c r="F8" s="1318"/>
      <c r="G8" s="1317"/>
    </row>
    <row r="9" spans="1:38" ht="15" customHeight="1" x14ac:dyDescent="0.25">
      <c r="B9" s="1316"/>
      <c r="C9" s="1314" t="s">
        <v>812</v>
      </c>
      <c r="D9" s="1315">
        <v>5</v>
      </c>
      <c r="E9" s="1315"/>
      <c r="F9" s="1314"/>
      <c r="G9" s="1313"/>
    </row>
    <row r="10" spans="1:38" ht="15" customHeight="1" x14ac:dyDescent="0.25"/>
    <row r="11" spans="1:38" ht="16.149999999999999" customHeight="1" x14ac:dyDescent="0.25">
      <c r="B11" s="1312"/>
      <c r="C11" s="1310"/>
      <c r="D11" s="1310"/>
      <c r="E11" s="1310"/>
      <c r="F11" s="1310"/>
      <c r="G11" s="1310"/>
      <c r="H11" s="1310"/>
      <c r="I11" s="1310"/>
      <c r="J11" s="1310"/>
      <c r="K11" s="1310"/>
      <c r="L11" s="1310"/>
      <c r="M11" s="1310"/>
      <c r="N11" s="1310"/>
      <c r="O11" s="1310"/>
      <c r="P11" s="1311"/>
      <c r="Q11" s="1311"/>
      <c r="R11" s="1311"/>
      <c r="S11" s="1311"/>
      <c r="T11" s="1311"/>
      <c r="U11" s="1311"/>
      <c r="V11" s="1311"/>
      <c r="W11" s="1311"/>
      <c r="X11" s="1311"/>
      <c r="Y11" s="1310"/>
      <c r="Z11" s="1310"/>
      <c r="AA11" s="1586" t="s">
        <v>813</v>
      </c>
      <c r="AB11" s="1586"/>
      <c r="AC11" s="1586"/>
      <c r="AD11" s="1586"/>
      <c r="AE11" s="1586"/>
      <c r="AF11" s="1586"/>
      <c r="AG11" s="1586"/>
      <c r="AH11" s="1586"/>
      <c r="AI11" s="1586"/>
      <c r="AJ11" s="1586"/>
      <c r="AK11" s="1586"/>
      <c r="AL11" s="355"/>
    </row>
    <row r="12" spans="1:38" x14ac:dyDescent="0.25">
      <c r="B12" s="1309"/>
      <c r="C12" s="1307"/>
      <c r="D12" s="1307"/>
      <c r="E12" s="1307"/>
      <c r="F12" s="1307"/>
      <c r="G12" s="1307"/>
      <c r="H12" s="1307"/>
      <c r="I12" s="1307"/>
      <c r="J12" s="1307"/>
      <c r="K12" s="1307"/>
      <c r="L12" s="1307"/>
      <c r="M12" s="1307"/>
      <c r="N12" s="1307"/>
      <c r="O12" s="1308"/>
      <c r="P12" s="1308"/>
      <c r="Q12" s="1308"/>
      <c r="R12" s="1308"/>
      <c r="S12" s="1308"/>
      <c r="T12" s="1308"/>
      <c r="U12" s="1308"/>
      <c r="V12" s="1308"/>
      <c r="W12" s="1308"/>
      <c r="X12" s="1307"/>
      <c r="Y12" s="1307"/>
      <c r="Z12" s="1307"/>
      <c r="AA12" s="1587" t="s">
        <v>814</v>
      </c>
      <c r="AB12" s="1588"/>
      <c r="AC12" s="1588"/>
      <c r="AD12" s="1588"/>
      <c r="AE12" s="4" t="s">
        <v>815</v>
      </c>
      <c r="AF12" s="1589" t="s">
        <v>816</v>
      </c>
      <c r="AG12" s="1590"/>
      <c r="AH12" s="1590"/>
      <c r="AI12" s="1590"/>
      <c r="AJ12" s="1591"/>
      <c r="AK12" s="1592"/>
      <c r="AL12" s="62"/>
    </row>
    <row r="13" spans="1:38" x14ac:dyDescent="0.25">
      <c r="B13" s="1309"/>
      <c r="C13" s="1307"/>
      <c r="D13" s="1307"/>
      <c r="E13" s="1307"/>
      <c r="F13" s="1307"/>
      <c r="G13" s="1307"/>
      <c r="H13" s="1307"/>
      <c r="I13" s="1307"/>
      <c r="J13" s="1307"/>
      <c r="K13" s="1307"/>
      <c r="L13" s="1307"/>
      <c r="M13" s="1307"/>
      <c r="N13" s="1307"/>
      <c r="O13" s="1308"/>
      <c r="P13" s="1308"/>
      <c r="Q13" s="1308"/>
      <c r="R13" s="1308"/>
      <c r="S13" s="1308"/>
      <c r="T13" s="1308"/>
      <c r="U13" s="1308"/>
      <c r="V13" s="1308"/>
      <c r="W13" s="1308"/>
      <c r="X13" s="1307"/>
      <c r="Y13" s="1307"/>
      <c r="Z13" s="1307"/>
      <c r="AA13" s="5"/>
      <c r="AB13" s="6"/>
      <c r="AC13" s="6"/>
      <c r="AD13" s="6"/>
      <c r="AE13" s="7"/>
      <c r="AF13" s="8"/>
      <c r="AG13" s="9"/>
      <c r="AH13" s="9"/>
      <c r="AI13" s="9"/>
      <c r="AJ13" s="10"/>
      <c r="AK13" s="1593"/>
      <c r="AL13" s="62"/>
    </row>
    <row r="14" spans="1:38" ht="15" customHeight="1" x14ac:dyDescent="0.25">
      <c r="B14" s="1306"/>
      <c r="C14" s="1305"/>
      <c r="D14" s="1299"/>
      <c r="E14" s="1299"/>
      <c r="F14" s="1304"/>
      <c r="G14" s="1299"/>
      <c r="H14" s="1299"/>
      <c r="I14" s="1302"/>
      <c r="J14" s="1303"/>
      <c r="K14" s="1302"/>
      <c r="L14" s="1302"/>
      <c r="M14" s="1301"/>
      <c r="N14" s="1299"/>
      <c r="O14" s="1300"/>
      <c r="P14" s="1300"/>
      <c r="Q14" s="1300"/>
      <c r="R14" s="1300"/>
      <c r="S14" s="1300"/>
      <c r="T14" s="1300"/>
      <c r="U14" s="1300"/>
      <c r="V14" s="1300"/>
      <c r="W14" s="1300"/>
      <c r="X14" s="1299"/>
      <c r="Y14" s="1299"/>
      <c r="Z14" s="1299"/>
      <c r="AA14" s="1298" t="s">
        <v>817</v>
      </c>
      <c r="AB14" s="1297" t="s">
        <v>818</v>
      </c>
      <c r="AC14" s="1297" t="s">
        <v>819</v>
      </c>
      <c r="AD14" s="1297" t="s">
        <v>820</v>
      </c>
      <c r="AE14" s="1296" t="s">
        <v>821</v>
      </c>
      <c r="AF14" s="1295"/>
      <c r="AG14" s="1294"/>
      <c r="AH14" s="1294"/>
      <c r="AI14" s="1294"/>
      <c r="AJ14" s="1293"/>
      <c r="AK14" s="1594"/>
      <c r="AL14" s="302"/>
    </row>
    <row r="15" spans="1:38" s="380" customFormat="1" ht="40.5" customHeight="1" x14ac:dyDescent="0.25">
      <c r="A15" s="850"/>
      <c r="B15" s="1414" t="s">
        <v>822</v>
      </c>
      <c r="C15" s="1415" t="s">
        <v>823</v>
      </c>
      <c r="D15" s="1416" t="s">
        <v>824</v>
      </c>
      <c r="E15" s="1435" t="s">
        <v>825</v>
      </c>
      <c r="F15" s="1417" t="s">
        <v>826</v>
      </c>
      <c r="G15" s="1418" t="s">
        <v>827</v>
      </c>
      <c r="H15" s="1418" t="s">
        <v>828</v>
      </c>
      <c r="I15" s="1418" t="s">
        <v>829</v>
      </c>
      <c r="J15" s="1418" t="s">
        <v>830</v>
      </c>
      <c r="K15" s="1418" t="s">
        <v>831</v>
      </c>
      <c r="L15" s="1419" t="s">
        <v>832</v>
      </c>
      <c r="M15" s="1420" t="s">
        <v>833</v>
      </c>
      <c r="N15" s="1420" t="s">
        <v>834</v>
      </c>
      <c r="O15" s="1421" t="s">
        <v>835</v>
      </c>
      <c r="P15" s="1422" t="s">
        <v>836</v>
      </c>
      <c r="Q15" s="1423" t="s">
        <v>837</v>
      </c>
      <c r="R15" s="1424" t="s">
        <v>838</v>
      </c>
      <c r="S15" s="1424" t="s">
        <v>839</v>
      </c>
      <c r="T15" s="1424" t="s">
        <v>840</v>
      </c>
      <c r="U15" s="1424" t="s">
        <v>841</v>
      </c>
      <c r="V15" s="1425" t="s">
        <v>842</v>
      </c>
      <c r="W15" s="1425" t="s">
        <v>843</v>
      </c>
      <c r="X15" s="1425" t="s">
        <v>844</v>
      </c>
      <c r="Y15" s="1425" t="s">
        <v>845</v>
      </c>
      <c r="Z15" s="1425" t="s">
        <v>846</v>
      </c>
      <c r="AA15" s="1426" t="s">
        <v>847</v>
      </c>
      <c r="AB15" s="1426" t="s">
        <v>848</v>
      </c>
      <c r="AC15" s="1426" t="s">
        <v>849</v>
      </c>
      <c r="AD15" s="1426" t="s">
        <v>850</v>
      </c>
      <c r="AE15" s="1426" t="s">
        <v>851</v>
      </c>
      <c r="AF15" s="1427" t="s">
        <v>852</v>
      </c>
      <c r="AG15" s="1426" t="s">
        <v>853</v>
      </c>
      <c r="AH15" s="1426" t="s">
        <v>854</v>
      </c>
      <c r="AI15" s="1426" t="s">
        <v>855</v>
      </c>
      <c r="AJ15" s="1428" t="s">
        <v>856</v>
      </c>
      <c r="AK15" s="1436" t="s">
        <v>857</v>
      </c>
      <c r="AL15" s="1437" t="s">
        <v>68</v>
      </c>
    </row>
    <row r="16" spans="1:38" x14ac:dyDescent="0.25">
      <c r="B16" s="1411" t="s">
        <v>858</v>
      </c>
      <c r="C16" s="1278" t="s">
        <v>859</v>
      </c>
      <c r="D16" s="1277">
        <v>19078551685</v>
      </c>
      <c r="E16" s="1431" t="s">
        <v>860</v>
      </c>
      <c r="F16" s="851" t="s">
        <v>484</v>
      </c>
      <c r="G16" s="14" t="s">
        <v>480</v>
      </c>
      <c r="H16" s="14" t="s">
        <v>861</v>
      </c>
      <c r="I16" s="14" t="s">
        <v>547</v>
      </c>
      <c r="J16" s="15" t="s">
        <v>862</v>
      </c>
      <c r="K16" s="14" t="s">
        <v>863</v>
      </c>
      <c r="L16" s="16">
        <v>5</v>
      </c>
      <c r="M16" s="1115">
        <v>5</v>
      </c>
      <c r="N16" s="1116">
        <v>5</v>
      </c>
      <c r="O16" s="852" t="s">
        <v>864</v>
      </c>
      <c r="P16" s="19"/>
      <c r="Q16" s="17" t="s">
        <v>865</v>
      </c>
      <c r="R16" s="20" t="s">
        <v>866</v>
      </c>
      <c r="S16" s="20" t="s">
        <v>867</v>
      </c>
      <c r="T16" s="20" t="s">
        <v>868</v>
      </c>
      <c r="U16" s="1276">
        <v>5000</v>
      </c>
      <c r="V16" s="17" t="s">
        <v>869</v>
      </c>
      <c r="W16" s="20" t="s">
        <v>870</v>
      </c>
      <c r="X16" s="20" t="s">
        <v>867</v>
      </c>
      <c r="Y16" s="20" t="s">
        <v>868</v>
      </c>
      <c r="Z16" s="1285">
        <v>5000</v>
      </c>
      <c r="AA16" s="18" t="s">
        <v>871</v>
      </c>
      <c r="AB16" s="21" t="s">
        <v>871</v>
      </c>
      <c r="AC16" s="21" t="s">
        <v>871</v>
      </c>
      <c r="AD16" s="21" t="s">
        <v>871</v>
      </c>
      <c r="AE16" s="21" t="s">
        <v>871</v>
      </c>
      <c r="AF16" s="18" t="s">
        <v>817</v>
      </c>
      <c r="AG16" s="21" t="s">
        <v>818</v>
      </c>
      <c r="AH16" s="21" t="s">
        <v>819</v>
      </c>
      <c r="AI16" s="22" t="s">
        <v>872</v>
      </c>
      <c r="AJ16" s="1275"/>
      <c r="AK16" s="1429" t="s">
        <v>871</v>
      </c>
      <c r="AL16" s="1434" t="str">
        <f t="shared" ref="AL16:AL29" si="0">B16</f>
        <v>AGN (Albury and Victoria)</v>
      </c>
    </row>
    <row r="17" spans="2:38" x14ac:dyDescent="0.25">
      <c r="B17" s="1412" t="s">
        <v>873</v>
      </c>
      <c r="C17" s="1274" t="s">
        <v>874</v>
      </c>
      <c r="D17" s="1273">
        <v>19078551685</v>
      </c>
      <c r="E17" s="1432" t="s">
        <v>875</v>
      </c>
      <c r="F17" s="1272" t="s">
        <v>484</v>
      </c>
      <c r="G17" s="1267" t="s">
        <v>480</v>
      </c>
      <c r="H17" s="1267" t="s">
        <v>861</v>
      </c>
      <c r="I17" s="14" t="s">
        <v>547</v>
      </c>
      <c r="J17" s="1284" t="s">
        <v>862</v>
      </c>
      <c r="K17" s="1267" t="s">
        <v>863</v>
      </c>
      <c r="L17" s="1271">
        <v>5</v>
      </c>
      <c r="M17" s="1280">
        <v>5</v>
      </c>
      <c r="N17" s="1279">
        <v>5</v>
      </c>
      <c r="O17" s="1268" t="s">
        <v>864</v>
      </c>
      <c r="P17" s="1281"/>
      <c r="Q17" s="1266" t="s">
        <v>865</v>
      </c>
      <c r="R17" s="1265" t="s">
        <v>866</v>
      </c>
      <c r="S17" s="1265" t="s">
        <v>867</v>
      </c>
      <c r="T17" s="1265" t="s">
        <v>868</v>
      </c>
      <c r="U17" s="1264">
        <v>5000</v>
      </c>
      <c r="V17" s="1266" t="s">
        <v>869</v>
      </c>
      <c r="W17" s="1265" t="s">
        <v>870</v>
      </c>
      <c r="X17" s="1265" t="s">
        <v>867</v>
      </c>
      <c r="Y17" s="1265" t="s">
        <v>868</v>
      </c>
      <c r="Z17" s="1264">
        <v>5000</v>
      </c>
      <c r="AA17" s="1263" t="s">
        <v>871</v>
      </c>
      <c r="AB17" s="1262" t="s">
        <v>871</v>
      </c>
      <c r="AC17" s="1262" t="s">
        <v>871</v>
      </c>
      <c r="AD17" s="1262" t="s">
        <v>871</v>
      </c>
      <c r="AE17" s="1262" t="s">
        <v>871</v>
      </c>
      <c r="AF17" s="1263" t="s">
        <v>817</v>
      </c>
      <c r="AG17" s="1262" t="s">
        <v>818</v>
      </c>
      <c r="AH17" s="1262" t="s">
        <v>819</v>
      </c>
      <c r="AI17" s="1261" t="s">
        <v>872</v>
      </c>
      <c r="AJ17" s="1260"/>
      <c r="AK17" s="1430" t="s">
        <v>871</v>
      </c>
      <c r="AL17" s="1434" t="str">
        <f t="shared" si="0"/>
        <v>AGN (Albury)</v>
      </c>
    </row>
    <row r="18" spans="2:38" x14ac:dyDescent="0.25">
      <c r="B18" s="1411" t="s">
        <v>876</v>
      </c>
      <c r="C18" s="1278" t="s">
        <v>877</v>
      </c>
      <c r="D18" s="1277">
        <v>19078551685</v>
      </c>
      <c r="E18" s="1431" t="s">
        <v>878</v>
      </c>
      <c r="F18" s="851" t="s">
        <v>868</v>
      </c>
      <c r="G18" s="14" t="s">
        <v>480</v>
      </c>
      <c r="H18" s="14" t="s">
        <v>861</v>
      </c>
      <c r="I18" s="14" t="s">
        <v>547</v>
      </c>
      <c r="J18" s="15" t="s">
        <v>862</v>
      </c>
      <c r="K18" s="14" t="s">
        <v>863</v>
      </c>
      <c r="L18" s="16">
        <v>5</v>
      </c>
      <c r="M18" s="1115">
        <v>5</v>
      </c>
      <c r="N18" s="1116">
        <v>5</v>
      </c>
      <c r="O18" s="852">
        <v>5</v>
      </c>
      <c r="P18" s="14" t="s">
        <v>879</v>
      </c>
      <c r="Q18" s="17" t="s">
        <v>865</v>
      </c>
      <c r="R18" s="20" t="s">
        <v>866</v>
      </c>
      <c r="S18" s="20" t="s">
        <v>867</v>
      </c>
      <c r="T18" s="20" t="s">
        <v>868</v>
      </c>
      <c r="U18" s="1276">
        <v>5000</v>
      </c>
      <c r="V18" s="17" t="s">
        <v>869</v>
      </c>
      <c r="W18" s="20" t="s">
        <v>870</v>
      </c>
      <c r="X18" s="20" t="s">
        <v>867</v>
      </c>
      <c r="Y18" s="20" t="s">
        <v>868</v>
      </c>
      <c r="Z18" s="1276">
        <v>5000</v>
      </c>
      <c r="AA18" s="18" t="s">
        <v>871</v>
      </c>
      <c r="AB18" s="21" t="s">
        <v>871</v>
      </c>
      <c r="AC18" s="21" t="s">
        <v>871</v>
      </c>
      <c r="AD18" s="21" t="s">
        <v>871</v>
      </c>
      <c r="AE18" s="21" t="s">
        <v>871</v>
      </c>
      <c r="AF18" s="18" t="s">
        <v>817</v>
      </c>
      <c r="AG18" s="21" t="s">
        <v>818</v>
      </c>
      <c r="AH18" s="21" t="s">
        <v>819</v>
      </c>
      <c r="AI18" s="22" t="s">
        <v>872</v>
      </c>
      <c r="AJ18" s="1275"/>
      <c r="AK18" s="1429" t="s">
        <v>871</v>
      </c>
      <c r="AL18" s="1434" t="str">
        <f t="shared" si="0"/>
        <v>AGN (SA)</v>
      </c>
    </row>
    <row r="19" spans="2:38" x14ac:dyDescent="0.25">
      <c r="B19" s="1412" t="s">
        <v>880</v>
      </c>
      <c r="C19" s="1274" t="s">
        <v>881</v>
      </c>
      <c r="D19" s="1273">
        <v>19078551685</v>
      </c>
      <c r="E19" s="1432" t="s">
        <v>882</v>
      </c>
      <c r="F19" s="1272" t="s">
        <v>484</v>
      </c>
      <c r="G19" s="1267" t="s">
        <v>480</v>
      </c>
      <c r="H19" s="1267" t="s">
        <v>861</v>
      </c>
      <c r="I19" s="14" t="s">
        <v>547</v>
      </c>
      <c r="J19" s="1284" t="s">
        <v>862</v>
      </c>
      <c r="K19" s="1267" t="s">
        <v>863</v>
      </c>
      <c r="L19" s="1271">
        <v>5</v>
      </c>
      <c r="M19" s="1280">
        <v>5</v>
      </c>
      <c r="N19" s="1279">
        <v>5</v>
      </c>
      <c r="O19" s="1268" t="s">
        <v>864</v>
      </c>
      <c r="P19" s="1281"/>
      <c r="Q19" s="1266" t="s">
        <v>865</v>
      </c>
      <c r="R19" s="1265" t="s">
        <v>866</v>
      </c>
      <c r="S19" s="1265" t="s">
        <v>867</v>
      </c>
      <c r="T19" s="1265" t="s">
        <v>868</v>
      </c>
      <c r="U19" s="1264">
        <v>5000</v>
      </c>
      <c r="V19" s="1266" t="s">
        <v>869</v>
      </c>
      <c r="W19" s="1265" t="s">
        <v>870</v>
      </c>
      <c r="X19" s="1265" t="s">
        <v>867</v>
      </c>
      <c r="Y19" s="1265" t="s">
        <v>868</v>
      </c>
      <c r="Z19" s="1264">
        <v>5000</v>
      </c>
      <c r="AA19" s="1263" t="s">
        <v>871</v>
      </c>
      <c r="AB19" s="1262" t="s">
        <v>871</v>
      </c>
      <c r="AC19" s="1262" t="s">
        <v>871</v>
      </c>
      <c r="AD19" s="1262" t="s">
        <v>871</v>
      </c>
      <c r="AE19" s="1262" t="s">
        <v>871</v>
      </c>
      <c r="AF19" s="1263" t="s">
        <v>817</v>
      </c>
      <c r="AG19" s="1262" t="s">
        <v>818</v>
      </c>
      <c r="AH19" s="1262" t="s">
        <v>819</v>
      </c>
      <c r="AI19" s="1261" t="s">
        <v>872</v>
      </c>
      <c r="AJ19" s="1260"/>
      <c r="AK19" s="1430" t="s">
        <v>871</v>
      </c>
      <c r="AL19" s="1434" t="str">
        <f t="shared" si="0"/>
        <v>AGN (Victoria)</v>
      </c>
    </row>
    <row r="20" spans="2:38" x14ac:dyDescent="0.25">
      <c r="B20" s="1411" t="s">
        <v>478</v>
      </c>
      <c r="C20" s="1278" t="s">
        <v>883</v>
      </c>
      <c r="D20" s="1277">
        <v>39009737393</v>
      </c>
      <c r="E20" s="1431" t="s">
        <v>884</v>
      </c>
      <c r="F20" s="851" t="s">
        <v>479</v>
      </c>
      <c r="G20" s="14" t="s">
        <v>480</v>
      </c>
      <c r="H20" s="14" t="s">
        <v>481</v>
      </c>
      <c r="I20" s="14" t="s">
        <v>547</v>
      </c>
      <c r="J20" s="15" t="s">
        <v>862</v>
      </c>
      <c r="K20" s="14" t="s">
        <v>863</v>
      </c>
      <c r="L20" s="16">
        <v>5</v>
      </c>
      <c r="M20" s="1115">
        <v>5</v>
      </c>
      <c r="N20" s="1116">
        <v>5</v>
      </c>
      <c r="O20" s="852" t="s">
        <v>864</v>
      </c>
      <c r="P20" s="14" t="s">
        <v>163</v>
      </c>
      <c r="Q20" s="17" t="s">
        <v>885</v>
      </c>
      <c r="R20" s="20" t="s">
        <v>886</v>
      </c>
      <c r="S20" s="20" t="s">
        <v>887</v>
      </c>
      <c r="T20" s="20" t="s">
        <v>64</v>
      </c>
      <c r="U20" s="1276">
        <v>2000</v>
      </c>
      <c r="V20" s="17" t="s">
        <v>885</v>
      </c>
      <c r="W20" s="20" t="s">
        <v>886</v>
      </c>
      <c r="X20" s="20" t="s">
        <v>887</v>
      </c>
      <c r="Y20" s="20" t="s">
        <v>64</v>
      </c>
      <c r="Z20" s="1276">
        <v>2000</v>
      </c>
      <c r="AA20" s="18" t="s">
        <v>871</v>
      </c>
      <c r="AB20" s="21" t="s">
        <v>871</v>
      </c>
      <c r="AC20" s="21" t="s">
        <v>871</v>
      </c>
      <c r="AD20" s="21" t="s">
        <v>871</v>
      </c>
      <c r="AE20" s="21" t="s">
        <v>871</v>
      </c>
      <c r="AF20" s="18" t="s">
        <v>817</v>
      </c>
      <c r="AG20" s="21" t="s">
        <v>818</v>
      </c>
      <c r="AH20" s="21" t="s">
        <v>819</v>
      </c>
      <c r="AI20" s="22" t="s">
        <v>872</v>
      </c>
      <c r="AJ20" s="1275"/>
      <c r="AK20" s="1429" t="s">
        <v>871</v>
      </c>
      <c r="AL20" s="1434" t="str">
        <f t="shared" si="0"/>
        <v>Amadeus</v>
      </c>
    </row>
    <row r="21" spans="2:38" x14ac:dyDescent="0.25">
      <c r="B21" s="1411" t="s">
        <v>483</v>
      </c>
      <c r="C21" s="1278" t="s">
        <v>888</v>
      </c>
      <c r="D21" s="1277" t="s">
        <v>889</v>
      </c>
      <c r="E21" s="1432" t="s">
        <v>890</v>
      </c>
      <c r="F21" s="851" t="s">
        <v>484</v>
      </c>
      <c r="G21" s="14" t="s">
        <v>480</v>
      </c>
      <c r="H21" s="14" t="s">
        <v>481</v>
      </c>
      <c r="I21" s="14" t="s">
        <v>549</v>
      </c>
      <c r="J21" s="15" t="s">
        <v>862</v>
      </c>
      <c r="K21" s="14" t="s">
        <v>863</v>
      </c>
      <c r="L21" s="16">
        <v>5</v>
      </c>
      <c r="M21" s="1115">
        <v>5</v>
      </c>
      <c r="N21" s="1116">
        <v>5</v>
      </c>
      <c r="O21" s="852" t="s">
        <v>864</v>
      </c>
      <c r="P21" s="14"/>
      <c r="Q21" s="17" t="s">
        <v>885</v>
      </c>
      <c r="R21" s="20" t="s">
        <v>886</v>
      </c>
      <c r="S21" s="20" t="s">
        <v>887</v>
      </c>
      <c r="T21" s="20" t="s">
        <v>64</v>
      </c>
      <c r="U21" s="1276">
        <v>2000</v>
      </c>
      <c r="V21" s="17" t="s">
        <v>891</v>
      </c>
      <c r="W21" s="20"/>
      <c r="X21" s="20" t="s">
        <v>892</v>
      </c>
      <c r="Y21" s="20" t="s">
        <v>64</v>
      </c>
      <c r="Z21" s="1276">
        <v>1225</v>
      </c>
      <c r="AA21" s="18" t="s">
        <v>893</v>
      </c>
      <c r="AB21" s="21" t="s">
        <v>894</v>
      </c>
      <c r="AC21" s="21" t="s">
        <v>895</v>
      </c>
      <c r="AD21" s="21" t="s">
        <v>871</v>
      </c>
      <c r="AE21" s="21" t="s">
        <v>871</v>
      </c>
      <c r="AF21" s="18" t="s">
        <v>871</v>
      </c>
      <c r="AG21" s="21" t="s">
        <v>871</v>
      </c>
      <c r="AH21" s="21" t="s">
        <v>871</v>
      </c>
      <c r="AI21" s="22" t="s">
        <v>482</v>
      </c>
      <c r="AJ21" s="1275" t="s">
        <v>817</v>
      </c>
      <c r="AK21" s="1429" t="s">
        <v>818</v>
      </c>
      <c r="AL21" s="1434" t="str">
        <f t="shared" si="0"/>
        <v>APA GasNet</v>
      </c>
    </row>
    <row r="22" spans="2:38" x14ac:dyDescent="0.25">
      <c r="B22" s="1411" t="s">
        <v>896</v>
      </c>
      <c r="C22" s="1278" t="s">
        <v>897</v>
      </c>
      <c r="D22" s="1353">
        <v>65083009</v>
      </c>
      <c r="E22" s="1431" t="s">
        <v>898</v>
      </c>
      <c r="F22" s="851" t="s">
        <v>484</v>
      </c>
      <c r="G22" s="14" t="s">
        <v>480</v>
      </c>
      <c r="H22" s="14" t="s">
        <v>481</v>
      </c>
      <c r="I22" s="14" t="s">
        <v>547</v>
      </c>
      <c r="J22" s="15" t="s">
        <v>862</v>
      </c>
      <c r="K22" s="14" t="s">
        <v>863</v>
      </c>
      <c r="L22" s="16">
        <v>5</v>
      </c>
      <c r="M22" s="1115">
        <v>5</v>
      </c>
      <c r="N22" s="1116">
        <v>5</v>
      </c>
      <c r="O22" s="852" t="s">
        <v>864</v>
      </c>
      <c r="P22" s="14"/>
      <c r="Q22" s="17" t="s">
        <v>885</v>
      </c>
      <c r="R22" s="20" t="s">
        <v>886</v>
      </c>
      <c r="S22" s="20" t="s">
        <v>887</v>
      </c>
      <c r="T22" s="20" t="s">
        <v>64</v>
      </c>
      <c r="U22" s="1276">
        <v>2000</v>
      </c>
      <c r="V22" s="17" t="s">
        <v>891</v>
      </c>
      <c r="W22" s="20"/>
      <c r="X22" s="20" t="s">
        <v>892</v>
      </c>
      <c r="Y22" s="20" t="s">
        <v>64</v>
      </c>
      <c r="Z22" s="1276">
        <v>1225</v>
      </c>
      <c r="AA22" s="18" t="s">
        <v>871</v>
      </c>
      <c r="AB22" s="21" t="s">
        <v>871</v>
      </c>
      <c r="AC22" s="21" t="s">
        <v>871</v>
      </c>
      <c r="AD22" s="21" t="s">
        <v>871</v>
      </c>
      <c r="AE22" s="21" t="s">
        <v>871</v>
      </c>
      <c r="AF22" s="18" t="s">
        <v>817</v>
      </c>
      <c r="AG22" s="21" t="s">
        <v>818</v>
      </c>
      <c r="AH22" s="21" t="s">
        <v>819</v>
      </c>
      <c r="AI22" s="22" t="s">
        <v>872</v>
      </c>
      <c r="AJ22" s="1275"/>
      <c r="AK22" s="1429" t="s">
        <v>871</v>
      </c>
      <c r="AL22" s="1434" t="str">
        <f t="shared" si="0"/>
        <v>APA VTS</v>
      </c>
    </row>
    <row r="23" spans="2:38" s="68" customFormat="1" x14ac:dyDescent="0.25">
      <c r="B23" s="1412" t="s">
        <v>899</v>
      </c>
      <c r="C23" s="1274" t="s">
        <v>900</v>
      </c>
      <c r="D23" s="1292" t="s">
        <v>901</v>
      </c>
      <c r="E23" s="1432" t="s">
        <v>902</v>
      </c>
      <c r="F23" s="1272" t="s">
        <v>484</v>
      </c>
      <c r="G23" s="1267" t="s">
        <v>480</v>
      </c>
      <c r="H23" s="1267" t="s">
        <v>861</v>
      </c>
      <c r="I23" s="14" t="s">
        <v>547</v>
      </c>
      <c r="J23" s="1284" t="s">
        <v>862</v>
      </c>
      <c r="K23" s="1267" t="s">
        <v>863</v>
      </c>
      <c r="L23" s="1271">
        <v>5</v>
      </c>
      <c r="M23" s="1280">
        <v>5</v>
      </c>
      <c r="N23" s="1279">
        <v>5</v>
      </c>
      <c r="O23" s="1268" t="s">
        <v>482</v>
      </c>
      <c r="P23" s="1281" t="s">
        <v>482</v>
      </c>
      <c r="Q23" s="1266" t="s">
        <v>903</v>
      </c>
      <c r="R23" s="1265" t="s">
        <v>904</v>
      </c>
      <c r="S23" s="1265" t="s">
        <v>905</v>
      </c>
      <c r="T23" s="1265" t="s">
        <v>484</v>
      </c>
      <c r="U23" s="1264">
        <v>3008</v>
      </c>
      <c r="V23" s="1286"/>
      <c r="W23" s="1265"/>
      <c r="X23" s="1265"/>
      <c r="Y23" s="1265" t="s">
        <v>484</v>
      </c>
      <c r="Z23" s="1264"/>
      <c r="AA23" s="1263" t="s">
        <v>871</v>
      </c>
      <c r="AB23" s="1262" t="s">
        <v>871</v>
      </c>
      <c r="AC23" s="1262" t="s">
        <v>871</v>
      </c>
      <c r="AD23" s="1262" t="s">
        <v>871</v>
      </c>
      <c r="AE23" s="1262" t="s">
        <v>871</v>
      </c>
      <c r="AF23" s="1263" t="s">
        <v>817</v>
      </c>
      <c r="AG23" s="1262" t="s">
        <v>818</v>
      </c>
      <c r="AH23" s="1262" t="s">
        <v>819</v>
      </c>
      <c r="AI23" s="1261" t="s">
        <v>872</v>
      </c>
      <c r="AJ23" s="1260"/>
      <c r="AK23" s="1430" t="s">
        <v>871</v>
      </c>
      <c r="AL23" s="1434" t="str">
        <f t="shared" si="0"/>
        <v>AusNet (Gas)</v>
      </c>
    </row>
    <row r="24" spans="2:38" x14ac:dyDescent="0.25">
      <c r="B24" s="1413" t="s">
        <v>906</v>
      </c>
      <c r="C24" s="1289" t="s">
        <v>907</v>
      </c>
      <c r="D24" s="1288">
        <v>11222333444</v>
      </c>
      <c r="E24" s="1439" t="s">
        <v>908</v>
      </c>
      <c r="F24" s="1290" t="s">
        <v>484</v>
      </c>
      <c r="G24" s="14" t="s">
        <v>480</v>
      </c>
      <c r="H24" s="14" t="s">
        <v>861</v>
      </c>
      <c r="I24" s="14" t="s">
        <v>547</v>
      </c>
      <c r="J24" s="15" t="s">
        <v>862</v>
      </c>
      <c r="K24" s="14" t="s">
        <v>863</v>
      </c>
      <c r="L24" s="1291">
        <v>5</v>
      </c>
      <c r="M24" s="1115">
        <v>5</v>
      </c>
      <c r="N24" s="1116">
        <v>5</v>
      </c>
      <c r="O24" s="852" t="s">
        <v>482</v>
      </c>
      <c r="P24" s="14" t="s">
        <v>482</v>
      </c>
      <c r="Q24" s="17" t="s">
        <v>909</v>
      </c>
      <c r="R24" s="20"/>
      <c r="S24" s="20" t="s">
        <v>910</v>
      </c>
      <c r="T24" s="20" t="s">
        <v>484</v>
      </c>
      <c r="U24" s="1276">
        <v>3000</v>
      </c>
      <c r="V24" s="17" t="s">
        <v>911</v>
      </c>
      <c r="W24" s="20"/>
      <c r="X24" s="20" t="s">
        <v>910</v>
      </c>
      <c r="Y24" s="20" t="s">
        <v>484</v>
      </c>
      <c r="Z24" s="1276">
        <v>3000</v>
      </c>
      <c r="AA24" s="18" t="s">
        <v>871</v>
      </c>
      <c r="AB24" s="21" t="s">
        <v>871</v>
      </c>
      <c r="AC24" s="21" t="s">
        <v>871</v>
      </c>
      <c r="AD24" s="21" t="s">
        <v>871</v>
      </c>
      <c r="AE24" s="21" t="s">
        <v>871</v>
      </c>
      <c r="AF24" s="18" t="s">
        <v>817</v>
      </c>
      <c r="AG24" s="21" t="s">
        <v>818</v>
      </c>
      <c r="AH24" s="21" t="s">
        <v>819</v>
      </c>
      <c r="AI24" s="22" t="s">
        <v>872</v>
      </c>
      <c r="AJ24" s="1275"/>
      <c r="AK24" s="1429" t="s">
        <v>871</v>
      </c>
      <c r="AL24" s="1434" t="str">
        <f t="shared" si="0"/>
        <v>Australian Distribution Co. (Gas)</v>
      </c>
    </row>
    <row r="25" spans="2:38" x14ac:dyDescent="0.25">
      <c r="B25" s="1413" t="s">
        <v>912</v>
      </c>
      <c r="C25" s="1289" t="s">
        <v>912</v>
      </c>
      <c r="D25" s="1288">
        <v>11222333444</v>
      </c>
      <c r="E25" s="1433" t="s">
        <v>913</v>
      </c>
      <c r="F25" s="1287" t="s">
        <v>64</v>
      </c>
      <c r="G25" s="1267" t="s">
        <v>480</v>
      </c>
      <c r="H25" s="1267" t="s">
        <v>481</v>
      </c>
      <c r="I25" s="14" t="s">
        <v>547</v>
      </c>
      <c r="J25" s="1284" t="s">
        <v>862</v>
      </c>
      <c r="K25" s="1267" t="s">
        <v>863</v>
      </c>
      <c r="L25" s="1271">
        <v>5</v>
      </c>
      <c r="M25" s="1270">
        <v>5</v>
      </c>
      <c r="N25" s="1269">
        <v>5</v>
      </c>
      <c r="O25" s="1268">
        <v>5</v>
      </c>
      <c r="P25" s="1267" t="s">
        <v>914</v>
      </c>
      <c r="Q25" s="1266" t="s">
        <v>909</v>
      </c>
      <c r="R25" s="1265"/>
      <c r="S25" s="1265" t="s">
        <v>887</v>
      </c>
      <c r="T25" s="1265" t="s">
        <v>64</v>
      </c>
      <c r="U25" s="1264">
        <v>2000</v>
      </c>
      <c r="V25" s="1266" t="s">
        <v>911</v>
      </c>
      <c r="W25" s="1265"/>
      <c r="X25" s="1265" t="s">
        <v>887</v>
      </c>
      <c r="Y25" s="1265" t="s">
        <v>64</v>
      </c>
      <c r="Z25" s="1264">
        <v>2000</v>
      </c>
      <c r="AA25" s="1263" t="s">
        <v>871</v>
      </c>
      <c r="AB25" s="1262" t="s">
        <v>871</v>
      </c>
      <c r="AC25" s="1262" t="s">
        <v>871</v>
      </c>
      <c r="AD25" s="1262" t="s">
        <v>871</v>
      </c>
      <c r="AE25" s="1262" t="s">
        <v>871</v>
      </c>
      <c r="AF25" s="1286" t="s">
        <v>817</v>
      </c>
      <c r="AG25" s="1262" t="s">
        <v>818</v>
      </c>
      <c r="AH25" s="1262" t="s">
        <v>819</v>
      </c>
      <c r="AI25" s="1261" t="s">
        <v>872</v>
      </c>
      <c r="AJ25" s="1260"/>
      <c r="AK25" s="1430" t="s">
        <v>871</v>
      </c>
      <c r="AL25" s="1434" t="str">
        <f t="shared" si="0"/>
        <v>Australian Transmission Co. (Gas)</v>
      </c>
    </row>
    <row r="26" spans="2:38" x14ac:dyDescent="0.25">
      <c r="B26" s="1411" t="s">
        <v>56</v>
      </c>
      <c r="C26" s="1278" t="s">
        <v>915</v>
      </c>
      <c r="D26" s="1277">
        <v>76670568688</v>
      </c>
      <c r="E26" s="1431" t="s">
        <v>916</v>
      </c>
      <c r="F26" s="851" t="s">
        <v>917</v>
      </c>
      <c r="G26" s="14" t="s">
        <v>480</v>
      </c>
      <c r="H26" s="14" t="s">
        <v>861</v>
      </c>
      <c r="I26" s="14" t="s">
        <v>547</v>
      </c>
      <c r="J26" s="15" t="s">
        <v>862</v>
      </c>
      <c r="K26" s="14" t="s">
        <v>863</v>
      </c>
      <c r="L26" s="16">
        <v>5</v>
      </c>
      <c r="M26" s="1115">
        <v>5</v>
      </c>
      <c r="N26" s="1116">
        <v>5</v>
      </c>
      <c r="O26" s="852" t="s">
        <v>864</v>
      </c>
      <c r="P26" s="14"/>
      <c r="Q26" s="1354" t="s">
        <v>918</v>
      </c>
      <c r="R26" s="20"/>
      <c r="S26" s="1355" t="s">
        <v>919</v>
      </c>
      <c r="T26" s="1356" t="s">
        <v>917</v>
      </c>
      <c r="U26" s="1276">
        <v>2600</v>
      </c>
      <c r="V26" s="17" t="s">
        <v>920</v>
      </c>
      <c r="W26" s="20"/>
      <c r="X26" s="20" t="s">
        <v>919</v>
      </c>
      <c r="Y26" s="20" t="s">
        <v>917</v>
      </c>
      <c r="Z26" s="1285">
        <v>2601</v>
      </c>
      <c r="AA26" s="18" t="s">
        <v>871</v>
      </c>
      <c r="AB26" s="21" t="s">
        <v>871</v>
      </c>
      <c r="AC26" s="21" t="s">
        <v>871</v>
      </c>
      <c r="AD26" s="21" t="s">
        <v>871</v>
      </c>
      <c r="AE26" s="21" t="s">
        <v>871</v>
      </c>
      <c r="AF26" s="18" t="s">
        <v>817</v>
      </c>
      <c r="AG26" s="21" t="s">
        <v>818</v>
      </c>
      <c r="AH26" s="21" t="s">
        <v>819</v>
      </c>
      <c r="AI26" s="22" t="s">
        <v>872</v>
      </c>
      <c r="AJ26" s="1275"/>
      <c r="AK26" s="1429" t="s">
        <v>871</v>
      </c>
      <c r="AL26" s="1434" t="str">
        <f t="shared" si="0"/>
        <v>Evoenergy Gas</v>
      </c>
    </row>
    <row r="27" spans="2:38" x14ac:dyDescent="0.25">
      <c r="B27" s="1412" t="s">
        <v>921</v>
      </c>
      <c r="C27" s="1274" t="s">
        <v>922</v>
      </c>
      <c r="D27" s="1273" t="s">
        <v>923</v>
      </c>
      <c r="E27" s="1432" t="s">
        <v>924</v>
      </c>
      <c r="F27" s="1272" t="s">
        <v>64</v>
      </c>
      <c r="G27" s="1267" t="s">
        <v>480</v>
      </c>
      <c r="H27" s="1267" t="s">
        <v>861</v>
      </c>
      <c r="I27" s="14" t="s">
        <v>547</v>
      </c>
      <c r="J27" s="1284" t="s">
        <v>862</v>
      </c>
      <c r="K27" s="1267" t="s">
        <v>863</v>
      </c>
      <c r="L27" s="1271">
        <v>5</v>
      </c>
      <c r="M27" s="1280">
        <v>5</v>
      </c>
      <c r="N27" s="1279">
        <v>5</v>
      </c>
      <c r="O27" s="1268"/>
      <c r="P27" s="1281"/>
      <c r="Q27" s="1266"/>
      <c r="R27" s="1265"/>
      <c r="S27" s="1265"/>
      <c r="T27" s="1265"/>
      <c r="U27" s="1264"/>
      <c r="V27" s="1266"/>
      <c r="W27" s="1265"/>
      <c r="X27" s="1265"/>
      <c r="Y27" s="1265"/>
      <c r="Z27" s="1283"/>
      <c r="AA27" s="1263" t="s">
        <v>871</v>
      </c>
      <c r="AB27" s="1262" t="s">
        <v>871</v>
      </c>
      <c r="AC27" s="1262" t="s">
        <v>871</v>
      </c>
      <c r="AD27" s="1262" t="s">
        <v>871</v>
      </c>
      <c r="AE27" s="1262" t="s">
        <v>871</v>
      </c>
      <c r="AF27" s="1263" t="s">
        <v>817</v>
      </c>
      <c r="AG27" s="1262" t="s">
        <v>818</v>
      </c>
      <c r="AH27" s="1262" t="s">
        <v>819</v>
      </c>
      <c r="AI27" s="1261" t="s">
        <v>872</v>
      </c>
      <c r="AJ27" s="1260"/>
      <c r="AK27" s="1430" t="s">
        <v>871</v>
      </c>
      <c r="AL27" s="1434" t="str">
        <f t="shared" si="0"/>
        <v>JGN</v>
      </c>
    </row>
    <row r="28" spans="2:38" x14ac:dyDescent="0.25">
      <c r="B28" s="1411" t="s">
        <v>925</v>
      </c>
      <c r="C28" s="1278" t="s">
        <v>926</v>
      </c>
      <c r="D28" s="1282" t="s">
        <v>927</v>
      </c>
      <c r="E28" s="1431" t="s">
        <v>928</v>
      </c>
      <c r="F28" s="851" t="s">
        <v>484</v>
      </c>
      <c r="G28" s="14" t="s">
        <v>480</v>
      </c>
      <c r="H28" s="14" t="s">
        <v>861</v>
      </c>
      <c r="I28" s="14" t="s">
        <v>547</v>
      </c>
      <c r="J28" s="15" t="s">
        <v>862</v>
      </c>
      <c r="K28" s="14" t="s">
        <v>863</v>
      </c>
      <c r="L28" s="16">
        <v>5</v>
      </c>
      <c r="M28" s="1115">
        <v>5</v>
      </c>
      <c r="N28" s="1116">
        <v>5</v>
      </c>
      <c r="O28" s="852" t="s">
        <v>864</v>
      </c>
      <c r="P28" s="19"/>
      <c r="Q28" s="17" t="s">
        <v>929</v>
      </c>
      <c r="R28" s="20"/>
      <c r="S28" s="20" t="s">
        <v>930</v>
      </c>
      <c r="T28" s="20" t="s">
        <v>484</v>
      </c>
      <c r="U28" s="1276">
        <v>3149</v>
      </c>
      <c r="V28" s="17"/>
      <c r="W28" s="20"/>
      <c r="X28" s="20"/>
      <c r="Y28" s="20" t="s">
        <v>484</v>
      </c>
      <c r="Z28" s="1276"/>
      <c r="AA28" s="18" t="s">
        <v>871</v>
      </c>
      <c r="AB28" s="21" t="s">
        <v>871</v>
      </c>
      <c r="AC28" s="21" t="s">
        <v>871</v>
      </c>
      <c r="AD28" s="21" t="s">
        <v>871</v>
      </c>
      <c r="AE28" s="21" t="s">
        <v>871</v>
      </c>
      <c r="AF28" s="18" t="s">
        <v>817</v>
      </c>
      <c r="AG28" s="21" t="s">
        <v>818</v>
      </c>
      <c r="AH28" s="21" t="s">
        <v>819</v>
      </c>
      <c r="AI28" s="22" t="s">
        <v>872</v>
      </c>
      <c r="AJ28" s="1275"/>
      <c r="AK28" s="1429" t="s">
        <v>871</v>
      </c>
      <c r="AL28" s="1434" t="str">
        <f t="shared" si="0"/>
        <v>Multinet Gas</v>
      </c>
    </row>
    <row r="29" spans="2:38" x14ac:dyDescent="0.25">
      <c r="B29" s="1412" t="s">
        <v>931</v>
      </c>
      <c r="C29" s="1274" t="s">
        <v>932</v>
      </c>
      <c r="D29" s="1273" t="s">
        <v>933</v>
      </c>
      <c r="E29" s="1438" t="s">
        <v>934</v>
      </c>
      <c r="F29" s="1272" t="s">
        <v>935</v>
      </c>
      <c r="G29" s="1267" t="s">
        <v>480</v>
      </c>
      <c r="H29" s="1267" t="s">
        <v>481</v>
      </c>
      <c r="I29" s="14" t="s">
        <v>547</v>
      </c>
      <c r="J29" s="1284" t="s">
        <v>862</v>
      </c>
      <c r="K29" s="1267" t="s">
        <v>863</v>
      </c>
      <c r="L29" s="1271">
        <v>5</v>
      </c>
      <c r="M29" s="1280">
        <v>5</v>
      </c>
      <c r="N29" s="1279">
        <v>5</v>
      </c>
      <c r="O29" s="1268" t="s">
        <v>864</v>
      </c>
      <c r="P29" s="1281" t="s">
        <v>163</v>
      </c>
      <c r="Q29" s="1266" t="s">
        <v>886</v>
      </c>
      <c r="R29" s="1265"/>
      <c r="S29" s="1265" t="s">
        <v>887</v>
      </c>
      <c r="T29" s="1265" t="s">
        <v>64</v>
      </c>
      <c r="U29" s="1264">
        <v>2000</v>
      </c>
      <c r="V29" s="1266" t="s">
        <v>891</v>
      </c>
      <c r="W29" s="1265"/>
      <c r="X29" s="1265" t="s">
        <v>892</v>
      </c>
      <c r="Y29" s="1265" t="s">
        <v>64</v>
      </c>
      <c r="Z29" s="1264">
        <v>1225</v>
      </c>
      <c r="AA29" s="1263" t="s">
        <v>871</v>
      </c>
      <c r="AB29" s="1262" t="s">
        <v>871</v>
      </c>
      <c r="AC29" s="1262" t="s">
        <v>871</v>
      </c>
      <c r="AD29" s="1262" t="s">
        <v>871</v>
      </c>
      <c r="AE29" s="1262" t="s">
        <v>871</v>
      </c>
      <c r="AF29" s="1263" t="s">
        <v>817</v>
      </c>
      <c r="AG29" s="1262" t="s">
        <v>818</v>
      </c>
      <c r="AH29" s="1262" t="s">
        <v>819</v>
      </c>
      <c r="AI29" s="1261" t="s">
        <v>872</v>
      </c>
      <c r="AJ29" s="1260"/>
      <c r="AK29" s="1430" t="s">
        <v>871</v>
      </c>
      <c r="AL29" s="1434" t="str">
        <f t="shared" si="0"/>
        <v>Roma to Brisbane Pipeline</v>
      </c>
    </row>
    <row r="30" spans="2:38" x14ac:dyDescent="0.25">
      <c r="C30" s="11"/>
      <c r="F30" s="74"/>
      <c r="I30" s="76"/>
      <c r="J30" s="12"/>
      <c r="L30" s="76"/>
      <c r="M30" s="13"/>
      <c r="P30" s="76"/>
      <c r="X30" s="50"/>
      <c r="Y30" s="50"/>
    </row>
    <row r="31" spans="2:38" x14ac:dyDescent="0.25">
      <c r="C31" s="11"/>
      <c r="F31" s="74"/>
      <c r="I31" s="76"/>
      <c r="J31" s="12"/>
      <c r="L31" s="76"/>
      <c r="M31" s="13"/>
      <c r="X31" s="50"/>
      <c r="Y31" s="50"/>
    </row>
    <row r="32" spans="2:38" x14ac:dyDescent="0.25">
      <c r="C32" s="11"/>
      <c r="X32" s="50"/>
    </row>
    <row r="33" spans="2:25" ht="15" customHeight="1" x14ac:dyDescent="0.25">
      <c r="C33" s="11"/>
      <c r="X33" s="50"/>
    </row>
    <row r="34" spans="2:25" ht="47.25" customHeight="1" x14ac:dyDescent="0.25">
      <c r="B34" s="1584" t="s">
        <v>936</v>
      </c>
      <c r="C34" s="1585"/>
      <c r="D34" s="1585"/>
      <c r="E34" s="1585"/>
      <c r="L34" s="76"/>
      <c r="M34" s="76"/>
      <c r="N34" s="13"/>
      <c r="X34" s="50"/>
      <c r="Y34" s="50"/>
    </row>
    <row r="35" spans="2:25" ht="31.5" customHeight="1" x14ac:dyDescent="0.25">
      <c r="B35" s="853" t="s">
        <v>937</v>
      </c>
      <c r="C35" s="854" t="s">
        <v>938</v>
      </c>
      <c r="D35" s="855" t="s">
        <v>939</v>
      </c>
      <c r="E35" s="856" t="s">
        <v>940</v>
      </c>
      <c r="L35" s="23"/>
      <c r="M35" s="23"/>
      <c r="N35" s="24"/>
      <c r="X35" s="50"/>
      <c r="Y35" s="50"/>
    </row>
    <row r="36" spans="2:25" x14ac:dyDescent="0.25">
      <c r="B36" s="857" t="s">
        <v>941</v>
      </c>
      <c r="C36" s="857" t="s">
        <v>942</v>
      </c>
      <c r="D36" s="858" t="str">
        <f>IF(dms_MultiYear_ResponseFlag="yes","NEW HISTORICAL ANNUAL REPORTING","ANNUAL REPORTING")</f>
        <v>ANNUAL REPORTING</v>
      </c>
      <c r="E36" s="859">
        <v>1</v>
      </c>
      <c r="L36" s="76"/>
      <c r="M36" s="76"/>
      <c r="N36" s="13"/>
      <c r="X36" s="50"/>
      <c r="Y36" s="50"/>
    </row>
    <row r="37" spans="2:25" x14ac:dyDescent="0.25">
      <c r="B37" s="860" t="s">
        <v>943</v>
      </c>
      <c r="C37" s="860" t="s">
        <v>944</v>
      </c>
      <c r="D37" s="861" t="str">
        <f>IF(dms_MultiYear_ResponseFlag="yes","NEW HISTORICAL CATEGORY ANALYSIS","CATEGORY ANALYSIS")</f>
        <v>CATEGORY ANALYSIS</v>
      </c>
      <c r="E37" s="862">
        <v>1</v>
      </c>
      <c r="L37" s="76"/>
      <c r="M37" s="76"/>
      <c r="N37" s="13"/>
      <c r="X37" s="50"/>
      <c r="Y37" s="50"/>
    </row>
    <row r="38" spans="2:25" x14ac:dyDescent="0.25">
      <c r="B38" s="860" t="s">
        <v>945</v>
      </c>
      <c r="C38" s="860" t="s">
        <v>946</v>
      </c>
      <c r="D38" s="861" t="s">
        <v>947</v>
      </c>
      <c r="E38" s="862">
        <v>5</v>
      </c>
      <c r="M38" s="76"/>
      <c r="N38" s="13"/>
      <c r="X38" s="50"/>
      <c r="Y38" s="50"/>
    </row>
    <row r="39" spans="2:25" x14ac:dyDescent="0.25">
      <c r="B39" s="860" t="s">
        <v>948</v>
      </c>
      <c r="C39" s="860" t="s">
        <v>948</v>
      </c>
      <c r="D39" s="861" t="s">
        <v>948</v>
      </c>
      <c r="E39" s="862">
        <v>5</v>
      </c>
      <c r="M39" s="76"/>
      <c r="N39" s="13"/>
      <c r="X39" s="50"/>
      <c r="Y39" s="50"/>
    </row>
    <row r="40" spans="2:25" x14ac:dyDescent="0.25">
      <c r="B40" s="860" t="s">
        <v>949</v>
      </c>
      <c r="C40" s="860" t="s">
        <v>950</v>
      </c>
      <c r="D40" s="861" t="str">
        <f>IF(dms_MultiYear_ResponseFlag="yes","NEW HISTORICAL ECONOMIC BENCHMARKING","ECONOMIC BENCHMARKING")</f>
        <v>ECONOMIC BENCHMARKING</v>
      </c>
      <c r="E40" s="863">
        <v>1</v>
      </c>
      <c r="M40" s="76"/>
      <c r="N40" s="13"/>
      <c r="X40" s="50"/>
      <c r="Y40" s="50"/>
    </row>
    <row r="41" spans="2:25" x14ac:dyDescent="0.25">
      <c r="B41" s="860" t="s">
        <v>951</v>
      </c>
      <c r="C41" s="860" t="s">
        <v>952</v>
      </c>
      <c r="D41" s="861" t="s">
        <v>953</v>
      </c>
      <c r="E41" s="863">
        <v>5</v>
      </c>
      <c r="M41" s="76"/>
      <c r="N41" s="13"/>
      <c r="X41" s="50"/>
      <c r="Y41" s="50"/>
    </row>
    <row r="42" spans="2:25" x14ac:dyDescent="0.25">
      <c r="B42" s="860" t="s">
        <v>954</v>
      </c>
      <c r="C42" s="860" t="s">
        <v>955</v>
      </c>
      <c r="D42" s="861" t="s">
        <v>956</v>
      </c>
      <c r="E42" s="863">
        <v>5</v>
      </c>
      <c r="M42" s="76"/>
      <c r="N42" s="13"/>
      <c r="X42" s="50"/>
      <c r="Y42" s="50"/>
    </row>
    <row r="43" spans="2:25" x14ac:dyDescent="0.25">
      <c r="B43" s="860" t="s">
        <v>957</v>
      </c>
      <c r="C43" s="860" t="s">
        <v>957</v>
      </c>
      <c r="D43" s="861" t="s">
        <v>958</v>
      </c>
      <c r="E43" s="863">
        <v>5</v>
      </c>
      <c r="M43" s="76"/>
      <c r="N43" s="13"/>
      <c r="X43" s="50"/>
      <c r="Y43" s="50"/>
    </row>
    <row r="44" spans="2:25" x14ac:dyDescent="0.25">
      <c r="B44" s="860" t="s">
        <v>723</v>
      </c>
      <c r="C44" s="860" t="s">
        <v>959</v>
      </c>
      <c r="D44" s="861" t="s">
        <v>960</v>
      </c>
      <c r="E44" s="863">
        <v>5</v>
      </c>
      <c r="M44" s="76"/>
      <c r="N44" s="13"/>
      <c r="X44" s="50"/>
      <c r="Y44" s="50"/>
    </row>
    <row r="45" spans="2:25" x14ac:dyDescent="0.25">
      <c r="B45" s="860" t="s">
        <v>961</v>
      </c>
      <c r="C45" s="860" t="s">
        <v>962</v>
      </c>
      <c r="D45" s="861" t="s">
        <v>963</v>
      </c>
      <c r="E45" s="863">
        <v>5</v>
      </c>
      <c r="M45" s="76"/>
      <c r="N45" s="13"/>
      <c r="X45" s="50"/>
      <c r="Y45" s="50"/>
    </row>
    <row r="46" spans="2:25" x14ac:dyDescent="0.25">
      <c r="B46" s="860" t="s">
        <v>717</v>
      </c>
      <c r="C46" s="860" t="s">
        <v>964</v>
      </c>
      <c r="D46" s="861" t="s">
        <v>965</v>
      </c>
      <c r="E46" s="863">
        <v>5</v>
      </c>
      <c r="M46" s="76"/>
      <c r="N46" s="13"/>
      <c r="X46" s="50"/>
      <c r="Y46" s="50"/>
    </row>
    <row r="47" spans="2:25" ht="15" customHeight="1" x14ac:dyDescent="0.25">
      <c r="B47" s="864" t="s">
        <v>966</v>
      </c>
      <c r="C47" s="864" t="s">
        <v>967</v>
      </c>
      <c r="D47" s="865" t="s">
        <v>968</v>
      </c>
      <c r="E47" s="866">
        <v>1</v>
      </c>
      <c r="M47" s="76"/>
      <c r="N47" s="13"/>
      <c r="X47" s="50"/>
      <c r="Y47" s="50"/>
    </row>
    <row r="48" spans="2:25" s="50" customFormat="1" x14ac:dyDescent="0.25">
      <c r="E48" s="587"/>
    </row>
    <row r="49" spans="2:12" x14ac:dyDescent="0.25">
      <c r="C49" s="50"/>
      <c r="D49" s="50"/>
      <c r="E49" s="587"/>
      <c r="F49" s="50"/>
      <c r="G49" s="50"/>
      <c r="H49" s="50"/>
      <c r="I49" s="50"/>
      <c r="J49" s="50"/>
      <c r="K49" s="50"/>
      <c r="L49" s="50"/>
    </row>
    <row r="50" spans="2:12" x14ac:dyDescent="0.25">
      <c r="C50" s="37"/>
      <c r="E50" s="147"/>
    </row>
    <row r="51" spans="2:12" ht="15" customHeight="1" x14ac:dyDescent="0.25">
      <c r="B51" s="867" t="s">
        <v>862</v>
      </c>
      <c r="C51" s="377" t="s">
        <v>969</v>
      </c>
      <c r="E51" s="868" t="s">
        <v>970</v>
      </c>
      <c r="G51" s="868" t="s">
        <v>971</v>
      </c>
      <c r="I51" s="869" t="s">
        <v>972</v>
      </c>
    </row>
    <row r="52" spans="2:12" ht="15" customHeight="1" x14ac:dyDescent="0.25">
      <c r="B52" s="39" t="s">
        <v>973</v>
      </c>
      <c r="C52" s="1259" t="s">
        <v>974</v>
      </c>
      <c r="D52" s="870" t="s">
        <v>975</v>
      </c>
      <c r="E52" s="871" t="str">
        <f ca="1">INDEX(INDIRECT(dms_RPT),dms_PRCP_start_row)</f>
        <v>2016-17</v>
      </c>
      <c r="F52" s="870" t="s">
        <v>976</v>
      </c>
      <c r="G52" s="871" t="str">
        <f ca="1">INDEX(INDIRECT(dms_RPT),dms_CRCP_start_row)</f>
        <v>2021-22</v>
      </c>
      <c r="H52" s="872" t="str">
        <f>FRCP_y1</f>
        <v>2026-27</v>
      </c>
      <c r="I52" s="871" t="str">
        <f ca="1">INDEX(INDIRECT(dms_RPT),dms_FRCP_start_row)</f>
        <v>2026-27</v>
      </c>
    </row>
    <row r="53" spans="2:12" x14ac:dyDescent="0.25">
      <c r="B53" s="40" t="s">
        <v>977</v>
      </c>
      <c r="C53" s="1258" t="s">
        <v>978</v>
      </c>
      <c r="D53" s="873" t="s">
        <v>979</v>
      </c>
      <c r="E53" s="874" t="str">
        <f ca="1">INDEX(INDIRECT(dms_RPT),dms_PRCP_start_row+1)</f>
        <v>2017-18</v>
      </c>
      <c r="F53" s="873" t="s">
        <v>980</v>
      </c>
      <c r="G53" s="874" t="str">
        <f ca="1">INDEX(INDIRECT(dms_RPT),dms_CRCP_start_row+1)</f>
        <v>2022-23</v>
      </c>
      <c r="H53" s="876" t="s">
        <v>981</v>
      </c>
      <c r="I53" s="874" t="str">
        <f ca="1">INDEX(INDIRECT(dms_RPT),dms_FRCP_start_row+1)</f>
        <v>2027-28</v>
      </c>
    </row>
    <row r="54" spans="2:12" x14ac:dyDescent="0.25">
      <c r="B54" s="40" t="s">
        <v>982</v>
      </c>
      <c r="C54" s="1258" t="s">
        <v>983</v>
      </c>
      <c r="D54" s="873" t="s">
        <v>984</v>
      </c>
      <c r="E54" s="874" t="str">
        <f ca="1">INDEX(INDIRECT(dms_RPT),dms_PRCP_start_row+2)</f>
        <v>2018-19</v>
      </c>
      <c r="F54" s="873" t="s">
        <v>985</v>
      </c>
      <c r="G54" s="874" t="str">
        <f ca="1">INDEX(INDIRECT(dms_RPT),dms_CRCP_start_row+2)</f>
        <v>2023-24</v>
      </c>
      <c r="H54" s="873" t="s">
        <v>986</v>
      </c>
      <c r="I54" s="874" t="str">
        <f ca="1">INDEX(INDIRECT(dms_RPT),dms_FRCP_start_row+2)</f>
        <v>2028-29</v>
      </c>
    </row>
    <row r="55" spans="2:12" x14ac:dyDescent="0.25">
      <c r="B55" s="40" t="s">
        <v>987</v>
      </c>
      <c r="C55" s="1258" t="s">
        <v>988</v>
      </c>
      <c r="D55" s="873" t="s">
        <v>989</v>
      </c>
      <c r="E55" s="874" t="str">
        <f ca="1">INDEX(INDIRECT(dms_RPT),dms_PRCP_start_row+3)</f>
        <v>2019-20</v>
      </c>
      <c r="F55" s="873" t="s">
        <v>990</v>
      </c>
      <c r="G55" s="874" t="str">
        <f ca="1">INDEX(INDIRECT(dms_RPT),dms_CRCP_start_row+3)</f>
        <v>2024-25</v>
      </c>
      <c r="H55" s="873" t="s">
        <v>991</v>
      </c>
      <c r="I55" s="874" t="str">
        <f ca="1">INDEX(INDIRECT(dms_RPT),dms_FRCP_start_row+3)</f>
        <v>2029-30</v>
      </c>
    </row>
    <row r="56" spans="2:12" x14ac:dyDescent="0.25">
      <c r="B56" s="40" t="s">
        <v>992</v>
      </c>
      <c r="C56" s="1258" t="s">
        <v>993</v>
      </c>
      <c r="D56" s="873" t="s">
        <v>994</v>
      </c>
      <c r="E56" s="874" t="str">
        <f ca="1">INDEX(INDIRECT(dms_RPT),dms_PRCP_start_row+4)</f>
        <v>2020-21</v>
      </c>
      <c r="F56" s="873" t="s">
        <v>995</v>
      </c>
      <c r="G56" s="874" t="str">
        <f ca="1">INDEX(INDIRECT(dms_RPT),dms_CRCP_start_row+4)</f>
        <v>2025-26</v>
      </c>
      <c r="H56" s="873" t="s">
        <v>996</v>
      </c>
      <c r="I56" s="874" t="str">
        <f ca="1">INDEX(INDIRECT(dms_RPT),dms_FRCP_start_row+4)</f>
        <v>2030-31</v>
      </c>
    </row>
    <row r="57" spans="2:12" x14ac:dyDescent="0.25">
      <c r="B57" s="40" t="s">
        <v>997</v>
      </c>
      <c r="C57" s="1258" t="s">
        <v>998</v>
      </c>
      <c r="D57" s="873" t="s">
        <v>999</v>
      </c>
      <c r="E57" s="874" t="str">
        <f ca="1">INDEX(INDIRECT(dms_RPT),dms_PRCP_start_row+5)</f>
        <v>2021-22</v>
      </c>
      <c r="F57" s="873" t="s">
        <v>1000</v>
      </c>
      <c r="G57" s="874" t="str">
        <f ca="1">INDEX(INDIRECT(dms_RPT),dms_CRCP_start_row+5)</f>
        <v>2026-27</v>
      </c>
      <c r="H57" s="873" t="s">
        <v>1001</v>
      </c>
      <c r="I57" s="874" t="str">
        <f ca="1">INDEX(INDIRECT(dms_RPT),dms_FRCP_start_row+5)</f>
        <v>2031-32</v>
      </c>
    </row>
    <row r="58" spans="2:12" x14ac:dyDescent="0.25">
      <c r="B58" s="40" t="s">
        <v>1002</v>
      </c>
      <c r="C58" s="1258" t="s">
        <v>1003</v>
      </c>
      <c r="D58" s="873" t="s">
        <v>1004</v>
      </c>
      <c r="E58" s="874" t="str">
        <f ca="1">INDEX(INDIRECT(dms_RPT),dms_PRCP_start_row+6)</f>
        <v>2022-23</v>
      </c>
      <c r="F58" s="873" t="s">
        <v>1005</v>
      </c>
      <c r="G58" s="874" t="str">
        <f ca="1">INDEX(INDIRECT(dms_RPT),dms_CRCP_start_row+6)</f>
        <v>2027-28</v>
      </c>
      <c r="H58" s="873" t="s">
        <v>1006</v>
      </c>
      <c r="I58" s="874" t="str">
        <f ca="1">INDEX(INDIRECT(dms_RPT),dms_FRCP_start_row+6)</f>
        <v>2032-33</v>
      </c>
    </row>
    <row r="59" spans="2:12" x14ac:dyDescent="0.25">
      <c r="B59" s="40" t="s">
        <v>1007</v>
      </c>
      <c r="C59" s="1258" t="s">
        <v>1008</v>
      </c>
      <c r="D59" s="873" t="s">
        <v>1009</v>
      </c>
      <c r="E59" s="874" t="str">
        <f ca="1">INDEX(INDIRECT(dms_RPT),dms_PRCP_start_row+7)</f>
        <v>2023-24</v>
      </c>
      <c r="F59" s="873" t="s">
        <v>1010</v>
      </c>
      <c r="G59" s="874" t="str">
        <f ca="1">INDEX(INDIRECT(dms_RPT),dms_CRCP_start_row+7)</f>
        <v>2028-29</v>
      </c>
      <c r="H59" s="873" t="s">
        <v>1011</v>
      </c>
      <c r="I59" s="874" t="str">
        <f ca="1">INDEX(INDIRECT(dms_RPT),dms_FRCP_start_row+7)</f>
        <v>2033-34</v>
      </c>
    </row>
    <row r="60" spans="2:12" x14ac:dyDescent="0.25">
      <c r="B60" s="40" t="s">
        <v>1012</v>
      </c>
      <c r="C60" s="1258" t="s">
        <v>1013</v>
      </c>
      <c r="D60" s="873" t="s">
        <v>1014</v>
      </c>
      <c r="E60" s="874" t="str">
        <f ca="1">INDEX(INDIRECT(dms_RPT),dms_PRCP_start_row+8)</f>
        <v>2024-25</v>
      </c>
      <c r="F60" s="873" t="s">
        <v>1015</v>
      </c>
      <c r="G60" s="874" t="str">
        <f ca="1">INDEX(INDIRECT(dms_RPT),dms_CRCP_start_row+8)</f>
        <v>2029-30</v>
      </c>
      <c r="H60" s="873" t="s">
        <v>1016</v>
      </c>
      <c r="I60" s="874" t="str">
        <f ca="1">INDEX(INDIRECT(dms_RPT),dms_FRCP_start_row+8)</f>
        <v>2034-35</v>
      </c>
    </row>
    <row r="61" spans="2:12" x14ac:dyDescent="0.25">
      <c r="B61" s="40" t="s">
        <v>1017</v>
      </c>
      <c r="C61" s="1258" t="s">
        <v>1018</v>
      </c>
      <c r="D61" s="873" t="s">
        <v>1019</v>
      </c>
      <c r="E61" s="874" t="str">
        <f ca="1">INDEX(INDIRECT(dms_RPT),dms_PRCP_start_row+9)</f>
        <v>2025-26</v>
      </c>
      <c r="F61" s="873" t="s">
        <v>1020</v>
      </c>
      <c r="G61" s="874" t="str">
        <f ca="1">INDEX(INDIRECT(dms_RPT),dms_CRCP_start_row+9)</f>
        <v>2030-31</v>
      </c>
      <c r="H61" s="873" t="s">
        <v>1021</v>
      </c>
      <c r="I61" s="874" t="str">
        <f ca="1">INDEX(INDIRECT(dms_RPT),dms_FRCP_start_row+9)</f>
        <v>2035-36</v>
      </c>
    </row>
    <row r="62" spans="2:12" x14ac:dyDescent="0.25">
      <c r="B62" s="40" t="s">
        <v>1022</v>
      </c>
      <c r="C62" s="1258" t="s">
        <v>1023</v>
      </c>
      <c r="D62" s="873" t="s">
        <v>1024</v>
      </c>
      <c r="E62" s="874" t="str">
        <f ca="1">INDEX(INDIRECT(dms_RPT),dms_PRCP_start_row+10)</f>
        <v>2026-27</v>
      </c>
      <c r="F62" s="873" t="s">
        <v>1025</v>
      </c>
      <c r="G62" s="874" t="str">
        <f ca="1">INDEX(INDIRECT(dms_RPT),dms_CRCP_start_row+10)</f>
        <v>2031-32</v>
      </c>
      <c r="H62" s="873" t="s">
        <v>1026</v>
      </c>
      <c r="I62" s="874" t="str">
        <f ca="1">INDEX(INDIRECT(dms_RPT),dms_FRCP_start_row+10)</f>
        <v>2036-37</v>
      </c>
    </row>
    <row r="63" spans="2:12" x14ac:dyDescent="0.25">
      <c r="B63" s="40" t="s">
        <v>1027</v>
      </c>
      <c r="C63" s="1258" t="s">
        <v>1028</v>
      </c>
      <c r="D63" s="873" t="s">
        <v>1029</v>
      </c>
      <c r="E63" s="874" t="str">
        <f ca="1">INDEX(INDIRECT(dms_RPT),dms_PRCP_start_row+11)</f>
        <v>2027-28</v>
      </c>
      <c r="F63" s="873" t="s">
        <v>1030</v>
      </c>
      <c r="G63" s="874" t="str">
        <f ca="1">INDEX(INDIRECT(dms_RPT),dms_CRCP_start_row+11)</f>
        <v>2032-33</v>
      </c>
      <c r="H63" s="873" t="s">
        <v>1031</v>
      </c>
      <c r="I63" s="874" t="str">
        <f ca="1">INDEX(INDIRECT(dms_RPT),dms_FRCP_start_row+11)</f>
        <v>2037-38</v>
      </c>
    </row>
    <row r="64" spans="2:12" x14ac:dyDescent="0.25">
      <c r="B64" s="40" t="s">
        <v>1032</v>
      </c>
      <c r="C64" s="1258" t="s">
        <v>1033</v>
      </c>
      <c r="D64" s="873" t="s">
        <v>1034</v>
      </c>
      <c r="E64" s="874" t="str">
        <f ca="1">INDEX(INDIRECT(dms_RPT),dms_PRCP_start_row+12)</f>
        <v>2028-29</v>
      </c>
      <c r="F64" s="873" t="s">
        <v>1035</v>
      </c>
      <c r="G64" s="874" t="str">
        <f ca="1">INDEX(INDIRECT(dms_RPT),dms_CRCP_start_row+12)</f>
        <v>2033-34</v>
      </c>
      <c r="H64" s="873" t="s">
        <v>1036</v>
      </c>
      <c r="I64" s="874" t="str">
        <f ca="1">INDEX(INDIRECT(dms_RPT),dms_FRCP_start_row+12)</f>
        <v>2038-39</v>
      </c>
    </row>
    <row r="65" spans="2:9" x14ac:dyDescent="0.25">
      <c r="B65" s="40" t="s">
        <v>1037</v>
      </c>
      <c r="C65" s="1258" t="s">
        <v>1038</v>
      </c>
      <c r="D65" s="873" t="s">
        <v>1039</v>
      </c>
      <c r="E65" s="874" t="str">
        <f ca="1">INDEX(INDIRECT(dms_RPT),dms_PRCP_start_row+13)</f>
        <v>2029-30</v>
      </c>
      <c r="F65" s="873" t="s">
        <v>1040</v>
      </c>
      <c r="G65" s="874" t="str">
        <f ca="1">INDEX(INDIRECT(dms_RPT),dms_CRCP_start_row+13)</f>
        <v>2034-35</v>
      </c>
      <c r="H65" s="873" t="s">
        <v>1041</v>
      </c>
      <c r="I65" s="874" t="str">
        <f ca="1">INDEX(INDIRECT(dms_RPT),dms_FRCP_start_row+13)</f>
        <v>2039-40</v>
      </c>
    </row>
    <row r="66" spans="2:9" x14ac:dyDescent="0.25">
      <c r="B66" s="40" t="s">
        <v>1042</v>
      </c>
      <c r="C66" s="1258" t="s">
        <v>1043</v>
      </c>
      <c r="D66" s="873" t="s">
        <v>1044</v>
      </c>
      <c r="E66" s="874" t="str">
        <f ca="1">INDEX(INDIRECT(dms_RPT),dms_PRCP_start_row+14)</f>
        <v>2030-31</v>
      </c>
      <c r="F66" s="873" t="s">
        <v>1045</v>
      </c>
      <c r="G66" s="874" t="str">
        <f ca="1">INDEX(INDIRECT(dms_RPT),dms_CRCP_start_row+14)</f>
        <v>2035-36</v>
      </c>
      <c r="H66" s="873" t="s">
        <v>1046</v>
      </c>
      <c r="I66" s="874" t="str">
        <f ca="1">INDEX(INDIRECT(dms_RPT),dms_FRCP_start_row+14)</f>
        <v>2040-41</v>
      </c>
    </row>
    <row r="67" spans="2:9" x14ac:dyDescent="0.25">
      <c r="B67" s="40" t="s">
        <v>1047</v>
      </c>
      <c r="C67" s="1258" t="s">
        <v>1048</v>
      </c>
      <c r="D67" s="873" t="s">
        <v>1049</v>
      </c>
      <c r="E67" s="874" t="str">
        <f ca="1">INDEX(INDIRECT(dms_RPT),dms_PRCP_start_row+15)</f>
        <v>2031-32</v>
      </c>
      <c r="F67" s="873" t="s">
        <v>1050</v>
      </c>
      <c r="G67" s="874" t="str">
        <f ca="1">INDEX(INDIRECT(dms_RPT),dms_CRCP_start_row+15)</f>
        <v>2036-37</v>
      </c>
      <c r="H67" s="873" t="s">
        <v>1051</v>
      </c>
      <c r="I67" s="874" t="str">
        <f ca="1">INDEX(INDIRECT(dms_RPT),dms_FRCP_start_row+15)</f>
        <v>2041-42</v>
      </c>
    </row>
    <row r="68" spans="2:9" x14ac:dyDescent="0.25">
      <c r="B68" s="40" t="s">
        <v>1052</v>
      </c>
      <c r="C68" s="1258" t="s">
        <v>1053</v>
      </c>
      <c r="D68" s="873" t="s">
        <v>1054</v>
      </c>
      <c r="E68" s="875" t="s">
        <v>1055</v>
      </c>
      <c r="F68" s="873" t="s">
        <v>1056</v>
      </c>
      <c r="G68" s="875" t="s">
        <v>1057</v>
      </c>
      <c r="H68" s="873" t="s">
        <v>1058</v>
      </c>
      <c r="I68" s="874" t="str">
        <f ca="1">INDEX(INDIRECT(dms_RPT),dms_FRCP_start_row+16)</f>
        <v>2042-43</v>
      </c>
    </row>
    <row r="69" spans="2:9" x14ac:dyDescent="0.25">
      <c r="B69" s="40" t="s">
        <v>1059</v>
      </c>
      <c r="C69" s="1258">
        <v>2005</v>
      </c>
      <c r="D69" s="873" t="s">
        <v>1060</v>
      </c>
      <c r="E69" s="875" t="s">
        <v>1061</v>
      </c>
      <c r="F69" s="873" t="s">
        <v>1062</v>
      </c>
      <c r="G69" s="875" t="s">
        <v>1063</v>
      </c>
      <c r="H69" s="873" t="s">
        <v>1064</v>
      </c>
      <c r="I69" s="874" t="str">
        <f ca="1">INDEX(INDIRECT(dms_RPT),dms_FRCP_start_row+17)</f>
        <v>2043-44</v>
      </c>
    </row>
    <row r="70" spans="2:9" x14ac:dyDescent="0.25">
      <c r="B70" s="40" t="s">
        <v>1065</v>
      </c>
      <c r="C70" s="1258">
        <v>2006</v>
      </c>
      <c r="D70" s="873" t="s">
        <v>1066</v>
      </c>
      <c r="E70" s="875" t="s">
        <v>1067</v>
      </c>
      <c r="F70" s="873" t="s">
        <v>1068</v>
      </c>
      <c r="G70" s="875" t="s">
        <v>1069</v>
      </c>
      <c r="H70" s="873" t="s">
        <v>1070</v>
      </c>
      <c r="I70" s="874" t="str">
        <f ca="1">INDEX(INDIRECT(dms_RPT),dms_FRCP_start_row+18)</f>
        <v>2044-45</v>
      </c>
    </row>
    <row r="71" spans="2:9" x14ac:dyDescent="0.25">
      <c r="B71" s="40" t="s">
        <v>1071</v>
      </c>
      <c r="C71" s="1258">
        <v>2007</v>
      </c>
      <c r="D71" s="873" t="s">
        <v>1072</v>
      </c>
      <c r="E71" s="875" t="s">
        <v>1073</v>
      </c>
      <c r="F71" s="873" t="s">
        <v>1074</v>
      </c>
      <c r="G71" s="875" t="s">
        <v>1075</v>
      </c>
      <c r="H71" s="873" t="s">
        <v>1076</v>
      </c>
      <c r="I71" s="874" t="str">
        <f ca="1">INDEX(INDIRECT(dms_RPT),dms_FRCP_start_row+19)</f>
        <v>2045-46</v>
      </c>
    </row>
    <row r="72" spans="2:9" x14ac:dyDescent="0.25">
      <c r="B72" s="40" t="s">
        <v>1077</v>
      </c>
      <c r="C72" s="1258">
        <v>2008</v>
      </c>
      <c r="D72" s="873" t="s">
        <v>1078</v>
      </c>
      <c r="E72" s="875" t="s">
        <v>1079</v>
      </c>
      <c r="F72" s="873" t="s">
        <v>1080</v>
      </c>
      <c r="G72" s="875" t="s">
        <v>1081</v>
      </c>
      <c r="H72" s="873" t="s">
        <v>1082</v>
      </c>
      <c r="I72" s="874" t="str">
        <f ca="1">INDEX(INDIRECT(dms_RPT),dms_FRCP_start_row+20)</f>
        <v>2046-47</v>
      </c>
    </row>
    <row r="73" spans="2:9" x14ac:dyDescent="0.25">
      <c r="B73" s="40" t="s">
        <v>1083</v>
      </c>
      <c r="C73" s="1258">
        <v>2009</v>
      </c>
      <c r="D73" s="873" t="s">
        <v>1084</v>
      </c>
      <c r="E73" s="875" t="s">
        <v>1057</v>
      </c>
      <c r="F73" s="873" t="s">
        <v>1085</v>
      </c>
      <c r="G73" s="875" t="s">
        <v>1086</v>
      </c>
      <c r="H73" s="873" t="s">
        <v>1087</v>
      </c>
      <c r="I73" s="874" t="str">
        <f ca="1">INDEX(INDIRECT(dms_RPT),dms_FRCP_start_row+21)</f>
        <v>2047-48</v>
      </c>
    </row>
    <row r="74" spans="2:9" x14ac:dyDescent="0.25">
      <c r="B74" s="40" t="s">
        <v>1088</v>
      </c>
      <c r="C74" s="1258">
        <v>2010</v>
      </c>
      <c r="D74" s="873" t="s">
        <v>1089</v>
      </c>
      <c r="E74" s="875" t="s">
        <v>1063</v>
      </c>
      <c r="F74" s="873" t="s">
        <v>1090</v>
      </c>
      <c r="G74" s="875" t="s">
        <v>1091</v>
      </c>
      <c r="H74" s="873" t="s">
        <v>1092</v>
      </c>
      <c r="I74" s="874" t="str">
        <f ca="1">INDEX(INDIRECT(dms_RPT),dms_FRCP_start_row+22)</f>
        <v>2048-49</v>
      </c>
    </row>
    <row r="75" spans="2:9" x14ac:dyDescent="0.25">
      <c r="B75" s="40" t="s">
        <v>1093</v>
      </c>
      <c r="C75" s="1258">
        <v>2011</v>
      </c>
      <c r="D75" s="873" t="s">
        <v>1094</v>
      </c>
      <c r="E75" s="875" t="s">
        <v>1069</v>
      </c>
      <c r="F75" s="873" t="s">
        <v>1095</v>
      </c>
      <c r="G75" s="875" t="s">
        <v>1096</v>
      </c>
      <c r="H75" s="873" t="s">
        <v>1097</v>
      </c>
      <c r="I75" s="874" t="str">
        <f ca="1">INDEX(INDIRECT(dms_RPT),dms_FRCP_start_row+23)</f>
        <v>2049-50</v>
      </c>
    </row>
    <row r="76" spans="2:9" x14ac:dyDescent="0.25">
      <c r="B76" s="40" t="s">
        <v>1098</v>
      </c>
      <c r="C76" s="1258">
        <v>2012</v>
      </c>
      <c r="D76" s="873" t="s">
        <v>1099</v>
      </c>
      <c r="E76" s="875" t="s">
        <v>1075</v>
      </c>
      <c r="F76" s="873" t="s">
        <v>1100</v>
      </c>
      <c r="G76" s="875" t="s">
        <v>1101</v>
      </c>
      <c r="H76" s="873" t="s">
        <v>1102</v>
      </c>
      <c r="I76" s="874">
        <f ca="1">INDEX(INDIRECT(dms_RPT),dms_FRCP_start_row+24)</f>
        <v>0</v>
      </c>
    </row>
    <row r="77" spans="2:9" x14ac:dyDescent="0.25">
      <c r="B77" s="40" t="s">
        <v>1103</v>
      </c>
      <c r="C77" s="1258">
        <v>2013</v>
      </c>
    </row>
    <row r="78" spans="2:9" x14ac:dyDescent="0.25">
      <c r="B78" s="40" t="s">
        <v>1104</v>
      </c>
      <c r="C78" s="1258">
        <v>2014</v>
      </c>
    </row>
    <row r="79" spans="2:9" x14ac:dyDescent="0.25">
      <c r="B79" s="40" t="s">
        <v>1105</v>
      </c>
      <c r="C79" s="1258">
        <v>2015</v>
      </c>
    </row>
    <row r="80" spans="2:9" x14ac:dyDescent="0.25">
      <c r="B80" s="40" t="s">
        <v>275</v>
      </c>
      <c r="C80" s="1258">
        <v>2016</v>
      </c>
    </row>
    <row r="81" spans="2:5" x14ac:dyDescent="0.25">
      <c r="B81" s="40" t="s">
        <v>276</v>
      </c>
      <c r="C81" s="1258">
        <v>2017</v>
      </c>
    </row>
    <row r="82" spans="2:5" x14ac:dyDescent="0.25">
      <c r="B82" s="40" t="s">
        <v>277</v>
      </c>
      <c r="C82" s="1258">
        <v>2018</v>
      </c>
    </row>
    <row r="83" spans="2:5" x14ac:dyDescent="0.25">
      <c r="B83" s="40" t="s">
        <v>278</v>
      </c>
      <c r="C83" s="1258">
        <v>2019</v>
      </c>
    </row>
    <row r="84" spans="2:5" x14ac:dyDescent="0.25">
      <c r="B84" s="40" t="s">
        <v>279</v>
      </c>
      <c r="C84" s="1258">
        <v>2020</v>
      </c>
    </row>
    <row r="85" spans="2:5" x14ac:dyDescent="0.25">
      <c r="B85" s="40" t="s">
        <v>1106</v>
      </c>
      <c r="C85" s="1258">
        <v>2021</v>
      </c>
    </row>
    <row r="86" spans="2:5" x14ac:dyDescent="0.25">
      <c r="B86" s="40" t="s">
        <v>1107</v>
      </c>
      <c r="C86" s="1258">
        <v>2022</v>
      </c>
    </row>
    <row r="87" spans="2:5" x14ac:dyDescent="0.25">
      <c r="B87" s="40" t="s">
        <v>1108</v>
      </c>
      <c r="C87" s="1258">
        <v>2023</v>
      </c>
    </row>
    <row r="88" spans="2:5" x14ac:dyDescent="0.25">
      <c r="B88" s="40" t="s">
        <v>274</v>
      </c>
      <c r="C88" s="1258">
        <v>2024</v>
      </c>
    </row>
    <row r="89" spans="2:5" ht="15" customHeight="1" x14ac:dyDescent="0.25">
      <c r="B89" s="40" t="s">
        <v>1109</v>
      </c>
      <c r="C89" s="1258">
        <v>2025</v>
      </c>
    </row>
    <row r="90" spans="2:5" x14ac:dyDescent="0.25">
      <c r="B90" s="40" t="s">
        <v>78</v>
      </c>
      <c r="C90" s="1258">
        <v>2026</v>
      </c>
      <c r="D90" s="877"/>
      <c r="E90" s="878" t="s">
        <v>1110</v>
      </c>
    </row>
    <row r="91" spans="2:5" x14ac:dyDescent="0.25">
      <c r="B91" s="40" t="s">
        <v>73</v>
      </c>
      <c r="C91" s="1258">
        <v>2027</v>
      </c>
      <c r="D91" s="879" t="s">
        <v>1111</v>
      </c>
      <c r="E91" s="1450" t="str">
        <f ca="1">IFERROR(INDEX(INDIRECT(dms_RPT),dms_CRY_start_row),0)</f>
        <v>2024-25</v>
      </c>
    </row>
    <row r="92" spans="2:5" x14ac:dyDescent="0.25">
      <c r="B92" s="40" t="s">
        <v>1112</v>
      </c>
      <c r="C92" s="1258">
        <v>2028</v>
      </c>
      <c r="D92" s="879" t="s">
        <v>1113</v>
      </c>
      <c r="E92" s="1450" t="str">
        <f ca="1">IFERROR(INDEX(INDIRECT(dms_RPT),dms_CRY_start_row+1),0)</f>
        <v>2025-26</v>
      </c>
    </row>
    <row r="93" spans="2:5" x14ac:dyDescent="0.25">
      <c r="B93" s="40" t="s">
        <v>1114</v>
      </c>
      <c r="C93" s="1258">
        <v>2029</v>
      </c>
      <c r="D93" s="879" t="s">
        <v>1115</v>
      </c>
      <c r="E93" s="1450" t="str">
        <f ca="1">IFERROR(INDEX(INDIRECT(dms_RPT),dms_CRY_start_row+2),0)</f>
        <v>2026-27</v>
      </c>
    </row>
    <row r="94" spans="2:5" x14ac:dyDescent="0.25">
      <c r="B94" s="40" t="s">
        <v>81</v>
      </c>
      <c r="C94" s="1258">
        <v>2030</v>
      </c>
      <c r="D94" s="879" t="s">
        <v>1116</v>
      </c>
      <c r="E94" s="1450" t="str">
        <f ca="1">IFERROR(INDEX(INDIRECT(dms_RPT),dms_CRY_start_row+3),0)</f>
        <v>2027-28</v>
      </c>
    </row>
    <row r="95" spans="2:5" x14ac:dyDescent="0.25">
      <c r="B95" s="40" t="s">
        <v>1117</v>
      </c>
      <c r="C95" s="1258">
        <v>2031</v>
      </c>
      <c r="D95" s="879" t="s">
        <v>1118</v>
      </c>
      <c r="E95" s="1450" t="str">
        <f ca="1">IFERROR(INDEX(INDIRECT(dms_RPT),dms_CRY_start_row+4),0)</f>
        <v>2028-29</v>
      </c>
    </row>
    <row r="96" spans="2:5" x14ac:dyDescent="0.25">
      <c r="B96" s="40" t="s">
        <v>1055</v>
      </c>
      <c r="C96" s="1258">
        <v>2032</v>
      </c>
      <c r="D96" s="879" t="s">
        <v>1119</v>
      </c>
      <c r="E96" s="1450" t="str">
        <f ca="1">IFERROR(INDEX(INDIRECT(dms_RPT),dms_CRY_start_row+5),0)</f>
        <v>2029-30</v>
      </c>
    </row>
    <row r="97" spans="2:9" x14ac:dyDescent="0.25">
      <c r="B97" s="40" t="s">
        <v>1061</v>
      </c>
      <c r="C97" s="1258">
        <v>2033</v>
      </c>
      <c r="D97" s="879" t="s">
        <v>1120</v>
      </c>
      <c r="E97" s="1450" t="str">
        <f ca="1">IFERROR(INDEX(INDIRECT(dms_RPT),dms_CRY_start_row+6),0)</f>
        <v>2030-31</v>
      </c>
    </row>
    <row r="98" spans="2:9" x14ac:dyDescent="0.25">
      <c r="B98" s="40" t="s">
        <v>1067</v>
      </c>
      <c r="C98" s="1258">
        <v>2034</v>
      </c>
      <c r="D98" s="879" t="s">
        <v>1121</v>
      </c>
      <c r="E98" s="1450" t="str">
        <f ca="1">IFERROR(INDEX(INDIRECT(dms_RPT),dms_CRY_start_row+7),0)</f>
        <v>2031-32</v>
      </c>
    </row>
    <row r="99" spans="2:9" x14ac:dyDescent="0.25">
      <c r="B99" s="40" t="s">
        <v>1073</v>
      </c>
      <c r="C99" s="1258">
        <v>2035</v>
      </c>
      <c r="D99" s="879" t="s">
        <v>1122</v>
      </c>
      <c r="E99" s="1450" t="str">
        <f ca="1">IFERROR(INDEX(INDIRECT(dms_RPT),dms_CRY_start_row+8),0)</f>
        <v>2032-33</v>
      </c>
      <c r="I99" s="881"/>
    </row>
    <row r="100" spans="2:9" x14ac:dyDescent="0.25">
      <c r="B100" s="40" t="s">
        <v>1079</v>
      </c>
      <c r="C100" s="1258">
        <v>2036</v>
      </c>
      <c r="D100" s="879" t="s">
        <v>1123</v>
      </c>
      <c r="E100" s="1450" t="str">
        <f ca="1">IFERROR(INDEX(INDIRECT(dms_RPT),dms_CRY_start_row+9),0)</f>
        <v>2033-34</v>
      </c>
      <c r="I100" s="881"/>
    </row>
    <row r="101" spans="2:9" x14ac:dyDescent="0.25">
      <c r="B101" s="40" t="s">
        <v>1057</v>
      </c>
      <c r="C101" s="1258">
        <v>2037</v>
      </c>
      <c r="D101" s="879" t="s">
        <v>1124</v>
      </c>
      <c r="E101" s="1450" t="str">
        <f ca="1">IFERROR(INDEX(INDIRECT(dms_RPT),dms_CRY_start_row+10),0)</f>
        <v>2034-35</v>
      </c>
    </row>
    <row r="102" spans="2:9" x14ac:dyDescent="0.25">
      <c r="B102" s="40" t="s">
        <v>1063</v>
      </c>
      <c r="C102" s="1258">
        <v>2038</v>
      </c>
      <c r="D102" s="879" t="s">
        <v>1125</v>
      </c>
      <c r="E102" s="1450" t="str">
        <f ca="1">IFERROR(INDEX(INDIRECT(dms_RPT),dms_CRY_start_row+11),0)</f>
        <v>2035-36</v>
      </c>
    </row>
    <row r="103" spans="2:9" x14ac:dyDescent="0.25">
      <c r="B103" s="40" t="s">
        <v>1069</v>
      </c>
      <c r="C103" s="1258">
        <v>2039</v>
      </c>
      <c r="D103" s="879" t="s">
        <v>1126</v>
      </c>
      <c r="E103" s="1450" t="str">
        <f ca="1">IFERROR(INDEX(INDIRECT(dms_RPT),dms_CRY_start_row+12),0)</f>
        <v>2036-37</v>
      </c>
    </row>
    <row r="104" spans="2:9" x14ac:dyDescent="0.25">
      <c r="B104" s="40" t="s">
        <v>1075</v>
      </c>
      <c r="C104" s="1258">
        <v>2040</v>
      </c>
      <c r="D104" s="879" t="s">
        <v>1127</v>
      </c>
      <c r="E104" s="1450" t="str">
        <f ca="1">IFERROR(INDEX(INDIRECT(dms_RPT),dms_CRY_start_row+13),0)</f>
        <v>2037-38</v>
      </c>
    </row>
    <row r="105" spans="2:9" x14ac:dyDescent="0.25">
      <c r="B105" s="40" t="s">
        <v>1081</v>
      </c>
      <c r="C105" s="1258">
        <v>2041</v>
      </c>
      <c r="D105" s="879" t="s">
        <v>1128</v>
      </c>
      <c r="E105" s="1450" t="str">
        <f ca="1">IFERROR(INDEX(INDIRECT(dms_RPT),dms_CRY_start_row+14),0)</f>
        <v>2038-39</v>
      </c>
    </row>
    <row r="106" spans="2:9" x14ac:dyDescent="0.25">
      <c r="B106" s="40" t="s">
        <v>1086</v>
      </c>
      <c r="C106" s="1258">
        <v>2042</v>
      </c>
      <c r="D106" s="879" t="s">
        <v>1129</v>
      </c>
      <c r="E106" s="1450" t="str">
        <f ca="1">IFERROR(INDEX(INDIRECT(dms_RPT),dms_CRY_start_row+15),0)</f>
        <v>2039-40</v>
      </c>
    </row>
    <row r="107" spans="2:9" x14ac:dyDescent="0.25">
      <c r="B107" s="40" t="s">
        <v>1091</v>
      </c>
      <c r="C107" s="1258">
        <v>2043</v>
      </c>
      <c r="D107" s="879" t="s">
        <v>1130</v>
      </c>
      <c r="E107" s="880" t="s">
        <v>1069</v>
      </c>
    </row>
    <row r="108" spans="2:9" x14ac:dyDescent="0.25">
      <c r="B108" s="40" t="s">
        <v>1096</v>
      </c>
      <c r="C108" s="1258">
        <v>2044</v>
      </c>
      <c r="D108" s="879" t="s">
        <v>1131</v>
      </c>
      <c r="E108" s="880" t="s">
        <v>1075</v>
      </c>
    </row>
    <row r="109" spans="2:9" x14ac:dyDescent="0.25">
      <c r="B109" s="40" t="s">
        <v>1101</v>
      </c>
      <c r="C109" s="1258">
        <v>2045</v>
      </c>
      <c r="D109" s="879" t="s">
        <v>1132</v>
      </c>
      <c r="E109" s="880" t="s">
        <v>1081</v>
      </c>
    </row>
    <row r="110" spans="2:9" x14ac:dyDescent="0.25">
      <c r="B110" s="40" t="s">
        <v>1133</v>
      </c>
      <c r="C110" s="1258">
        <v>2046</v>
      </c>
      <c r="D110" s="879" t="s">
        <v>1134</v>
      </c>
      <c r="E110" s="880" t="s">
        <v>1086</v>
      </c>
    </row>
    <row r="111" spans="2:9" x14ac:dyDescent="0.25">
      <c r="B111" s="40" t="s">
        <v>1135</v>
      </c>
      <c r="C111" s="1258">
        <v>2047</v>
      </c>
      <c r="D111" s="879" t="s">
        <v>1136</v>
      </c>
      <c r="E111" s="880" t="s">
        <v>1091</v>
      </c>
    </row>
    <row r="112" spans="2:9" x14ac:dyDescent="0.25">
      <c r="B112" s="40" t="s">
        <v>1137</v>
      </c>
      <c r="C112" s="1258">
        <v>2048</v>
      </c>
      <c r="D112" s="879" t="s">
        <v>1138</v>
      </c>
      <c r="E112" s="880" t="s">
        <v>1096</v>
      </c>
    </row>
    <row r="113" spans="2:12" x14ac:dyDescent="0.25">
      <c r="B113" s="40" t="s">
        <v>1139</v>
      </c>
      <c r="C113" s="1258" t="s">
        <v>1140</v>
      </c>
      <c r="D113" s="879" t="s">
        <v>1141</v>
      </c>
      <c r="E113" s="880" t="s">
        <v>1101</v>
      </c>
    </row>
    <row r="114" spans="2:12" x14ac:dyDescent="0.25">
      <c r="B114" s="40" t="s">
        <v>1142</v>
      </c>
      <c r="C114" s="1258" t="s">
        <v>1143</v>
      </c>
      <c r="D114" s="879" t="s">
        <v>1144</v>
      </c>
      <c r="E114" s="880" t="s">
        <v>1133</v>
      </c>
    </row>
    <row r="115" spans="2:12" x14ac:dyDescent="0.25">
      <c r="B115" s="40"/>
      <c r="C115" s="1258"/>
      <c r="D115" s="879" t="s">
        <v>1145</v>
      </c>
      <c r="E115" s="880" t="s">
        <v>1135</v>
      </c>
    </row>
    <row r="116" spans="2:12" x14ac:dyDescent="0.25">
      <c r="B116" s="40"/>
      <c r="C116" s="1258"/>
      <c r="D116" s="879" t="s">
        <v>1146</v>
      </c>
      <c r="E116" s="880" t="s">
        <v>1137</v>
      </c>
    </row>
    <row r="117" spans="2:12" x14ac:dyDescent="0.25">
      <c r="B117" s="40"/>
      <c r="C117" s="1258"/>
      <c r="D117" s="879" t="s">
        <v>1147</v>
      </c>
      <c r="E117" s="880" t="s">
        <v>1139</v>
      </c>
    </row>
    <row r="118" spans="2:12" ht="15" customHeight="1" x14ac:dyDescent="0.25">
      <c r="B118" s="40"/>
      <c r="C118" s="1258"/>
      <c r="D118" s="882" t="s">
        <v>1148</v>
      </c>
      <c r="E118" s="883" t="s">
        <v>1142</v>
      </c>
    </row>
    <row r="119" spans="2:12" x14ac:dyDescent="0.25">
      <c r="B119" s="40"/>
      <c r="C119" s="1258"/>
    </row>
    <row r="120" spans="2:12" x14ac:dyDescent="0.25">
      <c r="B120" s="40"/>
      <c r="C120" s="1258"/>
    </row>
    <row r="121" spans="2:12" ht="15" customHeight="1" x14ac:dyDescent="0.25">
      <c r="B121" s="43"/>
      <c r="C121" s="1257"/>
      <c r="E121" s="884"/>
    </row>
    <row r="122" spans="2:12" s="50" customFormat="1" x14ac:dyDescent="0.25">
      <c r="B122" s="13"/>
      <c r="E122" s="147"/>
      <c r="H122" s="76"/>
      <c r="I122" s="12"/>
      <c r="J122" s="76"/>
      <c r="K122" s="76"/>
      <c r="L122" s="13"/>
    </row>
    <row r="123" spans="2:12" s="50" customFormat="1" x14ac:dyDescent="0.25">
      <c r="E123" s="74"/>
    </row>
    <row r="124" spans="2:12" s="50" customFormat="1" x14ac:dyDescent="0.25">
      <c r="E124" s="74"/>
    </row>
    <row r="125" spans="2:12" s="50" customFormat="1" x14ac:dyDescent="0.25">
      <c r="E125" s="74"/>
    </row>
  </sheetData>
  <sheetProtection algorithmName="SHA-256" hashValue="3hvOP7uMcFO768ZSMJNAx+s5S+BwTEnIJbBNuQteB+4=" saltValue="dbEolulSMkVNUwzaaAz0tw==" spinCount="100000" sheet="1" objects="1" scenarios="1"/>
  <mergeCells count="5">
    <mergeCell ref="B34:E34"/>
    <mergeCell ref="AA11:AK11"/>
    <mergeCell ref="AA12:AD12"/>
    <mergeCell ref="AF12:AJ12"/>
    <mergeCell ref="AK12:AK14"/>
  </mergeCells>
  <conditionalFormatting sqref="AA16:AE29">
    <cfRule type="containsText" dxfId="15" priority="3" operator="containsText" text="YES">
      <formula>NOT(ISERROR(SEARCH("YES",AA16)))</formula>
    </cfRule>
  </conditionalFormatting>
  <conditionalFormatting sqref="AK16:AK29">
    <cfRule type="cellIs" dxfId="14" priority="5" operator="equal">
      <formula>"YES"</formula>
    </cfRule>
  </conditionalFormatting>
  <pageMargins left="0.7" right="0.7" top="0.75" bottom="0.75" header="0.3" footer="0.3"/>
  <pageSetup paperSize="9" orientation="portrait" r:id="rId1"/>
  <headerFooter>
    <oddFooter>&amp;C_x000D_&amp;1#&amp;"Calibri"&amp;10&amp;K000000 Ringfenced Confidential - Commercially Sensitive</oddFooter>
  </headerFooter>
  <ignoredErrors>
    <ignoredError sqref="C52 C53 C54 C55 C56 C57 C58 C59 C60 C61 C62 C63 C64 C65 C66 C67 C68" numberStoredAsText="1"/>
  </ignoredErrors>
  <legacy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0000"/>
    <pageSetUpPr fitToPage="1"/>
  </sheetPr>
  <dimension ref="A1:CL146"/>
  <sheetViews>
    <sheetView showGridLines="0" workbookViewId="0">
      <selection activeCell="G31" sqref="G31"/>
    </sheetView>
  </sheetViews>
  <sheetFormatPr defaultColWidth="9.140625" defaultRowHeight="15" x14ac:dyDescent="0.25"/>
  <cols>
    <col min="1" max="1" width="36.28515625" customWidth="1"/>
    <col min="2" max="2" width="44.5703125" style="76" customWidth="1"/>
    <col min="3" max="3" width="24.140625" style="76" customWidth="1"/>
    <col min="4" max="4" width="33.42578125" style="76" customWidth="1"/>
    <col min="5" max="7" width="17.28515625" style="76" customWidth="1"/>
    <col min="8" max="9" width="13.28515625" style="76" customWidth="1"/>
    <col min="10" max="12" width="13.7109375" customWidth="1"/>
    <col min="13" max="13" width="9.140625" style="76"/>
  </cols>
  <sheetData>
    <row r="1" spans="1:11" ht="51" customHeight="1" x14ac:dyDescent="0.25">
      <c r="B1" s="630" t="s">
        <v>1149</v>
      </c>
      <c r="C1" s="631"/>
      <c r="D1" s="631"/>
      <c r="E1" s="631"/>
      <c r="F1" s="631"/>
      <c r="G1" s="631"/>
      <c r="H1" s="631"/>
      <c r="I1" s="631"/>
      <c r="J1" s="631"/>
      <c r="K1" s="631"/>
    </row>
    <row r="2" spans="1:11" ht="24.75" customHeight="1" x14ac:dyDescent="0.25"/>
    <row r="3" spans="1:11" ht="20.45" customHeight="1" x14ac:dyDescent="0.3">
      <c r="B3" s="197" t="s">
        <v>1150</v>
      </c>
      <c r="C3" s="198" t="s">
        <v>1151</v>
      </c>
      <c r="D3" s="199" t="s">
        <v>1152</v>
      </c>
      <c r="E3" s="200"/>
      <c r="F3" s="200"/>
      <c r="G3" s="200"/>
      <c r="H3" s="200"/>
      <c r="I3" s="200"/>
      <c r="J3" s="200"/>
      <c r="K3" s="200"/>
    </row>
    <row r="4" spans="1:11" ht="15" customHeight="1" x14ac:dyDescent="0.25">
      <c r="B4" s="72"/>
    </row>
    <row r="5" spans="1:11" x14ac:dyDescent="0.25">
      <c r="B5" s="885" t="s">
        <v>1153</v>
      </c>
      <c r="C5" s="289"/>
      <c r="D5" s="886"/>
      <c r="E5" s="289"/>
      <c r="F5" s="289"/>
      <c r="G5" s="289"/>
      <c r="H5" s="289"/>
      <c r="I5" s="355"/>
    </row>
    <row r="6" spans="1:11" x14ac:dyDescent="0.25">
      <c r="B6" s="887" t="s">
        <v>1154</v>
      </c>
      <c r="I6" s="888"/>
    </row>
    <row r="7" spans="1:11" ht="15" customHeight="1" x14ac:dyDescent="0.25">
      <c r="B7" s="889" t="s">
        <v>1155</v>
      </c>
      <c r="C7" s="77"/>
      <c r="D7" s="890"/>
      <c r="E7" s="890"/>
      <c r="F7" s="890"/>
      <c r="G7" s="890"/>
      <c r="H7" s="890"/>
      <c r="I7" s="891"/>
    </row>
    <row r="8" spans="1:11" ht="15" customHeight="1" x14ac:dyDescent="0.25">
      <c r="B8" s="892"/>
      <c r="C8" s="892"/>
      <c r="D8" s="892"/>
      <c r="E8" s="892"/>
      <c r="F8" s="892"/>
      <c r="G8" s="892"/>
      <c r="H8" s="892"/>
      <c r="I8" s="892"/>
    </row>
    <row r="9" spans="1:11" x14ac:dyDescent="0.25">
      <c r="A9" s="893"/>
      <c r="B9" s="894" t="s">
        <v>1156</v>
      </c>
      <c r="C9" s="895" t="str">
        <f>INDEX(dms_TradingNameFull_List,MATCH(dms_TradingName,dms_TradingName_List))</f>
        <v>Icon Distribution Investments Limited (ABN 83 073 025 224) and Jemena Networks (ACT) Pty Ltd (ABN 24 008 552 663)</v>
      </c>
      <c r="D9" s="896"/>
      <c r="E9" s="897" t="s">
        <v>1157</v>
      </c>
      <c r="F9" s="898"/>
      <c r="G9" s="898"/>
      <c r="H9" s="898"/>
      <c r="I9" s="899"/>
    </row>
    <row r="10" spans="1:11" x14ac:dyDescent="0.25">
      <c r="B10" s="894" t="s">
        <v>1158</v>
      </c>
      <c r="C10" s="895" t="str">
        <f>dms_TradingName</f>
        <v>Evoenergy Gas</v>
      </c>
      <c r="D10" s="896"/>
      <c r="E10" s="897"/>
      <c r="F10" s="898"/>
      <c r="G10" s="898"/>
      <c r="H10" s="898"/>
      <c r="I10" s="899"/>
    </row>
    <row r="11" spans="1:11" x14ac:dyDescent="0.25">
      <c r="B11" s="894" t="s">
        <v>1159</v>
      </c>
      <c r="C11" s="895" t="str">
        <f>INDEX(dms_UniqueID_List,MATCH(dms_TradingName,dms_TradingName_List))</f>
        <v>GDDACT100</v>
      </c>
      <c r="D11" s="903" t="s">
        <v>1160</v>
      </c>
      <c r="E11" s="904"/>
      <c r="F11" s="905"/>
      <c r="G11" s="905"/>
      <c r="H11" s="905"/>
      <c r="I11" s="906"/>
    </row>
    <row r="12" spans="1:11" x14ac:dyDescent="0.25">
      <c r="A12" s="900" t="s">
        <v>1161</v>
      </c>
      <c r="B12" s="901" t="s">
        <v>1162</v>
      </c>
      <c r="C12" s="902" t="s">
        <v>961</v>
      </c>
      <c r="D12" s="903" t="s">
        <v>1163</v>
      </c>
      <c r="E12" s="904"/>
      <c r="F12" s="905"/>
      <c r="G12" s="905"/>
      <c r="H12" s="905"/>
      <c r="I12" s="906"/>
    </row>
    <row r="13" spans="1:11" x14ac:dyDescent="0.25">
      <c r="A13" s="1599" t="s">
        <v>1164</v>
      </c>
      <c r="B13" s="894" t="s">
        <v>84</v>
      </c>
      <c r="C13" s="907" t="s">
        <v>85</v>
      </c>
      <c r="D13" s="897" t="s">
        <v>1165</v>
      </c>
      <c r="E13" s="908"/>
      <c r="F13" s="898"/>
      <c r="G13" s="898"/>
      <c r="H13" s="898"/>
      <c r="I13" s="899"/>
    </row>
    <row r="14" spans="1:11" x14ac:dyDescent="0.25">
      <c r="A14" s="1600"/>
      <c r="B14" s="894" t="s">
        <v>1166</v>
      </c>
      <c r="C14" s="907" t="s">
        <v>88</v>
      </c>
      <c r="D14" s="897" t="s">
        <v>1167</v>
      </c>
      <c r="E14" s="1602"/>
      <c r="F14" s="1602"/>
      <c r="G14" s="1602"/>
      <c r="H14" s="1602"/>
      <c r="I14" s="1603"/>
    </row>
    <row r="15" spans="1:11" x14ac:dyDescent="0.25">
      <c r="A15" s="1600"/>
      <c r="B15" s="894" t="s">
        <v>1168</v>
      </c>
      <c r="C15" s="907" t="s">
        <v>90</v>
      </c>
      <c r="D15" s="897" t="s">
        <v>1169</v>
      </c>
      <c r="E15" s="1208"/>
      <c r="F15" s="1208"/>
      <c r="G15" s="1208"/>
      <c r="H15" s="1208"/>
      <c r="I15" s="1209"/>
    </row>
    <row r="16" spans="1:11" ht="39" customHeight="1" x14ac:dyDescent="0.25">
      <c r="A16" s="1600"/>
      <c r="B16" s="909" t="s">
        <v>1170</v>
      </c>
      <c r="C16" s="1604" t="str">
        <f>dms_Amendment_Text</f>
        <v>.</v>
      </c>
      <c r="D16" s="1604"/>
      <c r="E16" s="1604"/>
      <c r="F16" s="910" t="s">
        <v>1171</v>
      </c>
      <c r="G16" s="1208"/>
      <c r="H16" s="1208"/>
      <c r="I16" s="1209"/>
    </row>
    <row r="17" spans="1:11" ht="15" customHeight="1" x14ac:dyDescent="0.25">
      <c r="A17" s="1601"/>
      <c r="B17" s="911" t="s">
        <v>1172</v>
      </c>
      <c r="C17" s="1451">
        <f>dms_Typed_Submission_Date</f>
        <v>45838</v>
      </c>
      <c r="D17" s="912" t="s">
        <v>1173</v>
      </c>
      <c r="E17" s="913"/>
      <c r="F17" s="914"/>
      <c r="G17" s="914"/>
      <c r="H17" s="914"/>
      <c r="I17" s="915"/>
    </row>
    <row r="18" spans="1:11" ht="15" customHeight="1" x14ac:dyDescent="0.25"/>
    <row r="19" spans="1:11" ht="15" customHeight="1" x14ac:dyDescent="0.25">
      <c r="A19" s="900" t="s">
        <v>1174</v>
      </c>
      <c r="B19" s="916" t="s">
        <v>1175</v>
      </c>
      <c r="C19" s="917" t="s">
        <v>1176</v>
      </c>
      <c r="D19" s="918"/>
      <c r="E19" s="918"/>
      <c r="F19" s="918"/>
      <c r="G19" s="918"/>
      <c r="H19" s="918"/>
      <c r="I19" s="919"/>
      <c r="J19" s="77"/>
      <c r="K19" s="77"/>
    </row>
    <row r="20" spans="1:11" x14ac:dyDescent="0.25">
      <c r="A20" s="1605" t="s">
        <v>1177</v>
      </c>
      <c r="B20" s="920" t="s">
        <v>1178</v>
      </c>
      <c r="C20" s="110" t="s">
        <v>88</v>
      </c>
      <c r="D20" s="104" t="s">
        <v>1179</v>
      </c>
      <c r="E20" s="105" t="s">
        <v>1180</v>
      </c>
      <c r="F20" s="106"/>
      <c r="G20" s="106"/>
      <c r="H20" s="106"/>
      <c r="I20" s="106"/>
      <c r="J20" s="107"/>
      <c r="K20" s="108"/>
    </row>
    <row r="21" spans="1:11" s="23" customFormat="1" x14ac:dyDescent="0.25">
      <c r="A21" s="1606"/>
      <c r="B21" s="921" t="s">
        <v>456</v>
      </c>
      <c r="C21" s="86" t="str">
        <f>INDEX(dms_Sector_List,MATCH(dms_TradingName,dms_TradingName_List))</f>
        <v>Gas</v>
      </c>
      <c r="D21" s="82" t="s">
        <v>1181</v>
      </c>
      <c r="E21" s="83" t="s">
        <v>1182</v>
      </c>
      <c r="F21" s="84"/>
      <c r="G21" s="84"/>
      <c r="H21" s="84"/>
      <c r="I21" s="84"/>
      <c r="J21" s="85"/>
      <c r="K21" s="101"/>
    </row>
    <row r="22" spans="1:11" x14ac:dyDescent="0.25">
      <c r="A22" s="1606"/>
      <c r="B22" s="921" t="s">
        <v>457</v>
      </c>
      <c r="C22" s="81" t="str">
        <f>INDEX(dms_Segment_List,MATCH(dms_TradingName,dms_TradingName_List))</f>
        <v>Distribution</v>
      </c>
      <c r="D22" s="82" t="s">
        <v>1183</v>
      </c>
      <c r="E22" s="83" t="s">
        <v>1184</v>
      </c>
      <c r="F22" s="84"/>
      <c r="G22" s="84"/>
      <c r="H22" s="84"/>
      <c r="I22" s="84"/>
      <c r="J22" s="85"/>
      <c r="K22" s="101"/>
    </row>
    <row r="23" spans="1:11" x14ac:dyDescent="0.25">
      <c r="A23" s="1606"/>
      <c r="B23" s="921" t="s">
        <v>1185</v>
      </c>
      <c r="C23" s="86" t="str">
        <f ca="1">IF(dms_MultiYear_Flag=1,LEFT(dms_Specified_FinalYear,2)&amp;RIGHT(dms_Specified_FinalYear,2),dms_RYE_result)</f>
        <v>2031</v>
      </c>
      <c r="D23" s="82" t="s">
        <v>1186</v>
      </c>
      <c r="E23" s="83" t="s">
        <v>1187</v>
      </c>
      <c r="F23" s="84"/>
      <c r="G23" s="84"/>
      <c r="H23" s="84"/>
      <c r="I23" s="84"/>
      <c r="J23" s="85"/>
      <c r="K23" s="101"/>
    </row>
    <row r="24" spans="1:11" x14ac:dyDescent="0.25">
      <c r="A24" s="1606"/>
      <c r="B24" s="921" t="s">
        <v>1188</v>
      </c>
      <c r="C24" s="81" t="str">
        <f>INDEX(dms_RPT_List,MATCH(dms_TradingName,dms_TradingName_List))</f>
        <v>Financial</v>
      </c>
      <c r="D24" s="82" t="s">
        <v>1189</v>
      </c>
      <c r="E24" s="83" t="s">
        <v>1190</v>
      </c>
      <c r="F24" s="84"/>
      <c r="G24" s="84"/>
      <c r="H24" s="84"/>
      <c r="I24" s="84"/>
      <c r="J24" s="85"/>
      <c r="K24" s="101"/>
    </row>
    <row r="25" spans="1:11" x14ac:dyDescent="0.25">
      <c r="A25" s="1606"/>
      <c r="B25" s="921" t="s">
        <v>1191</v>
      </c>
      <c r="C25" s="89" t="s">
        <v>676</v>
      </c>
      <c r="D25" s="82" t="s">
        <v>1192</v>
      </c>
      <c r="E25" s="90" t="s">
        <v>1193</v>
      </c>
      <c r="F25" s="91"/>
      <c r="G25" s="91"/>
      <c r="H25" s="91"/>
      <c r="I25" s="91"/>
      <c r="J25" s="91"/>
      <c r="K25" s="92"/>
    </row>
    <row r="26" spans="1:11" x14ac:dyDescent="0.25">
      <c r="A26" s="1606"/>
      <c r="B26" s="921" t="s">
        <v>1194</v>
      </c>
      <c r="C26" s="81" t="s">
        <v>90</v>
      </c>
      <c r="D26" s="87" t="s">
        <v>1195</v>
      </c>
      <c r="E26" s="88" t="s">
        <v>1196</v>
      </c>
      <c r="F26" s="84"/>
      <c r="G26" s="84"/>
      <c r="H26" s="84"/>
      <c r="I26" s="84"/>
      <c r="J26" s="85"/>
      <c r="K26" s="101"/>
    </row>
    <row r="27" spans="1:11" ht="15.75" customHeight="1" x14ac:dyDescent="0.25">
      <c r="A27" s="1607"/>
      <c r="B27" s="922" t="s">
        <v>1197</v>
      </c>
      <c r="C27" s="93" t="str">
        <f>INDEX(dms_JurisdictionList,MATCH(dms_TradingName,dms_TradingName_List))</f>
        <v>ACT</v>
      </c>
      <c r="D27" s="94" t="s">
        <v>1198</v>
      </c>
      <c r="E27" s="95" t="s">
        <v>1199</v>
      </c>
      <c r="F27" s="96"/>
      <c r="G27" s="96"/>
      <c r="H27" s="96"/>
      <c r="I27" s="96"/>
      <c r="J27" s="97"/>
      <c r="K27" s="98"/>
    </row>
    <row r="28" spans="1:11" ht="22.5" customHeight="1" x14ac:dyDescent="0.25">
      <c r="A28" s="1608" t="s">
        <v>1200</v>
      </c>
      <c r="B28" s="923" t="s">
        <v>1201</v>
      </c>
      <c r="C28" s="201"/>
      <c r="D28" s="201"/>
      <c r="E28" s="924"/>
      <c r="F28" s="925"/>
      <c r="G28" s="925"/>
      <c r="H28" s="925"/>
      <c r="I28" s="925"/>
      <c r="J28" s="925"/>
      <c r="K28" s="926"/>
    </row>
    <row r="29" spans="1:11" s="50" customFormat="1" ht="22.5" customHeight="1" x14ac:dyDescent="0.25">
      <c r="A29" s="1609"/>
      <c r="B29" s="927" t="s">
        <v>1202</v>
      </c>
      <c r="C29" s="1452" t="str">
        <f>IFERROR(CRY,"NO")</f>
        <v>NO</v>
      </c>
      <c r="D29" s="928"/>
      <c r="E29" s="929"/>
      <c r="F29" s="929"/>
      <c r="G29" s="929"/>
      <c r="H29" s="929"/>
      <c r="I29" s="929"/>
      <c r="J29" s="929"/>
      <c r="K29" s="930"/>
    </row>
    <row r="30" spans="1:11" x14ac:dyDescent="0.25">
      <c r="A30" s="1609"/>
      <c r="B30" s="931" t="s">
        <v>1203</v>
      </c>
      <c r="C30" s="949" t="str">
        <f>IFERROR(IF(dms_RPT="calendar",CRY-1,LEFT(CRY,4)),"CRY not present")</f>
        <v>CRY not present</v>
      </c>
      <c r="D30" s="932" t="s">
        <v>1204</v>
      </c>
      <c r="E30" s="933" t="s">
        <v>1205</v>
      </c>
      <c r="F30" s="932"/>
      <c r="G30" s="932"/>
      <c r="H30" s="932"/>
      <c r="I30" s="932"/>
      <c r="J30" s="934"/>
      <c r="K30" s="935"/>
    </row>
    <row r="31" spans="1:11" x14ac:dyDescent="0.25">
      <c r="A31" s="1609"/>
      <c r="B31" s="936" t="s">
        <v>1206</v>
      </c>
      <c r="C31" s="81" t="str">
        <f>INDEX(dms_RPTMonth_List,MATCH(dms_TradingName,dms_TradingName_List))</f>
        <v>June</v>
      </c>
      <c r="D31" s="87" t="s">
        <v>1207</v>
      </c>
      <c r="E31" s="82" t="s">
        <v>1208</v>
      </c>
      <c r="F31" s="87"/>
      <c r="G31" s="87"/>
      <c r="H31" s="87"/>
      <c r="I31" s="87"/>
      <c r="J31" s="937"/>
      <c r="K31" s="938"/>
    </row>
    <row r="32" spans="1:11" ht="14.25" customHeight="1" x14ac:dyDescent="0.25">
      <c r="A32" s="1609"/>
      <c r="B32" s="936" t="s">
        <v>1209</v>
      </c>
      <c r="C32" s="81" t="str">
        <f ca="1">IF(dms_Model="RFM",dms_DollarReal_Prev, IF(dms_SingleYearModel="yes",CONCATENATE(dms_RPTMonth)&amp;" "&amp;VALUE((LEFT(dms_CRY_start_year,2)&amp;RIGHT(dms_CRY_start_year,2))),CONCATENATE(dms_RPTMonth)&amp;" "&amp;dms_DollarReal_year))</f>
        <v>June 2026</v>
      </c>
      <c r="D32" s="82" t="s">
        <v>1210</v>
      </c>
      <c r="E32" s="82" t="s">
        <v>1211</v>
      </c>
      <c r="F32" s="87"/>
      <c r="G32" s="87"/>
      <c r="H32" s="87"/>
      <c r="I32" s="87"/>
      <c r="J32" s="937"/>
      <c r="K32" s="938"/>
    </row>
    <row r="33" spans="1:90" ht="24" customHeight="1" x14ac:dyDescent="0.25">
      <c r="A33" s="1610"/>
      <c r="B33" s="939" t="s">
        <v>1212</v>
      </c>
      <c r="C33" s="940" t="s">
        <v>1213</v>
      </c>
      <c r="D33" s="94" t="s">
        <v>1214</v>
      </c>
      <c r="E33" s="94" t="s">
        <v>1215</v>
      </c>
      <c r="F33" s="941"/>
      <c r="G33" s="941"/>
      <c r="H33" s="941"/>
      <c r="I33" s="941"/>
      <c r="J33" s="942"/>
      <c r="K33" s="943"/>
    </row>
    <row r="34" spans="1:90" ht="24" customHeight="1" x14ac:dyDescent="0.25">
      <c r="B34" s="944" t="s">
        <v>1216</v>
      </c>
      <c r="C34" s="945"/>
      <c r="D34" s="945"/>
      <c r="E34" s="945"/>
      <c r="F34" s="946"/>
      <c r="G34" s="946"/>
      <c r="H34" s="946"/>
      <c r="I34" s="946"/>
      <c r="J34" s="946"/>
      <c r="K34" s="947"/>
      <c r="AL34" s="1563"/>
      <c r="AM34" s="1563"/>
      <c r="AN34" s="1563"/>
      <c r="AO34" s="1563"/>
      <c r="AP34" s="1563"/>
      <c r="AQ34" s="1563"/>
      <c r="AR34" s="1563"/>
      <c r="AS34" s="1563"/>
      <c r="AT34" s="1563"/>
      <c r="AU34" s="1563"/>
      <c r="AV34" s="1563"/>
      <c r="AW34" s="1563"/>
      <c r="AX34" s="1563"/>
      <c r="AY34" s="1563"/>
      <c r="AZ34" s="1563"/>
      <c r="BA34" s="1563"/>
      <c r="BB34" s="1563"/>
      <c r="BC34" s="1563"/>
      <c r="BD34" s="1563"/>
      <c r="BE34" s="1563"/>
      <c r="BF34" s="1563"/>
      <c r="BG34" s="1563"/>
      <c r="BQ34" s="1563"/>
      <c r="BR34" s="1563"/>
      <c r="BS34" s="1563"/>
      <c r="BT34" s="1563"/>
      <c r="BU34" s="1563"/>
      <c r="BV34" s="1563"/>
      <c r="BW34" s="1563"/>
      <c r="BX34" s="1563"/>
      <c r="BY34" s="1563"/>
      <c r="BZ34" s="1563"/>
      <c r="CA34" s="1563"/>
      <c r="CB34" s="1563"/>
      <c r="CC34" s="1563"/>
      <c r="CD34" s="1563"/>
      <c r="CE34" s="1563"/>
      <c r="CF34" s="1563"/>
      <c r="CG34" s="1563"/>
      <c r="CH34" s="1563"/>
      <c r="CI34" s="1563"/>
      <c r="CJ34" s="1563"/>
      <c r="CK34" s="1563"/>
      <c r="CL34" s="1563"/>
    </row>
    <row r="35" spans="1:90" s="50" customFormat="1" ht="30.75" customHeight="1" x14ac:dyDescent="0.25">
      <c r="B35" s="948" t="s">
        <v>1217</v>
      </c>
      <c r="C35" s="949" t="str">
        <f>INDEX(dms_FormControl_List,MATCH(dms_TradingName,dms_TradingName_List))</f>
        <v>Tariff cap</v>
      </c>
      <c r="D35" s="933" t="s">
        <v>1218</v>
      </c>
      <c r="E35" s="950" t="s">
        <v>1219</v>
      </c>
      <c r="F35" s="951"/>
      <c r="G35" s="951"/>
      <c r="H35" s="951"/>
      <c r="I35" s="951"/>
      <c r="J35" s="952"/>
      <c r="K35" s="953"/>
      <c r="AL35" s="1563"/>
      <c r="AM35" s="1563"/>
      <c r="AN35" s="1563"/>
      <c r="AO35" s="1563"/>
      <c r="AP35" s="1563"/>
      <c r="AQ35" s="1563"/>
      <c r="AR35" s="1563"/>
      <c r="AS35" s="1563"/>
      <c r="AT35" s="1563"/>
      <c r="AU35" s="1563"/>
      <c r="AV35" s="1563"/>
      <c r="AW35" s="1563"/>
      <c r="AX35" s="1563"/>
      <c r="AY35" s="1563"/>
      <c r="AZ35" s="1563"/>
      <c r="BA35" s="1563"/>
      <c r="BB35" s="1563"/>
      <c r="BC35" s="1563"/>
      <c r="BD35" s="1563"/>
      <c r="BE35" s="1563"/>
      <c r="BF35" s="1563"/>
      <c r="BG35" s="1563"/>
      <c r="BQ35" s="1563"/>
      <c r="BR35" s="1563"/>
      <c r="BS35" s="1563"/>
      <c r="BT35" s="1563"/>
      <c r="BU35" s="1563"/>
      <c r="BV35" s="1563"/>
      <c r="BW35" s="1563"/>
      <c r="BX35" s="1563"/>
      <c r="BY35" s="1563"/>
      <c r="BZ35" s="1563"/>
      <c r="CA35" s="1563"/>
      <c r="CB35" s="1563"/>
      <c r="CC35" s="1563"/>
      <c r="CD35" s="1563"/>
      <c r="CE35" s="1563"/>
      <c r="CF35" s="1563"/>
      <c r="CG35" s="1563"/>
      <c r="CH35" s="1563"/>
      <c r="CI35" s="1563"/>
      <c r="CJ35" s="1563"/>
      <c r="CK35" s="1563"/>
      <c r="CL35" s="1563"/>
    </row>
    <row r="36" spans="1:90" ht="24" customHeight="1" x14ac:dyDescent="0.25">
      <c r="A36" s="1595" t="s">
        <v>1220</v>
      </c>
      <c r="B36" s="99" t="s">
        <v>1221</v>
      </c>
      <c r="C36" s="100"/>
      <c r="D36" s="924"/>
      <c r="E36" s="924"/>
      <c r="F36" s="925"/>
      <c r="G36" s="925"/>
      <c r="H36" s="925"/>
      <c r="I36" s="925"/>
      <c r="J36" s="925"/>
      <c r="K36" s="926"/>
      <c r="AL36" s="1563"/>
      <c r="AM36" s="1563"/>
      <c r="AN36" s="1563"/>
      <c r="AO36" s="1563"/>
      <c r="AP36" s="1563"/>
      <c r="AQ36" s="1563"/>
      <c r="AR36" s="1563"/>
      <c r="AS36" s="1563"/>
      <c r="AT36" s="1563"/>
      <c r="AU36" s="1563"/>
      <c r="AV36" s="1563"/>
      <c r="AW36" s="1563"/>
      <c r="AX36" s="1563"/>
      <c r="AY36" s="1563"/>
      <c r="AZ36" s="1563"/>
      <c r="BA36" s="1563"/>
      <c r="BB36" s="1563"/>
      <c r="BC36" s="1563"/>
      <c r="BD36" s="1563"/>
      <c r="BE36" s="1563"/>
      <c r="BF36" s="1563"/>
      <c r="BG36" s="1563"/>
      <c r="BQ36" s="1563"/>
      <c r="BR36" s="1563"/>
      <c r="BS36" s="1563"/>
      <c r="BT36" s="1563"/>
      <c r="BU36" s="1563"/>
      <c r="BV36" s="1563"/>
      <c r="BW36" s="1563"/>
      <c r="BX36" s="1563"/>
      <c r="BY36" s="1563"/>
      <c r="BZ36" s="1563"/>
      <c r="CA36" s="1563"/>
      <c r="CB36" s="1563"/>
      <c r="CC36" s="1563"/>
      <c r="CD36" s="1563"/>
      <c r="CE36" s="1563"/>
      <c r="CF36" s="1563"/>
      <c r="CG36" s="1563"/>
      <c r="CH36" s="1563"/>
      <c r="CI36" s="1563"/>
      <c r="CJ36" s="1563"/>
      <c r="CK36" s="1563"/>
      <c r="CL36" s="1563"/>
    </row>
    <row r="37" spans="1:90" x14ac:dyDescent="0.25">
      <c r="A37" s="1596"/>
      <c r="B37" s="954" t="s">
        <v>1222</v>
      </c>
      <c r="C37" s="955" t="str">
        <f>FRCP_y1</f>
        <v>2026-27</v>
      </c>
      <c r="D37" s="1256" t="s">
        <v>1223</v>
      </c>
      <c r="E37" s="956" t="s">
        <v>1224</v>
      </c>
      <c r="F37" s="957"/>
      <c r="G37" s="957"/>
      <c r="H37" s="957"/>
      <c r="I37" s="957"/>
      <c r="J37" s="957"/>
      <c r="K37" s="958"/>
    </row>
    <row r="38" spans="1:90" x14ac:dyDescent="0.25">
      <c r="A38" s="1596"/>
      <c r="B38" s="959" t="s">
        <v>1225</v>
      </c>
      <c r="C38" s="960" t="str">
        <f ca="1">IFERROR(CRY,CRCP_y4)</f>
        <v>2024-25</v>
      </c>
      <c r="D38" s="1253" t="s">
        <v>1226</v>
      </c>
      <c r="E38" s="961"/>
      <c r="F38" s="962"/>
      <c r="G38" s="962"/>
      <c r="H38" s="962"/>
      <c r="I38" s="962"/>
      <c r="J38" s="962"/>
      <c r="K38" s="963"/>
    </row>
    <row r="39" spans="1:90" x14ac:dyDescent="0.25">
      <c r="A39" s="1596"/>
      <c r="B39" s="959" t="s">
        <v>1227</v>
      </c>
      <c r="C39" s="960">
        <f ca="1">IFERROR(MATCH(dms_CRY_start_year,INDIRECT(dms_RPT),0),0)</f>
        <v>38</v>
      </c>
      <c r="D39" s="1253" t="s">
        <v>1228</v>
      </c>
      <c r="E39" s="961"/>
      <c r="F39" s="962"/>
      <c r="G39" s="962"/>
      <c r="H39" s="962"/>
      <c r="I39" s="962"/>
      <c r="J39" s="962"/>
      <c r="K39" s="963"/>
    </row>
    <row r="40" spans="1:90" x14ac:dyDescent="0.25">
      <c r="A40" s="1596"/>
      <c r="B40" s="964" t="s">
        <v>1229</v>
      </c>
      <c r="C40" s="978">
        <f ca="1">MATCH(dms_start_year,INDIRECT(dms_RPT),0)</f>
        <v>40</v>
      </c>
      <c r="D40" s="1254" t="s">
        <v>1230</v>
      </c>
      <c r="E40" s="965" t="s">
        <v>1231</v>
      </c>
      <c r="F40" s="966"/>
      <c r="G40" s="966"/>
      <c r="H40" s="966"/>
      <c r="I40" s="966"/>
      <c r="J40" s="966"/>
      <c r="K40" s="967"/>
    </row>
    <row r="41" spans="1:90" x14ac:dyDescent="0.25">
      <c r="A41" s="1596"/>
      <c r="B41" s="968" t="s">
        <v>1232</v>
      </c>
      <c r="C41" s="969">
        <f ca="1">dms_FRCP_start_row-dms_CRCPlength_Num</f>
        <v>35</v>
      </c>
      <c r="D41" s="1249" t="s">
        <v>1233</v>
      </c>
      <c r="E41" s="970" t="s">
        <v>1234</v>
      </c>
      <c r="F41" s="971"/>
      <c r="G41" s="971"/>
      <c r="H41" s="971"/>
      <c r="I41" s="971"/>
      <c r="J41" s="971"/>
      <c r="K41" s="972"/>
    </row>
    <row r="42" spans="1:90" x14ac:dyDescent="0.25">
      <c r="A42" s="1596"/>
      <c r="B42" s="968" t="s">
        <v>1235</v>
      </c>
      <c r="C42" s="969">
        <f ca="1">dms_FRCP_start_row-dms_CRCPlength_Num-dms_PRCPlength_Num</f>
        <v>30</v>
      </c>
      <c r="D42" s="1249" t="s">
        <v>1236</v>
      </c>
      <c r="E42" s="970" t="s">
        <v>1237</v>
      </c>
      <c r="F42" s="971"/>
      <c r="G42" s="971"/>
      <c r="H42" s="971"/>
      <c r="I42" s="971"/>
      <c r="J42" s="971"/>
      <c r="K42" s="972"/>
    </row>
    <row r="43" spans="1:90" x14ac:dyDescent="0.25">
      <c r="A43" s="1596"/>
      <c r="B43" s="973" t="s">
        <v>1238</v>
      </c>
      <c r="C43" s="974">
        <f ca="1">dms_FRCP_start_row+(dms_FRCPlength_Num-1)</f>
        <v>44</v>
      </c>
      <c r="D43" s="1255" t="s">
        <v>1239</v>
      </c>
      <c r="E43" s="975" t="s">
        <v>1240</v>
      </c>
      <c r="F43" s="976"/>
      <c r="G43" s="976"/>
      <c r="H43" s="976"/>
      <c r="I43" s="976"/>
      <c r="J43" s="976"/>
      <c r="K43" s="977"/>
    </row>
    <row r="44" spans="1:90" x14ac:dyDescent="0.25">
      <c r="A44" s="1596"/>
      <c r="B44" s="964" t="s">
        <v>1241</v>
      </c>
      <c r="C44" s="978" t="str">
        <f ca="1">INDEX(INDIRECT(dms_RPT),dms_FRCP_start_row)</f>
        <v>2026-27</v>
      </c>
      <c r="D44" s="1254" t="s">
        <v>1242</v>
      </c>
      <c r="E44" s="965" t="s">
        <v>1243</v>
      </c>
      <c r="F44" s="966"/>
      <c r="G44" s="966"/>
      <c r="H44" s="966"/>
      <c r="I44" s="966"/>
      <c r="J44" s="966"/>
      <c r="K44" s="967"/>
    </row>
    <row r="45" spans="1:90" x14ac:dyDescent="0.25">
      <c r="A45" s="1596"/>
      <c r="B45" s="968" t="s">
        <v>1244</v>
      </c>
      <c r="C45" s="969" t="str">
        <f ca="1">INDEX(INDIRECT(dms_RPT),dms_CRCP_start_row)</f>
        <v>2021-22</v>
      </c>
      <c r="D45" s="1249" t="s">
        <v>1245</v>
      </c>
      <c r="E45" s="970" t="s">
        <v>1246</v>
      </c>
      <c r="F45" s="971"/>
      <c r="G45" s="971"/>
      <c r="H45" s="971"/>
      <c r="I45" s="971"/>
      <c r="J45" s="971"/>
      <c r="K45" s="972"/>
    </row>
    <row r="46" spans="1:90" x14ac:dyDescent="0.25">
      <c r="A46" s="1596"/>
      <c r="B46" s="979" t="s">
        <v>1247</v>
      </c>
      <c r="C46" s="980" t="str">
        <f ca="1">INDEX(INDIRECT(dms_RPT),dms_PRCP_start_row)</f>
        <v>2016-17</v>
      </c>
      <c r="D46" s="1251" t="s">
        <v>1248</v>
      </c>
      <c r="E46" s="975" t="s">
        <v>1249</v>
      </c>
      <c r="F46" s="976"/>
      <c r="G46" s="976"/>
      <c r="H46" s="976"/>
      <c r="I46" s="976"/>
      <c r="J46" s="976"/>
      <c r="K46" s="977"/>
    </row>
    <row r="47" spans="1:90" x14ac:dyDescent="0.25">
      <c r="A47" s="1596"/>
      <c r="B47" s="964" t="s">
        <v>1250</v>
      </c>
      <c r="C47" s="978" t="str">
        <f ca="1">INDEX(INDIRECT(dms_RPT),dms_FRCP_start_row+dms_FRCPlength_Num-1)</f>
        <v>2030-31</v>
      </c>
      <c r="D47" s="1254" t="s">
        <v>1251</v>
      </c>
      <c r="E47" s="970" t="s">
        <v>1252</v>
      </c>
      <c r="F47" s="971"/>
      <c r="G47" s="971"/>
      <c r="H47" s="971"/>
      <c r="I47" s="971"/>
      <c r="J47" s="971"/>
      <c r="K47" s="972"/>
    </row>
    <row r="48" spans="1:90" x14ac:dyDescent="0.25">
      <c r="A48" s="1596"/>
      <c r="B48" s="968" t="s">
        <v>1253</v>
      </c>
      <c r="C48" s="969" t="str">
        <f ca="1">INDEX(INDIRECT(dms_RPT),dms_CRCP_start_row+dms_CRCPlength_Num-1)</f>
        <v>2025-26</v>
      </c>
      <c r="D48" s="1249" t="s">
        <v>1254</v>
      </c>
      <c r="E48" s="970" t="s">
        <v>1255</v>
      </c>
      <c r="F48" s="971"/>
      <c r="G48" s="971"/>
      <c r="H48" s="971"/>
      <c r="I48" s="971"/>
      <c r="J48" s="971"/>
      <c r="K48" s="972"/>
    </row>
    <row r="49" spans="1:11" x14ac:dyDescent="0.25">
      <c r="A49" s="1596"/>
      <c r="B49" s="979" t="s">
        <v>1256</v>
      </c>
      <c r="C49" s="980" t="str">
        <f ca="1">INDEX(INDIRECT(dms_RPT),dms_PRCP_start_row+dms_FRCPlength_Num-1)</f>
        <v>2020-21</v>
      </c>
      <c r="D49" s="1251" t="s">
        <v>1257</v>
      </c>
      <c r="E49" s="975" t="s">
        <v>1258</v>
      </c>
      <c r="F49" s="976"/>
      <c r="G49" s="976"/>
      <c r="H49" s="976"/>
      <c r="I49" s="976"/>
      <c r="J49" s="976"/>
      <c r="K49" s="977"/>
    </row>
    <row r="50" spans="1:11" x14ac:dyDescent="0.25">
      <c r="A50" s="1596"/>
      <c r="B50" s="964" t="s">
        <v>1259</v>
      </c>
      <c r="C50" s="978" t="str">
        <f ca="1">INDEX(INDIRECT(dms_RPT),dms_RYE_start_row)</f>
        <v>2030-31</v>
      </c>
      <c r="D50" s="1254" t="s">
        <v>1260</v>
      </c>
      <c r="E50" s="970" t="s">
        <v>1261</v>
      </c>
      <c r="F50" s="971"/>
      <c r="G50" s="971"/>
      <c r="H50" s="971"/>
      <c r="I50" s="971"/>
      <c r="J50" s="971"/>
      <c r="K50" s="972"/>
    </row>
    <row r="51" spans="1:11" x14ac:dyDescent="0.25">
      <c r="A51" s="1596"/>
      <c r="B51" s="979" t="s">
        <v>1262</v>
      </c>
      <c r="C51" s="981" t="str">
        <f>FRY</f>
        <v>2029-30</v>
      </c>
      <c r="D51" s="1251" t="s">
        <v>1263</v>
      </c>
      <c r="E51" s="975" t="s">
        <v>1264</v>
      </c>
      <c r="F51" s="976"/>
      <c r="G51" s="976"/>
      <c r="H51" s="976"/>
      <c r="I51" s="976"/>
      <c r="J51" s="976"/>
      <c r="K51" s="977"/>
    </row>
    <row r="52" spans="1:11" x14ac:dyDescent="0.25">
      <c r="A52" s="1596"/>
      <c r="B52" s="959" t="s">
        <v>1265</v>
      </c>
      <c r="C52" s="982" t="str">
        <f ca="1">LEFT(CRCP_final_year,2)&amp;RIGHT(CRCP_final_year,2)</f>
        <v>2026</v>
      </c>
      <c r="D52" s="1253" t="s">
        <v>1266</v>
      </c>
      <c r="E52" s="983" t="s">
        <v>1267</v>
      </c>
      <c r="F52" s="984"/>
      <c r="G52" s="984"/>
      <c r="H52" s="984"/>
      <c r="I52" s="984"/>
      <c r="J52" s="984"/>
      <c r="K52" s="985"/>
    </row>
    <row r="53" spans="1:11" x14ac:dyDescent="0.25">
      <c r="A53" s="1596"/>
      <c r="B53" s="986" t="s">
        <v>1268</v>
      </c>
      <c r="C53" s="987" t="str">
        <f ca="1">LEFT(PRCP_final_year,2)&amp;RIGHT(PRCP_final_year,2)</f>
        <v>2021</v>
      </c>
      <c r="D53" s="1252" t="s">
        <v>1269</v>
      </c>
      <c r="E53" s="975" t="s">
        <v>1270</v>
      </c>
      <c r="F53" s="976"/>
      <c r="G53" s="976"/>
      <c r="H53" s="976"/>
      <c r="I53" s="976"/>
      <c r="J53" s="976"/>
      <c r="K53" s="977"/>
    </row>
    <row r="54" spans="1:11" x14ac:dyDescent="0.25">
      <c r="A54" s="1596"/>
      <c r="B54" s="988" t="s">
        <v>1271</v>
      </c>
      <c r="C54" s="989">
        <f>IFERROR(LEFT(CRY,2)&amp;RIGHT(CRY,2),0)</f>
        <v>0</v>
      </c>
      <c r="D54" s="1250" t="s">
        <v>1272</v>
      </c>
      <c r="E54" s="965" t="s">
        <v>1273</v>
      </c>
      <c r="F54" s="971"/>
      <c r="G54" s="971"/>
      <c r="H54" s="971"/>
      <c r="I54" s="971"/>
      <c r="J54" s="971"/>
      <c r="K54" s="972"/>
    </row>
    <row r="55" spans="1:11" x14ac:dyDescent="0.25">
      <c r="A55" s="1596"/>
      <c r="B55" s="968" t="s">
        <v>1274</v>
      </c>
      <c r="C55" s="969" t="str">
        <f ca="1">IF(dms_Model_Span&gt;1,IF(dms_Model="RFM",(LEFT(dms_DollarReal_year,2)&amp;RIGHT(dms_DollarReal_year,2)),(LEFT(dms_Reset_final_year,2)&amp;RIGHT(dms_Reset_final_year,2))),0)</f>
        <v>2031</v>
      </c>
      <c r="D55" s="1249" t="s">
        <v>1275</v>
      </c>
      <c r="E55" s="970" t="s">
        <v>1276</v>
      </c>
      <c r="F55" s="971"/>
      <c r="G55" s="971"/>
      <c r="H55" s="971"/>
      <c r="I55" s="971"/>
      <c r="J55" s="971"/>
      <c r="K55" s="972"/>
    </row>
    <row r="56" spans="1:11" x14ac:dyDescent="0.25">
      <c r="A56" s="1596"/>
      <c r="B56" s="968" t="s">
        <v>1277</v>
      </c>
      <c r="C56" s="969">
        <f>IF(dms_MultiYear_ResponseFlag="Yes",(LEFT(dms_Specified_FinalYear,2)&amp;RIGHT(dms_Specified_FinalYear,2)),0)</f>
        <v>0</v>
      </c>
      <c r="D56" s="1249" t="s">
        <v>1278</v>
      </c>
      <c r="E56" s="970" t="s">
        <v>1279</v>
      </c>
      <c r="F56" s="971"/>
      <c r="G56" s="971"/>
      <c r="H56" s="971"/>
      <c r="I56" s="971"/>
      <c r="J56" s="971"/>
      <c r="K56" s="972"/>
    </row>
    <row r="57" spans="1:11" x14ac:dyDescent="0.25">
      <c r="A57" s="1596"/>
      <c r="B57" s="968" t="s">
        <v>1280</v>
      </c>
      <c r="C57" s="969">
        <f>INDEX(dms_Model_Span_List,MATCH(dms_Model,dms_Model_List))</f>
        <v>5</v>
      </c>
      <c r="D57" s="1249" t="s">
        <v>1281</v>
      </c>
      <c r="E57" s="970" t="s">
        <v>1282</v>
      </c>
      <c r="F57" s="971"/>
      <c r="G57" s="971"/>
      <c r="H57" s="971"/>
      <c r="I57" s="971"/>
      <c r="J57" s="971"/>
      <c r="K57" s="972"/>
    </row>
    <row r="58" spans="1:11" x14ac:dyDescent="0.25">
      <c r="A58" s="1596"/>
      <c r="B58" s="979" t="s">
        <v>1283</v>
      </c>
      <c r="C58" s="980" t="str">
        <f ca="1">IF(dms_MultiYear_ResponseFlag="yes",dms_Specified_RYE,(IF(dms_Model_Span&gt;1,dms_Reset_RYE,dms_CRY_RYE)))</f>
        <v>2031</v>
      </c>
      <c r="D58" s="1251" t="s">
        <v>1284</v>
      </c>
      <c r="E58" s="975" t="s">
        <v>1285</v>
      </c>
      <c r="F58" s="976"/>
      <c r="G58" s="976"/>
      <c r="H58" s="976"/>
      <c r="I58" s="976"/>
      <c r="J58" s="976"/>
      <c r="K58" s="977"/>
    </row>
    <row r="59" spans="1:11" x14ac:dyDescent="0.25">
      <c r="A59" s="1596"/>
      <c r="B59" s="988" t="s">
        <v>1286</v>
      </c>
      <c r="C59" s="989" t="str">
        <f ca="1">IF(dms_Reset_RYE&gt;0,CONCATENATE(FRCP_y1," to ",FRCP_final_year),0)</f>
        <v>2026-27 to 2030-31</v>
      </c>
      <c r="D59" s="1250" t="s">
        <v>1287</v>
      </c>
      <c r="E59" s="970" t="s">
        <v>1288</v>
      </c>
      <c r="F59" s="990"/>
      <c r="G59" s="971"/>
      <c r="H59" s="971"/>
      <c r="I59" s="971"/>
      <c r="J59" s="971"/>
      <c r="K59" s="972"/>
    </row>
    <row r="60" spans="1:11" x14ac:dyDescent="0.25">
      <c r="A60" s="1596"/>
      <c r="B60" s="968" t="s">
        <v>1289</v>
      </c>
      <c r="C60" s="969">
        <f>IF(dms_Specified_RYE&gt;0,CONCATENATE(CRY," to ",dms_Specified_FinalYear),0)</f>
        <v>0</v>
      </c>
      <c r="D60" s="1249" t="s">
        <v>1290</v>
      </c>
      <c r="E60" s="970" t="s">
        <v>1291</v>
      </c>
      <c r="F60" s="971"/>
      <c r="G60" s="971"/>
      <c r="H60" s="971"/>
      <c r="I60" s="971"/>
      <c r="J60" s="971"/>
      <c r="K60" s="972"/>
    </row>
    <row r="61" spans="1:11" ht="15" customHeight="1" x14ac:dyDescent="0.25">
      <c r="A61" s="1596"/>
      <c r="B61" s="991" t="s">
        <v>1292</v>
      </c>
      <c r="C61" s="992" t="str">
        <f ca="1">IF(dms_MultiYear_Flag=1,dms_SpecifiedYear_Span,IF(dms_Model_Span&gt;1,dms_y1&amp;" to "&amp;FRCP_final_year,CRY))</f>
        <v>2024-25 to 2030-31</v>
      </c>
      <c r="D61" s="1248" t="s">
        <v>1293</v>
      </c>
      <c r="E61" s="993" t="s">
        <v>1294</v>
      </c>
      <c r="F61" s="994"/>
      <c r="G61" s="994"/>
      <c r="H61" s="994"/>
      <c r="I61" s="994"/>
      <c r="J61" s="994"/>
      <c r="K61" s="995"/>
    </row>
    <row r="62" spans="1:11" ht="25.5" customHeight="1" x14ac:dyDescent="0.25">
      <c r="B62" s="99" t="s">
        <v>1295</v>
      </c>
      <c r="C62" s="100"/>
      <c r="D62" s="945"/>
      <c r="E62" s="945"/>
      <c r="F62" s="946"/>
      <c r="G62" s="946"/>
      <c r="H62" s="946"/>
      <c r="I62" s="946"/>
      <c r="J62" s="946"/>
      <c r="K62" s="947"/>
    </row>
    <row r="63" spans="1:11" ht="17.45" customHeight="1" x14ac:dyDescent="0.25">
      <c r="B63" s="996" t="s">
        <v>1296</v>
      </c>
      <c r="C63" s="997" t="s">
        <v>1176</v>
      </c>
      <c r="D63" s="998"/>
      <c r="E63" s="999"/>
      <c r="F63" s="1000"/>
      <c r="G63" s="1000"/>
      <c r="H63" s="1000"/>
      <c r="I63" s="1000"/>
      <c r="J63" s="1001"/>
      <c r="K63" s="1002"/>
    </row>
    <row r="64" spans="1:11" x14ac:dyDescent="0.25">
      <c r="B64" s="1003"/>
      <c r="C64" s="1004">
        <f>IF(dms_MultiYear_ResponseFlag="No",0,1)</f>
        <v>0</v>
      </c>
      <c r="D64" s="1005" t="s">
        <v>1297</v>
      </c>
      <c r="E64" s="1006" t="s">
        <v>1298</v>
      </c>
      <c r="F64" s="1007"/>
      <c r="G64" s="1007"/>
      <c r="H64" s="1007"/>
      <c r="I64" s="1007"/>
      <c r="J64" s="1008"/>
      <c r="K64" s="1009"/>
    </row>
    <row r="65" spans="2:11" ht="26.45" customHeight="1" x14ac:dyDescent="0.25">
      <c r="B65" s="1003"/>
      <c r="C65" s="1010" t="str">
        <f>IF(dms_MultiYear_Flag=1,FRY,"not a Multiple year submission")</f>
        <v>not a Multiple year submission</v>
      </c>
      <c r="D65" s="1005" t="s">
        <v>1299</v>
      </c>
      <c r="E65" s="1011" t="s">
        <v>1300</v>
      </c>
      <c r="F65" s="1007"/>
      <c r="G65" s="1007"/>
      <c r="H65" s="1007"/>
      <c r="I65" s="1012"/>
      <c r="J65" s="1013"/>
      <c r="K65" s="1014"/>
    </row>
    <row r="66" spans="2:11" ht="15" customHeight="1" x14ac:dyDescent="0.25">
      <c r="B66" s="1015" t="s">
        <v>1301</v>
      </c>
      <c r="C66" s="1016" t="str">
        <f>IFERROR(IF(dms_MultiYear_Flag=1,FRY,CRY),"not an ABC")</f>
        <v>not an ABC</v>
      </c>
      <c r="D66" s="1017" t="s">
        <v>1302</v>
      </c>
      <c r="E66" s="1017" t="s">
        <v>1303</v>
      </c>
      <c r="F66" s="1018"/>
      <c r="G66" s="1018" t="s">
        <v>1304</v>
      </c>
      <c r="H66" s="1018"/>
      <c r="I66" s="1018"/>
      <c r="J66" s="1019"/>
      <c r="K66" s="1020"/>
    </row>
    <row r="67" spans="2:11" ht="22.5" customHeight="1" x14ac:dyDescent="0.25">
      <c r="B67" s="99" t="s">
        <v>1305</v>
      </c>
      <c r="C67" s="100"/>
      <c r="D67" s="100"/>
      <c r="E67" s="100"/>
      <c r="F67" s="102"/>
      <c r="G67" s="102"/>
      <c r="H67" s="102"/>
      <c r="I67" s="102"/>
      <c r="J67" s="102"/>
      <c r="K67" s="103"/>
    </row>
    <row r="68" spans="2:11" x14ac:dyDescent="0.25">
      <c r="B68" s="1021" t="s">
        <v>1306</v>
      </c>
      <c r="C68" s="1022"/>
      <c r="D68" s="1023"/>
      <c r="E68" s="1024"/>
      <c r="F68" s="1025"/>
      <c r="G68" s="1025"/>
      <c r="H68" s="1025"/>
      <c r="I68" s="1025"/>
      <c r="J68" s="1026"/>
      <c r="K68" s="1027"/>
    </row>
    <row r="69" spans="2:11" x14ac:dyDescent="0.25">
      <c r="B69" s="1003" t="s">
        <v>1307</v>
      </c>
      <c r="C69" s="1453">
        <f>INDEX(dms_PRCPlength_List,MATCH(dms_TradingName,dms_TradingName_List))</f>
        <v>5</v>
      </c>
      <c r="D69" s="998" t="s">
        <v>1308</v>
      </c>
      <c r="E69" s="1028" t="s">
        <v>1309</v>
      </c>
      <c r="F69" s="1029"/>
      <c r="G69" s="1029"/>
      <c r="H69" s="1029"/>
      <c r="I69" s="1029"/>
      <c r="J69" s="1029"/>
      <c r="K69" s="1030"/>
    </row>
    <row r="70" spans="2:11" x14ac:dyDescent="0.25">
      <c r="B70" s="1003" t="s">
        <v>1310</v>
      </c>
      <c r="C70" s="1004">
        <f>INDEX(dms_CRCPlength_List,MATCH(dms_TradingName,dms_TradingName_List))</f>
        <v>5</v>
      </c>
      <c r="D70" s="1031" t="s">
        <v>1311</v>
      </c>
      <c r="E70" s="1032" t="s">
        <v>1312</v>
      </c>
      <c r="F70" s="1025"/>
      <c r="G70" s="1025"/>
      <c r="H70" s="1025"/>
      <c r="I70" s="1025"/>
      <c r="J70" s="1025"/>
      <c r="K70" s="1033"/>
    </row>
    <row r="71" spans="2:11" x14ac:dyDescent="0.25">
      <c r="B71" s="1034" t="s">
        <v>1313</v>
      </c>
      <c r="C71" s="1035">
        <f>INDEX(dms_FRCPlength_List,MATCH(dms_TradingName,dms_TradingName_List))</f>
        <v>5</v>
      </c>
      <c r="D71" s="1036" t="s">
        <v>1314</v>
      </c>
      <c r="E71" s="1037" t="s">
        <v>1315</v>
      </c>
      <c r="F71" s="1038"/>
      <c r="G71" s="1038"/>
      <c r="H71" s="1038"/>
      <c r="I71" s="1038"/>
      <c r="J71" s="1038"/>
      <c r="K71" s="1039"/>
    </row>
    <row r="72" spans="2:11" x14ac:dyDescent="0.25">
      <c r="B72" s="1040" t="s">
        <v>1316</v>
      </c>
      <c r="C72" s="1023"/>
      <c r="D72" s="1023"/>
      <c r="E72" s="1024"/>
      <c r="F72" s="1025"/>
      <c r="G72" s="1025"/>
      <c r="H72" s="1025"/>
      <c r="I72" s="1025"/>
      <c r="J72" s="1026"/>
      <c r="K72" s="1027"/>
    </row>
    <row r="73" spans="2:11" x14ac:dyDescent="0.25">
      <c r="B73" s="1597" t="s">
        <v>1317</v>
      </c>
      <c r="C73" s="1454">
        <f>IF(dms_Model="EB",1,0)</f>
        <v>0</v>
      </c>
      <c r="D73" s="1023" t="s">
        <v>1318</v>
      </c>
      <c r="E73" s="1024"/>
      <c r="F73" s="1025"/>
      <c r="G73" s="1025"/>
      <c r="H73" s="1025"/>
      <c r="I73" s="1025"/>
      <c r="J73" s="1026"/>
      <c r="K73" s="1027"/>
    </row>
    <row r="74" spans="2:11" x14ac:dyDescent="0.25">
      <c r="B74" s="1597"/>
      <c r="C74" s="1455">
        <f>IF(dms_Model="CA",1,0)</f>
        <v>0</v>
      </c>
      <c r="D74" s="1041" t="s">
        <v>1319</v>
      </c>
      <c r="E74" s="1042" t="s">
        <v>1320</v>
      </c>
      <c r="F74" s="1043"/>
      <c r="G74" s="1043"/>
      <c r="H74" s="1043"/>
      <c r="I74" s="1043"/>
      <c r="J74" s="1044"/>
      <c r="K74" s="1045"/>
    </row>
    <row r="75" spans="2:11" x14ac:dyDescent="0.25">
      <c r="B75" s="1598"/>
      <c r="C75" s="1455">
        <f>IF(dms_Model="ARR",1,0)</f>
        <v>0</v>
      </c>
      <c r="D75" s="1041" t="s">
        <v>1321</v>
      </c>
      <c r="E75" s="1042"/>
      <c r="F75" s="1043"/>
      <c r="G75" s="1043"/>
      <c r="H75" s="1043"/>
      <c r="I75" s="1043"/>
      <c r="J75" s="1044"/>
      <c r="K75" s="1045"/>
    </row>
    <row r="76" spans="2:11" x14ac:dyDescent="0.25">
      <c r="B76" s="1046" t="s">
        <v>1322</v>
      </c>
      <c r="C76" s="1456" t="str">
        <f>IF(SUM(dms_SingleYear_Model)=1,"yes","no")</f>
        <v>no</v>
      </c>
      <c r="D76" s="1042" t="s">
        <v>1323</v>
      </c>
      <c r="E76" s="1042" t="s">
        <v>1324</v>
      </c>
      <c r="F76" s="1018"/>
      <c r="G76" s="1018"/>
      <c r="H76" s="1018"/>
      <c r="I76" s="1043"/>
      <c r="J76" s="1044"/>
      <c r="K76" s="1045"/>
    </row>
    <row r="77" spans="2:11" x14ac:dyDescent="0.25">
      <c r="B77" s="1047" t="s">
        <v>1325</v>
      </c>
      <c r="C77" s="1457">
        <f>IF(AND(dms_SingleYearModel="yes",dms_MultiYear_Flag=0),CRY,0)</f>
        <v>0</v>
      </c>
      <c r="D77" s="1036" t="s">
        <v>1326</v>
      </c>
      <c r="E77" s="1037" t="s">
        <v>1327</v>
      </c>
      <c r="F77" s="1048"/>
      <c r="G77" s="1048"/>
      <c r="H77" s="1048"/>
      <c r="I77" s="1048"/>
      <c r="J77" s="1048"/>
      <c r="K77" s="1049"/>
    </row>
    <row r="78" spans="2:11" x14ac:dyDescent="0.25">
      <c r="B78" s="1021" t="s">
        <v>1328</v>
      </c>
      <c r="C78" s="1016"/>
      <c r="D78" s="1031"/>
      <c r="E78" s="1032"/>
      <c r="F78" s="1025"/>
      <c r="G78" s="1025"/>
      <c r="H78" s="1025"/>
      <c r="I78" s="1025"/>
      <c r="J78" s="1025"/>
      <c r="K78" s="1033"/>
    </row>
    <row r="79" spans="2:11" x14ac:dyDescent="0.25">
      <c r="B79" s="1003"/>
      <c r="C79" s="1016"/>
      <c r="D79" s="1031"/>
      <c r="E79" s="1032"/>
      <c r="F79" s="1025"/>
      <c r="G79" s="1025"/>
      <c r="H79" s="1025"/>
      <c r="I79" s="1025"/>
      <c r="J79" s="1025"/>
      <c r="K79" s="1033"/>
    </row>
    <row r="80" spans="2:11" x14ac:dyDescent="0.25">
      <c r="B80" s="1003" t="s">
        <v>1329</v>
      </c>
      <c r="C80" s="1016" t="str">
        <f>IF(dms_Model_Span&gt;1,"yes","no")</f>
        <v>yes</v>
      </c>
      <c r="D80" s="1031"/>
      <c r="E80" s="1032"/>
      <c r="F80" s="1025"/>
      <c r="G80" s="1025"/>
      <c r="H80" s="1025"/>
      <c r="I80" s="1025"/>
      <c r="J80" s="1025"/>
      <c r="K80" s="1033"/>
    </row>
    <row r="81" spans="2:12" x14ac:dyDescent="0.25">
      <c r="B81" s="1003" t="s">
        <v>1330</v>
      </c>
      <c r="C81" s="1016" t="str">
        <f ca="1">IF(dms_Model_Span&gt;1,dms_Reset_final_year,0)</f>
        <v>2030-31</v>
      </c>
      <c r="D81" s="1031" t="s">
        <v>1331</v>
      </c>
      <c r="E81" s="1032" t="s">
        <v>1332</v>
      </c>
      <c r="F81" s="1025"/>
      <c r="G81" s="1025"/>
      <c r="H81" s="1025"/>
      <c r="I81" s="1025"/>
      <c r="J81" s="1025"/>
      <c r="K81" s="1033"/>
    </row>
    <row r="82" spans="2:12" x14ac:dyDescent="0.25">
      <c r="B82" s="1003"/>
      <c r="C82" s="1016"/>
      <c r="D82" s="1031"/>
      <c r="E82" s="1032"/>
      <c r="F82" s="1025"/>
      <c r="G82" s="1025"/>
      <c r="H82" s="1025"/>
      <c r="I82" s="1025"/>
      <c r="J82" s="1025"/>
      <c r="K82" s="1033"/>
    </row>
    <row r="83" spans="2:12" x14ac:dyDescent="0.25">
      <c r="B83" s="1003" t="s">
        <v>1333</v>
      </c>
      <c r="C83" s="1016" t="str">
        <f>IF(dms_MultiYear_Flag=1,"yes","no")</f>
        <v>no</v>
      </c>
      <c r="D83" s="1031" t="s">
        <v>1334</v>
      </c>
      <c r="E83" s="1032"/>
      <c r="F83" s="1025"/>
      <c r="G83" s="1025"/>
      <c r="H83" s="1025"/>
      <c r="I83" s="1025"/>
      <c r="J83" s="1025"/>
      <c r="K83" s="1033"/>
    </row>
    <row r="84" spans="2:12" x14ac:dyDescent="0.25">
      <c r="B84" s="1034" t="s">
        <v>1335</v>
      </c>
      <c r="C84" s="1050">
        <f>IF(dms_MultiYear_Flag=1,C51,0)</f>
        <v>0</v>
      </c>
      <c r="D84" s="1051"/>
      <c r="E84" s="1052"/>
      <c r="F84" s="1038"/>
      <c r="G84" s="1038"/>
      <c r="H84" s="1038"/>
      <c r="I84" s="1038"/>
      <c r="J84" s="1038"/>
      <c r="K84" s="1039"/>
    </row>
    <row r="85" spans="2:12" ht="15" customHeight="1" x14ac:dyDescent="0.25">
      <c r="B85" s="1003"/>
      <c r="C85" s="1016"/>
      <c r="D85" s="1031"/>
      <c r="E85" s="1032"/>
      <c r="F85" s="1025"/>
      <c r="G85" s="1025"/>
      <c r="H85" s="1025"/>
      <c r="I85" s="1025"/>
      <c r="J85" s="1025"/>
      <c r="K85" s="1033"/>
    </row>
    <row r="86" spans="2:12" ht="28.5" customHeight="1" x14ac:dyDescent="0.25">
      <c r="B86" s="99" t="s">
        <v>1336</v>
      </c>
      <c r="C86" s="100"/>
      <c r="D86" s="100"/>
      <c r="E86" s="100"/>
      <c r="F86" s="102"/>
      <c r="G86" s="102"/>
      <c r="H86" s="102"/>
      <c r="I86" s="102"/>
      <c r="J86" s="102"/>
      <c r="K86" s="103"/>
    </row>
    <row r="87" spans="2:12" s="50" customFormat="1" ht="24.75" customHeight="1" x14ac:dyDescent="0.25">
      <c r="B87" s="1053" t="s">
        <v>1337</v>
      </c>
      <c r="C87" s="949" t="str">
        <f>IFERROR(IF(dms_Segment="Transmission",dms_Cal_Year_B4_CRY,CRY),"CRY not present")</f>
        <v>CRY not present</v>
      </c>
      <c r="D87" s="933" t="s">
        <v>1338</v>
      </c>
      <c r="E87" s="950" t="s">
        <v>1339</v>
      </c>
      <c r="F87" s="951"/>
      <c r="G87" s="951"/>
      <c r="H87" s="951"/>
      <c r="I87" s="951"/>
      <c r="J87" s="952"/>
      <c r="K87" s="953"/>
    </row>
    <row r="88" spans="2:12" ht="27" customHeight="1" x14ac:dyDescent="0.25">
      <c r="B88" s="99" t="s">
        <v>1340</v>
      </c>
      <c r="C88" s="100"/>
      <c r="D88" s="100"/>
      <c r="E88" s="100"/>
      <c r="F88" s="102"/>
      <c r="G88" s="102"/>
      <c r="H88" s="102"/>
      <c r="I88" s="102"/>
      <c r="J88" s="102"/>
      <c r="K88" s="103"/>
    </row>
    <row r="89" spans="2:12" x14ac:dyDescent="0.25">
      <c r="B89" s="116" t="s">
        <v>1341</v>
      </c>
      <c r="C89" s="117"/>
      <c r="D89" s="118"/>
      <c r="E89" s="88" t="s">
        <v>1342</v>
      </c>
      <c r="F89" s="78"/>
      <c r="G89" s="78"/>
      <c r="H89" s="78"/>
      <c r="I89" s="78"/>
      <c r="J89" s="78"/>
      <c r="K89" s="79"/>
    </row>
    <row r="90" spans="2:12" x14ac:dyDescent="0.25">
      <c r="B90" s="116"/>
      <c r="C90" s="117" t="str">
        <f>IF(dms_Model&lt;&gt;"CA","not a CA","Is a CA")</f>
        <v>not a CA</v>
      </c>
      <c r="D90" s="118"/>
      <c r="E90" s="119" t="s">
        <v>1343</v>
      </c>
      <c r="F90" s="78"/>
      <c r="G90" s="78"/>
      <c r="H90" s="78"/>
      <c r="I90" s="78"/>
      <c r="J90" s="78"/>
      <c r="K90" s="79"/>
    </row>
    <row r="91" spans="2:12" x14ac:dyDescent="0.25">
      <c r="B91" s="120" t="s">
        <v>1344</v>
      </c>
      <c r="C91" s="117" t="str">
        <f>IFERROR(IF(INDEX(dms_060301_Avg_Duration_Sustained_Int_Values,1,1)&lt;&gt;"","yes","no"),"no")</f>
        <v>no</v>
      </c>
      <c r="D91" s="118" t="s">
        <v>1345</v>
      </c>
      <c r="E91" s="121" t="s">
        <v>1346</v>
      </c>
      <c r="F91" s="78"/>
      <c r="G91" s="78"/>
      <c r="H91" s="78"/>
      <c r="I91" s="78"/>
      <c r="J91" s="78"/>
      <c r="K91" s="79"/>
    </row>
    <row r="92" spans="2:12" x14ac:dyDescent="0.25">
      <c r="B92" s="120"/>
      <c r="C92" s="1458" t="str">
        <f>IF(AND(dms_Model="CA",(dms_060301_checkvalue="no")),"error - NR not present","no errors")</f>
        <v>no errors</v>
      </c>
      <c r="D92" s="118"/>
      <c r="E92" s="121" t="s">
        <v>1347</v>
      </c>
      <c r="F92" s="78"/>
      <c r="G92" s="78"/>
      <c r="H92" s="78"/>
      <c r="I92" s="78"/>
      <c r="J92" s="78"/>
      <c r="K92" s="79"/>
    </row>
    <row r="93" spans="2:12" x14ac:dyDescent="0.25">
      <c r="B93" s="122" t="s">
        <v>1348</v>
      </c>
      <c r="C93" s="117" t="str">
        <f>IFERROR(IF(dms_Model="CA",LOOKUP(2,1/(dms_060301_Avg_Duration_Sustained_Int_Values&lt;&gt;""),(ROW(dms_060301_Avg_Duration_Sustained_Int_Values))),"not a CA"),"6.3 not present")</f>
        <v>not a CA</v>
      </c>
      <c r="D93" s="118" t="s">
        <v>1349</v>
      </c>
      <c r="E93" s="121" t="s">
        <v>1350</v>
      </c>
      <c r="F93" s="78"/>
      <c r="G93" s="78"/>
      <c r="H93" s="78"/>
      <c r="I93" s="78"/>
      <c r="J93" s="78"/>
      <c r="K93" s="79"/>
    </row>
    <row r="94" spans="2:12" x14ac:dyDescent="0.25">
      <c r="B94" s="123" t="s">
        <v>1351</v>
      </c>
      <c r="C94" s="1459" t="str">
        <f>IFERROR(IF(dms_Model="CA",(dms_060301_LastRow-15),"not a CA"),"error")</f>
        <v>not a CA</v>
      </c>
      <c r="D94" s="124" t="s">
        <v>1352</v>
      </c>
      <c r="E94" s="125" t="s">
        <v>1353</v>
      </c>
      <c r="F94" s="115"/>
      <c r="G94" s="115"/>
      <c r="H94" s="115"/>
      <c r="I94" s="115"/>
      <c r="J94" s="115"/>
      <c r="K94" s="126"/>
      <c r="L94" s="75"/>
    </row>
    <row r="95" spans="2:12" ht="15" customHeight="1" x14ac:dyDescent="0.25">
      <c r="B95" s="127" t="s">
        <v>1354</v>
      </c>
      <c r="C95" s="128" t="str">
        <f>INDEX(dms_663_List,MATCH(dms_TradingName,dms_TradingName_List))</f>
        <v>x</v>
      </c>
      <c r="D95" s="112" t="s">
        <v>1355</v>
      </c>
      <c r="E95" s="121" t="s">
        <v>1356</v>
      </c>
      <c r="F95" s="129"/>
      <c r="G95" s="129"/>
      <c r="H95" s="129"/>
      <c r="I95" s="129"/>
      <c r="J95" s="129"/>
      <c r="K95" s="130"/>
    </row>
    <row r="96" spans="2:12" ht="21" customHeight="1" x14ac:dyDescent="0.25">
      <c r="B96" s="99" t="s">
        <v>1357</v>
      </c>
      <c r="C96" s="100"/>
      <c r="D96" s="100"/>
      <c r="E96" s="100"/>
      <c r="F96" s="102"/>
      <c r="G96" s="102"/>
      <c r="H96" s="102"/>
      <c r="I96" s="102"/>
      <c r="J96" s="102"/>
      <c r="K96" s="103"/>
    </row>
    <row r="97" spans="2:12" ht="26.45" customHeight="1" x14ac:dyDescent="0.25">
      <c r="B97" s="116" t="s">
        <v>1358</v>
      </c>
      <c r="C97" s="131" t="s">
        <v>1359</v>
      </c>
      <c r="D97" s="132"/>
      <c r="E97" s="133" t="s">
        <v>1360</v>
      </c>
      <c r="F97" s="134"/>
      <c r="G97" s="134"/>
      <c r="H97" s="129"/>
      <c r="I97" s="129"/>
      <c r="J97" s="129"/>
      <c r="K97" s="130"/>
    </row>
    <row r="98" spans="2:12" x14ac:dyDescent="0.25">
      <c r="B98" s="122" t="s">
        <v>1361</v>
      </c>
      <c r="C98" s="131" t="str">
        <f>IFERROR(IF(dms_LeapYear,"yes"),"no")</f>
        <v>no</v>
      </c>
      <c r="D98" s="132"/>
      <c r="E98" s="135"/>
      <c r="F98" s="134"/>
      <c r="G98" s="134"/>
      <c r="H98" s="129"/>
      <c r="I98" s="129"/>
      <c r="J98" s="129"/>
      <c r="K98" s="130"/>
    </row>
    <row r="99" spans="2:12" x14ac:dyDescent="0.25">
      <c r="B99" s="136" t="s">
        <v>1362</v>
      </c>
      <c r="C99" s="1460" t="str">
        <f xml:space="preserve">
IFERROR(IF(MONTH(DATE(YEAR(dms_LeapYear),2,29))=2,"is a leap year","not a leap year"),
"dms_LeapYear not present")</f>
        <v>dms_LeapYear not present</v>
      </c>
      <c r="D99" s="112" t="s">
        <v>1363</v>
      </c>
      <c r="E99" s="112" t="s">
        <v>1364</v>
      </c>
      <c r="F99" s="129"/>
      <c r="G99" s="129"/>
      <c r="H99" s="129"/>
      <c r="I99" s="129"/>
      <c r="J99" s="129"/>
      <c r="K99" s="130"/>
    </row>
    <row r="100" spans="2:12" x14ac:dyDescent="0.25">
      <c r="B100" s="136" t="s">
        <v>1365</v>
      </c>
      <c r="C100" s="1461">
        <f>IF(dms_LeapYear_Result="is a leap year",1827,1826)</f>
        <v>1826</v>
      </c>
      <c r="D100" s="112" t="s">
        <v>1366</v>
      </c>
      <c r="E100" s="113" t="s">
        <v>1367</v>
      </c>
      <c r="F100" s="129"/>
      <c r="G100" s="129"/>
      <c r="H100" s="84" t="s">
        <v>1368</v>
      </c>
      <c r="I100" s="129"/>
      <c r="J100" s="129"/>
      <c r="K100" s="130"/>
    </row>
    <row r="101" spans="2:12" x14ac:dyDescent="0.25">
      <c r="B101" s="136" t="s">
        <v>1369</v>
      </c>
      <c r="C101" s="1461">
        <f>IF(dms_LeapYear_Result="is a leap year",366,365)</f>
        <v>365</v>
      </c>
      <c r="D101" s="112" t="s">
        <v>1370</v>
      </c>
      <c r="E101" s="113" t="s">
        <v>1371</v>
      </c>
      <c r="F101" s="129"/>
      <c r="G101" s="129"/>
      <c r="H101" s="84" t="s">
        <v>1372</v>
      </c>
      <c r="I101" s="129"/>
      <c r="J101" s="129"/>
      <c r="K101" s="130"/>
    </row>
    <row r="102" spans="2:12" ht="15" customHeight="1" x14ac:dyDescent="0.25">
      <c r="B102" s="137" t="s">
        <v>1373</v>
      </c>
      <c r="C102" s="1462">
        <f>IF(dms_Model="ARR",dms_060701_ARR_MaxRows,IF(dms_Model="Reset",dms_060701_Reset_MaxRows,"not a relevant RIN type"))</f>
        <v>1826</v>
      </c>
      <c r="D102" s="138" t="s">
        <v>1374</v>
      </c>
      <c r="E102" s="139" t="s">
        <v>1375</v>
      </c>
      <c r="F102" s="140"/>
      <c r="G102" s="140"/>
      <c r="H102" s="140"/>
      <c r="I102" s="140"/>
      <c r="J102" s="140"/>
      <c r="K102" s="141"/>
    </row>
    <row r="103" spans="2:12" ht="24" customHeight="1" x14ac:dyDescent="0.25">
      <c r="B103" s="142" t="s">
        <v>1376</v>
      </c>
      <c r="C103" s="1463" t="str">
        <f>IF(dms_FifthFeeder_flag_NSP="NO","This NSP has only 4 feeder categories","This NSP has 5 feeder categories")</f>
        <v>This NSP has only 4 feeder categories</v>
      </c>
      <c r="D103" s="143"/>
      <c r="E103" s="144"/>
      <c r="F103" s="145"/>
      <c r="G103" s="145"/>
      <c r="H103" s="145"/>
      <c r="I103" s="145"/>
      <c r="J103" s="145"/>
      <c r="K103" s="146"/>
    </row>
    <row r="104" spans="2:12" x14ac:dyDescent="0.25">
      <c r="B104" s="122" t="s">
        <v>1377</v>
      </c>
      <c r="C104" s="1464">
        <f>IF(dms_FifthFeeder_flag_NSP="NO",10,12)</f>
        <v>10</v>
      </c>
      <c r="D104" s="112" t="s">
        <v>1378</v>
      </c>
      <c r="E104" s="121" t="s">
        <v>1379</v>
      </c>
      <c r="F104" s="129"/>
      <c r="G104" s="129"/>
      <c r="H104" s="129"/>
      <c r="I104" s="129"/>
      <c r="J104" s="129"/>
      <c r="K104" s="130"/>
    </row>
    <row r="105" spans="2:12" x14ac:dyDescent="0.25">
      <c r="B105" s="123" t="s">
        <v>1380</v>
      </c>
      <c r="C105" s="1465">
        <f>IF(dms_Model="ARR",15,9)</f>
        <v>9</v>
      </c>
      <c r="D105" s="114" t="s">
        <v>1381</v>
      </c>
      <c r="E105" s="148" t="s">
        <v>1382</v>
      </c>
      <c r="F105" s="149"/>
      <c r="G105" s="149"/>
      <c r="H105" s="149"/>
      <c r="I105" s="149"/>
      <c r="J105" s="149"/>
      <c r="K105" s="150"/>
    </row>
    <row r="106" spans="2:12" x14ac:dyDescent="0.25">
      <c r="B106" s="116" t="s">
        <v>1383</v>
      </c>
      <c r="C106" s="151"/>
      <c r="D106" s="152"/>
      <c r="E106" s="88" t="s">
        <v>1384</v>
      </c>
      <c r="F106" s="129"/>
      <c r="G106" s="129"/>
      <c r="H106" s="129"/>
      <c r="I106" s="129"/>
      <c r="J106" s="129"/>
      <c r="K106" s="130"/>
    </row>
    <row r="107" spans="2:12" x14ac:dyDescent="0.25">
      <c r="B107" s="122" t="s">
        <v>1385</v>
      </c>
      <c r="C107" s="128" t="str">
        <f ca="1">IF(dms_SingleYearModel="yes",(CONCATENATE(IF(LEN(CRY)=4,"1-Jan-","1-Jul-"),LEFT(CRY,4))),(CONCATENATE(IF(LEN(PRCP_y4)=4,"1-Jan-","1-Jul-"),LEFT(PRCP_y4,4))))</f>
        <v>1-Jul-2019</v>
      </c>
      <c r="D107" s="112" t="s">
        <v>742</v>
      </c>
      <c r="E107" s="119" t="s">
        <v>1386</v>
      </c>
      <c r="F107" s="129"/>
      <c r="G107" s="129"/>
      <c r="H107" s="129"/>
      <c r="I107" s="129"/>
      <c r="J107" s="129"/>
      <c r="K107" s="130"/>
    </row>
    <row r="108" spans="2:12" ht="15" customHeight="1" x14ac:dyDescent="0.25">
      <c r="B108" s="153" t="s">
        <v>1387</v>
      </c>
      <c r="C108" s="188">
        <f ca="1">DATEVALUE(dms_060701_StartDateTxt)</f>
        <v>43647</v>
      </c>
      <c r="D108" s="154" t="s">
        <v>1388</v>
      </c>
      <c r="E108" s="155" t="s">
        <v>1389</v>
      </c>
      <c r="F108" s="156"/>
      <c r="G108" s="156"/>
      <c r="H108" s="156"/>
      <c r="I108" s="156"/>
      <c r="J108" s="156"/>
      <c r="K108" s="157"/>
      <c r="L108" s="75"/>
    </row>
    <row r="109" spans="2:12" ht="15" customHeight="1" x14ac:dyDescent="0.25">
      <c r="B109" s="99" t="s">
        <v>1390</v>
      </c>
      <c r="C109" s="100"/>
      <c r="D109" s="100"/>
      <c r="E109" s="100"/>
      <c r="F109" s="102"/>
      <c r="G109" s="102"/>
      <c r="H109" s="102"/>
      <c r="I109" s="102"/>
      <c r="J109" s="102"/>
      <c r="K109" s="103"/>
    </row>
    <row r="110" spans="2:12" ht="39.6" customHeight="1" x14ac:dyDescent="0.25">
      <c r="B110" s="158" t="s">
        <v>1391</v>
      </c>
      <c r="C110" s="131" t="s">
        <v>1392</v>
      </c>
      <c r="D110" s="88"/>
      <c r="E110" s="88" t="s">
        <v>1393</v>
      </c>
      <c r="F110" s="159"/>
      <c r="G110" s="159"/>
      <c r="H110" s="159"/>
      <c r="I110" s="159"/>
      <c r="J110" s="159"/>
      <c r="K110" s="160"/>
      <c r="L110" s="75"/>
    </row>
    <row r="111" spans="2:12" x14ac:dyDescent="0.25">
      <c r="B111" s="116" t="s">
        <v>1394</v>
      </c>
      <c r="C111" s="1466" t="str">
        <f>IFERROR(IF((ROW(dms_060801_StartCell)-1)=1,"yes","yes"),"no")</f>
        <v>no</v>
      </c>
      <c r="D111" s="161" t="s">
        <v>1395</v>
      </c>
      <c r="E111" s="121" t="s">
        <v>1396</v>
      </c>
      <c r="F111" s="129"/>
      <c r="G111" s="129"/>
      <c r="H111" s="129"/>
      <c r="I111" s="129"/>
      <c r="J111" s="129"/>
      <c r="K111" s="130"/>
      <c r="L111" s="75"/>
    </row>
    <row r="112" spans="2:12" x14ac:dyDescent="0.25">
      <c r="B112" s="122" t="s">
        <v>1397</v>
      </c>
      <c r="C112" s="151">
        <v>12</v>
      </c>
      <c r="D112" s="112" t="s">
        <v>1398</v>
      </c>
      <c r="E112" s="121" t="s">
        <v>1399</v>
      </c>
      <c r="F112" s="129"/>
      <c r="G112" s="129"/>
      <c r="H112" s="129"/>
      <c r="I112" s="129"/>
      <c r="J112" s="129"/>
      <c r="K112" s="130"/>
    </row>
    <row r="113" spans="2:11" x14ac:dyDescent="0.25">
      <c r="B113" s="122" t="s">
        <v>1400</v>
      </c>
      <c r="C113" s="1466" t="str">
        <f>IFERROR(IF(dms_060801_StartCell&lt;&gt;"",IF(dms_Model="ARR",(LOOKUP(2,1/(dms_060801_01_Values&lt;&gt;""),(ROW(dms_060801_01_Values)))),"not an ARR"),0),"0")</f>
        <v>0</v>
      </c>
      <c r="D113" s="112" t="s">
        <v>1401</v>
      </c>
      <c r="E113" s="113" t="s">
        <v>1402</v>
      </c>
      <c r="F113" s="129"/>
      <c r="G113" s="129"/>
      <c r="H113" s="129"/>
      <c r="I113" s="129"/>
      <c r="J113" s="129"/>
      <c r="K113" s="130"/>
    </row>
    <row r="114" spans="2:11" ht="15" customHeight="1" x14ac:dyDescent="0.25">
      <c r="B114" s="153" t="s">
        <v>1403</v>
      </c>
      <c r="C114" s="1467" t="str">
        <f>IFERROR(IF(dms_Model="ARR",(MAX(0,dms_0608_LastRow-dms_0608_OffsetRows)),"not an ARR"),"0")</f>
        <v>not an ARR</v>
      </c>
      <c r="D114" s="154" t="s">
        <v>1404</v>
      </c>
      <c r="E114" s="162" t="s">
        <v>1405</v>
      </c>
      <c r="F114" s="163"/>
      <c r="G114" s="156"/>
      <c r="H114" s="156"/>
      <c r="I114" s="156"/>
      <c r="J114" s="156"/>
      <c r="K114" s="157"/>
    </row>
    <row r="115" spans="2:11" ht="15" customHeight="1" x14ac:dyDescent="0.25">
      <c r="B115" s="99" t="s">
        <v>1406</v>
      </c>
      <c r="C115" s="100"/>
      <c r="D115" s="100"/>
      <c r="E115" s="100"/>
      <c r="F115" s="102"/>
      <c r="G115" s="102"/>
      <c r="H115" s="102"/>
      <c r="I115" s="102"/>
      <c r="J115" s="102"/>
      <c r="K115" s="103"/>
    </row>
    <row r="116" spans="2:11" x14ac:dyDescent="0.25">
      <c r="B116" s="116" t="s">
        <v>1407</v>
      </c>
      <c r="C116" s="164"/>
      <c r="D116" s="112"/>
      <c r="E116" s="121"/>
      <c r="F116" s="165"/>
      <c r="G116" s="129"/>
      <c r="H116" s="129"/>
      <c r="I116" s="129"/>
      <c r="J116" s="129"/>
      <c r="K116" s="130"/>
    </row>
    <row r="117" spans="2:11" x14ac:dyDescent="0.25">
      <c r="B117" s="122" t="s">
        <v>1408</v>
      </c>
      <c r="C117" s="128" t="str">
        <f ca="1">LEFT(PRCP_y3,4)</f>
        <v>2018</v>
      </c>
      <c r="D117" s="112" t="s">
        <v>1409</v>
      </c>
      <c r="E117" s="166" t="s">
        <v>1410</v>
      </c>
      <c r="F117" s="129"/>
      <c r="G117" s="129"/>
      <c r="H117" s="129"/>
      <c r="I117" s="129"/>
      <c r="J117" s="129"/>
      <c r="K117" s="130"/>
    </row>
    <row r="118" spans="2:11" ht="15" customHeight="1" x14ac:dyDescent="0.25">
      <c r="B118" s="1054"/>
      <c r="C118" s="1055"/>
      <c r="D118" s="1056"/>
      <c r="E118" s="1057"/>
      <c r="F118" s="1058"/>
      <c r="G118" s="1058"/>
      <c r="H118" s="1058"/>
      <c r="I118" s="1058"/>
      <c r="J118" s="1058"/>
      <c r="K118" s="1059"/>
    </row>
    <row r="119" spans="2:11" ht="15" customHeight="1" x14ac:dyDescent="0.25">
      <c r="B119" s="99" t="s">
        <v>1411</v>
      </c>
      <c r="C119" s="100"/>
      <c r="D119" s="100"/>
      <c r="E119" s="100"/>
      <c r="F119" s="102"/>
      <c r="G119" s="102"/>
      <c r="H119" s="102"/>
      <c r="I119" s="102"/>
      <c r="J119" s="102"/>
      <c r="K119" s="103"/>
    </row>
    <row r="120" spans="2:11" ht="14.25" customHeight="1" x14ac:dyDescent="0.25">
      <c r="B120" s="168" t="s">
        <v>1412</v>
      </c>
      <c r="C120" s="169">
        <f>INDEX(dms_DeterminationRef_List,MATCH(dms_TradingName,dms_TradingName_List))</f>
        <v>0</v>
      </c>
      <c r="D120" s="170" t="s">
        <v>1413</v>
      </c>
      <c r="E120" s="171"/>
      <c r="F120" s="172"/>
      <c r="G120" s="172"/>
      <c r="H120" s="172"/>
      <c r="I120" s="172"/>
      <c r="J120" s="172"/>
      <c r="K120" s="173"/>
    </row>
    <row r="121" spans="2:11" ht="14.25" customHeight="1" x14ac:dyDescent="0.25">
      <c r="B121" s="174" t="s">
        <v>1414</v>
      </c>
      <c r="C121" s="1468" t="str">
        <f>INDEX(dms_Public_Lighting_List,MATCH(dms_TradingName,dms_TradingName_List))</f>
        <v>NO</v>
      </c>
      <c r="D121" s="175" t="s">
        <v>1415</v>
      </c>
      <c r="E121" s="176" t="s">
        <v>1416</v>
      </c>
      <c r="F121" s="177"/>
      <c r="G121" s="177"/>
      <c r="H121" s="177"/>
      <c r="I121" s="177"/>
      <c r="J121" s="177"/>
      <c r="K121" s="178"/>
    </row>
    <row r="122" spans="2:11" ht="15" customHeight="1" x14ac:dyDescent="0.25">
      <c r="B122" s="109" t="s">
        <v>1417</v>
      </c>
      <c r="C122" s="110" t="str">
        <f>INDEX(dms_CBD_flag,MATCH(dms_TradingName,dms_TradingName_List))</f>
        <v>NO</v>
      </c>
      <c r="D122" s="104" t="s">
        <v>1418</v>
      </c>
      <c r="E122" s="104"/>
      <c r="F122" s="179"/>
      <c r="G122" s="179"/>
      <c r="H122" s="179"/>
      <c r="I122" s="179"/>
      <c r="J122" s="179"/>
      <c r="K122" s="180"/>
    </row>
    <row r="123" spans="2:11" ht="15" customHeight="1" x14ac:dyDescent="0.25">
      <c r="B123" s="111" t="s">
        <v>1419</v>
      </c>
      <c r="C123" s="81" t="str">
        <f>INDEX(dms_Urban_flag,MATCH(dms_TradingName,dms_TradingName_List))</f>
        <v>NO</v>
      </c>
      <c r="D123" s="82" t="s">
        <v>1420</v>
      </c>
      <c r="E123" s="82"/>
      <c r="F123" s="87"/>
      <c r="G123" s="87"/>
      <c r="H123" s="87"/>
      <c r="I123" s="87"/>
      <c r="J123" s="87"/>
      <c r="K123" s="181"/>
    </row>
    <row r="124" spans="2:11" ht="15" customHeight="1" x14ac:dyDescent="0.25">
      <c r="B124" s="111" t="s">
        <v>1421</v>
      </c>
      <c r="C124" s="81" t="str">
        <f>INDEX(dms_ShortRural_flag,MATCH(dms_TradingName,dms_TradingName_List))</f>
        <v>NO</v>
      </c>
      <c r="D124" s="82" t="s">
        <v>1422</v>
      </c>
      <c r="E124" s="82"/>
      <c r="F124" s="87"/>
      <c r="G124" s="87"/>
      <c r="H124" s="87"/>
      <c r="I124" s="87"/>
      <c r="J124" s="87"/>
      <c r="K124" s="181"/>
    </row>
    <row r="125" spans="2:11" ht="15" customHeight="1" x14ac:dyDescent="0.25">
      <c r="B125" s="182" t="s">
        <v>1423</v>
      </c>
      <c r="C125" s="183" t="str">
        <f>INDEX(dms_LongRural_flag,MATCH(dms_TradingName,dms_TradingName_List))</f>
        <v>NO</v>
      </c>
      <c r="D125" s="184" t="s">
        <v>1424</v>
      </c>
      <c r="E125" s="184"/>
      <c r="F125" s="185"/>
      <c r="G125" s="185"/>
      <c r="H125" s="185"/>
      <c r="I125" s="185"/>
      <c r="J125" s="185"/>
      <c r="K125" s="186"/>
    </row>
    <row r="126" spans="2:11" ht="15" customHeight="1" x14ac:dyDescent="0.25">
      <c r="B126" s="187" t="s">
        <v>1425</v>
      </c>
      <c r="C126" s="188" t="str">
        <f>INDEX(dms_FeederType_5_flag,MATCH(dms_TradingName,dms_TradingName_List))</f>
        <v>NO</v>
      </c>
      <c r="D126" s="154" t="s">
        <v>1426</v>
      </c>
      <c r="E126" s="162" t="s">
        <v>1427</v>
      </c>
      <c r="F126" s="189"/>
      <c r="G126" s="189"/>
      <c r="H126" s="189"/>
      <c r="I126" s="189"/>
      <c r="J126" s="189"/>
      <c r="K126" s="190"/>
    </row>
    <row r="127" spans="2:11" ht="15" customHeight="1" x14ac:dyDescent="0.25">
      <c r="B127" s="1054"/>
      <c r="C127" s="1055"/>
      <c r="D127" s="1056"/>
      <c r="E127" s="1057"/>
      <c r="F127" s="1058"/>
      <c r="G127" s="1058"/>
      <c r="H127" s="1058"/>
      <c r="I127" s="1058"/>
      <c r="J127" s="1058"/>
      <c r="K127" s="1059"/>
    </row>
    <row r="128" spans="2:11" ht="15" customHeight="1" x14ac:dyDescent="0.25">
      <c r="B128" s="1060" t="s">
        <v>1428</v>
      </c>
      <c r="C128" s="1061"/>
      <c r="D128" s="1061"/>
      <c r="E128" s="1061"/>
      <c r="F128" s="1062"/>
      <c r="G128" s="1062"/>
      <c r="H128" s="1062"/>
      <c r="I128" s="1062"/>
      <c r="J128" s="1062"/>
      <c r="K128" s="1063"/>
    </row>
    <row r="129" spans="2:11" ht="15" customHeight="1" x14ac:dyDescent="0.25">
      <c r="B129" s="191" t="s">
        <v>1429</v>
      </c>
      <c r="C129" s="192" t="s">
        <v>871</v>
      </c>
      <c r="D129" s="193" t="s">
        <v>1430</v>
      </c>
      <c r="E129" s="194" t="s">
        <v>1431</v>
      </c>
      <c r="F129" s="195"/>
      <c r="G129" s="195"/>
      <c r="H129" s="195"/>
      <c r="I129" s="195"/>
      <c r="J129" s="195"/>
      <c r="K129" s="196"/>
    </row>
    <row r="130" spans="2:11" ht="15" customHeight="1" x14ac:dyDescent="0.25"/>
    <row r="131" spans="2:11" ht="15" customHeight="1" x14ac:dyDescent="0.25">
      <c r="B131" s="1060" t="s">
        <v>1432</v>
      </c>
      <c r="C131" s="1061"/>
      <c r="D131" s="1061"/>
      <c r="E131" s="1061"/>
      <c r="F131" s="1062"/>
      <c r="G131" s="1062"/>
      <c r="H131" s="1062"/>
      <c r="I131" s="1062"/>
      <c r="J131" s="1062"/>
      <c r="K131" s="1063"/>
    </row>
    <row r="132" spans="2:11" x14ac:dyDescent="0.25">
      <c r="B132" s="80" t="s">
        <v>1433</v>
      </c>
      <c r="C132" s="89" t="s">
        <v>871</v>
      </c>
      <c r="D132" s="82" t="s">
        <v>1434</v>
      </c>
      <c r="E132" s="167"/>
      <c r="F132" s="91"/>
      <c r="G132" s="91"/>
      <c r="H132" s="91"/>
      <c r="I132" s="91"/>
      <c r="J132" s="91"/>
      <c r="K132" s="92"/>
    </row>
    <row r="134" spans="2:11" ht="15" customHeight="1" x14ac:dyDescent="0.25">
      <c r="B134" s="1054"/>
      <c r="C134" s="1055"/>
      <c r="D134" s="1056"/>
      <c r="E134" s="1057"/>
      <c r="F134" s="1058"/>
      <c r="G134" s="1058"/>
      <c r="H134" s="1058"/>
      <c r="I134" s="1058"/>
      <c r="J134" s="1058"/>
      <c r="K134" s="1059"/>
    </row>
    <row r="135" spans="2:11" ht="15" customHeight="1" x14ac:dyDescent="0.25">
      <c r="B135" s="1064" t="s">
        <v>1435</v>
      </c>
      <c r="C135" s="1065"/>
      <c r="D135" s="1065"/>
      <c r="E135" s="1065"/>
      <c r="F135" s="1066"/>
      <c r="G135" s="1066"/>
      <c r="H135" s="1066"/>
      <c r="I135" s="1066"/>
      <c r="J135" s="1066"/>
      <c r="K135" s="1067"/>
    </row>
    <row r="136" spans="2:11" x14ac:dyDescent="0.25">
      <c r="B136" s="202" t="s">
        <v>1436</v>
      </c>
      <c r="C136" s="89" t="s">
        <v>871</v>
      </c>
      <c r="D136" s="203" t="s">
        <v>1437</v>
      </c>
      <c r="E136" s="204"/>
      <c r="F136" s="205"/>
      <c r="G136" s="205"/>
      <c r="H136" s="205"/>
      <c r="I136" s="205"/>
      <c r="J136" s="205"/>
      <c r="K136" s="206"/>
    </row>
    <row r="137" spans="2:11" x14ac:dyDescent="0.25">
      <c r="B137" s="207"/>
      <c r="C137" s="208" t="s">
        <v>1438</v>
      </c>
      <c r="D137" s="209" t="s">
        <v>1439</v>
      </c>
      <c r="E137" s="210"/>
      <c r="F137" s="211"/>
      <c r="G137" s="211"/>
      <c r="H137" s="211"/>
      <c r="I137" s="211"/>
      <c r="J137" s="211"/>
      <c r="K137" s="212"/>
    </row>
    <row r="138" spans="2:11" x14ac:dyDescent="0.25">
      <c r="B138" s="207"/>
      <c r="C138" s="213">
        <v>2013</v>
      </c>
      <c r="D138" s="214" t="s">
        <v>1440</v>
      </c>
      <c r="E138" s="215"/>
      <c r="F138" s="216"/>
      <c r="G138" s="216"/>
      <c r="H138" s="216"/>
      <c r="I138" s="216"/>
      <c r="J138" s="216"/>
      <c r="K138" s="217"/>
    </row>
    <row r="139" spans="2:11" x14ac:dyDescent="0.25">
      <c r="B139" s="207"/>
      <c r="C139" s="213">
        <v>2014</v>
      </c>
      <c r="D139" s="214" t="s">
        <v>1441</v>
      </c>
      <c r="E139" s="215"/>
      <c r="F139" s="216"/>
      <c r="G139" s="216"/>
      <c r="H139" s="216"/>
      <c r="I139" s="216"/>
      <c r="J139" s="216"/>
      <c r="K139" s="217"/>
    </row>
    <row r="140" spans="2:11" x14ac:dyDescent="0.25">
      <c r="B140" s="207"/>
      <c r="C140" s="213">
        <v>2015</v>
      </c>
      <c r="D140" s="214" t="s">
        <v>1442</v>
      </c>
      <c r="E140" s="215"/>
      <c r="F140" s="216"/>
      <c r="G140" s="216"/>
      <c r="H140" s="216"/>
      <c r="I140" s="216"/>
      <c r="J140" s="216"/>
      <c r="K140" s="217"/>
    </row>
    <row r="141" spans="2:11" x14ac:dyDescent="0.25">
      <c r="B141" s="207"/>
      <c r="C141" s="213">
        <v>2016</v>
      </c>
      <c r="D141" s="214" t="s">
        <v>1443</v>
      </c>
      <c r="E141" s="215"/>
      <c r="F141" s="216"/>
      <c r="G141" s="216"/>
      <c r="H141" s="216"/>
      <c r="I141" s="216"/>
      <c r="J141" s="216"/>
      <c r="K141" s="217"/>
    </row>
    <row r="142" spans="2:11" x14ac:dyDescent="0.25">
      <c r="B142" s="218"/>
      <c r="C142" s="219">
        <v>2017</v>
      </c>
      <c r="D142" s="220" t="s">
        <v>1444</v>
      </c>
      <c r="E142" s="221"/>
      <c r="F142" s="222"/>
      <c r="G142" s="222"/>
      <c r="H142" s="222"/>
      <c r="I142" s="222"/>
      <c r="J142" s="222"/>
      <c r="K142" s="223"/>
    </row>
    <row r="143" spans="2:11" x14ac:dyDescent="0.25">
      <c r="B143" s="218"/>
      <c r="C143" s="219">
        <v>2018</v>
      </c>
      <c r="D143" s="220" t="s">
        <v>1445</v>
      </c>
      <c r="E143" s="221"/>
      <c r="F143" s="222"/>
      <c r="G143" s="222"/>
      <c r="H143" s="222"/>
      <c r="I143" s="222"/>
      <c r="J143" s="222"/>
      <c r="K143" s="223"/>
    </row>
    <row r="144" spans="2:11" x14ac:dyDescent="0.25">
      <c r="B144" s="218"/>
      <c r="C144" s="219">
        <v>2019</v>
      </c>
      <c r="D144" s="220" t="s">
        <v>1446</v>
      </c>
      <c r="E144" s="221"/>
      <c r="F144" s="222"/>
      <c r="G144" s="222"/>
      <c r="H144" s="222"/>
      <c r="I144" s="222"/>
      <c r="J144" s="222"/>
      <c r="K144" s="223"/>
    </row>
    <row r="145" spans="2:11" x14ac:dyDescent="0.25">
      <c r="B145" s="218"/>
      <c r="C145" s="219">
        <v>2020</v>
      </c>
      <c r="D145" s="220" t="s">
        <v>1447</v>
      </c>
      <c r="E145" s="221"/>
      <c r="F145" s="222"/>
      <c r="G145" s="222"/>
      <c r="H145" s="222"/>
      <c r="I145" s="222"/>
      <c r="J145" s="222"/>
      <c r="K145" s="223"/>
    </row>
    <row r="146" spans="2:11" ht="15" customHeight="1" x14ac:dyDescent="0.25">
      <c r="B146" s="224"/>
      <c r="C146" s="225">
        <v>2021</v>
      </c>
      <c r="D146" s="226" t="s">
        <v>1448</v>
      </c>
      <c r="E146" s="227"/>
      <c r="F146" s="228"/>
      <c r="G146" s="228"/>
      <c r="H146" s="228"/>
      <c r="I146" s="228"/>
      <c r="J146" s="228"/>
      <c r="K146" s="229"/>
    </row>
  </sheetData>
  <sheetProtection algorithmName="SHA-256" hashValue="upl09I9+ggAig1t/GhJ2gk4SoM5TfWFuCi+q3eEZKV0=" saltValue="JU3asHppzTrcKBK9t4n1RA==" spinCount="100000" sheet="1" objects="1" scenarios="1"/>
  <mergeCells count="13">
    <mergeCell ref="A13:A17"/>
    <mergeCell ref="E14:I14"/>
    <mergeCell ref="C16:E16"/>
    <mergeCell ref="A20:A27"/>
    <mergeCell ref="A28:A33"/>
    <mergeCell ref="A36:A61"/>
    <mergeCell ref="AL36:BG36"/>
    <mergeCell ref="BQ36:CL36"/>
    <mergeCell ref="AL34:BG34"/>
    <mergeCell ref="B73:B75"/>
    <mergeCell ref="BQ34:CL34"/>
    <mergeCell ref="AL35:BG35"/>
    <mergeCell ref="BQ35:CL35"/>
  </mergeCells>
  <conditionalFormatting sqref="B86">
    <cfRule type="expression" dxfId="13" priority="11">
      <formula>dms_Model="EB"</formula>
    </cfRule>
  </conditionalFormatting>
  <conditionalFormatting sqref="B88">
    <cfRule type="expression" dxfId="12" priority="12">
      <formula>dms_Model="CA"</formula>
    </cfRule>
  </conditionalFormatting>
  <conditionalFormatting sqref="B96">
    <cfRule type="expression" dxfId="11" priority="9">
      <formula>IF(OR(dms_Model="ARR",dms_Model="Reset"),"True")</formula>
    </cfRule>
  </conditionalFormatting>
  <conditionalFormatting sqref="B109">
    <cfRule type="expression" dxfId="10" priority="10">
      <formula>dms_Model="ARR"</formula>
    </cfRule>
  </conditionalFormatting>
  <conditionalFormatting sqref="B115">
    <cfRule type="expression" dxfId="9" priority="4">
      <formula>AND(dms_Model="Reset",dms_Segment="Transmission")</formula>
    </cfRule>
  </conditionalFormatting>
  <conditionalFormatting sqref="C25">
    <cfRule type="expression" dxfId="8" priority="14">
      <formula>SUM(dms_SingleYear_Model)&gt;0</formula>
    </cfRule>
  </conditionalFormatting>
  <conditionalFormatting sqref="C63">
    <cfRule type="cellIs" dxfId="7" priority="5" operator="equal">
      <formula>"YES"</formula>
    </cfRule>
  </conditionalFormatting>
  <conditionalFormatting sqref="C65">
    <cfRule type="expression" dxfId="6" priority="13">
      <formula>dms_MultiYear_Flag=1</formula>
    </cfRule>
  </conditionalFormatting>
  <conditionalFormatting sqref="C77">
    <cfRule type="cellIs" dxfId="5" priority="2" operator="greaterThan">
      <formula>0</formula>
    </cfRule>
  </conditionalFormatting>
  <conditionalFormatting sqref="C81 C84">
    <cfRule type="cellIs" dxfId="4" priority="3" operator="greaterThan">
      <formula>0</formula>
    </cfRule>
  </conditionalFormatting>
  <conditionalFormatting sqref="C92">
    <cfRule type="containsText" dxfId="3" priority="7" operator="containsText" text="&quot;error - NR not present&quot;">
      <formula>NOT(ISERROR(SEARCH("error - NR not present",C92)))</formula>
    </cfRule>
  </conditionalFormatting>
  <conditionalFormatting sqref="C94">
    <cfRule type="cellIs" dxfId="2" priority="8" operator="equal">
      <formula>"error"</formula>
    </cfRule>
  </conditionalFormatting>
  <conditionalFormatting sqref="C111">
    <cfRule type="cellIs" dxfId="1" priority="1" operator="equal">
      <formula>"no"</formula>
    </cfRule>
  </conditionalFormatting>
  <conditionalFormatting sqref="C132 C136">
    <cfRule type="cellIs" dxfId="0" priority="6" operator="equal">
      <formula>"YES"</formula>
    </cfRule>
  </conditionalFormatting>
  <dataValidations count="9">
    <dataValidation type="list" allowBlank="1" showInputMessage="1" showErrorMessage="1" sqref="C13" xr:uid="{00000000-0002-0000-1B00-000000000000}">
      <formula1>dms_SourceList</formula1>
    </dataValidation>
    <dataValidation type="list" allowBlank="1" showInputMessage="1" showErrorMessage="1" sqref="C26" xr:uid="{00000000-0002-0000-1B00-000001000000}">
      <formula1>"Public, Confidential"</formula1>
    </dataValidation>
    <dataValidation type="list" allowBlank="1" showInputMessage="1" showErrorMessage="1" sqref="C24" xr:uid="{00000000-0002-0000-1B00-000002000000}">
      <formula1>"Financial, Calendar, Other"</formula1>
    </dataValidation>
    <dataValidation type="list" allowBlank="1" showInputMessage="1" showErrorMessage="1" sqref="C14" xr:uid="{00000000-0002-0000-1B00-000003000000}">
      <formula1>dms_DataQuality_List</formula1>
    </dataValidation>
    <dataValidation type="list" allowBlank="1" showInputMessage="1" showErrorMessage="1" promptTitle="Model" prompt="Make sure corresponding Source type is correctly selected !!!_x000a__x000a_eg: ABC=Reporting, Reset=Regulatory proposal  etc" sqref="C12" xr:uid="{00000000-0002-0000-1B00-000004000000}">
      <formula1>dms_Model_List</formula1>
    </dataValidation>
    <dataValidation allowBlank="1" showInputMessage="1" showErrorMessage="1" prompt="If this is a MultiRYE historical ABC RIN then this value is set from the value specified in cell C75 - otherwise it is taken from the values calculated in FRCP_y5 (or whichever is last relevant year)." sqref="C85" xr:uid="{00000000-0002-0000-1B00-000005000000}"/>
    <dataValidation type="list" allowBlank="1" showInputMessage="1" showErrorMessage="1" sqref="C15" xr:uid="{00000000-0002-0000-1B00-000006000000}">
      <formula1>dms_Confid_status_List</formula1>
    </dataValidation>
    <dataValidation type="list" allowBlank="1" showInputMessage="1" showErrorMessage="1" sqref="C19 C63" xr:uid="{00000000-0002-0000-1B00-000007000000}">
      <formula1>"Yes, No"</formula1>
    </dataValidation>
    <dataValidation type="list" allowBlank="1" showInputMessage="1" showErrorMessage="1" sqref="C129 C136 C132" xr:uid="{00000000-0002-0000-1B00-000008000000}">
      <formula1>"YES, NO"</formula1>
    </dataValidation>
  </dataValidations>
  <pageMargins left="0.25" right="0.25" top="0.75" bottom="0.75" header="0.3" footer="0.3"/>
  <pageSetup paperSize="9" scale="90" orientation="landscape" r:id="rId1"/>
  <headerFooter>
    <oddFooter>&amp;C_x000D_&amp;1#&amp;"Calibri"&amp;10&amp;K000000 Ringfenced Confidential - Commercially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76093"/>
  </sheetPr>
  <dimension ref="B1:CU76"/>
  <sheetViews>
    <sheetView showGridLines="0" tabSelected="1" topLeftCell="A60" workbookViewId="0">
      <selection activeCell="AL74" sqref="AL74"/>
    </sheetView>
  </sheetViews>
  <sheetFormatPr defaultColWidth="9.140625" defaultRowHeight="15" x14ac:dyDescent="0.25"/>
  <cols>
    <col min="1" max="96" width="2.7109375" customWidth="1"/>
  </cols>
  <sheetData>
    <row r="1" spans="8:94" ht="44.25" customHeight="1" x14ac:dyDescent="0.25">
      <c r="H1" s="1536"/>
      <c r="I1" s="1536"/>
      <c r="J1" s="1536"/>
      <c r="K1" s="1536"/>
      <c r="L1" s="1536"/>
      <c r="M1" s="1536"/>
      <c r="N1" s="1536"/>
      <c r="O1" s="1536"/>
      <c r="P1" s="1536"/>
      <c r="Q1" s="49"/>
      <c r="R1" s="49"/>
      <c r="S1" s="49"/>
      <c r="T1" s="49"/>
      <c r="U1" s="49"/>
      <c r="V1" s="1069" t="str">
        <f>INDEX(dms_Worksheet_List,MATCH(dms_Model,dms_Model_List))</f>
        <v>REGULATORY REPORTING STATEMENT</v>
      </c>
      <c r="W1" s="1069"/>
      <c r="X1" s="1069"/>
      <c r="Y1" s="1069"/>
      <c r="Z1" s="1069"/>
      <c r="AA1" s="1069"/>
      <c r="AB1" s="1069"/>
      <c r="AC1" s="1069"/>
      <c r="AD1" s="1069"/>
      <c r="AE1" s="1069"/>
      <c r="AF1" s="1069"/>
      <c r="AG1" s="1069"/>
      <c r="AH1" s="1069"/>
      <c r="AI1" s="1069"/>
      <c r="AJ1" s="1069"/>
      <c r="AK1" s="1069"/>
      <c r="AL1" s="1069"/>
      <c r="AM1" s="1069"/>
      <c r="AN1" s="1069"/>
      <c r="AO1" s="1069"/>
      <c r="AP1" s="1069"/>
      <c r="AQ1" s="1069"/>
      <c r="AR1" s="1069"/>
      <c r="AS1" s="1069"/>
      <c r="AT1" s="1069"/>
      <c r="AU1" s="1069"/>
      <c r="AV1" s="1069"/>
      <c r="AW1" s="1069"/>
      <c r="AX1" s="1069"/>
      <c r="AY1" s="1069"/>
      <c r="AZ1" s="1069"/>
      <c r="BA1" s="1069"/>
      <c r="BB1" s="1069"/>
      <c r="BC1" s="1069"/>
      <c r="BD1" s="1069"/>
      <c r="BE1" s="1069"/>
      <c r="BF1" s="1069"/>
      <c r="BG1" s="1069"/>
      <c r="BH1" s="106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row>
    <row r="2" spans="8:94" ht="44.25" customHeight="1" x14ac:dyDescent="0.25">
      <c r="H2" s="1536"/>
      <c r="I2" s="1536"/>
      <c r="J2" s="1536"/>
      <c r="K2" s="1536"/>
      <c r="L2" s="1536"/>
      <c r="M2" s="1536"/>
      <c r="N2" s="1536"/>
      <c r="O2" s="1536"/>
      <c r="P2" s="1536"/>
      <c r="Q2" s="49"/>
      <c r="R2" s="49"/>
      <c r="S2" s="49"/>
      <c r="T2" s="49"/>
      <c r="U2" s="49"/>
      <c r="V2" s="1069" t="str">
        <f>dms_TradingNameFull</f>
        <v>Icon Distribution Investments Limited (ABN 83 073 025 224) and Jemena Networks (ACT) Pty Ltd (ABN 24 008 552 663)</v>
      </c>
      <c r="W2" s="1070"/>
      <c r="X2" s="1070"/>
      <c r="Y2" s="1070"/>
      <c r="Z2" s="1070"/>
      <c r="AA2" s="1070"/>
      <c r="AB2" s="1070"/>
      <c r="AC2" s="1070"/>
      <c r="AD2" s="1070"/>
      <c r="AE2" s="1070"/>
      <c r="AF2" s="1070"/>
      <c r="AG2" s="1070"/>
      <c r="AH2" s="1070"/>
      <c r="AI2" s="1070"/>
      <c r="AJ2" s="1070"/>
      <c r="AK2" s="1070"/>
      <c r="AL2" s="1070"/>
      <c r="AM2" s="1070"/>
      <c r="AN2" s="1070"/>
      <c r="AO2" s="1070"/>
      <c r="AP2" s="1070"/>
      <c r="AQ2" s="1070"/>
      <c r="AR2" s="1070"/>
      <c r="AS2" s="1070"/>
      <c r="AT2" s="1070"/>
      <c r="AU2" s="1070"/>
      <c r="AV2" s="1070"/>
      <c r="AW2" s="1070"/>
      <c r="AX2" s="1070"/>
      <c r="AY2" s="1070"/>
      <c r="AZ2" s="1070"/>
      <c r="BA2" s="1070"/>
      <c r="BB2" s="1070"/>
      <c r="BC2" s="1070"/>
      <c r="BD2" s="1070"/>
      <c r="BE2" s="1070"/>
      <c r="BF2" s="1070"/>
      <c r="BG2" s="1070"/>
      <c r="BH2" s="1070"/>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row>
    <row r="3" spans="8:94" ht="44.25" customHeight="1" x14ac:dyDescent="0.25">
      <c r="H3" s="1536"/>
      <c r="I3" s="1536"/>
      <c r="J3" s="1536"/>
      <c r="K3" s="1536"/>
      <c r="L3" s="1536"/>
      <c r="M3" s="1536"/>
      <c r="N3" s="1536"/>
      <c r="O3" s="1536"/>
      <c r="P3" s="1536"/>
      <c r="Q3" s="49"/>
      <c r="R3" s="49"/>
      <c r="S3" s="49"/>
      <c r="T3" s="49"/>
      <c r="U3" s="49"/>
      <c r="V3" s="1071" t="str">
        <f ca="1">dms_Header_Span</f>
        <v>2024-25 to 2030-31</v>
      </c>
      <c r="W3" s="1071"/>
      <c r="X3" s="1071"/>
      <c r="Y3" s="1071"/>
      <c r="Z3" s="1071"/>
      <c r="AA3" s="1071"/>
      <c r="AB3" s="1071"/>
      <c r="AC3" s="1071"/>
      <c r="AD3" s="1071"/>
      <c r="AE3" s="1071"/>
      <c r="AF3" s="1071"/>
      <c r="AG3" s="1071"/>
      <c r="AH3" s="1071"/>
      <c r="AI3" s="1071"/>
      <c r="AJ3" s="1071"/>
      <c r="AK3" s="1071"/>
      <c r="AL3" s="1071"/>
      <c r="AM3" s="1071"/>
      <c r="AN3" s="1071"/>
      <c r="AO3" s="1071"/>
      <c r="AP3" s="1071"/>
      <c r="AQ3" s="1071"/>
      <c r="AR3" s="1071"/>
      <c r="AS3" s="1071"/>
      <c r="AT3" s="1071"/>
      <c r="AU3" s="1071"/>
      <c r="AV3" s="1071"/>
      <c r="AW3" s="1071"/>
      <c r="AX3" s="1071"/>
      <c r="AY3" s="1071"/>
      <c r="AZ3" s="1071"/>
      <c r="BA3" s="1071"/>
      <c r="BB3" s="1071"/>
      <c r="BC3" s="1071"/>
      <c r="BD3" s="1071"/>
      <c r="BE3" s="1071"/>
      <c r="BF3" s="1071"/>
      <c r="BG3" s="1071"/>
      <c r="BH3" s="1071"/>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row>
    <row r="4" spans="8:94" ht="31.5" customHeight="1" x14ac:dyDescent="0.25">
      <c r="H4" s="383"/>
      <c r="I4" s="383"/>
      <c r="J4" s="383"/>
      <c r="K4" s="383"/>
      <c r="L4" s="383"/>
      <c r="M4" s="383"/>
      <c r="N4" s="383"/>
      <c r="O4" s="383"/>
      <c r="P4" s="383"/>
      <c r="Q4" s="383"/>
      <c r="R4" s="383"/>
      <c r="S4" s="383"/>
      <c r="T4" s="383"/>
      <c r="U4" s="383"/>
      <c r="V4" s="1537" t="s">
        <v>50</v>
      </c>
      <c r="W4" s="1537"/>
      <c r="X4" s="1537"/>
      <c r="Y4" s="1537"/>
      <c r="Z4" s="1537"/>
      <c r="AA4" s="1537"/>
      <c r="AB4" s="1537"/>
      <c r="AC4" s="1537"/>
      <c r="AD4" s="1537"/>
      <c r="AE4" s="1537"/>
      <c r="AF4" s="1537"/>
      <c r="AG4" s="1537"/>
      <c r="AH4" s="1537"/>
      <c r="AI4" s="1537"/>
      <c r="AJ4" s="1537"/>
      <c r="AK4" s="1537"/>
      <c r="AL4" s="1537"/>
      <c r="AM4" s="1537"/>
      <c r="AN4" s="1537"/>
      <c r="AO4" s="1537"/>
      <c r="AP4" s="1537"/>
      <c r="AQ4" s="1537"/>
      <c r="AR4" s="1537"/>
      <c r="AS4" s="1537"/>
      <c r="AT4" s="1537"/>
      <c r="AU4" s="1537"/>
      <c r="AV4" s="1537"/>
      <c r="AW4" s="1537"/>
      <c r="AX4" s="1537"/>
      <c r="AY4" s="1537"/>
      <c r="AZ4" s="1537"/>
      <c r="BA4" s="1537"/>
      <c r="BB4" s="1537"/>
      <c r="BC4" s="1537"/>
      <c r="BD4" s="1537"/>
      <c r="BE4" s="1537"/>
      <c r="BF4" s="1537"/>
      <c r="BG4" s="383"/>
      <c r="BH4" s="383"/>
      <c r="BI4" s="383"/>
      <c r="BJ4" s="383"/>
      <c r="BK4" s="383"/>
      <c r="BL4" s="383"/>
      <c r="BM4" s="383"/>
      <c r="BN4" s="383"/>
      <c r="BO4" s="383"/>
      <c r="BP4" s="383"/>
      <c r="BQ4" s="383"/>
      <c r="BR4" s="383"/>
      <c r="BS4" s="383"/>
      <c r="BT4" s="383"/>
      <c r="BU4" s="383"/>
      <c r="BV4" s="383"/>
      <c r="BW4" s="383"/>
      <c r="BX4" s="383"/>
      <c r="BY4" s="383"/>
      <c r="BZ4" s="383"/>
      <c r="CA4" s="383"/>
      <c r="CB4" s="383"/>
      <c r="CC4" s="383"/>
      <c r="CD4" s="383"/>
      <c r="CE4" s="383"/>
      <c r="CF4" s="383"/>
      <c r="CG4" s="383"/>
      <c r="CH4" s="383"/>
      <c r="CI4" s="383"/>
      <c r="CJ4" s="383"/>
      <c r="CK4" s="383"/>
      <c r="CL4" s="383"/>
      <c r="CM4" s="383"/>
      <c r="CN4" s="383"/>
      <c r="CO4" s="383"/>
      <c r="CP4" s="383"/>
    </row>
    <row r="6" spans="8:94" ht="21" customHeight="1" x14ac:dyDescent="0.25">
      <c r="H6" s="1072"/>
      <c r="I6" s="1072"/>
      <c r="J6" s="1072"/>
      <c r="K6" s="1072"/>
      <c r="L6" s="1072"/>
      <c r="M6" s="1072"/>
      <c r="N6" s="1072"/>
      <c r="O6" s="1072"/>
      <c r="P6" s="1072"/>
      <c r="Q6" s="1073"/>
      <c r="R6" s="1073"/>
      <c r="S6" s="1073"/>
      <c r="T6" s="1073"/>
      <c r="U6" s="1073"/>
      <c r="V6" s="1074" t="s">
        <v>0</v>
      </c>
      <c r="W6" s="1073"/>
      <c r="X6" s="1073"/>
      <c r="Y6" s="1073"/>
      <c r="Z6" s="1073"/>
      <c r="AA6" s="1073"/>
      <c r="AB6" s="1073"/>
      <c r="AC6" s="1073"/>
      <c r="AD6" s="1073"/>
      <c r="AE6" s="1073"/>
      <c r="AF6" s="1073"/>
      <c r="AG6" s="1073"/>
      <c r="AH6" s="1073"/>
      <c r="AI6" s="1073"/>
      <c r="AJ6" s="1073"/>
      <c r="AK6" s="1073"/>
      <c r="AL6" s="1073"/>
      <c r="AM6" s="1073"/>
      <c r="AN6" s="1073"/>
      <c r="AO6" s="1073"/>
      <c r="AP6" s="1073"/>
      <c r="AQ6" s="1073"/>
      <c r="AR6" s="1073"/>
      <c r="AS6" s="1073"/>
      <c r="AT6" s="1073"/>
      <c r="AU6" s="1073"/>
      <c r="AV6" s="1073"/>
      <c r="AW6" s="1073"/>
      <c r="AX6" s="1073"/>
      <c r="AY6" s="1073"/>
      <c r="AZ6" s="1073"/>
      <c r="BA6" s="1073"/>
      <c r="BB6" s="1073"/>
      <c r="BC6" s="1073"/>
      <c r="BD6" s="1073"/>
      <c r="BE6" s="1073"/>
      <c r="BF6" s="1073"/>
      <c r="BG6" s="1073"/>
      <c r="BH6" s="1073"/>
      <c r="BI6" s="1073"/>
      <c r="BJ6" s="1073"/>
      <c r="BK6" s="1073"/>
      <c r="BL6" s="1073"/>
      <c r="BM6" s="1073"/>
      <c r="BN6" s="1073"/>
      <c r="BO6" s="1073"/>
      <c r="BP6" s="1073"/>
      <c r="BQ6" s="1073"/>
      <c r="BR6" s="1073"/>
      <c r="BS6" s="1073"/>
      <c r="BT6" s="1073"/>
      <c r="BU6" s="1073"/>
      <c r="BV6" s="1073"/>
      <c r="BW6" s="1073"/>
      <c r="BX6" s="1073"/>
      <c r="BY6" s="1073"/>
      <c r="BZ6" s="1073"/>
      <c r="CA6" s="1073"/>
      <c r="CB6" s="1073"/>
      <c r="CC6" s="1073"/>
      <c r="CD6" s="1073"/>
      <c r="CE6" s="1073"/>
      <c r="CF6" s="1073"/>
      <c r="CG6" s="1073"/>
      <c r="CH6" s="1073"/>
      <c r="CI6" s="1073"/>
      <c r="CJ6" s="1073"/>
      <c r="CK6" s="1073"/>
      <c r="CL6" s="1073"/>
      <c r="CM6" s="1073"/>
      <c r="CN6" s="1073"/>
      <c r="CO6" s="1073"/>
      <c r="CP6" s="1073"/>
    </row>
    <row r="7" spans="8:94" ht="50.25" customHeight="1" x14ac:dyDescent="0.25">
      <c r="H7" s="1072"/>
      <c r="I7" s="1072"/>
      <c r="J7" s="1072"/>
      <c r="K7" s="1072"/>
      <c r="L7" s="1072"/>
      <c r="M7" s="1072"/>
      <c r="N7" s="1072"/>
      <c r="O7" s="1072"/>
      <c r="P7" s="1072"/>
      <c r="Q7" s="1073"/>
      <c r="R7" s="1073"/>
      <c r="S7" s="1073"/>
      <c r="T7" s="1073"/>
      <c r="U7" s="1073"/>
      <c r="V7" s="1538" t="s">
        <v>51</v>
      </c>
      <c r="W7" s="1538"/>
      <c r="X7" s="1538"/>
      <c r="Y7" s="1538"/>
      <c r="Z7" s="1538"/>
      <c r="AA7" s="1538"/>
      <c r="AB7" s="1538"/>
      <c r="AC7" s="1538"/>
      <c r="AD7" s="1538"/>
      <c r="AE7" s="1538"/>
      <c r="AF7" s="1538"/>
      <c r="AG7" s="1538"/>
      <c r="AH7" s="1538"/>
      <c r="AI7" s="1538"/>
      <c r="AJ7" s="1538"/>
      <c r="AK7" s="1538"/>
      <c r="AL7" s="1538"/>
      <c r="AM7" s="1538"/>
      <c r="AN7" s="1538"/>
      <c r="AO7" s="1538"/>
      <c r="AP7" s="1538"/>
      <c r="AQ7" s="1538"/>
      <c r="AR7" s="1538"/>
      <c r="AS7" s="1538"/>
      <c r="AT7" s="1538"/>
      <c r="AU7" s="1538"/>
      <c r="AV7" s="1538"/>
      <c r="AW7" s="1538"/>
      <c r="AX7" s="1538"/>
      <c r="AY7" s="1538"/>
      <c r="AZ7" s="1538"/>
      <c r="BA7" s="1538"/>
      <c r="BB7" s="1538"/>
      <c r="BC7" s="1538"/>
      <c r="BD7" s="1538"/>
      <c r="BE7" s="1538"/>
      <c r="BF7" s="1538"/>
      <c r="BG7" s="1538"/>
      <c r="BH7" s="1538"/>
      <c r="BI7" s="1538"/>
      <c r="BJ7" s="1538"/>
      <c r="BK7" s="1538"/>
      <c r="BL7" s="1538"/>
      <c r="BM7" s="1538"/>
      <c r="BN7" s="1538"/>
      <c r="BO7" s="1538"/>
      <c r="BP7" s="1538"/>
      <c r="BQ7" s="1538"/>
      <c r="BR7" s="1538"/>
      <c r="BS7" s="1538"/>
      <c r="BT7" s="1538"/>
      <c r="BU7" s="1538"/>
      <c r="BV7" s="1538"/>
      <c r="BW7" s="1538"/>
      <c r="BX7" s="1538"/>
      <c r="BY7" s="1073"/>
      <c r="BZ7" s="1073"/>
      <c r="CA7" s="1073"/>
      <c r="CB7" s="1073"/>
      <c r="CC7" s="1073"/>
      <c r="CD7" s="1073"/>
      <c r="CE7" s="1073"/>
      <c r="CF7" s="1073"/>
      <c r="CG7" s="1073"/>
      <c r="CH7" s="1073"/>
      <c r="CI7" s="1073"/>
      <c r="CJ7" s="1073"/>
      <c r="CK7" s="1073"/>
      <c r="CL7" s="1073"/>
      <c r="CM7" s="1073"/>
      <c r="CN7" s="1073"/>
      <c r="CO7" s="1073"/>
      <c r="CP7" s="1073"/>
    </row>
    <row r="8" spans="8:94" ht="21" customHeight="1" x14ac:dyDescent="0.25">
      <c r="H8" s="1072"/>
      <c r="I8" s="1072"/>
      <c r="J8" s="1072"/>
      <c r="K8" s="1072"/>
      <c r="L8" s="1072"/>
      <c r="M8" s="1072"/>
      <c r="N8" s="1072"/>
      <c r="O8" s="1072"/>
      <c r="P8" s="1072"/>
      <c r="Q8" s="1072"/>
      <c r="R8" s="1072"/>
      <c r="S8" s="1072"/>
      <c r="T8" s="1072"/>
      <c r="U8" s="1072"/>
      <c r="V8" s="1075"/>
      <c r="W8" s="1075"/>
      <c r="X8" s="1075"/>
      <c r="Y8" s="1075"/>
      <c r="Z8" s="1075"/>
      <c r="AA8" s="1075"/>
      <c r="AB8" s="1075"/>
      <c r="AC8" s="1075"/>
      <c r="AD8" s="1075"/>
      <c r="AE8" s="1075"/>
      <c r="AF8" s="1075"/>
      <c r="AG8" s="1075"/>
      <c r="AH8" s="1075"/>
      <c r="AI8" s="1075"/>
      <c r="AJ8" s="1075"/>
      <c r="AK8" s="1075"/>
      <c r="AL8" s="1075"/>
      <c r="AM8" s="1075"/>
      <c r="AN8" s="1075"/>
      <c r="AO8" s="1075"/>
      <c r="AP8" s="1075"/>
      <c r="AQ8" s="1075"/>
      <c r="AR8" s="1075"/>
      <c r="AS8" s="1075"/>
      <c r="AT8" s="1075"/>
      <c r="AU8" s="1075"/>
      <c r="AV8" s="1075"/>
      <c r="AW8" s="1075"/>
      <c r="AX8" s="1075"/>
      <c r="AY8" s="1075"/>
      <c r="AZ8" s="1075"/>
      <c r="BA8" s="1075"/>
      <c r="BB8" s="1075"/>
      <c r="BC8" s="1075"/>
      <c r="BD8" s="1075"/>
      <c r="BE8" s="1075"/>
      <c r="BF8" s="1075"/>
      <c r="BG8" s="1075"/>
      <c r="BH8" s="1075"/>
      <c r="BI8" s="1075"/>
      <c r="BJ8" s="1075"/>
      <c r="BK8" s="1075"/>
      <c r="BL8" s="1075"/>
      <c r="BM8" s="1075"/>
      <c r="BN8" s="1075"/>
      <c r="BO8" s="1075"/>
      <c r="BP8" s="1075"/>
      <c r="BQ8" s="1075"/>
      <c r="BR8" s="1075"/>
      <c r="BS8" s="1075"/>
      <c r="BT8" s="1075"/>
      <c r="BU8" s="1075"/>
      <c r="BV8" s="1075"/>
      <c r="BW8" s="1075"/>
      <c r="BX8" s="1075"/>
      <c r="BY8" s="1072"/>
      <c r="BZ8" s="1072"/>
      <c r="CA8" s="1072"/>
      <c r="CB8" s="1072"/>
      <c r="CC8" s="1072"/>
      <c r="CD8" s="1072"/>
      <c r="CE8" s="1072"/>
      <c r="CF8" s="1072"/>
      <c r="CG8" s="1072"/>
      <c r="CH8" s="1072"/>
      <c r="CI8" s="1072"/>
      <c r="CJ8" s="1072"/>
      <c r="CK8" s="1072"/>
      <c r="CL8" s="1072"/>
      <c r="CM8" s="1072"/>
      <c r="CN8" s="1072"/>
      <c r="CO8" s="1072"/>
      <c r="CP8" s="1072"/>
    </row>
    <row r="9" spans="8:94" s="28" customFormat="1" ht="45" customHeight="1" x14ac:dyDescent="0.25">
      <c r="H9" s="1076"/>
      <c r="I9" s="1076"/>
      <c r="J9" s="1076"/>
      <c r="K9" s="1076"/>
      <c r="L9" s="1076"/>
      <c r="M9" s="1076"/>
      <c r="N9" s="1076"/>
      <c r="O9" s="1076"/>
      <c r="P9" s="1076"/>
      <c r="Q9" s="1539" t="s">
        <v>52</v>
      </c>
      <c r="R9" s="1539"/>
      <c r="S9" s="1539"/>
      <c r="T9" s="1539"/>
      <c r="U9" s="1539"/>
      <c r="V9" s="1539"/>
      <c r="W9" s="1539"/>
      <c r="X9" s="1539"/>
      <c r="Y9" s="1539"/>
      <c r="Z9" s="1539"/>
      <c r="AA9" s="1539"/>
      <c r="AB9" s="1539"/>
      <c r="AC9" s="1539"/>
      <c r="AD9" s="1539"/>
      <c r="AE9" s="1539"/>
      <c r="AF9" s="1539"/>
      <c r="AG9" s="1539"/>
      <c r="AH9" s="1539"/>
      <c r="AI9" s="1539"/>
      <c r="AJ9" s="1539"/>
      <c r="AK9" s="1539"/>
      <c r="AL9" s="1539"/>
      <c r="AM9" s="1539"/>
      <c r="AN9" s="1539"/>
      <c r="AO9" s="1539"/>
      <c r="AP9" s="1539"/>
      <c r="AQ9" s="1539"/>
      <c r="AR9" s="1539"/>
      <c r="AS9" s="1539"/>
      <c r="AT9" s="1539"/>
      <c r="AU9" s="1539"/>
      <c r="AV9" s="1539"/>
      <c r="AW9" s="1539"/>
      <c r="AX9" s="1539"/>
      <c r="AY9" s="1539"/>
      <c r="AZ9" s="1539"/>
      <c r="BA9" s="1539"/>
      <c r="BB9" s="1539"/>
      <c r="BC9" s="1539"/>
      <c r="BD9" s="1539"/>
      <c r="BE9" s="1539"/>
      <c r="BF9" s="1539"/>
      <c r="BG9" s="1539"/>
      <c r="BH9" s="1539"/>
      <c r="BI9" s="1539"/>
      <c r="BJ9" s="1539"/>
      <c r="BK9" s="1539"/>
      <c r="BL9" s="1539"/>
      <c r="BM9" s="1539"/>
      <c r="BN9" s="1539"/>
      <c r="BO9" s="1539"/>
      <c r="BP9" s="1539"/>
      <c r="BQ9" s="1539"/>
      <c r="BR9" s="1539"/>
      <c r="BS9" s="1539"/>
      <c r="BT9" s="1539"/>
      <c r="BU9" s="1539"/>
      <c r="BV9" s="1539"/>
      <c r="BW9" s="1539"/>
      <c r="BX9" s="1539"/>
      <c r="BY9" s="1539"/>
      <c r="BZ9" s="1539"/>
      <c r="CA9" s="1539"/>
      <c r="CB9" s="1539"/>
      <c r="CC9" s="1539"/>
      <c r="CD9" s="1539"/>
      <c r="CE9" s="1539"/>
      <c r="CF9" s="1539"/>
      <c r="CG9" s="1539"/>
      <c r="CH9" s="1539"/>
      <c r="CI9" s="1539"/>
      <c r="CJ9" s="1539"/>
      <c r="CK9" s="1539"/>
      <c r="CL9" s="1539"/>
      <c r="CM9" s="1539"/>
      <c r="CN9" s="1539"/>
      <c r="CO9" s="1539"/>
      <c r="CP9" s="1539"/>
    </row>
    <row r="10" spans="8:94" ht="12.75" customHeight="1" x14ac:dyDescent="0.25"/>
    <row r="11" spans="8:94" ht="17.25" customHeight="1" x14ac:dyDescent="0.4">
      <c r="H11" s="1077"/>
      <c r="I11" s="1077"/>
      <c r="J11" s="1077"/>
      <c r="K11" s="1077"/>
      <c r="L11" s="1077"/>
      <c r="M11" s="1077"/>
      <c r="N11" s="1077"/>
      <c r="O11" s="1077"/>
      <c r="P11" s="1077"/>
      <c r="Q11" s="1078"/>
      <c r="R11" s="1078"/>
      <c r="S11" s="1078"/>
      <c r="T11" s="1078"/>
      <c r="U11" s="1078"/>
      <c r="V11" s="1078"/>
      <c r="W11" s="1078"/>
      <c r="X11" s="1078"/>
      <c r="Y11" s="1078"/>
      <c r="Z11" s="1078"/>
      <c r="AA11" s="1078"/>
      <c r="AB11" s="1078"/>
      <c r="AC11" s="1078"/>
      <c r="AD11" s="1078"/>
      <c r="AE11" s="1078"/>
      <c r="AF11" s="1078"/>
      <c r="AG11" s="1078"/>
      <c r="AH11" s="1078"/>
      <c r="AI11" s="1078"/>
      <c r="AJ11" s="1078"/>
      <c r="AK11" s="1078"/>
      <c r="AL11" s="1078"/>
      <c r="AM11" s="1078"/>
      <c r="AN11" s="1078"/>
      <c r="AO11" s="1078"/>
      <c r="AP11" s="1078"/>
      <c r="AQ11" s="1078"/>
      <c r="AR11" s="1078"/>
      <c r="AS11" s="1078"/>
      <c r="AT11" s="1078"/>
      <c r="AU11" s="1078"/>
      <c r="AV11" s="1078"/>
      <c r="AW11" s="1078"/>
      <c r="AX11" s="1078"/>
      <c r="AY11" s="1078"/>
      <c r="AZ11" s="1078"/>
      <c r="BA11" s="1078"/>
      <c r="BB11" s="1078"/>
      <c r="BC11" s="1078"/>
      <c r="BD11" s="1078"/>
      <c r="BE11" s="1078"/>
      <c r="BF11" s="1078"/>
      <c r="BG11" s="1078"/>
      <c r="BH11" s="1078"/>
      <c r="BI11" s="1078"/>
      <c r="BJ11" s="1078"/>
      <c r="BK11" s="1078"/>
      <c r="BL11" s="1078"/>
      <c r="BM11" s="1078"/>
      <c r="BN11" s="1078"/>
      <c r="BO11" s="1078"/>
      <c r="BP11" s="1078"/>
      <c r="BQ11" s="1078"/>
      <c r="BR11" s="1078"/>
      <c r="BS11" s="1078"/>
      <c r="BT11" s="1078"/>
      <c r="BU11" s="1078"/>
      <c r="BV11" s="1078"/>
      <c r="BW11" s="1078"/>
      <c r="BX11" s="1078"/>
      <c r="BY11" s="1078"/>
      <c r="BZ11" s="1078"/>
      <c r="CA11" s="1078"/>
      <c r="CB11" s="1078"/>
      <c r="CC11" s="1078"/>
      <c r="CD11" s="1078"/>
      <c r="CE11" s="1078"/>
      <c r="CF11" s="1078"/>
      <c r="CG11" s="1078"/>
      <c r="CH11" s="1078"/>
      <c r="CI11" s="1078"/>
      <c r="CJ11" s="1078"/>
      <c r="CK11" s="1078"/>
      <c r="CL11" s="1078"/>
      <c r="CM11" s="1078"/>
      <c r="CN11" s="1078"/>
      <c r="CO11" s="1078"/>
      <c r="CP11" s="1078"/>
    </row>
    <row r="12" spans="8:94" ht="30" customHeight="1" x14ac:dyDescent="0.4">
      <c r="H12" s="1077"/>
      <c r="I12" s="1077"/>
      <c r="J12" s="1077"/>
      <c r="K12" s="1077"/>
      <c r="L12" s="1077"/>
      <c r="M12" s="1077"/>
      <c r="N12" s="1077"/>
      <c r="O12" s="1077"/>
      <c r="P12" s="1077"/>
      <c r="Q12" s="1079"/>
      <c r="R12" s="1079"/>
      <c r="S12" s="1079"/>
      <c r="T12" s="1079"/>
      <c r="U12" s="1079"/>
      <c r="V12" s="1080" t="s">
        <v>53</v>
      </c>
      <c r="W12" s="1080"/>
      <c r="X12" s="1080"/>
      <c r="Y12" s="1080"/>
      <c r="Z12" s="1080"/>
      <c r="AA12" s="1080"/>
      <c r="AB12" s="1080"/>
      <c r="AC12" s="1080"/>
      <c r="AD12" s="1080"/>
      <c r="AE12" s="1080"/>
      <c r="AF12" s="1080"/>
      <c r="AG12" s="1080"/>
      <c r="AH12" s="1080"/>
      <c r="AI12" s="1080"/>
      <c r="AJ12" s="1080"/>
      <c r="AK12" s="1080"/>
      <c r="AL12" s="1080"/>
      <c r="AM12" s="1080"/>
      <c r="AN12" s="1080"/>
      <c r="AO12" s="1080"/>
      <c r="AP12" s="1080"/>
      <c r="AQ12" s="1080"/>
      <c r="AR12" s="1080"/>
      <c r="AS12" s="1080"/>
      <c r="AT12" s="1080"/>
      <c r="AU12" s="1080"/>
      <c r="AV12" s="1080"/>
      <c r="AW12" s="1080"/>
      <c r="AX12" s="1080"/>
      <c r="AY12" s="1080"/>
      <c r="AZ12" s="1080"/>
      <c r="BA12" s="1080"/>
      <c r="BB12" s="1080"/>
      <c r="BC12" s="1080"/>
      <c r="BD12" s="1080"/>
      <c r="BE12" s="1080"/>
      <c r="BF12" s="1080"/>
      <c r="BG12" s="1080"/>
      <c r="BH12" s="1080"/>
      <c r="BI12" s="1080"/>
      <c r="BJ12" s="1080"/>
      <c r="BK12" s="1080"/>
      <c r="BL12" s="1080"/>
      <c r="BM12" s="1080"/>
      <c r="BN12" s="1080"/>
      <c r="BO12" s="1080"/>
      <c r="BP12" s="1080"/>
      <c r="BQ12" s="1080"/>
      <c r="BR12" s="1080"/>
      <c r="BS12" s="1080"/>
      <c r="BT12" s="1080"/>
      <c r="BU12" s="1080"/>
      <c r="BV12" s="1080"/>
      <c r="BW12" s="1080"/>
      <c r="BX12" s="1080"/>
      <c r="BY12" s="1080"/>
      <c r="BZ12" s="1080"/>
      <c r="CA12" s="1080"/>
      <c r="CB12" s="1080"/>
      <c r="CC12" s="1080"/>
      <c r="CD12" s="1080"/>
      <c r="CE12" s="1080"/>
      <c r="CF12" s="1080"/>
      <c r="CG12" s="1080"/>
      <c r="CH12" s="1080"/>
      <c r="CI12" s="1080"/>
      <c r="CJ12" s="1081"/>
      <c r="CK12" s="1081"/>
      <c r="CL12" s="1081"/>
      <c r="CM12" s="1079"/>
      <c r="CN12" s="1079"/>
      <c r="CO12" s="1079"/>
      <c r="CP12" s="1079"/>
    </row>
    <row r="13" spans="8:94" x14ac:dyDescent="0.25">
      <c r="H13" s="238"/>
      <c r="I13" s="238"/>
      <c r="J13" s="238"/>
      <c r="K13" s="238"/>
      <c r="L13" s="238"/>
      <c r="M13" s="238"/>
      <c r="N13" s="238"/>
      <c r="O13" s="238"/>
      <c r="P13" s="238"/>
      <c r="Q13" s="1082"/>
      <c r="R13" s="1082"/>
      <c r="S13" s="1082"/>
      <c r="T13" s="1082"/>
      <c r="U13" s="1082"/>
      <c r="V13" s="1082"/>
      <c r="W13" s="1082"/>
      <c r="X13" s="1082"/>
      <c r="Y13" s="1082"/>
      <c r="Z13" s="1082"/>
      <c r="AA13" s="1082"/>
      <c r="AB13" s="1082"/>
      <c r="AC13" s="1082"/>
      <c r="AD13" s="1082"/>
      <c r="AE13" s="1082"/>
      <c r="AF13" s="1082"/>
      <c r="AG13" s="1082"/>
      <c r="AH13" s="1082"/>
      <c r="AI13" s="1082"/>
      <c r="AJ13" s="1082"/>
      <c r="AK13" s="1082"/>
      <c r="AL13" s="1082"/>
      <c r="AM13" s="1082"/>
      <c r="AN13" s="1082"/>
      <c r="AO13" s="1082"/>
      <c r="AP13" s="1082"/>
      <c r="AQ13" s="1082"/>
      <c r="AR13" s="1082"/>
      <c r="AS13" s="1082"/>
      <c r="AT13" s="1082"/>
      <c r="AU13" s="1082"/>
      <c r="AV13" s="1082"/>
      <c r="AW13" s="1082"/>
      <c r="AX13" s="1082"/>
      <c r="AY13" s="1082"/>
      <c r="AZ13" s="1082"/>
      <c r="BA13" s="1082"/>
      <c r="BB13" s="1082"/>
      <c r="BC13" s="1082"/>
      <c r="BD13" s="1082"/>
      <c r="BE13" s="1082"/>
      <c r="BF13" s="1082"/>
      <c r="BG13" s="1082"/>
      <c r="BH13" s="1082"/>
      <c r="BI13" s="1082"/>
      <c r="BJ13" s="1082"/>
      <c r="BK13" s="1082"/>
      <c r="BL13" s="1082"/>
      <c r="BM13" s="1082"/>
      <c r="BN13" s="1082"/>
      <c r="BO13" s="1082"/>
      <c r="BP13" s="1082"/>
      <c r="BQ13" s="1082"/>
      <c r="BR13" s="1082"/>
      <c r="BS13" s="1082"/>
      <c r="BT13" s="1082"/>
      <c r="BU13" s="1082"/>
      <c r="BV13" s="1082"/>
      <c r="BW13" s="1082"/>
      <c r="BX13" s="1082"/>
      <c r="BY13" s="1082"/>
      <c r="BZ13" s="1082"/>
      <c r="CA13" s="1082"/>
      <c r="CB13" s="1082"/>
      <c r="CC13" s="1082"/>
      <c r="CD13" s="1082"/>
      <c r="CE13" s="1082"/>
      <c r="CF13" s="1082"/>
      <c r="CG13" s="1082"/>
      <c r="CH13" s="1082"/>
      <c r="CI13" s="1082"/>
      <c r="CJ13" s="1082"/>
      <c r="CK13" s="1082"/>
      <c r="CL13" s="1082"/>
      <c r="CM13" s="1082"/>
      <c r="CN13" s="1082"/>
      <c r="CO13" s="1082"/>
      <c r="CP13" s="1082"/>
    </row>
    <row r="14" spans="8:94" ht="17.45" customHeight="1" x14ac:dyDescent="0.25">
      <c r="H14" s="76"/>
      <c r="I14" s="76"/>
      <c r="J14" s="76"/>
      <c r="K14" s="76"/>
      <c r="L14" s="76"/>
      <c r="M14" s="76"/>
      <c r="N14" s="76"/>
      <c r="O14" s="76"/>
      <c r="P14" s="76"/>
      <c r="Q14" s="1083"/>
      <c r="R14" s="1083"/>
      <c r="S14" s="1083"/>
      <c r="T14" s="1083"/>
      <c r="U14" s="1083"/>
      <c r="V14" s="1084" t="s">
        <v>54</v>
      </c>
      <c r="W14" s="1084"/>
      <c r="X14" s="1084"/>
      <c r="Y14" s="1084"/>
      <c r="Z14" s="1084"/>
      <c r="AA14" s="1084"/>
      <c r="AB14" s="1084"/>
      <c r="AC14" s="1084"/>
      <c r="AD14" s="1084"/>
      <c r="AE14" s="1084"/>
      <c r="AF14" s="1084"/>
      <c r="AG14" s="1084"/>
      <c r="AH14" s="1084"/>
      <c r="AI14" s="1084"/>
      <c r="AJ14" s="1084"/>
      <c r="AK14" s="1084"/>
      <c r="AL14" s="1084"/>
      <c r="AM14" s="1084"/>
      <c r="AN14" s="1084"/>
      <c r="AO14" s="1084"/>
      <c r="AP14" s="1084"/>
      <c r="AQ14" s="1084"/>
      <c r="AR14" s="1084"/>
      <c r="AS14" s="1084"/>
      <c r="AT14" s="1084"/>
      <c r="AU14" s="1084"/>
      <c r="AV14" s="1084"/>
      <c r="AW14" s="1084"/>
      <c r="AX14" s="1084"/>
      <c r="AY14" s="1084"/>
      <c r="AZ14" s="1084"/>
      <c r="BA14" s="1084"/>
      <c r="BB14" s="1084"/>
      <c r="BC14" s="1084"/>
      <c r="BD14" s="1084"/>
      <c r="BE14" s="1084"/>
      <c r="BF14" s="1084"/>
      <c r="BG14" s="1084"/>
      <c r="BH14" s="1083"/>
      <c r="BI14" s="1083"/>
      <c r="BJ14" s="1083"/>
      <c r="BK14" s="1083"/>
      <c r="BL14" s="1083"/>
      <c r="BM14" s="1083"/>
      <c r="BN14" s="1083"/>
      <c r="BO14" s="1083"/>
      <c r="BP14" s="1083"/>
      <c r="BQ14" s="1083"/>
      <c r="BR14" s="1083"/>
      <c r="BS14" s="1083"/>
      <c r="BT14" s="1083"/>
      <c r="BU14" s="1083"/>
      <c r="BV14" s="1083"/>
      <c r="BW14" s="1083"/>
      <c r="BX14" s="1083"/>
      <c r="BY14" s="1083"/>
      <c r="BZ14" s="1083"/>
      <c r="CA14" s="1083"/>
      <c r="CB14" s="1083"/>
      <c r="CC14" s="1083"/>
      <c r="CD14" s="1083"/>
      <c r="CE14" s="1083"/>
      <c r="CF14" s="1083"/>
      <c r="CG14" s="1083"/>
      <c r="CH14" s="1083"/>
      <c r="CI14" s="1083"/>
      <c r="CJ14" s="1083"/>
      <c r="CK14" s="1083"/>
      <c r="CL14" s="1083"/>
      <c r="CM14" s="1083"/>
      <c r="CN14" s="1083"/>
      <c r="CO14" s="1083"/>
      <c r="CP14" s="1083"/>
    </row>
    <row r="15" spans="8:94" x14ac:dyDescent="0.25">
      <c r="H15" s="76"/>
      <c r="I15" s="76"/>
      <c r="J15" s="76"/>
      <c r="K15" s="76"/>
      <c r="L15" s="76"/>
      <c r="M15" s="76"/>
      <c r="N15" s="76"/>
      <c r="O15" s="76"/>
      <c r="P15" s="76"/>
      <c r="Q15" s="1083"/>
      <c r="R15" s="1083"/>
      <c r="S15" s="1083"/>
      <c r="T15" s="1083"/>
      <c r="U15" s="1083"/>
      <c r="V15" s="1083"/>
      <c r="W15" s="1083"/>
      <c r="X15" s="1083"/>
      <c r="Y15" s="1083"/>
      <c r="Z15" s="1083"/>
      <c r="AA15" s="1083"/>
      <c r="AB15" s="1083"/>
      <c r="AC15" s="1083"/>
      <c r="AD15" s="1083"/>
      <c r="AE15" s="1083"/>
      <c r="AF15" s="1083"/>
      <c r="AG15" s="1083"/>
      <c r="AH15" s="1083"/>
      <c r="AI15" s="1083"/>
      <c r="AJ15" s="1083"/>
      <c r="AK15" s="1083"/>
      <c r="AL15" s="1083"/>
      <c r="AM15" s="1083"/>
      <c r="AN15" s="1083"/>
      <c r="AO15" s="1083"/>
      <c r="AP15" s="1083"/>
      <c r="AQ15" s="1083"/>
      <c r="AR15" s="1083"/>
      <c r="AS15" s="1083"/>
      <c r="AT15" s="1083"/>
      <c r="AU15" s="1083"/>
      <c r="AV15" s="1083"/>
      <c r="AW15" s="1083"/>
      <c r="AX15" s="1083"/>
      <c r="AY15" s="1083"/>
      <c r="AZ15" s="1083"/>
      <c r="BA15" s="1083"/>
      <c r="BB15" s="1083"/>
      <c r="BC15" s="1083"/>
      <c r="BD15" s="1083"/>
      <c r="BE15" s="1083"/>
      <c r="BF15" s="1083"/>
      <c r="BG15" s="1083"/>
      <c r="BH15" s="1083"/>
      <c r="BI15" s="1083"/>
      <c r="BJ15" s="1083"/>
      <c r="BK15" s="1083"/>
      <c r="BL15" s="1083"/>
      <c r="BM15" s="1083"/>
      <c r="BN15" s="1083"/>
      <c r="BO15" s="1083"/>
      <c r="BP15" s="1083"/>
      <c r="BQ15" s="1083"/>
      <c r="BR15" s="1083"/>
      <c r="BS15" s="1083"/>
      <c r="BT15" s="1083"/>
      <c r="BU15" s="1083"/>
      <c r="BV15" s="1083"/>
      <c r="BW15" s="1083"/>
      <c r="BX15" s="1083"/>
      <c r="BY15" s="1083"/>
      <c r="BZ15" s="1083"/>
      <c r="CA15" s="1083"/>
      <c r="CB15" s="1083"/>
      <c r="CC15" s="1083"/>
      <c r="CD15" s="1083"/>
      <c r="CE15" s="1083"/>
      <c r="CF15" s="1083"/>
      <c r="CG15" s="1083"/>
      <c r="CH15" s="1083"/>
      <c r="CI15" s="1083"/>
      <c r="CJ15" s="1083"/>
      <c r="CK15" s="1083"/>
      <c r="CL15" s="1083"/>
      <c r="CM15" s="1083"/>
      <c r="CN15" s="1083"/>
      <c r="CO15" s="1083"/>
      <c r="CP15" s="1083"/>
    </row>
    <row r="16" spans="8:94" s="50" customFormat="1" ht="27.75" customHeight="1" x14ac:dyDescent="0.25">
      <c r="H16" s="23"/>
      <c r="I16" s="23"/>
      <c r="J16" s="23"/>
      <c r="K16" s="23"/>
      <c r="L16" s="23"/>
      <c r="M16" s="23"/>
      <c r="N16" s="23"/>
      <c r="O16" s="23"/>
      <c r="P16" s="23"/>
      <c r="Q16" s="1085"/>
      <c r="R16" s="1085"/>
      <c r="S16" s="1085"/>
      <c r="T16" s="1085"/>
      <c r="U16" s="1085"/>
      <c r="V16" s="1540" t="s">
        <v>55</v>
      </c>
      <c r="W16" s="1540"/>
      <c r="X16" s="1540"/>
      <c r="Y16" s="1540"/>
      <c r="Z16" s="1540"/>
      <c r="AA16" s="1540"/>
      <c r="AB16" s="1540"/>
      <c r="AC16" s="1540"/>
      <c r="AD16" s="1540"/>
      <c r="AE16" s="1540"/>
      <c r="AF16" s="1540"/>
      <c r="AG16" s="1540"/>
      <c r="AH16" s="1540"/>
      <c r="AI16" s="1540"/>
      <c r="AJ16" s="1540"/>
      <c r="AK16" s="1085"/>
      <c r="AL16" s="1541" t="s">
        <v>56</v>
      </c>
      <c r="AM16" s="1541"/>
      <c r="AN16" s="1541"/>
      <c r="AO16" s="1541"/>
      <c r="AP16" s="1541"/>
      <c r="AQ16" s="1541"/>
      <c r="AR16" s="1541"/>
      <c r="AS16" s="1541"/>
      <c r="AT16" s="1541"/>
      <c r="AU16" s="1541"/>
      <c r="AV16" s="1541"/>
      <c r="AW16" s="1541"/>
      <c r="AX16" s="1541"/>
      <c r="AY16" s="1541"/>
      <c r="AZ16" s="1541"/>
      <c r="BA16" s="1541"/>
      <c r="BB16" s="1541"/>
      <c r="BC16" s="1541"/>
      <c r="BD16" s="1541"/>
      <c r="BE16" s="1541"/>
      <c r="BF16" s="1541"/>
      <c r="BG16" s="1541"/>
      <c r="BH16" s="1085"/>
      <c r="BI16" s="1085"/>
      <c r="BJ16" s="1085"/>
      <c r="BK16" s="1085"/>
      <c r="BL16" s="1085"/>
      <c r="BM16" s="1085"/>
      <c r="BN16" s="1085"/>
      <c r="BO16" s="1085"/>
      <c r="BP16" s="1085"/>
      <c r="BQ16" s="1085"/>
      <c r="BR16" s="1085"/>
      <c r="BS16" s="1085"/>
      <c r="BT16" s="1085"/>
      <c r="BU16" s="1085"/>
      <c r="BV16" s="1085"/>
      <c r="BW16" s="1085"/>
      <c r="BX16" s="1085"/>
      <c r="BY16" s="1085"/>
      <c r="BZ16" s="1085"/>
      <c r="CA16" s="1085"/>
      <c r="CB16" s="1085"/>
      <c r="CC16" s="1085"/>
      <c r="CD16" s="1085"/>
      <c r="CE16" s="1085"/>
      <c r="CF16" s="1085"/>
      <c r="CG16" s="1085"/>
      <c r="CH16" s="1085"/>
      <c r="CI16" s="1085"/>
      <c r="CJ16" s="1085"/>
      <c r="CK16" s="1085"/>
      <c r="CL16" s="1085"/>
      <c r="CM16" s="1085"/>
      <c r="CN16" s="1085"/>
      <c r="CO16" s="1085"/>
      <c r="CP16" s="1085"/>
    </row>
    <row r="17" spans="8:99" s="1086" customFormat="1" ht="25.5" hidden="1" customHeight="1" x14ac:dyDescent="0.25">
      <c r="H17" s="1087"/>
      <c r="I17" s="1087"/>
      <c r="J17" s="1087"/>
      <c r="K17" s="1087"/>
      <c r="L17" s="1087"/>
      <c r="M17" s="1087"/>
      <c r="N17" s="1087"/>
      <c r="O17" s="1087"/>
      <c r="P17" s="1087"/>
      <c r="Q17" s="1088"/>
      <c r="R17" s="1088"/>
      <c r="S17" s="1088"/>
      <c r="T17" s="1088"/>
      <c r="U17" s="1088"/>
      <c r="V17" s="1542" t="s">
        <v>57</v>
      </c>
      <c r="W17" s="1543"/>
      <c r="X17" s="1543"/>
      <c r="Y17" s="1543"/>
      <c r="Z17" s="1543"/>
      <c r="AA17" s="1543"/>
      <c r="AB17" s="1543"/>
      <c r="AC17" s="1543"/>
      <c r="AD17" s="1543"/>
      <c r="AE17" s="1543"/>
      <c r="AF17" s="1543"/>
      <c r="AG17" s="1543"/>
      <c r="AH17" s="1543"/>
      <c r="AI17" s="1543"/>
      <c r="AJ17" s="1543"/>
      <c r="AK17" s="1088"/>
      <c r="AL17" s="1544">
        <f>INDEX(dms_ABN_List,MATCH(dms_TradingName,dms_TradingName_List))</f>
        <v>76670568688</v>
      </c>
      <c r="AM17" s="1544"/>
      <c r="AN17" s="1544"/>
      <c r="AO17" s="1544"/>
      <c r="AP17" s="1544"/>
      <c r="AQ17" s="1544"/>
      <c r="AR17" s="1544"/>
      <c r="AS17" s="1544"/>
      <c r="AT17" s="1544"/>
      <c r="AU17" s="1544"/>
      <c r="AV17" s="1544"/>
      <c r="AW17" s="1544"/>
      <c r="AX17" s="1088"/>
      <c r="AY17" s="1088"/>
      <c r="AZ17" s="1088"/>
      <c r="BA17" s="1088"/>
      <c r="BB17" s="1088"/>
      <c r="BC17" s="1088"/>
      <c r="BD17" s="1088"/>
      <c r="BE17" s="1088"/>
      <c r="BF17" s="1088"/>
      <c r="BG17" s="1088"/>
      <c r="BH17" s="1088"/>
      <c r="BI17" s="1088"/>
      <c r="BJ17" s="1088"/>
      <c r="BK17" s="1088"/>
      <c r="BL17" s="1088"/>
      <c r="BM17" s="1088"/>
      <c r="BN17" s="1088"/>
      <c r="BO17" s="1088"/>
      <c r="BP17" s="1088"/>
      <c r="BQ17" s="1088"/>
      <c r="BR17" s="1088"/>
      <c r="BS17" s="1088"/>
      <c r="BT17" s="1088"/>
      <c r="BU17" s="1088"/>
      <c r="BV17" s="1088"/>
      <c r="BW17" s="1088"/>
      <c r="BX17" s="1088"/>
      <c r="BY17" s="1088"/>
      <c r="BZ17" s="1088"/>
      <c r="CA17" s="1088"/>
      <c r="CB17" s="1088"/>
      <c r="CC17" s="1088"/>
      <c r="CD17" s="1088"/>
      <c r="CE17" s="1088"/>
      <c r="CF17" s="1088"/>
      <c r="CG17" s="1088"/>
      <c r="CH17" s="1088"/>
      <c r="CI17" s="1088"/>
      <c r="CJ17" s="1088"/>
      <c r="CK17" s="1088"/>
      <c r="CL17" s="1088"/>
      <c r="CM17" s="1088"/>
      <c r="CN17" s="1088"/>
      <c r="CO17" s="1088"/>
      <c r="CP17" s="1088"/>
    </row>
    <row r="18" spans="8:99" x14ac:dyDescent="0.25">
      <c r="H18" s="76"/>
      <c r="I18" s="76"/>
      <c r="J18" s="76"/>
      <c r="K18" s="76"/>
      <c r="L18" s="76"/>
      <c r="M18" s="76"/>
      <c r="N18" s="76"/>
      <c r="O18" s="76"/>
      <c r="P18" s="76"/>
      <c r="Q18" s="1083"/>
      <c r="R18" s="1083"/>
      <c r="S18" s="1083"/>
      <c r="T18" s="1083"/>
      <c r="U18" s="1083"/>
      <c r="V18" s="1083"/>
      <c r="W18" s="1083"/>
      <c r="X18" s="1083"/>
      <c r="Y18" s="1083"/>
      <c r="Z18" s="1083"/>
      <c r="AA18" s="1083"/>
      <c r="AB18" s="1083"/>
      <c r="AC18" s="1083"/>
      <c r="AD18" s="1083"/>
      <c r="AE18" s="1083"/>
      <c r="AF18" s="1083"/>
      <c r="AG18" s="1083"/>
      <c r="AH18" s="1083"/>
      <c r="AI18" s="1083"/>
      <c r="AJ18" s="1083"/>
      <c r="AK18" s="1083"/>
      <c r="AL18" s="1083"/>
      <c r="AM18" s="1083"/>
      <c r="AN18" s="1083"/>
      <c r="AO18" s="1083"/>
      <c r="AP18" s="1083"/>
      <c r="AQ18" s="1083"/>
      <c r="AR18" s="1083"/>
      <c r="AS18" s="1083"/>
      <c r="AT18" s="1083"/>
      <c r="AU18" s="1083"/>
      <c r="AV18" s="1083"/>
      <c r="AW18" s="1083"/>
      <c r="AX18" s="1083"/>
      <c r="AY18" s="1083"/>
      <c r="AZ18" s="1083"/>
      <c r="BA18" s="1083"/>
      <c r="BB18" s="1083"/>
      <c r="BC18" s="1083"/>
      <c r="BD18" s="1083"/>
      <c r="BE18" s="1083"/>
      <c r="BF18" s="1083"/>
      <c r="BG18" s="1083"/>
      <c r="BH18" s="1083"/>
      <c r="BI18" s="1083"/>
      <c r="BJ18" s="1083"/>
      <c r="BK18" s="1083"/>
      <c r="BL18" s="1083"/>
      <c r="BM18" s="1083"/>
      <c r="BN18" s="1083"/>
      <c r="BO18" s="1083"/>
      <c r="BP18" s="1083"/>
      <c r="BQ18" s="1083"/>
      <c r="BR18" s="1083"/>
      <c r="BS18" s="1083"/>
      <c r="BT18" s="1083"/>
      <c r="BU18" s="1083"/>
      <c r="BV18" s="1083"/>
      <c r="BW18" s="1083"/>
      <c r="BX18" s="1083"/>
      <c r="BY18" s="1083"/>
      <c r="BZ18" s="1083"/>
      <c r="CA18" s="1083"/>
      <c r="CB18" s="1083"/>
      <c r="CC18" s="1083"/>
      <c r="CD18" s="1083"/>
      <c r="CE18" s="1083"/>
      <c r="CF18" s="1083"/>
      <c r="CG18" s="1083"/>
      <c r="CH18" s="1083"/>
      <c r="CI18" s="1083"/>
      <c r="CJ18" s="1083"/>
      <c r="CK18" s="1083"/>
      <c r="CL18" s="1083"/>
      <c r="CM18" s="1083"/>
      <c r="CN18" s="1083"/>
      <c r="CO18" s="1083"/>
      <c r="CP18" s="1083"/>
    </row>
    <row r="19" spans="8:99" x14ac:dyDescent="0.25">
      <c r="H19" s="76"/>
      <c r="I19" s="76"/>
      <c r="J19" s="76"/>
      <c r="K19" s="76"/>
      <c r="L19" s="76"/>
      <c r="M19" s="76"/>
      <c r="N19" s="76"/>
      <c r="O19" s="76"/>
      <c r="P19" s="76"/>
      <c r="Q19" s="1083"/>
      <c r="R19" s="1083"/>
      <c r="S19" s="1083"/>
      <c r="T19" s="1083"/>
      <c r="U19" s="1083"/>
      <c r="V19" s="1083"/>
      <c r="W19" s="1083"/>
      <c r="X19" s="1083"/>
      <c r="Y19" s="1083"/>
      <c r="Z19" s="1083"/>
      <c r="AA19" s="1083"/>
      <c r="AB19" s="1083"/>
      <c r="AC19" s="1083"/>
      <c r="AD19" s="1083"/>
      <c r="AE19" s="1083"/>
      <c r="AF19" s="1083"/>
      <c r="AG19" s="1083"/>
      <c r="AH19" s="1083"/>
      <c r="AI19" s="1083"/>
      <c r="AJ19" s="1083"/>
      <c r="AK19" s="1083"/>
      <c r="AL19" s="1083"/>
      <c r="AM19" s="1083"/>
      <c r="AN19" s="1083"/>
      <c r="AO19" s="1083"/>
      <c r="AP19" s="1083"/>
      <c r="AQ19" s="1083"/>
      <c r="AR19" s="1083"/>
      <c r="AS19" s="1083"/>
      <c r="AT19" s="1083"/>
      <c r="AU19" s="1083"/>
      <c r="AV19" s="1083"/>
      <c r="AW19" s="1083"/>
      <c r="AX19" s="1083"/>
      <c r="AY19" s="1083"/>
      <c r="AZ19" s="1083"/>
      <c r="BA19" s="1083"/>
      <c r="BB19" s="1083"/>
      <c r="BC19" s="1083"/>
      <c r="BD19" s="1083"/>
      <c r="BE19" s="1083"/>
      <c r="BF19" s="1083"/>
      <c r="BG19" s="1083"/>
      <c r="BH19" s="1083"/>
      <c r="BI19" s="1083"/>
      <c r="BJ19" s="1083"/>
      <c r="BK19" s="1083"/>
      <c r="BL19" s="1083"/>
      <c r="BM19" s="1083"/>
      <c r="BN19" s="1083"/>
      <c r="BO19" s="1083"/>
      <c r="BP19" s="1083"/>
      <c r="BQ19" s="1083"/>
      <c r="BR19" s="1083"/>
      <c r="BS19" s="1083"/>
      <c r="BT19" s="1083"/>
      <c r="BU19" s="1083"/>
      <c r="BV19" s="1083"/>
      <c r="BW19" s="1083"/>
      <c r="BX19" s="1083"/>
      <c r="BY19" s="1083"/>
      <c r="BZ19" s="1083"/>
      <c r="CA19" s="1083"/>
      <c r="CB19" s="1083"/>
      <c r="CC19" s="1083"/>
      <c r="CD19" s="1083"/>
      <c r="CE19" s="1083"/>
      <c r="CF19" s="1083"/>
      <c r="CG19" s="1083"/>
      <c r="CH19" s="1083"/>
      <c r="CI19" s="1083"/>
      <c r="CJ19" s="1083"/>
      <c r="CK19" s="1083"/>
      <c r="CL19" s="1083"/>
      <c r="CM19" s="1083"/>
      <c r="CN19" s="1083"/>
      <c r="CO19" s="1083"/>
      <c r="CP19" s="1083"/>
    </row>
    <row r="20" spans="8:99" ht="15" customHeight="1" x14ac:dyDescent="0.25">
      <c r="H20" s="76"/>
      <c r="I20" s="76"/>
      <c r="J20" s="76"/>
      <c r="K20" s="76"/>
      <c r="L20" s="76"/>
      <c r="M20" s="76"/>
      <c r="N20" s="76"/>
      <c r="O20" s="76"/>
      <c r="P20" s="76"/>
      <c r="Q20" s="1083"/>
      <c r="R20" s="1083"/>
      <c r="S20" s="1083"/>
      <c r="T20" s="1083"/>
      <c r="U20" s="1089"/>
      <c r="V20" s="1084" t="s">
        <v>58</v>
      </c>
      <c r="W20" s="1084"/>
      <c r="X20" s="1084"/>
      <c r="Y20" s="1084"/>
      <c r="Z20" s="1084"/>
      <c r="AA20" s="1084"/>
      <c r="AB20" s="1084"/>
      <c r="AC20" s="1084"/>
      <c r="AD20" s="1084"/>
      <c r="AE20" s="1084"/>
      <c r="AF20" s="1084"/>
      <c r="AG20" s="1084"/>
      <c r="AH20" s="1084"/>
      <c r="AI20" s="1084"/>
      <c r="AJ20" s="1084"/>
      <c r="AK20" s="1084"/>
      <c r="AL20" s="1084"/>
      <c r="AM20" s="1084"/>
      <c r="AN20" s="1084"/>
      <c r="AO20" s="1084"/>
      <c r="AP20" s="1084"/>
      <c r="AQ20" s="1084"/>
      <c r="AR20" s="1084"/>
      <c r="AS20" s="1084"/>
      <c r="AT20" s="1084"/>
      <c r="AU20" s="1084"/>
      <c r="AV20" s="1084"/>
      <c r="AW20" s="1084"/>
      <c r="AX20" s="1084"/>
      <c r="AY20" s="1084"/>
      <c r="AZ20" s="1084"/>
      <c r="BA20" s="1084"/>
      <c r="BB20" s="1084"/>
      <c r="BC20" s="1084"/>
      <c r="BD20" s="1084"/>
      <c r="BE20" s="1084"/>
      <c r="BF20" s="1084"/>
      <c r="BG20" s="1084"/>
      <c r="BH20" s="1083"/>
      <c r="BI20" s="1089"/>
      <c r="BJ20" s="1090"/>
      <c r="BK20" s="1090"/>
      <c r="BL20" s="1090"/>
      <c r="BM20" s="1090"/>
      <c r="BN20" s="1090"/>
      <c r="BO20" s="1090"/>
      <c r="BP20" s="1090"/>
      <c r="BQ20" s="1091" t="s">
        <v>59</v>
      </c>
      <c r="BR20" s="1091"/>
      <c r="BS20" s="1091"/>
      <c r="BT20" s="1091"/>
      <c r="BU20" s="1091"/>
      <c r="BV20" s="1091"/>
      <c r="BW20" s="1091"/>
      <c r="BX20" s="1091"/>
      <c r="BY20" s="1091"/>
      <c r="BZ20" s="1091"/>
      <c r="CA20" s="1091"/>
      <c r="CB20" s="1091"/>
      <c r="CC20" s="1091"/>
      <c r="CD20" s="1091"/>
      <c r="CE20" s="1091"/>
      <c r="CF20" s="1091"/>
      <c r="CG20" s="1091"/>
      <c r="CH20" s="1091"/>
      <c r="CI20" s="1091"/>
      <c r="CJ20" s="1091"/>
      <c r="CK20" s="1091"/>
      <c r="CL20" s="1091"/>
      <c r="CM20" s="1091"/>
      <c r="CN20" s="1091"/>
      <c r="CO20" s="1091"/>
      <c r="CP20" s="1091"/>
    </row>
    <row r="21" spans="8:99" x14ac:dyDescent="0.25">
      <c r="H21" s="76"/>
      <c r="I21" s="76"/>
      <c r="J21" s="76"/>
      <c r="K21" s="76"/>
      <c r="L21" s="76"/>
      <c r="M21" s="76"/>
      <c r="N21" s="76"/>
      <c r="O21" s="76"/>
      <c r="P21" s="76"/>
      <c r="Q21" s="1083"/>
      <c r="R21" s="1083"/>
      <c r="S21" s="1083"/>
      <c r="T21" s="1083"/>
      <c r="U21" s="1083"/>
      <c r="V21" s="1083"/>
      <c r="W21" s="1083"/>
      <c r="X21" s="1083"/>
      <c r="Y21" s="1083"/>
      <c r="Z21" s="1083"/>
      <c r="AA21" s="1083"/>
      <c r="AB21" s="1083"/>
      <c r="AC21" s="1083"/>
      <c r="AD21" s="1083"/>
      <c r="AE21" s="1083"/>
      <c r="AF21" s="1083"/>
      <c r="AG21" s="1083"/>
      <c r="AH21" s="1083"/>
      <c r="AI21" s="1083"/>
      <c r="AJ21" s="1083"/>
      <c r="AK21" s="1089"/>
      <c r="AL21" s="1089"/>
      <c r="AM21" s="1090"/>
      <c r="AN21" s="1090"/>
      <c r="AO21" s="1090"/>
      <c r="AP21" s="1090"/>
      <c r="AQ21" s="1090"/>
      <c r="AR21" s="1090"/>
      <c r="AS21" s="1090"/>
      <c r="AT21" s="1090"/>
      <c r="AU21" s="1090"/>
      <c r="AV21" s="1090"/>
      <c r="AW21" s="1090"/>
      <c r="AX21" s="1090"/>
      <c r="AY21" s="1090"/>
      <c r="AZ21" s="1090"/>
      <c r="BA21" s="1090"/>
      <c r="BB21" s="1090"/>
      <c r="BC21" s="1090"/>
      <c r="BD21" s="1090"/>
      <c r="BE21" s="1090"/>
      <c r="BF21" s="1090"/>
      <c r="BG21" s="1090"/>
      <c r="BH21" s="1083"/>
      <c r="BI21" s="1083"/>
      <c r="BJ21" s="1083"/>
      <c r="BK21" s="1083"/>
      <c r="BL21" s="1083"/>
      <c r="BM21" s="1083"/>
      <c r="BN21" s="1083"/>
      <c r="BO21" s="1083"/>
      <c r="BP21" s="1083"/>
      <c r="BQ21" s="1089"/>
      <c r="BR21" s="1090"/>
      <c r="BS21" s="1090"/>
      <c r="BT21" s="1090"/>
      <c r="BU21" s="1090"/>
      <c r="BV21" s="1090"/>
      <c r="BW21" s="1090"/>
      <c r="BX21" s="1090"/>
      <c r="BY21" s="1090"/>
      <c r="BZ21" s="1090"/>
      <c r="CA21" s="1090"/>
      <c r="CB21" s="1090"/>
      <c r="CC21" s="1090"/>
      <c r="CD21" s="1090"/>
      <c r="CE21" s="1090"/>
      <c r="CF21" s="1090"/>
      <c r="CG21" s="1090"/>
      <c r="CH21" s="1090"/>
      <c r="CI21" s="1090"/>
      <c r="CJ21" s="1090"/>
      <c r="CK21" s="1090"/>
      <c r="CL21" s="1090"/>
      <c r="CM21" s="1083"/>
      <c r="CN21" s="1083"/>
      <c r="CO21" s="1083"/>
      <c r="CP21" s="1083"/>
    </row>
    <row r="22" spans="8:99" x14ac:dyDescent="0.25">
      <c r="H22" s="76"/>
      <c r="I22" s="76"/>
      <c r="J22" s="76"/>
      <c r="K22" s="76"/>
      <c r="L22" s="76"/>
      <c r="M22" s="76"/>
      <c r="N22" s="76"/>
      <c r="O22" s="76"/>
      <c r="P22" s="76"/>
      <c r="Q22" s="1083"/>
      <c r="R22" s="1083"/>
      <c r="S22" s="1083"/>
      <c r="T22" s="1083"/>
      <c r="U22" s="1083"/>
      <c r="V22" s="1527" t="s">
        <v>60</v>
      </c>
      <c r="W22" s="1527"/>
      <c r="X22" s="1527"/>
      <c r="Y22" s="1527"/>
      <c r="Z22" s="1527"/>
      <c r="AA22" s="1527"/>
      <c r="AB22" s="1527"/>
      <c r="AC22" s="1527"/>
      <c r="AD22" s="1527"/>
      <c r="AE22" s="1527"/>
      <c r="AF22" s="1527"/>
      <c r="AG22" s="1527"/>
      <c r="AH22" s="1527"/>
      <c r="AI22" s="1527"/>
      <c r="AJ22" s="1527"/>
      <c r="AK22" s="1083"/>
      <c r="AL22" s="1529" t="s">
        <v>918</v>
      </c>
      <c r="AM22" s="1530"/>
      <c r="AN22" s="1530"/>
      <c r="AO22" s="1530"/>
      <c r="AP22" s="1530"/>
      <c r="AQ22" s="1530"/>
      <c r="AR22" s="1530"/>
      <c r="AS22" s="1530"/>
      <c r="AT22" s="1530"/>
      <c r="AU22" s="1530"/>
      <c r="AV22" s="1530"/>
      <c r="AW22" s="1530"/>
      <c r="AX22" s="1530"/>
      <c r="AY22" s="1530"/>
      <c r="AZ22" s="1530"/>
      <c r="BA22" s="1530"/>
      <c r="BB22" s="1530"/>
      <c r="BC22" s="1530"/>
      <c r="BD22" s="1530"/>
      <c r="BE22" s="1530"/>
      <c r="BF22" s="1530"/>
      <c r="BG22" s="1531"/>
      <c r="BH22" s="1083"/>
      <c r="BI22" s="1527" t="s">
        <v>60</v>
      </c>
      <c r="BJ22" s="1527"/>
      <c r="BK22" s="1527"/>
      <c r="BL22" s="1527"/>
      <c r="BM22" s="1527"/>
      <c r="BN22" s="1527"/>
      <c r="BO22" s="1527"/>
      <c r="BP22" s="1094"/>
      <c r="BQ22" s="1529" t="s">
        <v>920</v>
      </c>
      <c r="BR22" s="1530"/>
      <c r="BS22" s="1530"/>
      <c r="BT22" s="1530"/>
      <c r="BU22" s="1530"/>
      <c r="BV22" s="1530"/>
      <c r="BW22" s="1530"/>
      <c r="BX22" s="1530"/>
      <c r="BY22" s="1530"/>
      <c r="BZ22" s="1530"/>
      <c r="CA22" s="1530"/>
      <c r="CB22" s="1530"/>
      <c r="CC22" s="1530"/>
      <c r="CD22" s="1530"/>
      <c r="CE22" s="1530"/>
      <c r="CF22" s="1530"/>
      <c r="CG22" s="1530"/>
      <c r="CH22" s="1530"/>
      <c r="CI22" s="1530"/>
      <c r="CJ22" s="1530"/>
      <c r="CK22" s="1530"/>
      <c r="CL22" s="1531"/>
      <c r="CM22" s="1083"/>
      <c r="CN22" s="1083"/>
      <c r="CO22" s="1083"/>
      <c r="CP22" s="1083"/>
    </row>
    <row r="23" spans="8:99" x14ac:dyDescent="0.25">
      <c r="H23" s="76"/>
      <c r="I23" s="76"/>
      <c r="J23" s="76"/>
      <c r="K23" s="76"/>
      <c r="L23" s="76"/>
      <c r="M23" s="76"/>
      <c r="N23" s="76"/>
      <c r="O23" s="76"/>
      <c r="P23" s="76"/>
      <c r="Q23" s="1083"/>
      <c r="R23" s="1083"/>
      <c r="S23" s="1083"/>
      <c r="T23" s="1083"/>
      <c r="U23" s="1083"/>
      <c r="V23" s="1527" t="s">
        <v>61</v>
      </c>
      <c r="W23" s="1527"/>
      <c r="X23" s="1527"/>
      <c r="Y23" s="1527"/>
      <c r="Z23" s="1527"/>
      <c r="AA23" s="1527"/>
      <c r="AB23" s="1527"/>
      <c r="AC23" s="1527"/>
      <c r="AD23" s="1527"/>
      <c r="AE23" s="1527"/>
      <c r="AF23" s="1527"/>
      <c r="AG23" s="1527"/>
      <c r="AH23" s="1527"/>
      <c r="AI23" s="1527"/>
      <c r="AJ23" s="1527"/>
      <c r="AK23" s="1083"/>
      <c r="AL23" s="1529" t="str">
        <f>IF(ISBLANK(INDEX(dms_Addr2_List,MATCH(dms_TradingName,dms_TradingName_List))),"",(INDEX(dms_Addr2_List,MATCH(dms_TradingName,dms_TradingName_List))))</f>
        <v/>
      </c>
      <c r="AM23" s="1530"/>
      <c r="AN23" s="1530"/>
      <c r="AO23" s="1530"/>
      <c r="AP23" s="1530"/>
      <c r="AQ23" s="1530"/>
      <c r="AR23" s="1530"/>
      <c r="AS23" s="1530"/>
      <c r="AT23" s="1530"/>
      <c r="AU23" s="1530"/>
      <c r="AV23" s="1530"/>
      <c r="AW23" s="1530"/>
      <c r="AX23" s="1530"/>
      <c r="AY23" s="1530"/>
      <c r="AZ23" s="1530"/>
      <c r="BA23" s="1530"/>
      <c r="BB23" s="1530"/>
      <c r="BC23" s="1530"/>
      <c r="BD23" s="1530"/>
      <c r="BE23" s="1530"/>
      <c r="BF23" s="1530"/>
      <c r="BG23" s="1531"/>
      <c r="BH23" s="1083"/>
      <c r="BI23" s="1527" t="s">
        <v>61</v>
      </c>
      <c r="BJ23" s="1527"/>
      <c r="BK23" s="1527"/>
      <c r="BL23" s="1527"/>
      <c r="BM23" s="1527"/>
      <c r="BN23" s="1527"/>
      <c r="BO23" s="1527"/>
      <c r="BP23" s="1094"/>
      <c r="BQ23" s="1529"/>
      <c r="BR23" s="1530"/>
      <c r="BS23" s="1530"/>
      <c r="BT23" s="1530"/>
      <c r="BU23" s="1530"/>
      <c r="BV23" s="1530"/>
      <c r="BW23" s="1530"/>
      <c r="BX23" s="1530"/>
      <c r="BY23" s="1530"/>
      <c r="BZ23" s="1530"/>
      <c r="CA23" s="1530"/>
      <c r="CB23" s="1530"/>
      <c r="CC23" s="1530"/>
      <c r="CD23" s="1530"/>
      <c r="CE23" s="1530"/>
      <c r="CF23" s="1530"/>
      <c r="CG23" s="1530"/>
      <c r="CH23" s="1530"/>
      <c r="CI23" s="1530"/>
      <c r="CJ23" s="1530"/>
      <c r="CK23" s="1530"/>
      <c r="CL23" s="1531"/>
      <c r="CM23" s="1083"/>
      <c r="CN23" s="1083"/>
      <c r="CO23" s="1083"/>
      <c r="CP23" s="1083"/>
    </row>
    <row r="24" spans="8:99" x14ac:dyDescent="0.25">
      <c r="H24" s="76"/>
      <c r="I24" s="76"/>
      <c r="J24" s="76"/>
      <c r="K24" s="76"/>
      <c r="L24" s="76"/>
      <c r="M24" s="76"/>
      <c r="N24" s="76"/>
      <c r="O24" s="76"/>
      <c r="P24" s="76"/>
      <c r="Q24" s="1083"/>
      <c r="R24" s="1083"/>
      <c r="S24" s="1083"/>
      <c r="T24" s="1083"/>
      <c r="U24" s="1083"/>
      <c r="V24" s="1527" t="s">
        <v>62</v>
      </c>
      <c r="W24" s="1527"/>
      <c r="X24" s="1527"/>
      <c r="Y24" s="1527"/>
      <c r="Z24" s="1527"/>
      <c r="AA24" s="1527"/>
      <c r="AB24" s="1527"/>
      <c r="AC24" s="1527"/>
      <c r="AD24" s="1527"/>
      <c r="AE24" s="1527"/>
      <c r="AF24" s="1527"/>
      <c r="AG24" s="1527"/>
      <c r="AH24" s="1527"/>
      <c r="AI24" s="1527"/>
      <c r="AJ24" s="1527"/>
      <c r="AK24" s="1083"/>
      <c r="AL24" s="1532" t="s">
        <v>919</v>
      </c>
      <c r="AM24" s="1532"/>
      <c r="AN24" s="1532"/>
      <c r="AO24" s="1532"/>
      <c r="AP24" s="1532"/>
      <c r="AQ24" s="1532"/>
      <c r="AR24" s="1532"/>
      <c r="AS24" s="1532"/>
      <c r="AT24" s="1532"/>
      <c r="AU24" s="1532"/>
      <c r="AV24" s="1532"/>
      <c r="AW24" s="1532"/>
      <c r="AX24" s="1532"/>
      <c r="AY24" s="1532"/>
      <c r="AZ24" s="1532"/>
      <c r="BA24" s="1092"/>
      <c r="BB24" s="1092"/>
      <c r="BC24" s="1092"/>
      <c r="BD24" s="1092"/>
      <c r="BE24" s="1092"/>
      <c r="BF24" s="1092"/>
      <c r="BG24" s="1092"/>
      <c r="BH24" s="1083"/>
      <c r="BI24" s="1527" t="s">
        <v>62</v>
      </c>
      <c r="BJ24" s="1527"/>
      <c r="BK24" s="1527"/>
      <c r="BL24" s="1527"/>
      <c r="BM24" s="1527"/>
      <c r="BN24" s="1527"/>
      <c r="BO24" s="1527"/>
      <c r="BP24" s="1094"/>
      <c r="BQ24" s="1532" t="s">
        <v>919</v>
      </c>
      <c r="BR24" s="1532"/>
      <c r="BS24" s="1532"/>
      <c r="BT24" s="1532"/>
      <c r="BU24" s="1532"/>
      <c r="BV24" s="1532"/>
      <c r="BW24" s="1532"/>
      <c r="BX24" s="1532"/>
      <c r="BY24" s="1532"/>
      <c r="BZ24" s="1532"/>
      <c r="CA24" s="1532"/>
      <c r="CB24" s="1532"/>
      <c r="CC24" s="1532"/>
      <c r="CD24" s="1532"/>
      <c r="CE24" s="1532"/>
      <c r="CF24" s="1092"/>
      <c r="CG24" s="1092"/>
      <c r="CH24" s="1092"/>
      <c r="CI24" s="1092"/>
      <c r="CJ24" s="1092"/>
      <c r="CK24" s="1092"/>
      <c r="CL24" s="1092"/>
      <c r="CM24" s="1083"/>
      <c r="CN24" s="1083"/>
      <c r="CO24" s="1083"/>
      <c r="CP24" s="1083"/>
    </row>
    <row r="25" spans="8:99" x14ac:dyDescent="0.25">
      <c r="H25" s="76"/>
      <c r="I25" s="76"/>
      <c r="J25" s="76"/>
      <c r="K25" s="76"/>
      <c r="L25" s="76"/>
      <c r="M25" s="76"/>
      <c r="N25" s="76"/>
      <c r="O25" s="76"/>
      <c r="P25" s="76"/>
      <c r="Q25" s="1083"/>
      <c r="R25" s="1083"/>
      <c r="S25" s="1083"/>
      <c r="T25" s="1083"/>
      <c r="U25" s="1083"/>
      <c r="V25" s="1527" t="s">
        <v>63</v>
      </c>
      <c r="W25" s="1527"/>
      <c r="X25" s="1527"/>
      <c r="Y25" s="1527"/>
      <c r="Z25" s="1527"/>
      <c r="AA25" s="1527"/>
      <c r="AB25" s="1527"/>
      <c r="AC25" s="1527"/>
      <c r="AD25" s="1527"/>
      <c r="AE25" s="1527"/>
      <c r="AF25" s="1527"/>
      <c r="AG25" s="1527"/>
      <c r="AH25" s="1527"/>
      <c r="AI25" s="1527"/>
      <c r="AJ25" s="1527"/>
      <c r="AK25" s="1083"/>
      <c r="AL25" s="1533" t="s">
        <v>917</v>
      </c>
      <c r="AM25" s="1533"/>
      <c r="AN25" s="1533"/>
      <c r="AO25" s="1533"/>
      <c r="AP25" s="1083"/>
      <c r="AQ25" s="1093"/>
      <c r="AR25" s="1083"/>
      <c r="AS25" s="1083"/>
      <c r="AT25" s="1083"/>
      <c r="AU25" s="1083"/>
      <c r="AV25" s="1093" t="s">
        <v>65</v>
      </c>
      <c r="AW25" s="1093"/>
      <c r="AX25" s="1534">
        <v>2600</v>
      </c>
      <c r="AY25" s="1534"/>
      <c r="AZ25" s="1534"/>
      <c r="BA25" s="1083"/>
      <c r="BB25" s="1083"/>
      <c r="BC25" s="1083"/>
      <c r="BD25" s="1083"/>
      <c r="BE25" s="1083"/>
      <c r="BF25" s="1083"/>
      <c r="BG25" s="1083"/>
      <c r="BH25" s="1083"/>
      <c r="BI25" s="1527" t="s">
        <v>63</v>
      </c>
      <c r="BJ25" s="1527"/>
      <c r="BK25" s="1527"/>
      <c r="BL25" s="1527"/>
      <c r="BM25" s="1527"/>
      <c r="BN25" s="1527"/>
      <c r="BO25" s="1527"/>
      <c r="BP25" s="1094"/>
      <c r="BQ25" s="1533" t="s">
        <v>917</v>
      </c>
      <c r="BR25" s="1533"/>
      <c r="BS25" s="1533"/>
      <c r="BT25" s="1533"/>
      <c r="BU25" s="1083"/>
      <c r="BV25" s="1083"/>
      <c r="BW25" s="1094"/>
      <c r="BX25" s="1083"/>
      <c r="BY25" s="1083"/>
      <c r="BZ25" s="1083"/>
      <c r="CA25" s="1093" t="s">
        <v>65</v>
      </c>
      <c r="CB25" s="1083"/>
      <c r="CC25" s="1534">
        <v>2601</v>
      </c>
      <c r="CD25" s="1534"/>
      <c r="CE25" s="1534"/>
      <c r="CF25" s="1083"/>
      <c r="CG25" s="1083"/>
      <c r="CH25" s="1083"/>
      <c r="CI25" s="1083"/>
      <c r="CJ25" s="1083"/>
      <c r="CK25" s="1083"/>
      <c r="CL25" s="1083"/>
      <c r="CM25" s="1083"/>
      <c r="CN25" s="1083"/>
      <c r="CO25" s="1083"/>
      <c r="CP25" s="1083"/>
    </row>
    <row r="26" spans="8:99" x14ac:dyDescent="0.25">
      <c r="H26" s="76"/>
      <c r="I26" s="76"/>
      <c r="J26" s="76"/>
      <c r="K26" s="76"/>
      <c r="L26" s="76"/>
      <c r="M26" s="76"/>
      <c r="N26" s="76"/>
      <c r="O26" s="76"/>
      <c r="P26" s="76"/>
      <c r="Q26" s="1083"/>
      <c r="R26" s="1083"/>
      <c r="S26" s="1083"/>
      <c r="T26" s="1083"/>
      <c r="U26" s="1083"/>
      <c r="V26" s="1083"/>
      <c r="W26" s="1083"/>
      <c r="X26" s="1083"/>
      <c r="Y26" s="1083"/>
      <c r="Z26" s="1083"/>
      <c r="AA26" s="1083"/>
      <c r="AB26" s="1083"/>
      <c r="AC26" s="1083"/>
      <c r="AD26" s="1083"/>
      <c r="AE26" s="1083"/>
      <c r="AF26" s="1083"/>
      <c r="AG26" s="1083"/>
      <c r="AH26" s="1083"/>
      <c r="AI26" s="1083"/>
      <c r="AJ26" s="1083"/>
      <c r="AK26" s="1083"/>
      <c r="AL26" s="1083"/>
      <c r="AM26" s="1083"/>
      <c r="AN26" s="1083"/>
      <c r="AO26" s="1083"/>
      <c r="AP26" s="1083"/>
      <c r="AQ26" s="1083"/>
      <c r="AR26" s="1083"/>
      <c r="AS26" s="1083"/>
      <c r="AT26" s="1083"/>
      <c r="AU26" s="1083"/>
      <c r="AV26" s="1083"/>
      <c r="AW26" s="1083"/>
      <c r="AX26" s="1083"/>
      <c r="AY26" s="1083"/>
      <c r="AZ26" s="1083"/>
      <c r="BA26" s="1083"/>
      <c r="BB26" s="1083"/>
      <c r="BC26" s="1083"/>
      <c r="BD26" s="1083"/>
      <c r="BE26" s="1083"/>
      <c r="BF26" s="1083"/>
      <c r="BG26" s="1083"/>
      <c r="BH26" s="1083"/>
      <c r="BI26" s="1083"/>
      <c r="BJ26" s="1083"/>
      <c r="BK26" s="1083"/>
      <c r="BL26" s="1083"/>
      <c r="BM26" s="1083"/>
      <c r="BN26" s="1083"/>
      <c r="BO26" s="1083"/>
      <c r="BP26" s="1083"/>
      <c r="BQ26" s="1083"/>
      <c r="BR26" s="1083"/>
      <c r="BS26" s="1083"/>
      <c r="BT26" s="1083"/>
      <c r="BU26" s="1083"/>
      <c r="BV26" s="1083"/>
      <c r="BW26" s="1083"/>
      <c r="BX26" s="1083"/>
      <c r="BY26" s="1083"/>
      <c r="BZ26" s="1083"/>
      <c r="CA26" s="1083"/>
      <c r="CB26" s="1083"/>
      <c r="CC26" s="1083"/>
      <c r="CD26" s="1083"/>
      <c r="CE26" s="1083"/>
      <c r="CF26" s="1083"/>
      <c r="CG26" s="1083"/>
      <c r="CH26" s="1083"/>
      <c r="CI26" s="1083"/>
      <c r="CJ26" s="1083"/>
      <c r="CK26" s="1083"/>
      <c r="CL26" s="1083"/>
      <c r="CM26" s="1083"/>
      <c r="CN26" s="1083"/>
      <c r="CO26" s="1083"/>
      <c r="CP26" s="1083"/>
      <c r="CU26" s="75"/>
    </row>
    <row r="27" spans="8:99" x14ac:dyDescent="0.25">
      <c r="H27" s="76"/>
      <c r="I27" s="76"/>
      <c r="J27" s="76"/>
      <c r="K27" s="76"/>
      <c r="L27" s="76"/>
      <c r="M27" s="76"/>
      <c r="N27" s="76"/>
      <c r="O27" s="76"/>
      <c r="P27" s="76"/>
      <c r="Q27" s="1083"/>
      <c r="R27" s="1083"/>
      <c r="S27" s="1083"/>
      <c r="T27" s="1083"/>
      <c r="U27" s="1083"/>
      <c r="V27" s="1083"/>
      <c r="W27" s="1083"/>
      <c r="X27" s="1083"/>
      <c r="Y27" s="1083"/>
      <c r="Z27" s="1083"/>
      <c r="AA27" s="1083"/>
      <c r="AB27" s="1083"/>
      <c r="AC27" s="1083"/>
      <c r="AD27" s="1083"/>
      <c r="AE27" s="1083"/>
      <c r="AF27" s="1083"/>
      <c r="AG27" s="1083"/>
      <c r="AH27" s="1083"/>
      <c r="AI27" s="1083"/>
      <c r="AJ27" s="1083"/>
      <c r="AK27" s="1083"/>
      <c r="AL27" s="1083"/>
      <c r="AM27" s="1083"/>
      <c r="AN27" s="1083"/>
      <c r="AO27" s="1083"/>
      <c r="AP27" s="1083"/>
      <c r="AQ27" s="1083"/>
      <c r="AR27" s="1083"/>
      <c r="AS27" s="1083"/>
      <c r="AT27" s="1083"/>
      <c r="AU27" s="1083"/>
      <c r="AV27" s="1083"/>
      <c r="AW27" s="1083"/>
      <c r="AX27" s="1083"/>
      <c r="AY27" s="1083"/>
      <c r="AZ27" s="1083"/>
      <c r="BA27" s="1083" t="s">
        <v>66</v>
      </c>
      <c r="BB27" s="1083"/>
      <c r="BC27" s="1083"/>
      <c r="BD27" s="1083"/>
      <c r="BE27" s="1083"/>
      <c r="BF27" s="1083"/>
      <c r="BG27" s="1083"/>
      <c r="BH27" s="1083"/>
      <c r="BI27" s="1083"/>
      <c r="BJ27" s="1083"/>
      <c r="BK27" s="1083"/>
      <c r="BL27" s="1083"/>
      <c r="BM27" s="1083"/>
      <c r="BN27" s="1083"/>
      <c r="BO27" s="1083"/>
      <c r="BP27" s="1083"/>
      <c r="BQ27" s="1083"/>
      <c r="BR27" s="1083"/>
      <c r="BS27" s="1083"/>
      <c r="BT27" s="1083"/>
      <c r="BU27" s="1083"/>
      <c r="BV27" s="1083"/>
      <c r="BW27" s="1083"/>
      <c r="BX27" s="1083"/>
      <c r="BY27" s="1083"/>
      <c r="BZ27" s="1083"/>
      <c r="CA27" s="1083"/>
      <c r="CB27" s="1083"/>
      <c r="CC27" s="1083"/>
      <c r="CD27" s="1083"/>
      <c r="CE27" s="1083"/>
      <c r="CF27" s="1083"/>
      <c r="CG27" s="1083"/>
      <c r="CH27" s="1083"/>
      <c r="CI27" s="1083"/>
      <c r="CJ27" s="1083"/>
      <c r="CK27" s="1083"/>
      <c r="CL27" s="1083"/>
      <c r="CM27" s="1083"/>
      <c r="CN27" s="1083"/>
      <c r="CO27" s="1083"/>
      <c r="CP27" s="1083"/>
    </row>
    <row r="28" spans="8:99" hidden="1" x14ac:dyDescent="0.25">
      <c r="H28" s="76"/>
      <c r="I28" s="76"/>
      <c r="J28" s="76"/>
      <c r="K28" s="76"/>
      <c r="L28" s="76"/>
      <c r="M28" s="76"/>
      <c r="N28" s="76"/>
      <c r="O28" s="76"/>
      <c r="P28" s="76"/>
      <c r="Q28" s="1083"/>
      <c r="R28" s="1083"/>
      <c r="S28" s="1083"/>
      <c r="T28" s="1083"/>
      <c r="U28" s="1083"/>
      <c r="V28" s="1083"/>
      <c r="W28" s="1083"/>
      <c r="X28" s="1083"/>
      <c r="Y28" s="1083"/>
      <c r="Z28" s="1083"/>
      <c r="AA28" s="1083"/>
      <c r="AB28" s="1083"/>
      <c r="AC28" s="1083"/>
      <c r="AD28" s="1083"/>
      <c r="AE28" s="1083"/>
      <c r="AF28" s="1083"/>
      <c r="AG28" s="1083"/>
      <c r="AH28" s="1083"/>
      <c r="AI28" s="1083"/>
      <c r="AJ28" s="1083"/>
      <c r="AK28" s="1083"/>
      <c r="AL28" s="1083"/>
      <c r="AM28" s="1083"/>
      <c r="AN28" s="1083"/>
      <c r="AO28" s="1083"/>
      <c r="AP28" s="1083"/>
      <c r="AQ28" s="1083"/>
      <c r="AR28" s="1083"/>
      <c r="AS28" s="1083"/>
      <c r="AT28" s="1083"/>
      <c r="AU28" s="1083"/>
      <c r="AV28" s="1083"/>
      <c r="AW28" s="1083"/>
      <c r="AX28" s="1083"/>
      <c r="AY28" s="1083"/>
      <c r="AZ28" s="1083"/>
      <c r="BA28" s="1083"/>
      <c r="BB28" s="1083"/>
      <c r="BC28" s="1083"/>
      <c r="BD28" s="1083"/>
      <c r="BE28" s="1083"/>
      <c r="BF28" s="1083"/>
      <c r="BG28" s="1083"/>
      <c r="BH28" s="1083"/>
      <c r="BI28" s="1083"/>
      <c r="BJ28" s="1083"/>
      <c r="BK28" s="1083"/>
      <c r="BL28" s="1083"/>
      <c r="BM28" s="1083"/>
      <c r="BN28" s="1083"/>
      <c r="BO28" s="1083"/>
      <c r="BP28" s="1083"/>
      <c r="BQ28" s="1083"/>
      <c r="BR28" s="1083"/>
      <c r="BS28" s="1083"/>
      <c r="BT28" s="1083"/>
      <c r="BU28" s="1083"/>
      <c r="BV28" s="1083"/>
      <c r="BW28" s="1083"/>
      <c r="BX28" s="1083"/>
      <c r="BY28" s="1083"/>
      <c r="BZ28" s="1083"/>
      <c r="CA28" s="1083"/>
      <c r="CB28" s="1083"/>
      <c r="CC28" s="1083"/>
      <c r="CD28" s="1083"/>
      <c r="CE28" s="1083"/>
      <c r="CF28" s="1083"/>
      <c r="CG28" s="1083"/>
      <c r="CH28" s="1083"/>
      <c r="CI28" s="1083"/>
      <c r="CJ28" s="1083"/>
      <c r="CK28" s="1083"/>
      <c r="CL28" s="1083"/>
      <c r="CM28" s="1083"/>
      <c r="CN28" s="1083"/>
      <c r="CO28" s="1083"/>
      <c r="CP28" s="1083"/>
    </row>
    <row r="29" spans="8:99" ht="17.45" hidden="1" customHeight="1" x14ac:dyDescent="0.25">
      <c r="H29" s="76"/>
      <c r="I29" s="76"/>
      <c r="J29" s="76"/>
      <c r="K29" s="76"/>
      <c r="L29" s="76"/>
      <c r="M29" s="76"/>
      <c r="N29" s="76"/>
      <c r="O29" s="76"/>
      <c r="P29" s="76"/>
      <c r="Q29" s="1083"/>
      <c r="R29" s="1083"/>
      <c r="S29" s="1083"/>
      <c r="T29" s="1083"/>
      <c r="U29" s="1083"/>
      <c r="V29" s="1084" t="s">
        <v>67</v>
      </c>
      <c r="W29" s="1084"/>
      <c r="X29" s="1084"/>
      <c r="Y29" s="1084"/>
      <c r="Z29" s="1084"/>
      <c r="AA29" s="1084"/>
      <c r="AB29" s="1084"/>
      <c r="AC29" s="1084"/>
      <c r="AD29" s="1084"/>
      <c r="AE29" s="1084"/>
      <c r="AF29" s="1084"/>
      <c r="AG29" s="1084"/>
      <c r="AH29" s="1084"/>
      <c r="AI29" s="1084"/>
      <c r="AJ29" s="1084"/>
      <c r="AK29" s="1084"/>
      <c r="AL29" s="1084"/>
      <c r="AM29" s="1084"/>
      <c r="AN29" s="1084"/>
      <c r="AO29" s="1084"/>
      <c r="AP29" s="1084"/>
      <c r="AQ29" s="1084"/>
      <c r="AR29" s="1084"/>
      <c r="AS29" s="1084"/>
      <c r="AT29" s="1084"/>
      <c r="AU29" s="1084"/>
      <c r="AV29" s="1084"/>
      <c r="AW29" s="1084"/>
      <c r="AX29" s="1084"/>
      <c r="AY29" s="1084"/>
      <c r="AZ29" s="1084"/>
      <c r="BA29" s="1084"/>
      <c r="BB29" s="1084"/>
      <c r="BC29" s="1084"/>
      <c r="BD29" s="1084"/>
      <c r="BE29" s="1084"/>
      <c r="BF29" s="1084"/>
      <c r="BG29" s="1084"/>
      <c r="BH29" s="1083"/>
      <c r="BI29" s="1083"/>
      <c r="BJ29" s="1083"/>
      <c r="BK29" s="1083"/>
      <c r="BL29" s="1083"/>
      <c r="BM29" s="1083"/>
      <c r="BN29" s="1083"/>
      <c r="BO29" s="1083"/>
      <c r="BP29" s="1083"/>
      <c r="BQ29" s="1083"/>
      <c r="BR29" s="1083"/>
      <c r="BS29" s="1083"/>
      <c r="BT29" s="1083"/>
      <c r="BU29" s="1083"/>
      <c r="BV29" s="1083"/>
      <c r="BW29" s="1083"/>
      <c r="BX29" s="1083"/>
      <c r="BY29" s="1083"/>
      <c r="BZ29" s="1083"/>
      <c r="CA29" s="1083"/>
      <c r="CB29" s="1083"/>
      <c r="CC29" s="1083"/>
      <c r="CD29" s="1083"/>
      <c r="CE29" s="1083"/>
      <c r="CF29" s="1083"/>
      <c r="CG29" s="1083"/>
      <c r="CH29" s="1083"/>
      <c r="CI29" s="1083"/>
      <c r="CJ29" s="1083"/>
      <c r="CK29" s="1083"/>
      <c r="CL29" s="1083"/>
      <c r="CM29" s="1083"/>
      <c r="CN29" s="1083"/>
      <c r="CO29" s="1083"/>
      <c r="CP29" s="1083"/>
    </row>
    <row r="30" spans="8:99" hidden="1" x14ac:dyDescent="0.25">
      <c r="H30" s="76"/>
      <c r="I30" s="76"/>
      <c r="J30" s="76"/>
      <c r="K30" s="76"/>
      <c r="L30" s="76"/>
      <c r="M30" s="76"/>
      <c r="N30" s="76"/>
      <c r="O30" s="76"/>
      <c r="P30" s="76"/>
      <c r="Q30" s="1083"/>
      <c r="R30" s="1083"/>
      <c r="S30" s="1083"/>
      <c r="T30" s="1083"/>
      <c r="U30" s="1083"/>
      <c r="V30" s="1083"/>
      <c r="W30" s="1083"/>
      <c r="X30" s="1083"/>
      <c r="Y30" s="1083"/>
      <c r="Z30" s="1083"/>
      <c r="AA30" s="1083"/>
      <c r="AB30" s="1083"/>
      <c r="AC30" s="1083"/>
      <c r="AD30" s="1083"/>
      <c r="AE30" s="1083"/>
      <c r="AF30" s="1083"/>
      <c r="AG30" s="1083"/>
      <c r="AH30" s="1083"/>
      <c r="AI30" s="1083"/>
      <c r="AJ30" s="1083"/>
      <c r="AK30" s="1083"/>
      <c r="AL30" s="1083"/>
      <c r="AM30" s="1083"/>
      <c r="AN30" s="1083"/>
      <c r="AO30" s="1083"/>
      <c r="AP30" s="1083"/>
      <c r="AQ30" s="1083"/>
      <c r="AR30" s="1083"/>
      <c r="AS30" s="1083"/>
      <c r="AT30" s="1083"/>
      <c r="AU30" s="1083"/>
      <c r="AV30" s="1083"/>
      <c r="AW30" s="1083"/>
      <c r="AX30" s="1083"/>
      <c r="AY30" s="1083"/>
      <c r="AZ30" s="1083"/>
      <c r="BA30" s="1083"/>
      <c r="BB30" s="1083"/>
      <c r="BC30" s="1083"/>
      <c r="BD30" s="1083"/>
      <c r="BE30" s="1083"/>
      <c r="BF30" s="1083"/>
      <c r="BG30" s="1083"/>
      <c r="BH30" s="1083"/>
      <c r="BI30" s="1083"/>
      <c r="BJ30" s="1083"/>
      <c r="BK30" s="1083"/>
      <c r="BL30" s="1083"/>
      <c r="BM30" s="1083"/>
      <c r="BN30" s="1083"/>
      <c r="BO30" s="1083"/>
      <c r="BP30" s="1083"/>
      <c r="BQ30" s="1083"/>
      <c r="BR30" s="1083"/>
      <c r="BS30" s="1083"/>
      <c r="BT30" s="1083"/>
      <c r="BU30" s="1083"/>
      <c r="BV30" s="1083"/>
      <c r="BW30" s="1083"/>
      <c r="BX30" s="1083"/>
      <c r="BY30" s="1083"/>
      <c r="BZ30" s="1083"/>
      <c r="CA30" s="1083"/>
      <c r="CB30" s="1083"/>
      <c r="CC30" s="1083"/>
      <c r="CD30" s="1083"/>
      <c r="CE30" s="1083"/>
      <c r="CF30" s="1083"/>
      <c r="CG30" s="1083"/>
      <c r="CH30" s="1083"/>
      <c r="CI30" s="1083"/>
      <c r="CJ30" s="1083"/>
      <c r="CK30" s="1083"/>
      <c r="CL30" s="1083"/>
      <c r="CM30" s="1083"/>
      <c r="CN30" s="1083"/>
      <c r="CO30" s="1083"/>
      <c r="CP30" s="1083"/>
    </row>
    <row r="31" spans="8:99" hidden="1" x14ac:dyDescent="0.25">
      <c r="H31" s="76"/>
      <c r="I31" s="76"/>
      <c r="J31" s="76"/>
      <c r="K31" s="76"/>
      <c r="L31" s="76"/>
      <c r="M31" s="76"/>
      <c r="N31" s="76"/>
      <c r="O31" s="76"/>
      <c r="P31" s="76"/>
      <c r="Q31" s="1083"/>
      <c r="R31" s="1083"/>
      <c r="S31" s="1083"/>
      <c r="T31" s="1083"/>
      <c r="U31" s="1083"/>
      <c r="V31" s="1527" t="s">
        <v>68</v>
      </c>
      <c r="W31" s="1527"/>
      <c r="X31" s="1527"/>
      <c r="Y31" s="1527"/>
      <c r="Z31" s="1527"/>
      <c r="AA31" s="1527"/>
      <c r="AB31" s="1527"/>
      <c r="AC31" s="1527"/>
      <c r="AD31" s="1527"/>
      <c r="AE31" s="1527"/>
      <c r="AF31" s="1527"/>
      <c r="AG31" s="1527"/>
      <c r="AH31" s="1527"/>
      <c r="AI31" s="1527"/>
      <c r="AJ31" s="1527"/>
      <c r="AK31" s="1083"/>
      <c r="AL31" s="1528"/>
      <c r="AM31" s="1528"/>
      <c r="AN31" s="1528"/>
      <c r="AO31" s="1528"/>
      <c r="AP31" s="1528"/>
      <c r="AQ31" s="1528"/>
      <c r="AR31" s="1528"/>
      <c r="AS31" s="1528"/>
      <c r="AT31" s="1528"/>
      <c r="AU31" s="1528"/>
      <c r="AV31" s="1528"/>
      <c r="AW31" s="1528"/>
      <c r="AX31" s="1528"/>
      <c r="AY31" s="1528"/>
      <c r="AZ31" s="1528"/>
      <c r="BA31" s="1528"/>
      <c r="BB31" s="1528"/>
      <c r="BC31" s="1528"/>
      <c r="BD31" s="1528"/>
      <c r="BE31" s="1528"/>
      <c r="BF31" s="1528"/>
      <c r="BG31" s="1528"/>
      <c r="BH31" s="1083"/>
      <c r="BI31" s="1527" t="s">
        <v>68</v>
      </c>
      <c r="BJ31" s="1527"/>
      <c r="BK31" s="1527"/>
      <c r="BL31" s="1527"/>
      <c r="BM31" s="1527"/>
      <c r="BN31" s="1527"/>
      <c r="BO31" s="1527"/>
      <c r="BP31" s="1094"/>
      <c r="BQ31" s="1528"/>
      <c r="BR31" s="1528"/>
      <c r="BS31" s="1528"/>
      <c r="BT31" s="1528"/>
      <c r="BU31" s="1528"/>
      <c r="BV31" s="1528"/>
      <c r="BW31" s="1528"/>
      <c r="BX31" s="1528"/>
      <c r="BY31" s="1528"/>
      <c r="BZ31" s="1528"/>
      <c r="CA31" s="1528"/>
      <c r="CB31" s="1528"/>
      <c r="CC31" s="1528"/>
      <c r="CD31" s="1528"/>
      <c r="CE31" s="1528"/>
      <c r="CF31" s="1528"/>
      <c r="CG31" s="1528"/>
      <c r="CH31" s="1528"/>
      <c r="CI31" s="1528"/>
      <c r="CJ31" s="1528"/>
      <c r="CK31" s="1528"/>
      <c r="CL31" s="1528"/>
      <c r="CM31" s="1083"/>
      <c r="CN31" s="1083"/>
      <c r="CO31" s="1083"/>
      <c r="CP31" s="1083"/>
    </row>
    <row r="32" spans="8:99" hidden="1" x14ac:dyDescent="0.25">
      <c r="H32" s="76"/>
      <c r="I32" s="76"/>
      <c r="J32" s="76"/>
      <c r="K32" s="76"/>
      <c r="L32" s="76"/>
      <c r="M32" s="76"/>
      <c r="N32" s="76"/>
      <c r="O32" s="76"/>
      <c r="P32" s="76"/>
      <c r="Q32" s="1083"/>
      <c r="R32" s="1083"/>
      <c r="S32" s="1083"/>
      <c r="T32" s="1083"/>
      <c r="U32" s="1083"/>
      <c r="V32" s="1527" t="s">
        <v>69</v>
      </c>
      <c r="W32" s="1527"/>
      <c r="X32" s="1527"/>
      <c r="Y32" s="1527"/>
      <c r="Z32" s="1527"/>
      <c r="AA32" s="1527"/>
      <c r="AB32" s="1527"/>
      <c r="AC32" s="1527"/>
      <c r="AD32" s="1527"/>
      <c r="AE32" s="1527"/>
      <c r="AF32" s="1527"/>
      <c r="AG32" s="1527"/>
      <c r="AH32" s="1527"/>
      <c r="AI32" s="1527"/>
      <c r="AJ32" s="1527"/>
      <c r="AK32" s="1083"/>
      <c r="AL32" s="1535"/>
      <c r="AM32" s="1535"/>
      <c r="AN32" s="1535"/>
      <c r="AO32" s="1535"/>
      <c r="AP32" s="1535"/>
      <c r="AQ32" s="1535"/>
      <c r="AR32" s="1535"/>
      <c r="AS32" s="1535"/>
      <c r="AT32" s="1535"/>
      <c r="AU32" s="1535"/>
      <c r="AV32" s="1535"/>
      <c r="AW32" s="1535"/>
      <c r="AX32" s="1535"/>
      <c r="AY32" s="1535"/>
      <c r="AZ32" s="1535"/>
      <c r="BA32" s="1535"/>
      <c r="BB32" s="1535"/>
      <c r="BC32" s="1535"/>
      <c r="BD32" s="1535"/>
      <c r="BE32" s="1535"/>
      <c r="BF32" s="1535"/>
      <c r="BG32" s="1535"/>
      <c r="BH32" s="1089"/>
      <c r="BI32" s="1527" t="s">
        <v>69</v>
      </c>
      <c r="BJ32" s="1527"/>
      <c r="BK32" s="1527"/>
      <c r="BL32" s="1527"/>
      <c r="BM32" s="1527"/>
      <c r="BN32" s="1527"/>
      <c r="BO32" s="1527"/>
      <c r="BP32" s="1094"/>
      <c r="BQ32" s="1535"/>
      <c r="BR32" s="1535"/>
      <c r="BS32" s="1535"/>
      <c r="BT32" s="1535"/>
      <c r="BU32" s="1535"/>
      <c r="BV32" s="1535"/>
      <c r="BW32" s="1535"/>
      <c r="BX32" s="1535"/>
      <c r="BY32" s="1535"/>
      <c r="BZ32" s="1535"/>
      <c r="CA32" s="1535"/>
      <c r="CB32" s="1535"/>
      <c r="CC32" s="1535"/>
      <c r="CD32" s="1535"/>
      <c r="CE32" s="1535"/>
      <c r="CF32" s="1535"/>
      <c r="CG32" s="1535"/>
      <c r="CH32" s="1535"/>
      <c r="CI32" s="1535"/>
      <c r="CJ32" s="1535"/>
      <c r="CK32" s="1535"/>
      <c r="CL32" s="1535"/>
      <c r="CM32" s="1083"/>
      <c r="CN32" s="1083"/>
      <c r="CO32" s="1083"/>
      <c r="CP32" s="1083"/>
    </row>
    <row r="33" spans="2:94" hidden="1" x14ac:dyDescent="0.25">
      <c r="H33" s="76"/>
      <c r="I33" s="76"/>
      <c r="J33" s="76"/>
      <c r="K33" s="76"/>
      <c r="L33" s="76"/>
      <c r="M33" s="76"/>
      <c r="N33" s="76"/>
      <c r="O33" s="76"/>
      <c r="P33" s="76"/>
      <c r="Q33" s="1083"/>
      <c r="R33" s="1083"/>
      <c r="S33" s="1083"/>
      <c r="T33" s="1083"/>
      <c r="U33" s="1083"/>
      <c r="V33" s="1527" t="s">
        <v>70</v>
      </c>
      <c r="W33" s="1527"/>
      <c r="X33" s="1527"/>
      <c r="Y33" s="1527"/>
      <c r="Z33" s="1527"/>
      <c r="AA33" s="1527"/>
      <c r="AB33" s="1527"/>
      <c r="AC33" s="1527"/>
      <c r="AD33" s="1527"/>
      <c r="AE33" s="1527"/>
      <c r="AF33" s="1527"/>
      <c r="AG33" s="1527"/>
      <c r="AH33" s="1527"/>
      <c r="AI33" s="1527"/>
      <c r="AJ33" s="1527"/>
      <c r="AK33" s="1083"/>
      <c r="AL33" s="1528"/>
      <c r="AM33" s="1528"/>
      <c r="AN33" s="1528"/>
      <c r="AO33" s="1528"/>
      <c r="AP33" s="1528"/>
      <c r="AQ33" s="1528"/>
      <c r="AR33" s="1528"/>
      <c r="AS33" s="1528"/>
      <c r="AT33" s="1528"/>
      <c r="AU33" s="1528"/>
      <c r="AV33" s="1528"/>
      <c r="AW33" s="1528"/>
      <c r="AX33" s="1528"/>
      <c r="AY33" s="1528"/>
      <c r="AZ33" s="1528"/>
      <c r="BA33" s="1528"/>
      <c r="BB33" s="1528"/>
      <c r="BC33" s="1528"/>
      <c r="BD33" s="1528"/>
      <c r="BE33" s="1528"/>
      <c r="BF33" s="1528"/>
      <c r="BG33" s="1528"/>
      <c r="BH33" s="1083"/>
      <c r="BI33" s="1527" t="s">
        <v>70</v>
      </c>
      <c r="BJ33" s="1527"/>
      <c r="BK33" s="1527"/>
      <c r="BL33" s="1527"/>
      <c r="BM33" s="1527"/>
      <c r="BN33" s="1527"/>
      <c r="BO33" s="1527"/>
      <c r="BP33" s="1094"/>
      <c r="BQ33" s="1528"/>
      <c r="BR33" s="1528"/>
      <c r="BS33" s="1528"/>
      <c r="BT33" s="1528"/>
      <c r="BU33" s="1528"/>
      <c r="BV33" s="1528"/>
      <c r="BW33" s="1528"/>
      <c r="BX33" s="1528"/>
      <c r="BY33" s="1528"/>
      <c r="BZ33" s="1528"/>
      <c r="CA33" s="1528"/>
      <c r="CB33" s="1528"/>
      <c r="CC33" s="1528"/>
      <c r="CD33" s="1528"/>
      <c r="CE33" s="1528"/>
      <c r="CF33" s="1528"/>
      <c r="CG33" s="1528"/>
      <c r="CH33" s="1528"/>
      <c r="CI33" s="1528"/>
      <c r="CJ33" s="1528"/>
      <c r="CK33" s="1528"/>
      <c r="CL33" s="1528"/>
      <c r="CM33" s="1083"/>
      <c r="CN33" s="1083"/>
      <c r="CO33" s="1083"/>
      <c r="CP33" s="1083"/>
    </row>
    <row r="34" spans="2:94" hidden="1" x14ac:dyDescent="0.25">
      <c r="H34" s="76"/>
      <c r="I34" s="76"/>
      <c r="J34" s="76"/>
      <c r="K34" s="76"/>
      <c r="L34" s="76"/>
      <c r="M34" s="76"/>
      <c r="N34" s="76"/>
      <c r="O34" s="76"/>
      <c r="P34" s="76"/>
      <c r="Q34" s="1083"/>
      <c r="R34" s="1083"/>
      <c r="S34" s="1083"/>
      <c r="T34" s="1083"/>
      <c r="U34" s="1083"/>
      <c r="V34" s="1083"/>
      <c r="W34" s="1083"/>
      <c r="X34" s="1083"/>
      <c r="Y34" s="1083"/>
      <c r="Z34" s="1083"/>
      <c r="AA34" s="1083"/>
      <c r="AB34" s="1083"/>
      <c r="AC34" s="1083"/>
      <c r="AD34" s="1083"/>
      <c r="AE34" s="1083"/>
      <c r="AF34" s="1083"/>
      <c r="AG34" s="1083"/>
      <c r="AH34" s="1083"/>
      <c r="AI34" s="1083"/>
      <c r="AJ34" s="1083"/>
      <c r="AK34" s="1083"/>
      <c r="AL34" s="1083"/>
      <c r="AM34" s="1083"/>
      <c r="AN34" s="1083"/>
      <c r="AO34" s="1083"/>
      <c r="AP34" s="1083"/>
      <c r="AQ34" s="1083"/>
      <c r="AR34" s="1083"/>
      <c r="AS34" s="1083"/>
      <c r="AT34" s="1083"/>
      <c r="AU34" s="1083"/>
      <c r="AV34" s="1083"/>
      <c r="AW34" s="1083"/>
      <c r="AX34" s="1083"/>
      <c r="AY34" s="1083"/>
      <c r="AZ34" s="1083"/>
      <c r="BA34" s="1083"/>
      <c r="BB34" s="1083"/>
      <c r="BC34" s="1083"/>
      <c r="BD34" s="1083"/>
      <c r="BE34" s="1083"/>
      <c r="BF34" s="1083"/>
      <c r="BG34" s="1083"/>
      <c r="BH34" s="1083"/>
      <c r="BI34" s="1083"/>
      <c r="BJ34" s="1083"/>
      <c r="BK34" s="1083"/>
      <c r="BL34" s="1083"/>
      <c r="BM34" s="1083"/>
      <c r="BN34" s="1083"/>
      <c r="BO34" s="1083"/>
      <c r="BP34" s="1083"/>
      <c r="BQ34" s="1083"/>
      <c r="BR34" s="1083"/>
      <c r="BS34" s="1083"/>
      <c r="BT34" s="1083"/>
      <c r="BU34" s="1083"/>
      <c r="BV34" s="1083"/>
      <c r="BW34" s="1083"/>
      <c r="BX34" s="1083"/>
      <c r="BY34" s="1083"/>
      <c r="BZ34" s="1083"/>
      <c r="CA34" s="1083"/>
      <c r="CB34" s="1083"/>
      <c r="CC34" s="1083"/>
      <c r="CD34" s="1083"/>
      <c r="CE34" s="1083"/>
      <c r="CF34" s="1083"/>
      <c r="CG34" s="1083"/>
      <c r="CH34" s="1083"/>
      <c r="CI34" s="1083"/>
      <c r="CJ34" s="1083"/>
      <c r="CK34" s="1083"/>
      <c r="CL34" s="1083"/>
      <c r="CM34" s="1083"/>
      <c r="CN34" s="1083"/>
      <c r="CO34" s="1083"/>
      <c r="CP34" s="1083"/>
    </row>
    <row r="35" spans="2:94" hidden="1" x14ac:dyDescent="0.25">
      <c r="H35" s="76"/>
      <c r="I35" s="76"/>
      <c r="J35" s="76"/>
      <c r="K35" s="76"/>
      <c r="L35" s="76"/>
      <c r="M35" s="76"/>
      <c r="N35" s="76"/>
      <c r="O35" s="76"/>
      <c r="P35" s="76"/>
      <c r="Q35" s="1083"/>
      <c r="R35" s="1083"/>
      <c r="S35" s="1083"/>
      <c r="T35" s="1083"/>
      <c r="U35" s="1083"/>
      <c r="V35" s="1083"/>
      <c r="W35" s="1083"/>
      <c r="X35" s="1083"/>
      <c r="Y35" s="1083"/>
      <c r="Z35" s="1083"/>
      <c r="AA35" s="1083"/>
      <c r="AB35" s="1083"/>
      <c r="AC35" s="1083"/>
      <c r="AD35" s="1083"/>
      <c r="AE35" s="1083"/>
      <c r="AF35" s="1083"/>
      <c r="AG35" s="1083"/>
      <c r="AH35" s="1083"/>
      <c r="AI35" s="1083"/>
      <c r="AJ35" s="1083"/>
      <c r="AK35" s="1083"/>
      <c r="AL35" s="1083"/>
      <c r="AM35" s="1083"/>
      <c r="AN35" s="1083"/>
      <c r="AO35" s="1083"/>
      <c r="AP35" s="1083"/>
      <c r="AQ35" s="1083"/>
      <c r="AR35" s="1083"/>
      <c r="AS35" s="1083"/>
      <c r="AT35" s="1083"/>
      <c r="AU35" s="1083"/>
      <c r="AV35" s="1083"/>
      <c r="AW35" s="1083"/>
      <c r="AX35" s="1083"/>
      <c r="AY35" s="1083"/>
      <c r="AZ35" s="1083"/>
      <c r="BA35" s="1083"/>
      <c r="BB35" s="1083"/>
      <c r="BC35" s="1083"/>
      <c r="BD35" s="1083"/>
      <c r="BE35" s="1083"/>
      <c r="BF35" s="1083"/>
      <c r="BG35" s="1083"/>
      <c r="BH35" s="1083"/>
      <c r="BI35" s="1083"/>
      <c r="BJ35" s="1083"/>
      <c r="BK35" s="1083"/>
      <c r="BL35" s="1083"/>
      <c r="BM35" s="1083"/>
      <c r="BN35" s="1083"/>
      <c r="BO35" s="1083"/>
      <c r="BP35" s="1083"/>
      <c r="BQ35" s="1083"/>
      <c r="BR35" s="1083"/>
      <c r="BS35" s="1083"/>
      <c r="BT35" s="1083"/>
      <c r="BU35" s="1083"/>
      <c r="BV35" s="1083"/>
      <c r="BW35" s="1083"/>
      <c r="BX35" s="1083"/>
      <c r="BY35" s="1083"/>
      <c r="BZ35" s="1083"/>
      <c r="CA35" s="1083"/>
      <c r="CB35" s="1083"/>
      <c r="CC35" s="1083"/>
      <c r="CD35" s="1083"/>
      <c r="CE35" s="1083"/>
      <c r="CF35" s="1083"/>
      <c r="CG35" s="1083"/>
      <c r="CH35" s="1083"/>
      <c r="CI35" s="1083"/>
      <c r="CJ35" s="1083"/>
      <c r="CK35" s="1083"/>
      <c r="CL35" s="1083"/>
      <c r="CM35" s="1083"/>
      <c r="CN35" s="1083"/>
      <c r="CO35" s="1083"/>
      <c r="CP35" s="1083"/>
    </row>
    <row r="36" spans="2:94" ht="15" customHeight="1" x14ac:dyDescent="0.25">
      <c r="H36" s="1095"/>
      <c r="I36" s="1095"/>
      <c r="J36" s="1095"/>
      <c r="K36" s="1095"/>
      <c r="L36" s="1095"/>
      <c r="M36" s="1095"/>
      <c r="N36" s="1095"/>
      <c r="O36" s="1095"/>
      <c r="P36" s="1095"/>
      <c r="Q36" s="1095"/>
      <c r="R36" s="1095"/>
      <c r="S36" s="1095"/>
      <c r="T36" s="1095"/>
      <c r="U36" s="1095"/>
      <c r="V36" s="1095"/>
      <c r="W36" s="1095"/>
      <c r="X36" s="1095"/>
      <c r="Y36" s="1095"/>
      <c r="Z36" s="1095"/>
      <c r="AA36" s="1095"/>
      <c r="AB36" s="1095"/>
      <c r="AC36" s="1095"/>
      <c r="AD36" s="1095"/>
      <c r="AE36" s="1095"/>
      <c r="AF36" s="1096"/>
      <c r="AG36" s="1096"/>
      <c r="AH36" s="1096"/>
      <c r="AI36" s="1096"/>
      <c r="AJ36" s="1096"/>
      <c r="AK36" s="1096"/>
      <c r="AL36" s="1096"/>
      <c r="AM36" s="1096"/>
      <c r="AN36" s="1096"/>
      <c r="AO36" s="1096"/>
      <c r="AP36" s="1096"/>
      <c r="AQ36" s="1096"/>
      <c r="AR36" s="1096"/>
      <c r="AS36" s="1096"/>
      <c r="AT36" s="1096"/>
      <c r="AU36" s="1096"/>
      <c r="AV36" s="1096"/>
      <c r="AW36" s="1096"/>
      <c r="AX36" s="1096"/>
      <c r="AY36" s="1095"/>
      <c r="AZ36" s="1095"/>
      <c r="BA36" s="1095"/>
      <c r="BB36" s="1095"/>
      <c r="BC36" s="1095"/>
      <c r="BD36" s="1095"/>
      <c r="BE36" s="1095"/>
      <c r="BF36" s="1095"/>
      <c r="BG36" s="1095"/>
      <c r="BH36" s="1095"/>
      <c r="BI36" s="1095"/>
      <c r="BJ36" s="1095"/>
      <c r="BK36" s="1095"/>
      <c r="BL36" s="1095"/>
      <c r="BM36" s="1095"/>
      <c r="BN36" s="1095"/>
      <c r="BO36" s="1095"/>
      <c r="BP36" s="1095"/>
      <c r="BQ36" s="1095"/>
      <c r="BR36" s="1095"/>
      <c r="BS36" s="1095"/>
      <c r="BT36" s="1095"/>
      <c r="BU36" s="1095"/>
      <c r="BV36" s="1095"/>
      <c r="BW36" s="1095"/>
      <c r="BX36" s="1095"/>
      <c r="BY36" s="1095"/>
      <c r="BZ36" s="1095"/>
      <c r="CA36" s="1095"/>
      <c r="CB36" s="1095"/>
      <c r="CC36" s="1095"/>
      <c r="CD36" s="1095"/>
      <c r="CE36" s="1095"/>
      <c r="CF36" s="1095"/>
      <c r="CG36" s="1095"/>
      <c r="CH36" s="1095"/>
      <c r="CI36" s="1095"/>
      <c r="CJ36" s="1095"/>
      <c r="CK36" s="1095"/>
      <c r="CL36" s="1095"/>
      <c r="CM36" s="1095"/>
      <c r="CN36" s="1095"/>
      <c r="CO36" s="1095"/>
      <c r="CP36" s="1095"/>
    </row>
    <row r="37" spans="2:94" x14ac:dyDescent="0.25">
      <c r="H37" s="76"/>
      <c r="I37" s="76"/>
      <c r="J37" s="76"/>
      <c r="Q37" s="1083"/>
      <c r="R37" s="1083"/>
      <c r="S37" s="1083"/>
      <c r="T37" s="1083"/>
      <c r="U37" s="1083"/>
      <c r="V37" s="1083"/>
      <c r="W37" s="1083"/>
      <c r="X37" s="1083"/>
      <c r="Y37" s="1083"/>
      <c r="Z37" s="1083"/>
      <c r="AA37" s="1083"/>
      <c r="AB37" s="1083"/>
      <c r="AC37" s="1083"/>
      <c r="AD37" s="1083"/>
      <c r="AE37" s="1083"/>
      <c r="AF37" s="1083"/>
      <c r="AG37" s="1083"/>
      <c r="AH37" s="1083"/>
      <c r="AI37" s="1083"/>
      <c r="AJ37" s="1083"/>
      <c r="AK37" s="1083"/>
      <c r="AL37" s="1083"/>
      <c r="AM37" s="1083"/>
      <c r="AN37" s="1083"/>
      <c r="AO37" s="1083"/>
      <c r="AP37" s="1083"/>
      <c r="AQ37" s="1083"/>
      <c r="AR37" s="1083"/>
      <c r="AS37" s="1083"/>
      <c r="AT37" s="1083"/>
      <c r="AU37" s="1083"/>
      <c r="AV37" s="1083"/>
      <c r="AW37" s="1083"/>
      <c r="AX37" s="1083"/>
      <c r="AY37" s="1083"/>
      <c r="AZ37" s="1083"/>
      <c r="BA37" s="1083"/>
      <c r="BB37" s="1083"/>
      <c r="BC37" s="1083"/>
      <c r="BD37" s="1083"/>
      <c r="BE37" s="1083"/>
      <c r="BF37" s="1083"/>
      <c r="BG37" s="1083"/>
      <c r="BH37" s="1083"/>
      <c r="BI37" s="1083"/>
      <c r="BJ37" s="1083"/>
      <c r="BK37" s="1083"/>
      <c r="BL37" s="1083"/>
      <c r="BM37" s="1083"/>
      <c r="BN37" s="1083"/>
      <c r="BO37" s="1083"/>
      <c r="BP37" s="1083"/>
      <c r="BQ37" s="1083"/>
      <c r="BR37" s="1083"/>
      <c r="BS37" s="1083"/>
      <c r="BT37" s="1083"/>
      <c r="BU37" s="1083"/>
      <c r="BV37" s="1083"/>
      <c r="BW37" s="1083"/>
      <c r="BX37" s="1083"/>
      <c r="BY37" s="1083"/>
      <c r="BZ37" s="1083"/>
      <c r="CA37" s="1083"/>
      <c r="CB37" s="1083"/>
      <c r="CC37" s="1083"/>
      <c r="CD37" s="1083"/>
      <c r="CE37" s="1083"/>
      <c r="CF37" s="1083"/>
      <c r="CG37" s="1083"/>
      <c r="CH37" s="1083"/>
      <c r="CI37" s="1083"/>
      <c r="CJ37" s="1083"/>
      <c r="CK37" s="1083"/>
      <c r="CL37" s="1083"/>
      <c r="CM37" s="1083"/>
      <c r="CN37" s="1083"/>
      <c r="CO37" s="1083"/>
      <c r="CP37" s="1083"/>
    </row>
    <row r="38" spans="2:94" ht="30" customHeight="1" x14ac:dyDescent="0.25">
      <c r="H38" s="1097"/>
      <c r="I38" s="1097"/>
      <c r="J38" s="1097"/>
      <c r="Q38" s="1080" t="s">
        <v>71</v>
      </c>
      <c r="R38" s="1080"/>
      <c r="S38" s="1080"/>
      <c r="T38" s="1080"/>
      <c r="U38" s="1080"/>
      <c r="V38" s="1080"/>
      <c r="W38" s="1080"/>
      <c r="X38" s="1080"/>
      <c r="Y38" s="1080"/>
      <c r="Z38" s="1080"/>
      <c r="AA38" s="1080"/>
      <c r="AB38" s="1080"/>
      <c r="AC38" s="1080"/>
      <c r="AD38" s="1080"/>
      <c r="AE38" s="1080"/>
      <c r="AF38" s="1080"/>
      <c r="AG38" s="1080"/>
      <c r="AH38" s="1080"/>
      <c r="AI38" s="1080"/>
      <c r="AJ38" s="1080"/>
      <c r="AK38" s="1080"/>
      <c r="AL38" s="1080"/>
      <c r="AM38" s="1080"/>
      <c r="AN38" s="1080"/>
      <c r="AO38" s="1080"/>
      <c r="AP38" s="1080"/>
      <c r="AQ38" s="1080"/>
      <c r="AR38" s="1080"/>
      <c r="AS38" s="1080"/>
      <c r="AT38" s="1080"/>
      <c r="AU38" s="1080"/>
      <c r="AV38" s="1080"/>
      <c r="AW38" s="1080"/>
      <c r="AX38" s="1080"/>
      <c r="AY38" s="1080"/>
      <c r="AZ38" s="1080"/>
      <c r="BA38" s="1080"/>
      <c r="BB38" s="1080"/>
      <c r="BC38" s="1080"/>
      <c r="BD38" s="1080"/>
      <c r="BE38" s="1080"/>
      <c r="BF38" s="1080"/>
      <c r="BG38" s="1080"/>
      <c r="BH38" s="1080"/>
      <c r="BI38" s="1080"/>
      <c r="BJ38" s="1080"/>
      <c r="BK38" s="1080"/>
      <c r="BL38" s="1080"/>
      <c r="BM38" s="1080"/>
      <c r="BN38" s="1080"/>
      <c r="BO38" s="1080"/>
      <c r="BP38" s="1080"/>
      <c r="BQ38" s="1080"/>
      <c r="BR38" s="1080"/>
      <c r="BS38" s="1080"/>
      <c r="BT38" s="1080"/>
      <c r="BU38" s="1080"/>
      <c r="BV38" s="1080"/>
      <c r="BW38" s="1080"/>
      <c r="BX38" s="1080"/>
      <c r="BY38" s="1080"/>
      <c r="BZ38" s="1080"/>
      <c r="CA38" s="1080"/>
      <c r="CB38" s="1080"/>
      <c r="CC38" s="1080"/>
      <c r="CD38" s="1080"/>
      <c r="CE38" s="1080"/>
      <c r="CF38" s="1080"/>
      <c r="CG38" s="1080"/>
      <c r="CH38" s="1080"/>
      <c r="CI38" s="1080"/>
      <c r="CJ38" s="1080"/>
      <c r="CK38" s="1080"/>
      <c r="CL38" s="1080"/>
      <c r="CM38" s="1080"/>
      <c r="CN38" s="1080"/>
      <c r="CO38" s="1080"/>
      <c r="CP38" s="1080"/>
    </row>
    <row r="39" spans="2:94" x14ac:dyDescent="0.25">
      <c r="H39" s="1095"/>
      <c r="I39" s="1095"/>
      <c r="J39" s="1095"/>
      <c r="Q39" s="1098"/>
      <c r="R39" s="1098"/>
      <c r="S39" s="1098"/>
      <c r="T39" s="1098"/>
      <c r="U39" s="1098"/>
      <c r="V39" s="1098"/>
      <c r="W39" s="1098"/>
      <c r="X39" s="1098"/>
      <c r="Y39" s="1098"/>
      <c r="Z39" s="1098"/>
      <c r="AA39" s="1098"/>
      <c r="AB39" s="1098"/>
      <c r="AC39" s="1098"/>
      <c r="AD39" s="1098"/>
      <c r="AE39" s="1098"/>
      <c r="AF39" s="1098"/>
      <c r="AG39" s="1098"/>
      <c r="AH39" s="1098"/>
      <c r="AI39" s="1098"/>
      <c r="AJ39" s="1098"/>
      <c r="AK39" s="1098"/>
      <c r="AL39" s="1098"/>
      <c r="AM39" s="1098"/>
      <c r="AN39" s="1098"/>
      <c r="AO39" s="1098"/>
      <c r="AP39" s="1098"/>
      <c r="AQ39" s="1098"/>
      <c r="AR39" s="1098"/>
      <c r="AS39" s="1098"/>
      <c r="AT39" s="1098"/>
      <c r="AU39" s="1098"/>
      <c r="AV39" s="1098"/>
      <c r="AW39" s="1098"/>
      <c r="AX39" s="1098"/>
      <c r="AY39" s="1098"/>
      <c r="AZ39" s="1098"/>
      <c r="BA39" s="1098"/>
      <c r="BB39" s="1098"/>
      <c r="BC39" s="1098"/>
      <c r="BD39" s="1098"/>
      <c r="BE39" s="1098"/>
      <c r="BF39" s="1098"/>
      <c r="BG39" s="1098"/>
      <c r="BH39" s="1098"/>
      <c r="BI39" s="1098"/>
      <c r="BJ39" s="1098"/>
      <c r="BK39" s="1098"/>
      <c r="BL39" s="1098"/>
      <c r="BM39" s="1098"/>
      <c r="BN39" s="1098"/>
      <c r="BO39" s="1098"/>
      <c r="BP39" s="1098"/>
      <c r="BQ39" s="1098"/>
      <c r="BR39" s="1098"/>
      <c r="BS39" s="1098"/>
      <c r="BT39" s="1098"/>
      <c r="BU39" s="1098"/>
      <c r="BV39" s="1098"/>
      <c r="BW39" s="1098"/>
      <c r="BX39" s="1098"/>
      <c r="BY39" s="1098"/>
      <c r="BZ39" s="1098"/>
      <c r="CA39" s="1098"/>
      <c r="CB39" s="1098"/>
      <c r="CC39" s="1098"/>
      <c r="CD39" s="1098"/>
      <c r="CE39" s="1098"/>
      <c r="CF39" s="1098"/>
      <c r="CG39" s="1098"/>
      <c r="CH39" s="1098"/>
      <c r="CI39" s="1098"/>
      <c r="CJ39" s="1098"/>
      <c r="CK39" s="1098"/>
      <c r="CL39" s="1098"/>
      <c r="CM39" s="1098"/>
      <c r="CN39" s="1098"/>
      <c r="CO39" s="1098"/>
      <c r="CP39" s="1098"/>
    </row>
    <row r="40" spans="2:94" x14ac:dyDescent="0.25">
      <c r="H40" s="1095"/>
      <c r="I40" s="1095"/>
      <c r="J40" s="1095"/>
      <c r="Q40" s="1098"/>
      <c r="R40" s="1098"/>
      <c r="S40" s="1098"/>
      <c r="T40" s="1098"/>
      <c r="U40" s="1098"/>
      <c r="V40" s="1098"/>
      <c r="W40" s="1098"/>
      <c r="X40" s="1098"/>
      <c r="Y40" s="1098"/>
      <c r="Z40" s="1098"/>
      <c r="AA40" s="1098"/>
      <c r="AB40" s="1098"/>
      <c r="AC40" s="1098"/>
      <c r="AD40" s="1098"/>
      <c r="AE40" s="1098"/>
      <c r="AF40" s="1098"/>
      <c r="AG40" s="1098"/>
      <c r="AH40" s="1098"/>
      <c r="AI40" s="1098"/>
      <c r="AJ40" s="1098"/>
      <c r="AK40" s="1098"/>
      <c r="AL40" s="1099"/>
      <c r="AM40" s="1100"/>
      <c r="AN40" s="1100"/>
      <c r="AO40" s="1100"/>
      <c r="AP40" s="1100"/>
      <c r="AQ40" s="1100"/>
      <c r="AR40" s="1100"/>
      <c r="AS40" s="1100"/>
      <c r="AT40" s="1100"/>
      <c r="AU40" s="1099"/>
      <c r="AV40" s="1100"/>
      <c r="AW40" s="1100"/>
      <c r="AX40" s="1100"/>
      <c r="AY40" s="1100"/>
      <c r="AZ40" s="1100"/>
      <c r="BA40" s="1100"/>
      <c r="BB40" s="1100"/>
      <c r="BC40" s="1100"/>
      <c r="BD40" s="1099"/>
      <c r="BE40" s="1100"/>
      <c r="BF40" s="1100"/>
      <c r="BG40" s="1100"/>
      <c r="BH40" s="1100"/>
      <c r="BI40" s="1100"/>
      <c r="BJ40" s="1100"/>
      <c r="BK40" s="1100"/>
      <c r="BL40" s="1100"/>
      <c r="BM40" s="1099"/>
      <c r="BN40" s="1100"/>
      <c r="BO40" s="1100"/>
      <c r="BP40" s="1100"/>
      <c r="BQ40" s="1100"/>
      <c r="BR40" s="1100"/>
      <c r="BS40" s="1100"/>
      <c r="BT40" s="1100"/>
      <c r="BU40" s="1100"/>
      <c r="BV40" s="1099"/>
      <c r="BW40" s="1100"/>
      <c r="BX40" s="1100"/>
      <c r="BY40" s="1100"/>
      <c r="BZ40" s="1100"/>
      <c r="CA40" s="1100"/>
      <c r="CB40" s="1100"/>
      <c r="CC40" s="1100"/>
      <c r="CD40" s="1100"/>
      <c r="CE40" s="1098"/>
      <c r="CF40" s="1098"/>
      <c r="CG40" s="1098"/>
      <c r="CH40" s="1098"/>
      <c r="CI40" s="1098"/>
      <c r="CJ40" s="1098"/>
      <c r="CK40" s="1098"/>
      <c r="CL40" s="1098"/>
      <c r="CM40" s="1098"/>
      <c r="CN40" s="1098"/>
      <c r="CO40" s="1098"/>
      <c r="CP40" s="1098"/>
    </row>
    <row r="41" spans="2:94" ht="15.75" customHeight="1" x14ac:dyDescent="0.25">
      <c r="B41" s="75"/>
      <c r="H41" s="1095"/>
      <c r="I41" s="1095"/>
      <c r="J41" s="1095"/>
      <c r="Q41" s="1101"/>
      <c r="R41" s="1101"/>
      <c r="S41" s="1101"/>
      <c r="T41" s="1101"/>
      <c r="U41" s="1101"/>
      <c r="V41" s="1101"/>
      <c r="W41" s="1098"/>
      <c r="X41" s="1098"/>
      <c r="Y41" s="1098"/>
      <c r="Z41" s="1518" t="s">
        <v>72</v>
      </c>
      <c r="AA41" s="1518"/>
      <c r="AB41" s="1518"/>
      <c r="AC41" s="1518"/>
      <c r="AD41" s="1518"/>
      <c r="AE41" s="1518"/>
      <c r="AF41" s="1518"/>
      <c r="AG41" s="1518"/>
      <c r="AH41" s="1518"/>
      <c r="AI41" s="1518"/>
      <c r="AJ41" s="1102"/>
      <c r="AK41" s="1102"/>
      <c r="AL41" s="1525" t="s">
        <v>73</v>
      </c>
      <c r="AM41" s="1525"/>
      <c r="AN41" s="1525"/>
      <c r="AO41" s="1525"/>
      <c r="AP41" s="1525"/>
      <c r="AQ41" s="1525"/>
      <c r="AR41" s="1525"/>
      <c r="AS41" s="1525"/>
      <c r="AT41" s="1103"/>
      <c r="AU41" s="1526" t="str">
        <f ca="1">FRCP_y2</f>
        <v>2027-28</v>
      </c>
      <c r="AV41" s="1526"/>
      <c r="AW41" s="1526"/>
      <c r="AX41" s="1526"/>
      <c r="AY41" s="1526"/>
      <c r="AZ41" s="1526"/>
      <c r="BA41" s="1526"/>
      <c r="BB41" s="1526"/>
      <c r="BC41" s="1103"/>
      <c r="BD41" s="1526" t="str">
        <f ca="1">FRCP_y3</f>
        <v>2028-29</v>
      </c>
      <c r="BE41" s="1526"/>
      <c r="BF41" s="1526"/>
      <c r="BG41" s="1526"/>
      <c r="BH41" s="1526"/>
      <c r="BI41" s="1526"/>
      <c r="BJ41" s="1526"/>
      <c r="BK41" s="1526"/>
      <c r="BL41" s="1103"/>
      <c r="BM41" s="1526" t="str">
        <f ca="1">FRCP_y4</f>
        <v>2029-30</v>
      </c>
      <c r="BN41" s="1526"/>
      <c r="BO41" s="1526"/>
      <c r="BP41" s="1526"/>
      <c r="BQ41" s="1526"/>
      <c r="BR41" s="1526"/>
      <c r="BS41" s="1526"/>
      <c r="BT41" s="1526"/>
      <c r="BU41" s="1103"/>
      <c r="BV41" s="1516" t="str">
        <f ca="1">FRCP_y5</f>
        <v>2030-31</v>
      </c>
      <c r="BW41" s="1517"/>
      <c r="BX41" s="1517"/>
      <c r="BY41" s="1517"/>
      <c r="BZ41" s="1517"/>
      <c r="CA41" s="1517"/>
      <c r="CB41" s="1517"/>
      <c r="CC41" s="1517"/>
      <c r="CD41" s="1098"/>
      <c r="CE41" s="1098"/>
      <c r="CF41" s="1098"/>
      <c r="CG41" s="1098"/>
      <c r="CH41" s="1098"/>
      <c r="CI41" s="1098"/>
      <c r="CJ41" s="1098"/>
      <c r="CK41" s="1098"/>
      <c r="CL41" s="1098"/>
      <c r="CM41" s="1098"/>
      <c r="CN41" s="1098"/>
      <c r="CO41" s="1098"/>
      <c r="CP41" s="1098"/>
    </row>
    <row r="42" spans="2:94" ht="17.45" hidden="1" customHeight="1" x14ac:dyDescent="0.25">
      <c r="B42" s="75"/>
      <c r="H42" s="1095"/>
      <c r="I42" s="1095"/>
      <c r="J42" s="1095"/>
      <c r="Q42" s="1101"/>
      <c r="R42" s="1101"/>
      <c r="S42" s="1101"/>
      <c r="T42" s="1101"/>
      <c r="U42" s="1101"/>
      <c r="V42" s="1101"/>
      <c r="W42" s="1098"/>
      <c r="X42" s="1098"/>
      <c r="Y42" s="1098"/>
      <c r="Z42" s="1102"/>
      <c r="AA42" s="1104"/>
      <c r="AB42" s="1104"/>
      <c r="AC42" s="1104"/>
      <c r="AD42" s="1104"/>
      <c r="AE42" s="1104"/>
      <c r="AF42" s="1104"/>
      <c r="AG42" s="1104"/>
      <c r="AH42" s="1104"/>
      <c r="AI42" s="1104"/>
      <c r="AJ42" s="1104"/>
      <c r="AK42" s="1104"/>
      <c r="AL42" s="1516" t="str">
        <f ca="1">FRCP_y6</f>
        <v>2031-32</v>
      </c>
      <c r="AM42" s="1517"/>
      <c r="AN42" s="1517"/>
      <c r="AO42" s="1517"/>
      <c r="AP42" s="1517"/>
      <c r="AQ42" s="1517"/>
      <c r="AR42" s="1517"/>
      <c r="AS42" s="1517"/>
      <c r="AT42" s="1105"/>
      <c r="AU42" s="1516" t="str">
        <f ca="1">FRCP_y7</f>
        <v>2032-33</v>
      </c>
      <c r="AV42" s="1517"/>
      <c r="AW42" s="1517"/>
      <c r="AX42" s="1517"/>
      <c r="AY42" s="1517"/>
      <c r="AZ42" s="1517"/>
      <c r="BA42" s="1517"/>
      <c r="BB42" s="1517"/>
      <c r="BC42" s="1105"/>
      <c r="BD42" s="1516" t="str">
        <f ca="1">FRCP_y8</f>
        <v>2033-34</v>
      </c>
      <c r="BE42" s="1517"/>
      <c r="BF42" s="1517"/>
      <c r="BG42" s="1517"/>
      <c r="BH42" s="1517"/>
      <c r="BI42" s="1517"/>
      <c r="BJ42" s="1517"/>
      <c r="BK42" s="1517"/>
      <c r="BL42" s="1106"/>
      <c r="BM42" s="1516" t="str">
        <f ca="1">FRCP_y9</f>
        <v>2034-35</v>
      </c>
      <c r="BN42" s="1517"/>
      <c r="BO42" s="1517"/>
      <c r="BP42" s="1517"/>
      <c r="BQ42" s="1517"/>
      <c r="BR42" s="1517"/>
      <c r="BS42" s="1517"/>
      <c r="BT42" s="1517"/>
      <c r="BU42" s="1106"/>
      <c r="BV42" s="1516" t="str">
        <f ca="1">FRCP_y10</f>
        <v>2035-36</v>
      </c>
      <c r="BW42" s="1517"/>
      <c r="BX42" s="1517"/>
      <c r="BY42" s="1517"/>
      <c r="BZ42" s="1517"/>
      <c r="CA42" s="1517"/>
      <c r="CB42" s="1517"/>
      <c r="CC42" s="1517"/>
      <c r="CD42" s="1098"/>
      <c r="CE42" s="1098"/>
      <c r="CF42" s="1098"/>
      <c r="CG42" s="1098"/>
      <c r="CH42" s="1098"/>
      <c r="CI42" s="1098"/>
      <c r="CJ42" s="1098"/>
      <c r="CK42" s="1098"/>
      <c r="CL42" s="1098"/>
      <c r="CM42" s="1098"/>
      <c r="CN42" s="1098"/>
      <c r="CO42" s="1098"/>
      <c r="CP42" s="1098"/>
    </row>
    <row r="43" spans="2:94" ht="15" hidden="1" customHeight="1" x14ac:dyDescent="0.25">
      <c r="H43" s="1095"/>
      <c r="I43" s="1095"/>
      <c r="J43" s="1095"/>
      <c r="Q43" s="1101"/>
      <c r="R43" s="1101"/>
      <c r="S43" s="1101"/>
      <c r="T43" s="1101"/>
      <c r="U43" s="1101"/>
      <c r="V43" s="1101"/>
      <c r="W43" s="1098"/>
      <c r="X43" s="1098"/>
      <c r="Y43" s="1098"/>
      <c r="Z43" s="1102"/>
      <c r="AA43" s="1102"/>
      <c r="AB43" s="1102"/>
      <c r="AC43" s="1102"/>
      <c r="AD43" s="1102"/>
      <c r="AE43" s="1102"/>
      <c r="AF43" s="1102"/>
      <c r="AG43" s="1102"/>
      <c r="AH43" s="1102"/>
      <c r="AI43" s="1102"/>
      <c r="AJ43" s="1102"/>
      <c r="AK43" s="1102"/>
      <c r="AL43" s="1516" t="str">
        <f ca="1">FRCP_y11</f>
        <v>2036-37</v>
      </c>
      <c r="AM43" s="1517"/>
      <c r="AN43" s="1517"/>
      <c r="AO43" s="1517"/>
      <c r="AP43" s="1517"/>
      <c r="AQ43" s="1517"/>
      <c r="AR43" s="1517"/>
      <c r="AS43" s="1517"/>
      <c r="AT43" s="1107"/>
      <c r="AU43" s="1516" t="str">
        <f ca="1">FRCP_y12</f>
        <v>2037-38</v>
      </c>
      <c r="AV43" s="1517"/>
      <c r="AW43" s="1517"/>
      <c r="AX43" s="1517"/>
      <c r="AY43" s="1517"/>
      <c r="AZ43" s="1517"/>
      <c r="BA43" s="1517"/>
      <c r="BB43" s="1517"/>
      <c r="BC43" s="1107"/>
      <c r="BD43" s="1516" t="str">
        <f ca="1">FRCP_y13</f>
        <v>2038-39</v>
      </c>
      <c r="BE43" s="1517"/>
      <c r="BF43" s="1517"/>
      <c r="BG43" s="1517"/>
      <c r="BH43" s="1517"/>
      <c r="BI43" s="1517"/>
      <c r="BJ43" s="1517"/>
      <c r="BK43" s="1517"/>
      <c r="BL43" s="1107"/>
      <c r="BM43" s="1516" t="str">
        <f ca="1">FRCP_y14</f>
        <v>2039-40</v>
      </c>
      <c r="BN43" s="1517"/>
      <c r="BO43" s="1517"/>
      <c r="BP43" s="1517"/>
      <c r="BQ43" s="1517"/>
      <c r="BR43" s="1517"/>
      <c r="BS43" s="1517"/>
      <c r="BT43" s="1517"/>
      <c r="BU43" s="1107"/>
      <c r="BV43" s="1516" t="e">
        <f>FRCP_y15</f>
        <v>#NAME?</v>
      </c>
      <c r="BW43" s="1517"/>
      <c r="BX43" s="1517"/>
      <c r="BY43" s="1517"/>
      <c r="BZ43" s="1517"/>
      <c r="CA43" s="1517"/>
      <c r="CB43" s="1517"/>
      <c r="CC43" s="1517"/>
      <c r="CD43" s="1098"/>
      <c r="CE43" s="1098"/>
      <c r="CF43" s="1098"/>
      <c r="CG43" s="1098"/>
      <c r="CH43" s="1098"/>
      <c r="CI43" s="1098"/>
      <c r="CJ43" s="1098"/>
      <c r="CK43" s="1098"/>
      <c r="CL43" s="1098"/>
      <c r="CM43" s="1098"/>
      <c r="CN43" s="1098"/>
      <c r="CO43" s="1098"/>
      <c r="CP43" s="1101"/>
    </row>
    <row r="44" spans="2:94" ht="15" customHeight="1" x14ac:dyDescent="0.25">
      <c r="B44" s="75"/>
      <c r="H44" s="1095"/>
      <c r="I44" s="1095"/>
      <c r="J44" s="1095"/>
      <c r="Q44" s="1101"/>
      <c r="R44" s="1101"/>
      <c r="S44" s="1101"/>
      <c r="T44" s="1101"/>
      <c r="U44" s="1101"/>
      <c r="V44" s="1101"/>
      <c r="W44" s="1098"/>
      <c r="X44" s="1098"/>
      <c r="Y44" s="1098"/>
      <c r="Z44" s="1102"/>
      <c r="AA44" s="1102"/>
      <c r="AB44" s="1102"/>
      <c r="AC44" s="1102"/>
      <c r="AD44" s="1102"/>
      <c r="AE44" s="1102"/>
      <c r="AF44" s="1102"/>
      <c r="AG44" s="1102"/>
      <c r="AH44" s="1102"/>
      <c r="AI44" s="1102"/>
      <c r="AJ44" s="1102"/>
      <c r="AK44" s="1102"/>
      <c r="AL44" s="1108"/>
      <c r="AM44" s="1107"/>
      <c r="AN44" s="1107"/>
      <c r="AO44" s="1107"/>
      <c r="AP44" s="1107"/>
      <c r="AQ44" s="1107"/>
      <c r="AR44" s="1107"/>
      <c r="AS44" s="1107"/>
      <c r="AT44" s="1107"/>
      <c r="AU44" s="1108"/>
      <c r="AV44" s="1107"/>
      <c r="AW44" s="1107"/>
      <c r="AX44" s="1107"/>
      <c r="AY44" s="1107"/>
      <c r="AZ44" s="1107"/>
      <c r="BA44" s="1107"/>
      <c r="BB44" s="1107"/>
      <c r="BC44" s="1107"/>
      <c r="BD44" s="1108"/>
      <c r="BE44" s="1107"/>
      <c r="BF44" s="1107"/>
      <c r="BG44" s="1107"/>
      <c r="BH44" s="1107"/>
      <c r="BI44" s="1107"/>
      <c r="BJ44" s="1107"/>
      <c r="BK44" s="1107"/>
      <c r="BL44" s="1107"/>
      <c r="BM44" s="1108"/>
      <c r="BN44" s="1107"/>
      <c r="BO44" s="1107"/>
      <c r="BP44" s="1107"/>
      <c r="BQ44" s="1107"/>
      <c r="BR44" s="1107"/>
      <c r="BS44" s="1107"/>
      <c r="BT44" s="1107"/>
      <c r="BU44" s="1107"/>
      <c r="BV44" s="1108"/>
      <c r="BW44" s="1107"/>
      <c r="BX44" s="1107"/>
      <c r="BY44" s="1107"/>
      <c r="BZ44" s="1107"/>
      <c r="CA44" s="1107"/>
      <c r="CB44" s="1107"/>
      <c r="CC44" s="1107"/>
      <c r="CD44" s="1098"/>
      <c r="CE44" s="1098"/>
      <c r="CF44" s="1098"/>
      <c r="CG44" s="1098"/>
      <c r="CH44" s="1098"/>
      <c r="CI44" s="1098"/>
      <c r="CJ44" s="1098"/>
      <c r="CK44" s="1098"/>
      <c r="CL44" s="1098"/>
      <c r="CM44" s="1098"/>
      <c r="CN44" s="1098"/>
      <c r="CO44" s="1098"/>
      <c r="CP44" s="1101"/>
    </row>
    <row r="45" spans="2:94" ht="15" customHeight="1" x14ac:dyDescent="0.25">
      <c r="B45" s="75"/>
      <c r="H45" s="1095"/>
      <c r="I45" s="1095"/>
      <c r="J45" s="1095"/>
      <c r="Q45" s="1101"/>
      <c r="R45" s="1101"/>
      <c r="S45" s="1101"/>
      <c r="T45" s="1101"/>
      <c r="U45" s="1101"/>
      <c r="V45" s="1101"/>
      <c r="W45" s="1098"/>
      <c r="X45" s="1098"/>
      <c r="Y45" s="1098"/>
      <c r="Z45" s="1518"/>
      <c r="AA45" s="1518"/>
      <c r="AB45" s="1518"/>
      <c r="AC45" s="1518"/>
      <c r="AD45" s="1518"/>
      <c r="AE45" s="1518"/>
      <c r="AF45" s="1518"/>
      <c r="AG45" s="1518"/>
      <c r="AH45" s="1518"/>
      <c r="AI45" s="1518"/>
      <c r="AJ45" s="1102"/>
      <c r="AK45" s="1102"/>
      <c r="AL45" s="1108"/>
      <c r="AM45" s="1107"/>
      <c r="AN45" s="1107"/>
      <c r="AO45" s="1107"/>
      <c r="AP45" s="1107"/>
      <c r="AQ45" s="1107"/>
      <c r="AR45" s="1107"/>
      <c r="AS45" s="1107"/>
      <c r="AT45" s="1107"/>
      <c r="AU45" s="1108"/>
      <c r="AV45" s="1107"/>
      <c r="AW45" s="1107"/>
      <c r="AX45" s="1107"/>
      <c r="AY45" s="1107"/>
      <c r="AZ45" s="1107"/>
      <c r="BA45" s="1107"/>
      <c r="BB45" s="1107"/>
      <c r="BC45" s="1107"/>
      <c r="BD45" s="1108"/>
      <c r="BE45" s="1107"/>
      <c r="BF45" s="1107"/>
      <c r="BG45" s="1107"/>
      <c r="BH45" s="1107"/>
      <c r="BI45" s="1107"/>
      <c r="BJ45" s="1107"/>
      <c r="BK45" s="1107"/>
      <c r="BL45" s="1107"/>
      <c r="BM45" s="1108"/>
      <c r="BN45" s="1107"/>
      <c r="BO45" s="1107"/>
      <c r="BP45" s="1107"/>
      <c r="BQ45" s="1107"/>
      <c r="BR45" s="1107"/>
      <c r="BS45" s="1107"/>
      <c r="BT45" s="1107"/>
      <c r="BU45" s="1107"/>
      <c r="BV45" s="1108"/>
      <c r="BW45" s="1107"/>
      <c r="BX45" s="1107"/>
      <c r="BY45" s="1107"/>
      <c r="BZ45" s="1107"/>
      <c r="CA45" s="1107"/>
      <c r="CB45" s="1107"/>
      <c r="CC45" s="1107"/>
      <c r="CD45" s="1098"/>
      <c r="CE45" s="1098"/>
      <c r="CF45" s="1098"/>
      <c r="CG45" s="1098"/>
      <c r="CH45" s="1098"/>
      <c r="CI45" s="1098"/>
      <c r="CJ45" s="1098"/>
      <c r="CK45" s="1098"/>
      <c r="CL45" s="1098"/>
      <c r="CM45" s="1098"/>
      <c r="CN45" s="1098"/>
      <c r="CO45" s="1098"/>
      <c r="CP45" s="1101"/>
    </row>
    <row r="46" spans="2:94" ht="15" customHeight="1" x14ac:dyDescent="0.25">
      <c r="B46" s="75"/>
      <c r="H46" s="1095"/>
      <c r="I46" s="1095"/>
      <c r="J46" s="1095"/>
      <c r="Q46" s="1101"/>
      <c r="R46" s="1101"/>
      <c r="S46" s="1101"/>
      <c r="T46" s="1101"/>
      <c r="U46" s="1101"/>
      <c r="V46" s="1101"/>
      <c r="W46" s="1098"/>
      <c r="X46" s="1098"/>
      <c r="Y46" s="1098"/>
      <c r="Z46" s="1102"/>
      <c r="AA46" s="1102"/>
      <c r="AB46" s="1102"/>
      <c r="AC46" s="1102"/>
      <c r="AD46" s="1102"/>
      <c r="AE46" s="1102"/>
      <c r="AF46" s="1102"/>
      <c r="AG46" s="1102"/>
      <c r="AH46" s="1102"/>
      <c r="AI46" s="1102"/>
      <c r="AJ46" s="1102"/>
      <c r="AK46" s="1102"/>
      <c r="AL46" s="1108"/>
      <c r="AM46" s="1107"/>
      <c r="AN46" s="1107"/>
      <c r="AO46" s="1107"/>
      <c r="AP46" s="1107"/>
      <c r="AQ46" s="1107"/>
      <c r="AR46" s="1107"/>
      <c r="AS46" s="1107"/>
      <c r="AT46" s="1107"/>
      <c r="AU46" s="1108"/>
      <c r="AV46" s="1107"/>
      <c r="AW46" s="1107"/>
      <c r="AX46" s="1107"/>
      <c r="AY46" s="1107"/>
      <c r="AZ46" s="1107"/>
      <c r="BA46" s="1107"/>
      <c r="BB46" s="1107"/>
      <c r="BC46" s="1107"/>
      <c r="BD46" s="1108"/>
      <c r="BE46" s="1107"/>
      <c r="BF46" s="1107"/>
      <c r="BG46" s="1107"/>
      <c r="BH46" s="1107"/>
      <c r="BI46" s="1107"/>
      <c r="BJ46" s="1107"/>
      <c r="BK46" s="1107"/>
      <c r="BL46" s="1107"/>
      <c r="BM46" s="1108"/>
      <c r="BN46" s="1107"/>
      <c r="BO46" s="1107"/>
      <c r="BP46" s="1107"/>
      <c r="BQ46" s="1107"/>
      <c r="BR46" s="1107"/>
      <c r="BS46" s="1107"/>
      <c r="BT46" s="1107"/>
      <c r="BU46" s="1107"/>
      <c r="BV46" s="1108"/>
      <c r="BW46" s="1107"/>
      <c r="BX46" s="1107"/>
      <c r="BY46" s="1107"/>
      <c r="BZ46" s="1107"/>
      <c r="CA46" s="1107"/>
      <c r="CB46" s="1107"/>
      <c r="CC46" s="1107"/>
      <c r="CD46" s="1098"/>
      <c r="CE46" s="1098"/>
      <c r="CF46" s="1098"/>
      <c r="CG46" s="1098"/>
      <c r="CH46" s="1098"/>
      <c r="CI46" s="1098"/>
      <c r="CJ46" s="1098"/>
      <c r="CK46" s="1098"/>
      <c r="CL46" s="1098"/>
      <c r="CM46" s="1098"/>
      <c r="CN46" s="1098"/>
      <c r="CO46" s="1098"/>
      <c r="CP46" s="1101"/>
    </row>
    <row r="47" spans="2:94" ht="15.75" customHeight="1" x14ac:dyDescent="0.25">
      <c r="B47" s="75"/>
      <c r="H47" s="1095"/>
      <c r="I47" s="1095"/>
      <c r="J47" s="1095"/>
      <c r="Q47" s="1101"/>
      <c r="R47" s="1101"/>
      <c r="S47" s="1101"/>
      <c r="T47" s="1101"/>
      <c r="U47" s="1101"/>
      <c r="V47" s="1101"/>
      <c r="W47" s="1098"/>
      <c r="X47" s="1101" t="s">
        <v>74</v>
      </c>
      <c r="Y47" s="1098"/>
      <c r="Z47" s="1518" t="s">
        <v>75</v>
      </c>
      <c r="AA47" s="1518"/>
      <c r="AB47" s="1518"/>
      <c r="AC47" s="1518"/>
      <c r="AD47" s="1518"/>
      <c r="AE47" s="1518"/>
      <c r="AF47" s="1518"/>
      <c r="AG47" s="1518"/>
      <c r="AH47" s="1518"/>
      <c r="AI47" s="1518"/>
      <c r="AJ47" s="1102"/>
      <c r="AK47" s="1102"/>
      <c r="AL47" s="1526" t="str">
        <f ca="1">CRCP_y1</f>
        <v>2021-22</v>
      </c>
      <c r="AM47" s="1526"/>
      <c r="AN47" s="1526"/>
      <c r="AO47" s="1526"/>
      <c r="AP47" s="1526"/>
      <c r="AQ47" s="1526"/>
      <c r="AR47" s="1526"/>
      <c r="AS47" s="1526"/>
      <c r="AT47" s="1103"/>
      <c r="AU47" s="1526" t="str">
        <f ca="1">CRCP_y2</f>
        <v>2022-23</v>
      </c>
      <c r="AV47" s="1526"/>
      <c r="AW47" s="1526"/>
      <c r="AX47" s="1526"/>
      <c r="AY47" s="1526"/>
      <c r="AZ47" s="1526"/>
      <c r="BA47" s="1526"/>
      <c r="BB47" s="1526"/>
      <c r="BC47" s="1103"/>
      <c r="BD47" s="1526" t="str">
        <f ca="1">CRCP_y3</f>
        <v>2023-24</v>
      </c>
      <c r="BE47" s="1526"/>
      <c r="BF47" s="1526"/>
      <c r="BG47" s="1526"/>
      <c r="BH47" s="1526"/>
      <c r="BI47" s="1526"/>
      <c r="BJ47" s="1526"/>
      <c r="BK47" s="1526"/>
      <c r="BL47" s="1103"/>
      <c r="BM47" s="1526" t="str">
        <f ca="1">CRCP_y4</f>
        <v>2024-25</v>
      </c>
      <c r="BN47" s="1526"/>
      <c r="BO47" s="1526"/>
      <c r="BP47" s="1526"/>
      <c r="BQ47" s="1526"/>
      <c r="BR47" s="1526"/>
      <c r="BS47" s="1526"/>
      <c r="BT47" s="1526"/>
      <c r="BU47" s="1103"/>
      <c r="BV47" s="1526" t="str">
        <f ca="1">CRCP_y5</f>
        <v>2025-26</v>
      </c>
      <c r="BW47" s="1526"/>
      <c r="BX47" s="1526"/>
      <c r="BY47" s="1526"/>
      <c r="BZ47" s="1526"/>
      <c r="CA47" s="1526"/>
      <c r="CB47" s="1526"/>
      <c r="CC47" s="1526"/>
      <c r="CD47" s="1098"/>
      <c r="CE47" s="1098"/>
      <c r="CF47" s="1098"/>
      <c r="CG47" s="1098"/>
      <c r="CH47" s="1098"/>
      <c r="CI47" s="1098"/>
      <c r="CJ47" s="1098"/>
      <c r="CK47" s="1098"/>
      <c r="CL47" s="1098"/>
      <c r="CM47" s="1098"/>
      <c r="CN47" s="1098"/>
      <c r="CO47" s="1098"/>
      <c r="CP47" s="1101"/>
    </row>
    <row r="48" spans="2:94" ht="15" customHeight="1" x14ac:dyDescent="0.25">
      <c r="H48" s="1095"/>
      <c r="I48" s="1095"/>
      <c r="J48" s="1095"/>
      <c r="Q48" s="1101"/>
      <c r="R48" s="1101"/>
      <c r="S48" s="1101"/>
      <c r="T48" s="1101"/>
      <c r="U48" s="1101"/>
      <c r="V48" s="1101"/>
      <c r="W48" s="1098"/>
      <c r="X48" s="1098"/>
      <c r="Y48" s="1098"/>
      <c r="Z48" s="1102"/>
      <c r="AA48" s="1102"/>
      <c r="AB48" s="1102"/>
      <c r="AC48" s="1102"/>
      <c r="AD48" s="1102"/>
      <c r="AE48" s="1102"/>
      <c r="AF48" s="1102"/>
      <c r="AG48" s="1102"/>
      <c r="AH48" s="1102"/>
      <c r="AI48" s="1102"/>
      <c r="AJ48" s="1102"/>
      <c r="AK48" s="1102"/>
      <c r="AL48" s="1516" t="str">
        <f ca="1">CRCP_y6</f>
        <v>2026-27</v>
      </c>
      <c r="AM48" s="1517"/>
      <c r="AN48" s="1517"/>
      <c r="AO48" s="1517"/>
      <c r="AP48" s="1517"/>
      <c r="AQ48" s="1517"/>
      <c r="AR48" s="1517"/>
      <c r="AS48" s="1517"/>
      <c r="AT48" s="1109"/>
      <c r="AU48" s="1516" t="str">
        <f ca="1">CRCP_y7</f>
        <v>2027-28</v>
      </c>
      <c r="AV48" s="1517"/>
      <c r="AW48" s="1517"/>
      <c r="AX48" s="1517"/>
      <c r="AY48" s="1517"/>
      <c r="AZ48" s="1517"/>
      <c r="BA48" s="1517"/>
      <c r="BB48" s="1517"/>
      <c r="BC48" s="1110"/>
      <c r="BD48" s="1516" t="str">
        <f ca="1">CRCP_y8</f>
        <v>2028-29</v>
      </c>
      <c r="BE48" s="1517"/>
      <c r="BF48" s="1517"/>
      <c r="BG48" s="1517"/>
      <c r="BH48" s="1517"/>
      <c r="BI48" s="1517"/>
      <c r="BJ48" s="1517"/>
      <c r="BK48" s="1517"/>
      <c r="BL48" s="1110"/>
      <c r="BM48" s="1516" t="str">
        <f ca="1">CRCP_y9</f>
        <v>2029-30</v>
      </c>
      <c r="BN48" s="1517"/>
      <c r="BO48" s="1517"/>
      <c r="BP48" s="1517"/>
      <c r="BQ48" s="1517"/>
      <c r="BR48" s="1517"/>
      <c r="BS48" s="1517"/>
      <c r="BT48" s="1517"/>
      <c r="BU48" s="1110"/>
      <c r="BV48" s="1516" t="str">
        <f ca="1">CRCP_y10</f>
        <v>2030-31</v>
      </c>
      <c r="BW48" s="1517"/>
      <c r="BX48" s="1517"/>
      <c r="BY48" s="1517"/>
      <c r="BZ48" s="1517"/>
      <c r="CA48" s="1517"/>
      <c r="CB48" s="1517"/>
      <c r="CC48" s="1517"/>
      <c r="CD48" s="1098"/>
      <c r="CE48" s="1098"/>
      <c r="CF48" s="1098"/>
      <c r="CG48" s="1098"/>
      <c r="CH48" s="1098"/>
      <c r="CI48" s="1098"/>
      <c r="CJ48" s="1098"/>
      <c r="CK48" s="1098"/>
      <c r="CL48" s="1098"/>
      <c r="CM48" s="1098"/>
      <c r="CN48" s="1098"/>
      <c r="CO48" s="1098"/>
      <c r="CP48" s="1101"/>
    </row>
    <row r="49" spans="5:94" ht="15" customHeight="1" x14ac:dyDescent="0.25">
      <c r="H49" s="1095"/>
      <c r="I49" s="1095"/>
      <c r="J49" s="1095"/>
      <c r="Q49" s="1101"/>
      <c r="R49" s="1101"/>
      <c r="S49" s="1101"/>
      <c r="T49" s="1101"/>
      <c r="U49" s="1101"/>
      <c r="V49" s="1101"/>
      <c r="W49" s="1098"/>
      <c r="X49" s="1098"/>
      <c r="Y49" s="1098"/>
      <c r="Z49" s="1102"/>
      <c r="AA49" s="1102"/>
      <c r="AB49" s="1102"/>
      <c r="AC49" s="1102"/>
      <c r="AD49" s="1102"/>
      <c r="AE49" s="1102"/>
      <c r="AF49" s="1102"/>
      <c r="AG49" s="1102"/>
      <c r="AH49" s="1102"/>
      <c r="AI49" s="1102"/>
      <c r="AJ49" s="1102"/>
      <c r="AK49" s="1102"/>
      <c r="AL49" s="1516" t="str">
        <f ca="1">CRCP_y11</f>
        <v>2031-32</v>
      </c>
      <c r="AM49" s="1517"/>
      <c r="AN49" s="1517"/>
      <c r="AO49" s="1517"/>
      <c r="AP49" s="1517"/>
      <c r="AQ49" s="1517"/>
      <c r="AR49" s="1517"/>
      <c r="AS49" s="1517"/>
      <c r="AT49" s="1109"/>
      <c r="AU49" s="1516" t="str">
        <f ca="1">CRCP_y12</f>
        <v>2032-33</v>
      </c>
      <c r="AV49" s="1517"/>
      <c r="AW49" s="1517"/>
      <c r="AX49" s="1517"/>
      <c r="AY49" s="1517"/>
      <c r="AZ49" s="1517"/>
      <c r="BA49" s="1517"/>
      <c r="BB49" s="1517"/>
      <c r="BC49" s="1110"/>
      <c r="BD49" s="1516" t="str">
        <f ca="1">CRCP_y13</f>
        <v>2033-34</v>
      </c>
      <c r="BE49" s="1517"/>
      <c r="BF49" s="1517"/>
      <c r="BG49" s="1517"/>
      <c r="BH49" s="1517"/>
      <c r="BI49" s="1517"/>
      <c r="BJ49" s="1517"/>
      <c r="BK49" s="1517"/>
      <c r="BL49" s="1110"/>
      <c r="BM49" s="1516" t="str">
        <f ca="1">CRCP_y14</f>
        <v>2034-35</v>
      </c>
      <c r="BN49" s="1517"/>
      <c r="BO49" s="1517"/>
      <c r="BP49" s="1517"/>
      <c r="BQ49" s="1517"/>
      <c r="BR49" s="1517"/>
      <c r="BS49" s="1517"/>
      <c r="BT49" s="1517"/>
      <c r="BU49" s="1110"/>
      <c r="BV49" s="1516" t="str">
        <f ca="1">CRCP_y15</f>
        <v>2035-36</v>
      </c>
      <c r="BW49" s="1517"/>
      <c r="BX49" s="1517"/>
      <c r="BY49" s="1517"/>
      <c r="BZ49" s="1517"/>
      <c r="CA49" s="1517"/>
      <c r="CB49" s="1517"/>
      <c r="CC49" s="1517"/>
      <c r="CD49" s="1098"/>
      <c r="CE49" s="1098"/>
      <c r="CF49" s="1098"/>
      <c r="CG49" s="1098"/>
      <c r="CH49" s="1098"/>
      <c r="CI49" s="1098"/>
      <c r="CJ49" s="1098"/>
      <c r="CK49" s="1098"/>
      <c r="CL49" s="1098"/>
      <c r="CM49" s="1098"/>
      <c r="CN49" s="1098"/>
      <c r="CO49" s="1098"/>
      <c r="CP49" s="1101"/>
    </row>
    <row r="50" spans="5:94" ht="15" customHeight="1" x14ac:dyDescent="0.25">
      <c r="H50" s="1095"/>
      <c r="I50" s="1095"/>
      <c r="J50" s="1095"/>
      <c r="Q50" s="1101"/>
      <c r="R50" s="1101"/>
      <c r="S50" s="1101"/>
      <c r="T50" s="1101"/>
      <c r="U50" s="1101"/>
      <c r="V50" s="1101"/>
      <c r="W50" s="1098"/>
      <c r="X50" s="1098"/>
      <c r="Y50" s="1098"/>
      <c r="Z50" s="1102"/>
      <c r="AA50" s="1102"/>
      <c r="AB50" s="1102"/>
      <c r="AC50" s="1102"/>
      <c r="AD50" s="1102"/>
      <c r="AE50" s="1102"/>
      <c r="AF50" s="1102"/>
      <c r="AG50" s="1102"/>
      <c r="AH50" s="1102"/>
      <c r="AI50" s="1102"/>
      <c r="AJ50" s="1102"/>
      <c r="AK50" s="1102"/>
      <c r="AL50" s="1106"/>
      <c r="AM50" s="1106"/>
      <c r="AN50" s="1106"/>
      <c r="AO50" s="1106"/>
      <c r="AP50" s="1106"/>
      <c r="AQ50" s="1106"/>
      <c r="AR50" s="1106"/>
      <c r="AS50" s="1106"/>
      <c r="AT50" s="1106"/>
      <c r="AU50" s="1106"/>
      <c r="AV50" s="1106"/>
      <c r="AW50" s="1106"/>
      <c r="AX50" s="1106"/>
      <c r="AY50" s="1106"/>
      <c r="AZ50" s="1106"/>
      <c r="BA50" s="1106"/>
      <c r="BB50" s="1106"/>
      <c r="BC50" s="1106"/>
      <c r="BD50" s="1106"/>
      <c r="BE50" s="1106"/>
      <c r="BF50" s="1106"/>
      <c r="BG50" s="1106"/>
      <c r="BH50" s="1106"/>
      <c r="BI50" s="1106"/>
      <c r="BJ50" s="1106"/>
      <c r="BK50" s="1106"/>
      <c r="BL50" s="1106"/>
      <c r="BM50" s="1106"/>
      <c r="BN50" s="1106"/>
      <c r="BO50" s="1106"/>
      <c r="BP50" s="1106"/>
      <c r="BQ50" s="1106"/>
      <c r="BR50" s="1106"/>
      <c r="BS50" s="1106"/>
      <c r="BT50" s="1106"/>
      <c r="BU50" s="1106"/>
      <c r="BV50" s="1106"/>
      <c r="BW50" s="1106"/>
      <c r="BX50" s="1106"/>
      <c r="BY50" s="1106"/>
      <c r="BZ50" s="1106"/>
      <c r="CA50" s="1106"/>
      <c r="CB50" s="1106"/>
      <c r="CC50" s="1111"/>
      <c r="CD50" s="1098"/>
      <c r="CE50" s="1098"/>
      <c r="CF50" s="1098"/>
      <c r="CG50" s="1098"/>
      <c r="CH50" s="1098"/>
      <c r="CI50" s="1098"/>
      <c r="CJ50" s="1098"/>
      <c r="CK50" s="1098"/>
      <c r="CL50" s="1098"/>
      <c r="CM50" s="1098"/>
      <c r="CN50" s="1098"/>
      <c r="CO50" s="1098"/>
      <c r="CP50" s="1101"/>
    </row>
    <row r="51" spans="5:94" ht="15.75" customHeight="1" x14ac:dyDescent="0.25">
      <c r="H51" s="1095"/>
      <c r="I51" s="1095"/>
      <c r="J51" s="1095"/>
      <c r="Q51" s="1101"/>
      <c r="R51" s="1101"/>
      <c r="S51" s="1101"/>
      <c r="T51" s="1101"/>
      <c r="U51" s="1101"/>
      <c r="V51" s="1101"/>
      <c r="W51" s="1098"/>
      <c r="X51" s="1098"/>
      <c r="Y51" s="1098"/>
      <c r="Z51" s="1518" t="s">
        <v>76</v>
      </c>
      <c r="AA51" s="1518"/>
      <c r="AB51" s="1518"/>
      <c r="AC51" s="1518"/>
      <c r="AD51" s="1518"/>
      <c r="AE51" s="1518"/>
      <c r="AF51" s="1518"/>
      <c r="AG51" s="1518"/>
      <c r="AH51" s="1518"/>
      <c r="AI51" s="1518"/>
      <c r="AJ51" s="1102"/>
      <c r="AK51" s="1102"/>
      <c r="AL51" s="1526" t="str">
        <f ca="1">PRCP_y1</f>
        <v>2016-17</v>
      </c>
      <c r="AM51" s="1526"/>
      <c r="AN51" s="1526"/>
      <c r="AO51" s="1526"/>
      <c r="AP51" s="1526"/>
      <c r="AQ51" s="1526"/>
      <c r="AR51" s="1526"/>
      <c r="AS51" s="1526"/>
      <c r="AT51" s="1103"/>
      <c r="AU51" s="1526" t="str">
        <f ca="1">PRCP_y2</f>
        <v>2017-18</v>
      </c>
      <c r="AV51" s="1526"/>
      <c r="AW51" s="1526"/>
      <c r="AX51" s="1526"/>
      <c r="AY51" s="1526"/>
      <c r="AZ51" s="1526"/>
      <c r="BA51" s="1526"/>
      <c r="BB51" s="1526"/>
      <c r="BC51" s="1103"/>
      <c r="BD51" s="1526" t="str">
        <f ca="1">PRCP_y3</f>
        <v>2018-19</v>
      </c>
      <c r="BE51" s="1526"/>
      <c r="BF51" s="1526"/>
      <c r="BG51" s="1526"/>
      <c r="BH51" s="1526"/>
      <c r="BI51" s="1526"/>
      <c r="BJ51" s="1526"/>
      <c r="BK51" s="1526"/>
      <c r="BL51" s="1103"/>
      <c r="BM51" s="1526" t="str">
        <f ca="1">PRCP_y4</f>
        <v>2019-20</v>
      </c>
      <c r="BN51" s="1526"/>
      <c r="BO51" s="1526"/>
      <c r="BP51" s="1526"/>
      <c r="BQ51" s="1526"/>
      <c r="BR51" s="1526"/>
      <c r="BS51" s="1526"/>
      <c r="BT51" s="1526"/>
      <c r="BU51" s="1103"/>
      <c r="BV51" s="1526" t="str">
        <f ca="1">PRCP_y5</f>
        <v>2020-21</v>
      </c>
      <c r="BW51" s="1526"/>
      <c r="BX51" s="1526"/>
      <c r="BY51" s="1526"/>
      <c r="BZ51" s="1526"/>
      <c r="CA51" s="1526"/>
      <c r="CB51" s="1526"/>
      <c r="CC51" s="1526"/>
      <c r="CD51" s="1098"/>
      <c r="CE51" s="1098"/>
      <c r="CF51" s="1098"/>
      <c r="CG51" s="1098"/>
      <c r="CH51" s="1098"/>
      <c r="CI51" s="1098"/>
      <c r="CJ51" s="1098"/>
      <c r="CK51" s="1098"/>
      <c r="CL51" s="1098"/>
      <c r="CM51" s="1098"/>
      <c r="CN51" s="1098"/>
      <c r="CO51" s="1098"/>
      <c r="CP51" s="1101"/>
    </row>
    <row r="52" spans="5:94" ht="15.6" customHeight="1" x14ac:dyDescent="0.25">
      <c r="H52" s="1095"/>
      <c r="I52" s="1095"/>
      <c r="J52" s="1095"/>
      <c r="Q52" s="1098"/>
      <c r="R52" s="1098"/>
      <c r="S52" s="1098"/>
      <c r="T52" s="1098"/>
      <c r="U52" s="1098"/>
      <c r="V52" s="1098"/>
      <c r="W52" s="1098"/>
      <c r="X52" s="1098"/>
      <c r="Y52" s="1098"/>
      <c r="Z52" s="1102"/>
      <c r="AA52" s="1102"/>
      <c r="AB52" s="1102"/>
      <c r="AC52" s="1102"/>
      <c r="AD52" s="1102"/>
      <c r="AE52" s="1102"/>
      <c r="AF52" s="1102"/>
      <c r="AG52" s="1102"/>
      <c r="AH52" s="1102"/>
      <c r="AI52" s="1102"/>
      <c r="AJ52" s="1102"/>
      <c r="AK52" s="1102"/>
      <c r="AL52" s="1516" t="str">
        <f ca="1">PRCP_y6</f>
        <v>2021-22</v>
      </c>
      <c r="AM52" s="1517"/>
      <c r="AN52" s="1517"/>
      <c r="AO52" s="1517"/>
      <c r="AP52" s="1517"/>
      <c r="AQ52" s="1517"/>
      <c r="AR52" s="1517"/>
      <c r="AS52" s="1517"/>
      <c r="AT52" s="1109"/>
      <c r="AU52" s="1516" t="str">
        <f ca="1">PRCP_y7</f>
        <v>2022-23</v>
      </c>
      <c r="AV52" s="1517"/>
      <c r="AW52" s="1517"/>
      <c r="AX52" s="1517"/>
      <c r="AY52" s="1517"/>
      <c r="AZ52" s="1517"/>
      <c r="BA52" s="1517"/>
      <c r="BB52" s="1517"/>
      <c r="BC52" s="1110"/>
      <c r="BD52" s="1516" t="str">
        <f ca="1">PRCP_y8</f>
        <v>2023-24</v>
      </c>
      <c r="BE52" s="1517"/>
      <c r="BF52" s="1517"/>
      <c r="BG52" s="1517"/>
      <c r="BH52" s="1517"/>
      <c r="BI52" s="1517"/>
      <c r="BJ52" s="1517"/>
      <c r="BK52" s="1517"/>
      <c r="BL52" s="1110"/>
      <c r="BM52" s="1516" t="str">
        <f ca="1">PRCP_y9</f>
        <v>2024-25</v>
      </c>
      <c r="BN52" s="1517"/>
      <c r="BO52" s="1517"/>
      <c r="BP52" s="1517"/>
      <c r="BQ52" s="1517"/>
      <c r="BR52" s="1517"/>
      <c r="BS52" s="1517"/>
      <c r="BT52" s="1517"/>
      <c r="BU52" s="1110"/>
      <c r="BV52" s="1516" t="str">
        <f ca="1">PRCP_y10</f>
        <v>2025-26</v>
      </c>
      <c r="BW52" s="1517"/>
      <c r="BX52" s="1517"/>
      <c r="BY52" s="1517"/>
      <c r="BZ52" s="1517"/>
      <c r="CA52" s="1517"/>
      <c r="CB52" s="1517"/>
      <c r="CC52" s="1517"/>
      <c r="CD52" s="1098"/>
      <c r="CE52" s="1098"/>
      <c r="CF52" s="1098"/>
      <c r="CG52" s="1098"/>
      <c r="CH52" s="1098"/>
      <c r="CI52" s="1098"/>
      <c r="CJ52" s="1098"/>
      <c r="CK52" s="1098"/>
      <c r="CL52" s="1098"/>
      <c r="CM52" s="1098"/>
      <c r="CN52" s="1098"/>
      <c r="CO52" s="1098"/>
      <c r="CP52" s="1098"/>
    </row>
    <row r="53" spans="5:94" ht="15.6" customHeight="1" x14ac:dyDescent="0.25">
      <c r="H53" s="1095"/>
      <c r="I53" s="1095"/>
      <c r="J53" s="1095"/>
      <c r="Q53" s="1098"/>
      <c r="R53" s="1098"/>
      <c r="S53" s="1098"/>
      <c r="T53" s="1098"/>
      <c r="U53" s="1098"/>
      <c r="V53" s="1098"/>
      <c r="W53" s="1098"/>
      <c r="X53" s="1098"/>
      <c r="Y53" s="1098"/>
      <c r="Z53" s="1102"/>
      <c r="AA53" s="1102"/>
      <c r="AB53" s="1102"/>
      <c r="AC53" s="1102"/>
      <c r="AD53" s="1102"/>
      <c r="AE53" s="1102"/>
      <c r="AF53" s="1102"/>
      <c r="AG53" s="1102"/>
      <c r="AH53" s="1102"/>
      <c r="AI53" s="1102"/>
      <c r="AJ53" s="1102"/>
      <c r="AK53" s="1102"/>
      <c r="AL53" s="1516" t="str">
        <f ca="1">PRCP_y11</f>
        <v>2026-27</v>
      </c>
      <c r="AM53" s="1517"/>
      <c r="AN53" s="1517"/>
      <c r="AO53" s="1517"/>
      <c r="AP53" s="1517"/>
      <c r="AQ53" s="1517"/>
      <c r="AR53" s="1517"/>
      <c r="AS53" s="1517"/>
      <c r="AT53" s="1109"/>
      <c r="AU53" s="1516" t="str">
        <f ca="1">PRCP_y12</f>
        <v>2027-28</v>
      </c>
      <c r="AV53" s="1517"/>
      <c r="AW53" s="1517"/>
      <c r="AX53" s="1517"/>
      <c r="AY53" s="1517"/>
      <c r="AZ53" s="1517"/>
      <c r="BA53" s="1517"/>
      <c r="BB53" s="1517"/>
      <c r="BC53" s="1110"/>
      <c r="BD53" s="1516" t="str">
        <f ca="1">PRCP_y13</f>
        <v>2028-29</v>
      </c>
      <c r="BE53" s="1517"/>
      <c r="BF53" s="1517"/>
      <c r="BG53" s="1517"/>
      <c r="BH53" s="1517"/>
      <c r="BI53" s="1517"/>
      <c r="BJ53" s="1517"/>
      <c r="BK53" s="1517"/>
      <c r="BL53" s="1110"/>
      <c r="BM53" s="1516" t="str">
        <f ca="1">PRCP_y14</f>
        <v>2029-30</v>
      </c>
      <c r="BN53" s="1517"/>
      <c r="BO53" s="1517"/>
      <c r="BP53" s="1517"/>
      <c r="BQ53" s="1517"/>
      <c r="BR53" s="1517"/>
      <c r="BS53" s="1517"/>
      <c r="BT53" s="1517"/>
      <c r="BU53" s="1110"/>
      <c r="BV53" s="1516" t="str">
        <f ca="1">PRCP_y15</f>
        <v>2030-31</v>
      </c>
      <c r="BW53" s="1517"/>
      <c r="BX53" s="1517"/>
      <c r="BY53" s="1517"/>
      <c r="BZ53" s="1517"/>
      <c r="CA53" s="1517"/>
      <c r="CB53" s="1517"/>
      <c r="CC53" s="1517"/>
      <c r="CD53" s="1098"/>
      <c r="CE53" s="1098"/>
      <c r="CF53" s="1098"/>
      <c r="CG53" s="1098"/>
      <c r="CH53" s="1098"/>
      <c r="CI53" s="1098"/>
      <c r="CJ53" s="1098"/>
      <c r="CK53" s="1098"/>
      <c r="CL53" s="1098"/>
      <c r="CM53" s="1098"/>
      <c r="CN53" s="1098"/>
      <c r="CO53" s="1098"/>
      <c r="CP53" s="1098"/>
    </row>
    <row r="54" spans="5:94" ht="15" hidden="1" customHeight="1" x14ac:dyDescent="0.25">
      <c r="E54" s="1112"/>
      <c r="H54" s="1095"/>
      <c r="I54" s="1095"/>
      <c r="J54" s="1095"/>
      <c r="Q54" s="1098"/>
      <c r="R54" s="1098"/>
      <c r="S54" s="1098"/>
      <c r="T54" s="1098"/>
      <c r="U54" s="1098"/>
      <c r="V54" s="1098"/>
      <c r="W54" s="1098"/>
      <c r="X54" s="1098"/>
      <c r="Y54" s="1098"/>
      <c r="Z54" s="1102"/>
      <c r="AA54" s="1102"/>
      <c r="AB54" s="1102"/>
      <c r="AC54" s="1102"/>
      <c r="AD54" s="1102"/>
      <c r="AE54" s="1102"/>
      <c r="AF54" s="1102"/>
      <c r="AG54" s="1102"/>
      <c r="AH54" s="1102"/>
      <c r="AI54" s="1102"/>
      <c r="AJ54" s="1102"/>
      <c r="AK54" s="1102"/>
      <c r="AL54" s="1102"/>
      <c r="AM54" s="1102"/>
      <c r="AN54" s="1102"/>
      <c r="AO54" s="1102"/>
      <c r="AP54" s="1102"/>
      <c r="AQ54" s="1102"/>
      <c r="AR54" s="1102"/>
      <c r="AS54" s="1098"/>
      <c r="AT54" s="1098"/>
      <c r="AU54" s="1098"/>
      <c r="AV54" s="1098"/>
      <c r="AW54" s="1098"/>
      <c r="AX54" s="1098"/>
      <c r="AY54" s="1098"/>
      <c r="AZ54" s="1098"/>
      <c r="BA54" s="1098"/>
      <c r="BB54" s="1098"/>
      <c r="BC54" s="1098"/>
      <c r="BD54" s="1098"/>
      <c r="BE54" s="1098"/>
      <c r="BF54" s="1098"/>
      <c r="BG54" s="1098"/>
      <c r="BH54" s="1098"/>
      <c r="BI54" s="1098"/>
      <c r="BJ54" s="1098"/>
      <c r="BK54" s="1098"/>
      <c r="BL54" s="1098"/>
      <c r="BM54" s="1098"/>
      <c r="BN54" s="1098"/>
      <c r="BO54" s="1098"/>
      <c r="BP54" s="1098"/>
      <c r="BQ54" s="1098"/>
      <c r="BR54" s="1098"/>
      <c r="BS54" s="1098"/>
      <c r="BT54" s="1098"/>
      <c r="BU54" s="1098"/>
      <c r="BV54" s="1098"/>
      <c r="BW54" s="1098"/>
      <c r="BX54" s="1098"/>
      <c r="BY54" s="1098"/>
      <c r="BZ54" s="1098"/>
      <c r="CA54" s="1098"/>
      <c r="CB54" s="1098"/>
      <c r="CC54" s="1098"/>
      <c r="CD54" s="1098"/>
      <c r="CE54" s="1098"/>
      <c r="CF54" s="1098"/>
      <c r="CG54" s="1098"/>
      <c r="CH54" s="1098"/>
      <c r="CI54" s="1098"/>
      <c r="CJ54" s="1098"/>
      <c r="CK54" s="1098"/>
      <c r="CL54" s="1098"/>
      <c r="CM54" s="1098"/>
      <c r="CN54" s="1098"/>
      <c r="CO54" s="1098"/>
      <c r="CP54" s="1098"/>
    </row>
    <row r="55" spans="5:94" ht="15.75" hidden="1" customHeight="1" x14ac:dyDescent="0.25">
      <c r="H55" s="1095"/>
      <c r="I55" s="1095"/>
      <c r="J55" s="1095"/>
      <c r="Q55" s="1101"/>
      <c r="R55" s="1101"/>
      <c r="S55" s="1101"/>
      <c r="T55" s="1101"/>
      <c r="U55" s="1101"/>
      <c r="V55" s="1101"/>
      <c r="W55" s="1113"/>
      <c r="X55" s="1101"/>
      <c r="Y55" s="1098"/>
      <c r="Z55" s="1518" t="s">
        <v>77</v>
      </c>
      <c r="AA55" s="1518"/>
      <c r="AB55" s="1518"/>
      <c r="AC55" s="1518"/>
      <c r="AD55" s="1518"/>
      <c r="AE55" s="1518"/>
      <c r="AF55" s="1518"/>
      <c r="AG55" s="1518"/>
      <c r="AH55" s="1518"/>
      <c r="AI55" s="1518"/>
      <c r="AJ55" s="1102"/>
      <c r="AK55" s="1102"/>
      <c r="AL55" s="1525" t="s">
        <v>78</v>
      </c>
      <c r="AM55" s="1525"/>
      <c r="AN55" s="1525"/>
      <c r="AO55" s="1525"/>
      <c r="AP55" s="1525"/>
      <c r="AQ55" s="1525"/>
      <c r="AR55" s="1525"/>
      <c r="AS55" s="1525"/>
      <c r="AT55" s="1098"/>
      <c r="AU55" s="1098"/>
      <c r="AV55" s="1098"/>
      <c r="AW55" s="1098"/>
      <c r="AX55" s="1098"/>
      <c r="AY55" s="1098"/>
      <c r="AZ55" s="1098"/>
      <c r="BA55" s="1098"/>
      <c r="BB55" s="1098"/>
      <c r="BC55" s="1098"/>
      <c r="BD55" s="1098"/>
      <c r="BE55" s="1098"/>
      <c r="BF55" s="1098"/>
      <c r="BG55" s="1098"/>
      <c r="BH55" s="1098"/>
      <c r="BI55" s="1098"/>
      <c r="BJ55" s="1098"/>
      <c r="BK55" s="1098"/>
      <c r="BL55" s="1098"/>
      <c r="BM55" s="1098"/>
      <c r="BN55" s="1098"/>
      <c r="BO55" s="1098"/>
      <c r="BP55" s="1098"/>
      <c r="BQ55" s="1098"/>
      <c r="BR55" s="1098"/>
      <c r="BS55" s="1098"/>
      <c r="BT55" s="1098"/>
      <c r="BU55" s="1098"/>
      <c r="BV55" s="1098"/>
      <c r="BW55" s="1098"/>
      <c r="BX55" s="1098"/>
      <c r="BY55" s="1098"/>
      <c r="BZ55" s="1098"/>
      <c r="CA55" s="1098"/>
      <c r="CB55" s="1098"/>
      <c r="CC55" s="1098"/>
      <c r="CD55" s="1098"/>
      <c r="CE55" s="1098"/>
      <c r="CF55" s="1098"/>
      <c r="CG55" s="1098"/>
      <c r="CH55" s="1098"/>
      <c r="CI55" s="1098"/>
      <c r="CJ55" s="1098"/>
      <c r="CK55" s="1098"/>
      <c r="CL55" s="1098"/>
      <c r="CM55" s="1098"/>
      <c r="CN55" s="1098"/>
      <c r="CO55" s="1098"/>
      <c r="CP55" s="1098"/>
    </row>
    <row r="56" spans="5:94" ht="15.75" hidden="1" customHeight="1" x14ac:dyDescent="0.25">
      <c r="H56" s="1095"/>
      <c r="I56" s="1095"/>
      <c r="J56" s="1095"/>
      <c r="Q56" s="1101"/>
      <c r="R56" s="1101"/>
      <c r="S56" s="1101"/>
      <c r="T56" s="1101"/>
      <c r="U56" s="1101"/>
      <c r="V56" s="1101"/>
      <c r="W56" s="1113"/>
      <c r="X56" s="1101" t="s">
        <v>79</v>
      </c>
      <c r="Y56" s="1098"/>
      <c r="Z56" s="1102"/>
      <c r="AA56" s="1102"/>
      <c r="AB56" s="1102"/>
      <c r="AC56" s="1102"/>
      <c r="AD56" s="1102"/>
      <c r="AE56" s="1102"/>
      <c r="AF56" s="1102"/>
      <c r="AG56" s="1102"/>
      <c r="AH56" s="1102"/>
      <c r="AI56" s="1102"/>
      <c r="AJ56" s="1102"/>
      <c r="AK56" s="1102"/>
      <c r="AL56" s="1102"/>
      <c r="AM56" s="1102"/>
      <c r="AN56" s="1102"/>
      <c r="AO56" s="1102"/>
      <c r="AP56" s="1102"/>
      <c r="AQ56" s="1102"/>
      <c r="AR56" s="1102"/>
      <c r="AS56" s="1098"/>
      <c r="AT56" s="1098"/>
      <c r="AU56" s="1098"/>
      <c r="AV56" s="1098"/>
      <c r="AW56" s="1098"/>
      <c r="AX56" s="1098"/>
      <c r="AY56" s="1098"/>
      <c r="AZ56" s="1098"/>
      <c r="BA56" s="1098"/>
      <c r="BB56" s="1098"/>
      <c r="BC56" s="1098"/>
      <c r="BD56" s="1098"/>
      <c r="BE56" s="1098"/>
      <c r="BF56" s="1098"/>
      <c r="BG56" s="1098"/>
      <c r="BH56" s="1098"/>
      <c r="BI56" s="1098"/>
      <c r="BJ56" s="1098"/>
      <c r="BK56" s="1098"/>
      <c r="BL56" s="1098"/>
      <c r="BM56" s="1098"/>
      <c r="BN56" s="1098"/>
      <c r="BO56" s="1098"/>
      <c r="BP56" s="1098"/>
      <c r="BQ56" s="1098"/>
      <c r="BR56" s="1098"/>
      <c r="BS56" s="1098"/>
      <c r="BT56" s="1098"/>
      <c r="BU56" s="1098"/>
      <c r="BV56" s="1098"/>
      <c r="BW56" s="1098"/>
      <c r="BX56" s="1098"/>
      <c r="BY56" s="1098"/>
      <c r="BZ56" s="1098"/>
      <c r="CA56" s="1098"/>
      <c r="CB56" s="1098"/>
      <c r="CC56" s="1098"/>
      <c r="CD56" s="1098"/>
      <c r="CE56" s="1098"/>
      <c r="CF56" s="1098"/>
      <c r="CG56" s="1098"/>
      <c r="CH56" s="1098"/>
      <c r="CI56" s="1098"/>
      <c r="CJ56" s="1098"/>
      <c r="CK56" s="1098"/>
      <c r="CL56" s="1098"/>
      <c r="CM56" s="1098"/>
      <c r="CN56" s="1098"/>
      <c r="CO56" s="1098"/>
      <c r="CP56" s="1098"/>
    </row>
    <row r="57" spans="5:94" ht="15.75" hidden="1" customHeight="1" x14ac:dyDescent="0.25">
      <c r="H57" s="1095"/>
      <c r="I57" s="1095"/>
      <c r="J57" s="1095"/>
      <c r="Q57" s="1101"/>
      <c r="R57" s="1101"/>
      <c r="S57" s="1101"/>
      <c r="T57" s="1101"/>
      <c r="U57" s="1101"/>
      <c r="V57" s="1101"/>
      <c r="W57" s="1113"/>
      <c r="X57" s="1113"/>
      <c r="Y57" s="1098"/>
      <c r="Z57" s="1518" t="s">
        <v>80</v>
      </c>
      <c r="AA57" s="1518"/>
      <c r="AB57" s="1518"/>
      <c r="AC57" s="1518"/>
      <c r="AD57" s="1518"/>
      <c r="AE57" s="1518"/>
      <c r="AF57" s="1518"/>
      <c r="AG57" s="1518"/>
      <c r="AH57" s="1518"/>
      <c r="AI57" s="1518"/>
      <c r="AJ57" s="1102"/>
      <c r="AK57" s="1102"/>
      <c r="AL57" s="1525" t="s">
        <v>81</v>
      </c>
      <c r="AM57" s="1525"/>
      <c r="AN57" s="1525"/>
      <c r="AO57" s="1525"/>
      <c r="AP57" s="1525"/>
      <c r="AQ57" s="1525"/>
      <c r="AR57" s="1525"/>
      <c r="AS57" s="1525"/>
      <c r="AT57" s="1098"/>
      <c r="AU57" s="1098"/>
      <c r="AV57" s="1098"/>
      <c r="AW57" s="1098"/>
      <c r="AX57" s="1098"/>
      <c r="AY57" s="1098"/>
      <c r="AZ57" s="1098"/>
      <c r="BA57" s="1098"/>
      <c r="BB57" s="1098"/>
      <c r="BC57" s="1098"/>
      <c r="BD57" s="1098"/>
      <c r="BE57" s="1098"/>
      <c r="BF57" s="1098"/>
      <c r="BG57" s="1098"/>
      <c r="BH57" s="1098"/>
      <c r="BI57" s="1098"/>
      <c r="BJ57" s="1098"/>
      <c r="BK57" s="1098"/>
      <c r="BL57" s="1098"/>
      <c r="BM57" s="1098"/>
      <c r="BN57" s="1098"/>
      <c r="BO57" s="1098"/>
      <c r="BP57" s="1098"/>
      <c r="BQ57" s="1098"/>
      <c r="BR57" s="1098"/>
      <c r="BS57" s="1098"/>
      <c r="BT57" s="1098"/>
      <c r="BU57" s="1098"/>
      <c r="BV57" s="1098"/>
      <c r="BW57" s="1098"/>
      <c r="BX57" s="1098"/>
      <c r="BY57" s="1098"/>
      <c r="BZ57" s="1098"/>
      <c r="CA57" s="1098"/>
      <c r="CB57" s="1098"/>
      <c r="CC57" s="1098"/>
      <c r="CD57" s="1098"/>
      <c r="CE57" s="1098"/>
      <c r="CF57" s="1098"/>
      <c r="CG57" s="1098"/>
      <c r="CH57" s="1098"/>
      <c r="CI57" s="1098"/>
      <c r="CJ57" s="1098"/>
      <c r="CK57" s="1098"/>
      <c r="CL57" s="1098"/>
      <c r="CM57" s="1098"/>
      <c r="CN57" s="1098"/>
      <c r="CO57" s="1098"/>
      <c r="CP57" s="1101"/>
    </row>
    <row r="58" spans="5:94" ht="15" hidden="1" customHeight="1" x14ac:dyDescent="0.25">
      <c r="H58" s="1095"/>
      <c r="I58" s="1095"/>
      <c r="J58" s="1095"/>
      <c r="Q58" s="1098"/>
      <c r="R58" s="1098"/>
      <c r="S58" s="1098"/>
      <c r="T58" s="1098"/>
      <c r="U58" s="1098"/>
      <c r="V58" s="1098"/>
      <c r="W58" s="1098"/>
      <c r="X58" s="1098"/>
      <c r="Y58" s="1098"/>
      <c r="Z58" s="1102"/>
      <c r="AA58" s="1102"/>
      <c r="AB58" s="1102"/>
      <c r="AC58" s="1102"/>
      <c r="AD58" s="1102"/>
      <c r="AE58" s="1102"/>
      <c r="AF58" s="1102"/>
      <c r="AG58" s="1102"/>
      <c r="AH58" s="1102"/>
      <c r="AI58" s="1102"/>
      <c r="AJ58" s="1102"/>
      <c r="AK58" s="1102"/>
      <c r="AL58" s="1102"/>
      <c r="AM58" s="1102"/>
      <c r="AN58" s="1102"/>
      <c r="AO58" s="1102"/>
      <c r="AP58" s="1102"/>
      <c r="AQ58" s="1102"/>
      <c r="AR58" s="1102"/>
      <c r="AS58" s="1098"/>
      <c r="AT58" s="1098"/>
      <c r="AU58" s="1098"/>
      <c r="AV58" s="1098"/>
      <c r="AW58" s="1098"/>
      <c r="AX58" s="1098"/>
      <c r="AY58" s="1098"/>
      <c r="AZ58" s="1098"/>
      <c r="BA58" s="1098"/>
      <c r="BB58" s="1098"/>
      <c r="BC58" s="1098"/>
      <c r="BD58" s="1098"/>
      <c r="BE58" s="1098"/>
      <c r="BF58" s="1098"/>
      <c r="BG58" s="1098"/>
      <c r="BH58" s="1098"/>
      <c r="BI58" s="1098"/>
      <c r="BJ58" s="1098"/>
      <c r="BK58" s="1098"/>
      <c r="BL58" s="1098"/>
      <c r="BM58" s="1098"/>
      <c r="BN58" s="1098"/>
      <c r="BO58" s="1098"/>
      <c r="BP58" s="1098"/>
      <c r="BQ58" s="1098"/>
      <c r="BR58" s="1098"/>
      <c r="BS58" s="1098"/>
      <c r="BT58" s="1098"/>
      <c r="BU58" s="1098"/>
      <c r="BV58" s="1098"/>
      <c r="BW58" s="1098"/>
      <c r="BX58" s="1098"/>
      <c r="BY58" s="1098"/>
      <c r="BZ58" s="1098"/>
      <c r="CA58" s="1098"/>
      <c r="CB58" s="1098"/>
      <c r="CC58" s="1098"/>
      <c r="CD58" s="1098"/>
      <c r="CE58" s="1098"/>
      <c r="CF58" s="1098"/>
      <c r="CG58" s="1098"/>
      <c r="CH58" s="1098"/>
      <c r="CI58" s="1098"/>
      <c r="CJ58" s="1098"/>
      <c r="CK58" s="1098"/>
      <c r="CL58" s="1098"/>
      <c r="CM58" s="1098"/>
      <c r="CN58" s="1098"/>
      <c r="CO58" s="1098"/>
      <c r="CP58" s="1098"/>
    </row>
    <row r="59" spans="5:94" ht="15" customHeight="1" x14ac:dyDescent="0.25">
      <c r="H59" s="1095"/>
      <c r="I59" s="1095"/>
      <c r="J59" s="1095"/>
      <c r="Q59" s="1095"/>
      <c r="R59" s="1095"/>
      <c r="S59" s="1095"/>
      <c r="T59" s="1095"/>
      <c r="U59" s="1095"/>
      <c r="V59" s="1095"/>
      <c r="W59" s="1095"/>
      <c r="X59" s="1095"/>
      <c r="Y59" s="1095"/>
      <c r="Z59" s="1096"/>
      <c r="AA59" s="1096"/>
      <c r="AB59" s="1096"/>
      <c r="AC59" s="1096"/>
      <c r="AD59" s="1096"/>
      <c r="AE59" s="1096"/>
      <c r="AF59" s="1096"/>
      <c r="AG59" s="1096"/>
      <c r="AH59" s="1096"/>
      <c r="AI59" s="1096"/>
      <c r="AJ59" s="1096"/>
      <c r="AK59" s="1096"/>
      <c r="AL59" s="1096"/>
      <c r="AM59" s="1096"/>
      <c r="AN59" s="1096"/>
      <c r="AO59" s="1096"/>
      <c r="AP59" s="1096"/>
      <c r="AQ59" s="1096"/>
      <c r="AR59" s="1096"/>
      <c r="AS59" s="1095"/>
      <c r="AT59" s="1095"/>
      <c r="AU59" s="1095"/>
      <c r="AV59" s="1095"/>
      <c r="AW59" s="1095"/>
      <c r="AX59" s="1095"/>
      <c r="AY59" s="1095"/>
      <c r="AZ59" s="1095"/>
      <c r="BA59" s="1095"/>
      <c r="BB59" s="1095"/>
      <c r="BC59" s="1095"/>
      <c r="BD59" s="1095"/>
      <c r="BE59" s="1095"/>
      <c r="BF59" s="1095"/>
      <c r="BG59" s="1095"/>
      <c r="BH59" s="1095"/>
      <c r="BI59" s="1095"/>
      <c r="BJ59" s="1095"/>
      <c r="BK59" s="1095"/>
      <c r="BL59" s="1095"/>
      <c r="BM59" s="1095"/>
      <c r="BN59" s="1095"/>
      <c r="BO59" s="1095"/>
      <c r="BP59" s="1095"/>
      <c r="BQ59" s="1095"/>
      <c r="BR59" s="1095"/>
      <c r="BS59" s="1095"/>
      <c r="BT59" s="1095"/>
      <c r="BU59" s="1095"/>
      <c r="BV59" s="1095"/>
      <c r="BW59" s="1095"/>
      <c r="BX59" s="1095"/>
      <c r="BY59" s="1095"/>
      <c r="BZ59" s="1095"/>
      <c r="CA59" s="1095"/>
      <c r="CB59" s="1095"/>
      <c r="CC59" s="1095"/>
      <c r="CD59" s="1095"/>
      <c r="CE59" s="1095"/>
      <c r="CF59" s="1095"/>
      <c r="CG59" s="1095"/>
      <c r="CH59" s="1095"/>
      <c r="CI59" s="1095"/>
      <c r="CJ59" s="1095"/>
      <c r="CK59" s="1095"/>
      <c r="CL59" s="1095"/>
      <c r="CM59" s="1095"/>
      <c r="CN59" s="1095"/>
      <c r="CO59" s="1095"/>
      <c r="CP59" s="1095"/>
    </row>
    <row r="60" spans="5:94" ht="15.75" customHeight="1" x14ac:dyDescent="0.25">
      <c r="H60" s="1095"/>
      <c r="I60" s="1095"/>
      <c r="J60" s="1095"/>
      <c r="Q60" s="1098"/>
      <c r="R60" s="1098"/>
      <c r="S60" s="1098"/>
      <c r="T60" s="1098"/>
      <c r="U60" s="1113"/>
      <c r="V60" s="1113"/>
      <c r="W60" s="1113"/>
      <c r="X60" s="1113"/>
      <c r="Y60" s="1098"/>
      <c r="Z60" s="1102"/>
      <c r="AA60" s="1102"/>
      <c r="AB60" s="1102"/>
      <c r="AC60" s="1102"/>
      <c r="AD60" s="1102"/>
      <c r="AE60" s="1102"/>
      <c r="AF60" s="1102"/>
      <c r="AG60" s="1102"/>
      <c r="AH60" s="1102"/>
      <c r="AI60" s="1102"/>
      <c r="AJ60" s="1102"/>
      <c r="AK60" s="1102"/>
      <c r="AL60" s="1102"/>
      <c r="AM60" s="1102"/>
      <c r="AN60" s="1102"/>
      <c r="AO60" s="1102"/>
      <c r="AP60" s="1102"/>
      <c r="AQ60" s="1102"/>
      <c r="AR60" s="1102"/>
      <c r="AS60" s="1098"/>
      <c r="AT60" s="1098"/>
      <c r="AU60" s="1098"/>
      <c r="AV60" s="1098"/>
      <c r="AW60" s="1098"/>
      <c r="AX60" s="1098"/>
      <c r="AY60" s="1098"/>
      <c r="AZ60" s="1098"/>
      <c r="BA60" s="1098"/>
      <c r="BB60" s="1098"/>
      <c r="BC60" s="1098"/>
      <c r="BD60" s="1098"/>
      <c r="BE60" s="1098"/>
      <c r="BF60" s="1098"/>
      <c r="BG60" s="1098"/>
      <c r="BH60" s="1098"/>
      <c r="BI60" s="1098"/>
      <c r="BJ60" s="1098"/>
      <c r="BK60" s="1098"/>
      <c r="BL60" s="1098"/>
      <c r="BM60" s="1098"/>
      <c r="BN60" s="1098"/>
      <c r="BO60" s="1098"/>
      <c r="BP60" s="1098"/>
      <c r="BQ60" s="1098"/>
      <c r="BR60" s="1098"/>
      <c r="BS60" s="1098"/>
      <c r="BT60" s="1098"/>
      <c r="BU60" s="1098"/>
      <c r="BV60" s="1098"/>
      <c r="BW60" s="1098"/>
      <c r="BX60" s="1098"/>
      <c r="BY60" s="1098"/>
      <c r="BZ60" s="1098"/>
      <c r="CA60" s="1098"/>
      <c r="CB60" s="1098"/>
      <c r="CC60" s="1098"/>
      <c r="CD60" s="1098"/>
      <c r="CE60" s="1098"/>
      <c r="CF60" s="1098"/>
      <c r="CG60" s="1098"/>
      <c r="CH60" s="1098"/>
      <c r="CI60" s="1098"/>
      <c r="CJ60" s="1098"/>
      <c r="CK60" s="1098"/>
      <c r="CL60" s="1098"/>
      <c r="CM60" s="1098"/>
      <c r="CN60" s="1098"/>
      <c r="CO60" s="1098"/>
      <c r="CP60" s="1098"/>
    </row>
    <row r="61" spans="5:94" ht="30" customHeight="1" x14ac:dyDescent="0.25">
      <c r="H61" s="1097"/>
      <c r="I61" s="1097"/>
      <c r="J61" s="1097"/>
      <c r="Q61" s="1080" t="s">
        <v>82</v>
      </c>
      <c r="R61" s="1080"/>
      <c r="S61" s="1080"/>
      <c r="T61" s="1080"/>
      <c r="U61" s="1080"/>
      <c r="V61" s="1080"/>
      <c r="W61" s="1080"/>
      <c r="X61" s="1080"/>
      <c r="Y61" s="1080"/>
      <c r="Z61" s="1080"/>
      <c r="AA61" s="1080"/>
      <c r="AB61" s="1080"/>
      <c r="AC61" s="1080"/>
      <c r="AD61" s="1080"/>
      <c r="AE61" s="1080"/>
      <c r="AF61" s="1080"/>
      <c r="AG61" s="1080"/>
      <c r="AH61" s="1080"/>
      <c r="AI61" s="1080"/>
      <c r="AJ61" s="1080"/>
      <c r="AK61" s="1080"/>
      <c r="AL61" s="1080"/>
      <c r="AM61" s="1080"/>
      <c r="AN61" s="1080"/>
      <c r="AO61" s="1080"/>
      <c r="AP61" s="1080"/>
      <c r="AQ61" s="1080"/>
      <c r="AR61" s="1080"/>
      <c r="AS61" s="1080"/>
      <c r="AT61" s="1080"/>
      <c r="AU61" s="1080"/>
      <c r="AV61" s="1080"/>
      <c r="AW61" s="1080"/>
      <c r="AX61" s="1080"/>
      <c r="AY61" s="1080"/>
      <c r="AZ61" s="1080"/>
      <c r="BA61" s="1080"/>
      <c r="BB61" s="1080"/>
      <c r="BC61" s="1080"/>
      <c r="BD61" s="1080"/>
      <c r="BE61" s="1080"/>
      <c r="BF61" s="1080"/>
      <c r="BG61" s="1080"/>
      <c r="BH61" s="1080"/>
      <c r="BI61" s="1080"/>
      <c r="BJ61" s="1080"/>
      <c r="BK61" s="1080"/>
      <c r="BL61" s="1080"/>
      <c r="BM61" s="1080"/>
      <c r="BN61" s="1080"/>
      <c r="BO61" s="1080"/>
      <c r="BP61" s="1080"/>
      <c r="BQ61" s="1080"/>
      <c r="BR61" s="1080"/>
      <c r="BS61" s="1080"/>
      <c r="BT61" s="1080"/>
      <c r="BU61" s="1080"/>
      <c r="BV61" s="1080"/>
      <c r="BW61" s="1080"/>
      <c r="BX61" s="1080"/>
      <c r="BY61" s="1080"/>
      <c r="BZ61" s="1080"/>
      <c r="CA61" s="1080"/>
      <c r="CB61" s="1080"/>
      <c r="CC61" s="1080"/>
      <c r="CD61" s="1080"/>
      <c r="CE61" s="1080"/>
      <c r="CF61" s="1080"/>
      <c r="CG61" s="1080"/>
      <c r="CH61" s="1080"/>
      <c r="CI61" s="1080"/>
      <c r="CJ61" s="1080"/>
      <c r="CK61" s="1080"/>
      <c r="CL61" s="1080"/>
      <c r="CM61" s="1080"/>
      <c r="CN61" s="1080"/>
      <c r="CO61" s="1080"/>
      <c r="CP61" s="1080"/>
    </row>
    <row r="62" spans="5:94" ht="17.45" customHeight="1" x14ac:dyDescent="0.25">
      <c r="Q62" s="1098"/>
      <c r="R62" s="1098"/>
      <c r="S62" s="1098"/>
      <c r="T62" s="1098"/>
      <c r="U62" s="1113"/>
      <c r="V62" s="1113"/>
      <c r="W62" s="1113"/>
      <c r="X62" s="1113"/>
      <c r="Y62" s="1098"/>
      <c r="Z62" s="1102"/>
      <c r="AA62" s="1102"/>
      <c r="AB62" s="1102"/>
      <c r="AC62" s="1102"/>
      <c r="AD62" s="1102"/>
      <c r="AE62" s="1102"/>
      <c r="AF62" s="1102"/>
      <c r="AG62" s="1102"/>
      <c r="AH62" s="1102"/>
      <c r="AI62" s="1102"/>
      <c r="AJ62" s="1102"/>
      <c r="AK62" s="1102"/>
      <c r="AL62" s="1102"/>
      <c r="AM62" s="1102"/>
      <c r="AN62" s="1102"/>
      <c r="AO62" s="1102"/>
      <c r="AP62" s="1102"/>
      <c r="AQ62" s="1102"/>
      <c r="AR62" s="1102"/>
      <c r="AS62" s="1098"/>
      <c r="AT62" s="1098"/>
      <c r="AU62" s="1098"/>
      <c r="AV62" s="1098"/>
      <c r="AW62" s="1098"/>
      <c r="AX62" s="1098"/>
      <c r="AY62" s="1098"/>
      <c r="AZ62" s="1098"/>
      <c r="BA62" s="1098"/>
      <c r="BB62" s="1098"/>
      <c r="BC62" s="1098"/>
      <c r="BD62" s="1098"/>
      <c r="BE62" s="1098"/>
      <c r="BF62" s="1098"/>
      <c r="BG62" s="1098"/>
      <c r="BH62" s="1098"/>
      <c r="BI62" s="1098"/>
      <c r="BJ62" s="1098"/>
      <c r="BK62" s="1098"/>
      <c r="BL62" s="1098"/>
      <c r="BM62" s="1098"/>
      <c r="BN62" s="1098"/>
      <c r="BO62" s="1098"/>
      <c r="BP62" s="1098"/>
      <c r="BQ62" s="1098"/>
      <c r="BR62" s="1098"/>
      <c r="BS62" s="1098"/>
      <c r="BT62" s="1098"/>
      <c r="BU62" s="1098"/>
      <c r="BV62" s="1098"/>
      <c r="BW62" s="1098"/>
      <c r="BX62" s="1098"/>
      <c r="BY62" s="1098"/>
      <c r="BZ62" s="1098"/>
      <c r="CA62" s="1098"/>
      <c r="CB62" s="1098"/>
      <c r="CC62" s="1098"/>
      <c r="CD62" s="1098"/>
      <c r="CE62" s="1098"/>
      <c r="CF62" s="1098"/>
      <c r="CG62" s="1098"/>
      <c r="CH62" s="1098"/>
      <c r="CI62" s="1098"/>
      <c r="CJ62" s="1098"/>
      <c r="CK62" s="1098"/>
      <c r="CL62" s="1098"/>
      <c r="CM62" s="1098"/>
      <c r="CN62" s="1098"/>
      <c r="CO62" s="1098"/>
      <c r="CP62" s="1098"/>
    </row>
    <row r="63" spans="5:94" ht="17.45" customHeight="1" x14ac:dyDescent="0.25">
      <c r="Q63" s="1098"/>
      <c r="R63" s="1098"/>
      <c r="S63" s="1098"/>
      <c r="T63" s="1098"/>
      <c r="U63" s="1113"/>
      <c r="V63" s="1113"/>
      <c r="W63" s="1113"/>
      <c r="X63" s="1113"/>
      <c r="Y63" s="1098"/>
      <c r="Z63" s="1518" t="s">
        <v>83</v>
      </c>
      <c r="AA63" s="1518"/>
      <c r="AB63" s="1518"/>
      <c r="AC63" s="1518"/>
      <c r="AD63" s="1518"/>
      <c r="AE63" s="1518"/>
      <c r="AF63" s="1518"/>
      <c r="AG63" s="1518"/>
      <c r="AH63" s="1518"/>
      <c r="AI63" s="1518"/>
      <c r="AJ63" s="1098"/>
      <c r="AK63" s="1098"/>
      <c r="AL63" s="1519" t="str">
        <f ca="1">INDIRECT(dms_Model)</f>
        <v>Regulatory Reporting (Reset)</v>
      </c>
      <c r="AM63" s="1519"/>
      <c r="AN63" s="1519"/>
      <c r="AO63" s="1519"/>
      <c r="AP63" s="1519"/>
      <c r="AQ63" s="1519"/>
      <c r="AR63" s="1519"/>
      <c r="AS63" s="1519"/>
      <c r="AT63" s="1519"/>
      <c r="AU63" s="1519"/>
      <c r="AV63" s="1519"/>
      <c r="AW63" s="1519"/>
      <c r="AX63" s="1519"/>
      <c r="AY63" s="1519"/>
      <c r="AZ63" s="1519"/>
      <c r="BA63" s="1519"/>
      <c r="BB63" s="1098"/>
      <c r="BC63" s="1098"/>
      <c r="BD63" s="1098"/>
      <c r="BE63" s="1098"/>
      <c r="BF63" s="1098"/>
      <c r="BG63" s="1098"/>
      <c r="BH63" s="1098"/>
      <c r="BI63" s="1098"/>
      <c r="BJ63" s="1098"/>
      <c r="BK63" s="1098"/>
      <c r="BL63" s="1098"/>
      <c r="BM63" s="1098"/>
      <c r="BN63" s="1098"/>
      <c r="BO63" s="1098"/>
      <c r="BP63" s="1098"/>
      <c r="BQ63" s="1098"/>
      <c r="BR63" s="1098"/>
      <c r="BS63" s="1098"/>
      <c r="BT63" s="1098"/>
      <c r="BU63" s="1098"/>
      <c r="BV63" s="1098"/>
      <c r="BW63" s="1098"/>
      <c r="BX63" s="1098"/>
      <c r="BY63" s="1098"/>
      <c r="BZ63" s="1098"/>
      <c r="CA63" s="1098"/>
      <c r="CB63" s="1098"/>
      <c r="CC63" s="1098"/>
      <c r="CD63" s="1098"/>
      <c r="CE63" s="1098"/>
      <c r="CF63" s="1098"/>
      <c r="CG63" s="1098"/>
      <c r="CH63" s="1098"/>
      <c r="CI63" s="1098"/>
      <c r="CJ63" s="1098"/>
      <c r="CK63" s="1098"/>
      <c r="CL63" s="1098"/>
      <c r="CM63" s="1098"/>
      <c r="CN63" s="1098"/>
      <c r="CO63" s="1098"/>
      <c r="CP63" s="1098"/>
    </row>
    <row r="64" spans="5:94" ht="17.45" customHeight="1" x14ac:dyDescent="0.25">
      <c r="Q64" s="1098"/>
      <c r="R64" s="1098"/>
      <c r="S64" s="1098"/>
      <c r="T64" s="1098"/>
      <c r="U64" s="1113"/>
      <c r="V64" s="1113"/>
      <c r="W64" s="1113"/>
      <c r="X64" s="1113"/>
      <c r="Y64" s="1098"/>
      <c r="Z64" s="1102"/>
      <c r="AA64" s="1102"/>
      <c r="AB64" s="1102"/>
      <c r="AC64" s="1102"/>
      <c r="AD64" s="1102"/>
      <c r="AE64" s="1102"/>
      <c r="AF64" s="1102"/>
      <c r="AG64" s="1102"/>
      <c r="AH64" s="1102"/>
      <c r="AI64" s="1102"/>
      <c r="AJ64" s="1102"/>
      <c r="AK64" s="1102"/>
      <c r="AL64" s="1102"/>
      <c r="AM64" s="1102"/>
      <c r="AN64" s="1102"/>
      <c r="AO64" s="1102"/>
      <c r="AP64" s="1102"/>
      <c r="AQ64" s="1102"/>
      <c r="AR64" s="1102"/>
      <c r="AS64" s="1098"/>
      <c r="AT64" s="1098"/>
      <c r="AU64" s="1098"/>
      <c r="AV64" s="1098"/>
      <c r="AW64" s="1098"/>
      <c r="AX64" s="1098"/>
      <c r="AY64" s="1098"/>
      <c r="AZ64" s="1098"/>
      <c r="BA64" s="1098"/>
      <c r="BB64" s="1098"/>
      <c r="BC64" s="1098"/>
      <c r="BD64" s="1098"/>
      <c r="BE64" s="1098"/>
      <c r="BF64" s="1098"/>
      <c r="BG64" s="1098"/>
      <c r="BH64" s="1098"/>
      <c r="BI64" s="1098"/>
      <c r="BJ64" s="1098"/>
      <c r="BK64" s="1098"/>
      <c r="BL64" s="1098"/>
      <c r="BM64" s="1098"/>
      <c r="BN64" s="1098"/>
      <c r="BO64" s="1098"/>
      <c r="BP64" s="1098"/>
      <c r="BQ64" s="1098"/>
      <c r="BR64" s="1098"/>
      <c r="BS64" s="1098"/>
      <c r="BT64" s="1098"/>
      <c r="BU64" s="1098"/>
      <c r="BV64" s="1098"/>
      <c r="BW64" s="1098"/>
      <c r="BX64" s="1098"/>
      <c r="BY64" s="1098"/>
      <c r="BZ64" s="1098"/>
      <c r="CA64" s="1098"/>
      <c r="CB64" s="1098"/>
      <c r="CC64" s="1098"/>
      <c r="CD64" s="1098"/>
      <c r="CE64" s="1098"/>
      <c r="CF64" s="1098"/>
      <c r="CG64" s="1098"/>
      <c r="CH64" s="1098"/>
      <c r="CI64" s="1098"/>
      <c r="CJ64" s="1098"/>
      <c r="CK64" s="1098"/>
      <c r="CL64" s="1098"/>
      <c r="CM64" s="1098"/>
      <c r="CN64" s="1098"/>
      <c r="CO64" s="1098"/>
      <c r="CP64" s="1098"/>
    </row>
    <row r="65" spans="8:94" ht="15.75" customHeight="1" x14ac:dyDescent="0.25">
      <c r="H65" s="1095"/>
      <c r="I65" s="1095"/>
      <c r="J65" s="1095"/>
      <c r="Q65" s="1101"/>
      <c r="R65" s="1101"/>
      <c r="S65" s="1101"/>
      <c r="T65" s="1101"/>
      <c r="U65" s="1101"/>
      <c r="V65" s="1101"/>
      <c r="W65" s="1102"/>
      <c r="X65" s="1102"/>
      <c r="Y65" s="1102"/>
      <c r="Z65" s="1518" t="s">
        <v>84</v>
      </c>
      <c r="AA65" s="1518"/>
      <c r="AB65" s="1518"/>
      <c r="AC65" s="1518"/>
      <c r="AD65" s="1518"/>
      <c r="AE65" s="1518"/>
      <c r="AF65" s="1518"/>
      <c r="AG65" s="1518"/>
      <c r="AH65" s="1518"/>
      <c r="AI65" s="1518"/>
      <c r="AJ65" s="1098"/>
      <c r="AK65" s="1098"/>
      <c r="AL65" s="1524" t="s">
        <v>85</v>
      </c>
      <c r="AM65" s="1524"/>
      <c r="AN65" s="1524"/>
      <c r="AO65" s="1524"/>
      <c r="AP65" s="1524"/>
      <c r="AQ65" s="1524"/>
      <c r="AR65" s="1524"/>
      <c r="AS65" s="1524"/>
      <c r="AT65" s="1524"/>
      <c r="AU65" s="1524"/>
      <c r="AV65" s="1524"/>
      <c r="AW65" s="1524"/>
      <c r="AX65" s="1524"/>
      <c r="AY65" s="1524"/>
      <c r="AZ65" s="1524"/>
      <c r="BA65" s="1524"/>
      <c r="BB65" s="1098"/>
      <c r="BC65" s="1098"/>
      <c r="BD65" s="1098"/>
      <c r="BE65" s="1098"/>
      <c r="BF65" s="1098"/>
      <c r="BG65" s="1098"/>
      <c r="BH65" s="1098"/>
      <c r="BI65" s="1098"/>
      <c r="BJ65" s="1098"/>
      <c r="BK65" s="1098"/>
      <c r="BL65" s="1098"/>
      <c r="BM65" s="1098"/>
      <c r="BN65" s="1098"/>
      <c r="BO65" s="1098"/>
      <c r="BP65" s="1098"/>
      <c r="BQ65" s="1098"/>
      <c r="BR65" s="1098"/>
      <c r="BS65" s="1098"/>
      <c r="BT65" s="1098"/>
      <c r="BU65" s="1098"/>
      <c r="BV65" s="1098"/>
      <c r="BW65" s="1098"/>
      <c r="BX65" s="1098"/>
      <c r="BY65" s="1098"/>
      <c r="BZ65" s="1098"/>
      <c r="CA65" s="1098"/>
      <c r="CB65" s="1098"/>
      <c r="CC65" s="1098"/>
      <c r="CD65" s="1098"/>
      <c r="CE65" s="1098"/>
      <c r="CF65" s="1098"/>
      <c r="CG65" s="1098"/>
      <c r="CH65" s="1098"/>
      <c r="CI65" s="1098"/>
      <c r="CJ65" s="1098"/>
      <c r="CK65" s="1098"/>
      <c r="CL65" s="1098"/>
      <c r="CM65" s="1098"/>
      <c r="CN65" s="1098"/>
      <c r="CO65" s="1098"/>
      <c r="CP65" s="1098"/>
    </row>
    <row r="66" spans="8:94" ht="15" customHeight="1" x14ac:dyDescent="0.25">
      <c r="H66" s="1095"/>
      <c r="I66" s="1095"/>
      <c r="J66" s="1095"/>
      <c r="Q66" s="1101"/>
      <c r="R66" s="1101"/>
      <c r="S66" s="1101"/>
      <c r="T66" s="1101"/>
      <c r="U66" s="1101"/>
      <c r="V66" s="1101"/>
      <c r="W66" s="1102"/>
      <c r="X66" s="1102"/>
      <c r="Y66" s="1102"/>
      <c r="Z66" s="1102"/>
      <c r="AA66" s="1102"/>
      <c r="AB66" s="1102"/>
      <c r="AC66" s="1102"/>
      <c r="AD66" s="1102"/>
      <c r="AE66" s="1102"/>
      <c r="AF66" s="1102"/>
      <c r="AG66" s="1102"/>
      <c r="AH66" s="1102"/>
      <c r="AI66" s="1098"/>
      <c r="AJ66" s="1098"/>
      <c r="AK66" s="1098"/>
      <c r="AL66" s="1098"/>
      <c r="AM66" s="1098"/>
      <c r="AN66" s="1098"/>
      <c r="AO66" s="1098"/>
      <c r="AP66" s="1098"/>
      <c r="AQ66" s="1098"/>
      <c r="AR66" s="1098"/>
      <c r="AS66" s="1098"/>
      <c r="AT66" s="1098"/>
      <c r="AU66" s="1098"/>
      <c r="AV66" s="1098"/>
      <c r="AW66" s="1098"/>
      <c r="AX66" s="1098"/>
      <c r="AY66" s="1098"/>
      <c r="AZ66" s="1098"/>
      <c r="BA66" s="1098"/>
      <c r="BB66" s="1098"/>
      <c r="BC66" s="1098"/>
      <c r="BD66" s="1098"/>
      <c r="BE66" s="1098"/>
      <c r="BF66" s="1098"/>
      <c r="BG66" s="1098"/>
      <c r="BH66" s="1098"/>
      <c r="BI66" s="1098"/>
      <c r="BJ66" s="1098"/>
      <c r="BK66" s="1098"/>
      <c r="BL66" s="1098"/>
      <c r="BM66" s="1098"/>
      <c r="BN66" s="1098"/>
      <c r="BO66" s="1098"/>
      <c r="BP66" s="1098"/>
      <c r="BQ66" s="1098"/>
      <c r="BR66" s="1098"/>
      <c r="BS66" s="1098"/>
      <c r="BT66" s="1098"/>
      <c r="BU66" s="1098"/>
      <c r="BV66" s="1098"/>
      <c r="BW66" s="1098"/>
      <c r="BX66" s="1098"/>
      <c r="BY66" s="1098"/>
      <c r="BZ66" s="1098"/>
      <c r="CA66" s="1098"/>
      <c r="CB66" s="1098"/>
      <c r="CC66" s="1098"/>
      <c r="CD66" s="1098"/>
      <c r="CE66" s="1098"/>
      <c r="CF66" s="1098"/>
      <c r="CG66" s="1098"/>
      <c r="CH66" s="1098"/>
      <c r="CI66" s="1098"/>
      <c r="CJ66" s="1098"/>
      <c r="CK66" s="1098"/>
      <c r="CL66" s="1098"/>
      <c r="CM66" s="1098"/>
      <c r="CN66" s="1098"/>
      <c r="CO66" s="1098"/>
      <c r="CP66" s="1098"/>
    </row>
    <row r="67" spans="8:94" ht="15.75" customHeight="1" x14ac:dyDescent="0.25">
      <c r="H67" s="1095"/>
      <c r="I67" s="1095"/>
      <c r="J67" s="1095"/>
      <c r="Q67" s="1101"/>
      <c r="R67" s="1101"/>
      <c r="S67" s="1101"/>
      <c r="T67" s="1101"/>
      <c r="U67" s="1101"/>
      <c r="V67" s="1101"/>
      <c r="W67" s="1101"/>
      <c r="X67" s="1101" t="s">
        <v>86</v>
      </c>
      <c r="Y67" s="1102"/>
      <c r="Z67" s="1518" t="s">
        <v>87</v>
      </c>
      <c r="AA67" s="1518"/>
      <c r="AB67" s="1518"/>
      <c r="AC67" s="1518"/>
      <c r="AD67" s="1518"/>
      <c r="AE67" s="1518"/>
      <c r="AF67" s="1518"/>
      <c r="AG67" s="1518"/>
      <c r="AH67" s="1518"/>
      <c r="AI67" s="1518"/>
      <c r="AJ67" s="1098"/>
      <c r="AK67" s="1098"/>
      <c r="AL67" s="1524" t="s">
        <v>88</v>
      </c>
      <c r="AM67" s="1524"/>
      <c r="AN67" s="1524"/>
      <c r="AO67" s="1524"/>
      <c r="AP67" s="1524"/>
      <c r="AQ67" s="1524"/>
      <c r="AR67" s="1524"/>
      <c r="AS67" s="1524"/>
      <c r="AT67" s="1524"/>
      <c r="AU67" s="1524"/>
      <c r="AV67" s="1524"/>
      <c r="AW67" s="1524"/>
      <c r="AX67" s="1524"/>
      <c r="AY67" s="1524"/>
      <c r="AZ67" s="1524"/>
      <c r="BA67" s="1524"/>
      <c r="BB67" s="1098"/>
      <c r="BC67" s="1098"/>
      <c r="BD67" s="1098"/>
      <c r="BE67" s="1098"/>
      <c r="BF67" s="1098"/>
      <c r="BG67" s="1098"/>
      <c r="BH67" s="1098"/>
      <c r="BI67" s="1098"/>
      <c r="BJ67" s="1098"/>
      <c r="BK67" s="1098"/>
      <c r="BL67" s="1098"/>
      <c r="BM67" s="1098"/>
      <c r="BN67" s="1098"/>
      <c r="BO67" s="1098"/>
      <c r="BP67" s="1098"/>
      <c r="BQ67" s="1098"/>
      <c r="BR67" s="1098"/>
      <c r="BS67" s="1098"/>
      <c r="BT67" s="1098"/>
      <c r="BU67" s="1098"/>
      <c r="BV67" s="1098"/>
      <c r="BW67" s="1098"/>
      <c r="BX67" s="1098"/>
      <c r="BY67" s="1098"/>
      <c r="BZ67" s="1098"/>
      <c r="CA67" s="1098"/>
      <c r="CB67" s="1098"/>
      <c r="CC67" s="1098"/>
      <c r="CD67" s="1098"/>
      <c r="CE67" s="1098"/>
      <c r="CF67" s="1098"/>
      <c r="CG67" s="1098"/>
      <c r="CH67" s="1098"/>
      <c r="CI67" s="1098"/>
      <c r="CJ67" s="1098"/>
      <c r="CK67" s="1098"/>
      <c r="CL67" s="1098"/>
      <c r="CM67" s="1098"/>
      <c r="CN67" s="1098"/>
      <c r="CO67" s="1102"/>
      <c r="CP67" s="1101"/>
    </row>
    <row r="68" spans="8:94" ht="15" customHeight="1" x14ac:dyDescent="0.25">
      <c r="H68" s="1095"/>
      <c r="I68" s="1095"/>
      <c r="J68" s="1095"/>
      <c r="Q68" s="1101"/>
      <c r="R68" s="1101"/>
      <c r="S68" s="1101"/>
      <c r="T68" s="1101"/>
      <c r="U68" s="1101"/>
      <c r="V68" s="1101"/>
      <c r="W68" s="1102"/>
      <c r="X68" s="1102"/>
      <c r="Y68" s="1102"/>
      <c r="Z68" s="1102"/>
      <c r="AA68" s="1102"/>
      <c r="AB68" s="1102"/>
      <c r="AC68" s="1102"/>
      <c r="AD68" s="1102"/>
      <c r="AE68" s="1102"/>
      <c r="AF68" s="1102"/>
      <c r="AG68" s="1102"/>
      <c r="AH68" s="1102"/>
      <c r="AI68" s="1098"/>
      <c r="AJ68" s="1098"/>
      <c r="AK68" s="1098"/>
      <c r="AL68" s="1098"/>
      <c r="AM68" s="1098"/>
      <c r="AN68" s="1098"/>
      <c r="AO68" s="1098"/>
      <c r="AP68" s="1098"/>
      <c r="AQ68" s="1098"/>
      <c r="AR68" s="1098"/>
      <c r="AS68" s="1098"/>
      <c r="AT68" s="1098"/>
      <c r="AU68" s="1098"/>
      <c r="AV68" s="1098"/>
      <c r="AW68" s="1098"/>
      <c r="AX68" s="1098"/>
      <c r="AY68" s="1098"/>
      <c r="AZ68" s="1098"/>
      <c r="BA68" s="1098"/>
      <c r="BB68" s="1098"/>
      <c r="BC68" s="1098"/>
      <c r="BD68" s="1098"/>
      <c r="BE68" s="1098"/>
      <c r="BF68" s="1098"/>
      <c r="BG68" s="1098"/>
      <c r="BH68" s="1098"/>
      <c r="BI68" s="1098"/>
      <c r="BJ68" s="1098"/>
      <c r="BK68" s="1098"/>
      <c r="BL68" s="1098"/>
      <c r="BM68" s="1098"/>
      <c r="BN68" s="1098"/>
      <c r="BO68" s="1098"/>
      <c r="BP68" s="1098"/>
      <c r="BQ68" s="1098"/>
      <c r="BR68" s="1098"/>
      <c r="BS68" s="1098"/>
      <c r="BT68" s="1098"/>
      <c r="BU68" s="1098"/>
      <c r="BV68" s="1098"/>
      <c r="BW68" s="1098"/>
      <c r="BX68" s="1098"/>
      <c r="BY68" s="1098"/>
      <c r="BZ68" s="1098"/>
      <c r="CA68" s="1098"/>
      <c r="CB68" s="1098"/>
      <c r="CC68" s="1098"/>
      <c r="CD68" s="1098"/>
      <c r="CE68" s="1098"/>
      <c r="CF68" s="1098"/>
      <c r="CG68" s="1098"/>
      <c r="CH68" s="1098"/>
      <c r="CI68" s="1098"/>
      <c r="CJ68" s="1098"/>
      <c r="CK68" s="1098"/>
      <c r="CL68" s="1098"/>
      <c r="CM68" s="1098"/>
      <c r="CN68" s="1098"/>
      <c r="CO68" s="1102"/>
      <c r="CP68" s="1101"/>
    </row>
    <row r="69" spans="8:94" ht="15.75" customHeight="1" x14ac:dyDescent="0.25">
      <c r="H69" s="1095"/>
      <c r="I69" s="1095"/>
      <c r="J69" s="1095"/>
      <c r="Q69" s="1101"/>
      <c r="R69" s="1101"/>
      <c r="S69" s="1101"/>
      <c r="T69" s="1101"/>
      <c r="U69" s="1101"/>
      <c r="V69" s="1101"/>
      <c r="W69" s="1102"/>
      <c r="X69" s="1102"/>
      <c r="Y69" s="1102"/>
      <c r="Z69" s="1518" t="s">
        <v>89</v>
      </c>
      <c r="AA69" s="1518"/>
      <c r="AB69" s="1518"/>
      <c r="AC69" s="1518"/>
      <c r="AD69" s="1518"/>
      <c r="AE69" s="1518"/>
      <c r="AF69" s="1518"/>
      <c r="AG69" s="1518"/>
      <c r="AH69" s="1518"/>
      <c r="AI69" s="1518"/>
      <c r="AJ69" s="1098"/>
      <c r="AK69" s="1098"/>
      <c r="AL69" s="1524" t="s">
        <v>90</v>
      </c>
      <c r="AM69" s="1524"/>
      <c r="AN69" s="1524"/>
      <c r="AO69" s="1524"/>
      <c r="AP69" s="1524"/>
      <c r="AQ69" s="1524"/>
      <c r="AR69" s="1524"/>
      <c r="AS69" s="1524"/>
      <c r="AT69" s="1524"/>
      <c r="AU69" s="1524"/>
      <c r="AV69" s="1524"/>
      <c r="AW69" s="1524"/>
      <c r="AX69" s="1524"/>
      <c r="AY69" s="1524"/>
      <c r="AZ69" s="1524"/>
      <c r="BA69" s="1524"/>
      <c r="BB69" s="1098"/>
      <c r="BC69" s="1098"/>
      <c r="BD69" s="1098"/>
      <c r="BE69" s="1098"/>
      <c r="BF69" s="1098"/>
      <c r="BG69" s="1098"/>
      <c r="BH69" s="1098"/>
      <c r="BI69" s="1098"/>
      <c r="BJ69" s="1098"/>
      <c r="BK69" s="1098"/>
      <c r="BL69" s="1098"/>
      <c r="BM69" s="1098"/>
      <c r="BN69" s="1098"/>
      <c r="BO69" s="1098"/>
      <c r="BP69" s="1098"/>
      <c r="BQ69" s="1098"/>
      <c r="BR69" s="1098"/>
      <c r="BS69" s="1098"/>
      <c r="BT69" s="1098"/>
      <c r="BU69" s="1098"/>
      <c r="BV69" s="1098"/>
      <c r="BW69" s="1098"/>
      <c r="BX69" s="1098"/>
      <c r="BY69" s="1098"/>
      <c r="BZ69" s="1098"/>
      <c r="CA69" s="1098"/>
      <c r="CB69" s="1098"/>
      <c r="CC69" s="1098"/>
      <c r="CD69" s="1098"/>
      <c r="CE69" s="1098"/>
      <c r="CF69" s="1098"/>
      <c r="CG69" s="1098"/>
      <c r="CH69" s="1098"/>
      <c r="CI69" s="1098"/>
      <c r="CJ69" s="1098"/>
      <c r="CK69" s="1098"/>
      <c r="CL69" s="1098"/>
      <c r="CM69" s="1098"/>
      <c r="CN69" s="1098"/>
      <c r="CO69" s="1102"/>
      <c r="CP69" s="1101"/>
    </row>
    <row r="70" spans="8:94" ht="15" customHeight="1" x14ac:dyDescent="0.25">
      <c r="H70" s="1095"/>
      <c r="I70" s="1095"/>
      <c r="J70" s="1095"/>
      <c r="Q70" s="1101"/>
      <c r="R70" s="1101"/>
      <c r="S70" s="1101"/>
      <c r="T70" s="1101"/>
      <c r="U70" s="1101"/>
      <c r="V70" s="1101"/>
      <c r="W70" s="1102"/>
      <c r="X70" s="1102"/>
      <c r="Y70" s="1102"/>
      <c r="Z70" s="1102"/>
      <c r="AA70" s="1102"/>
      <c r="AB70" s="1102"/>
      <c r="AC70" s="1102"/>
      <c r="AD70" s="1102"/>
      <c r="AE70" s="1102"/>
      <c r="AF70" s="1102"/>
      <c r="AG70" s="1102"/>
      <c r="AH70" s="1102"/>
      <c r="AI70" s="1098"/>
      <c r="AJ70" s="1098"/>
      <c r="AK70" s="1098"/>
      <c r="AL70" s="1098"/>
      <c r="AM70" s="1098"/>
      <c r="AN70" s="1098"/>
      <c r="AO70" s="1098"/>
      <c r="AP70" s="1098"/>
      <c r="AQ70" s="1098"/>
      <c r="AR70" s="1098"/>
      <c r="AS70" s="1098"/>
      <c r="AT70" s="1098"/>
      <c r="AU70" s="1098"/>
      <c r="AV70" s="1098"/>
      <c r="AW70" s="1098"/>
      <c r="AX70" s="1098"/>
      <c r="AY70" s="1098"/>
      <c r="AZ70" s="1098"/>
      <c r="BA70" s="1098"/>
      <c r="BB70" s="1098"/>
      <c r="BC70" s="1098"/>
      <c r="BD70" s="1098"/>
      <c r="BE70" s="1098"/>
      <c r="BF70" s="1098"/>
      <c r="BG70" s="1098"/>
      <c r="BH70" s="1098"/>
      <c r="BI70" s="1098"/>
      <c r="BJ70" s="1098"/>
      <c r="BK70" s="1098"/>
      <c r="BL70" s="1098"/>
      <c r="BM70" s="1098"/>
      <c r="BN70" s="1098"/>
      <c r="BO70" s="1098"/>
      <c r="BP70" s="1098"/>
      <c r="BQ70" s="1098"/>
      <c r="BR70" s="1098"/>
      <c r="BS70" s="1098"/>
      <c r="BT70" s="1098"/>
      <c r="BU70" s="1098"/>
      <c r="BV70" s="1098"/>
      <c r="BW70" s="1098"/>
      <c r="BX70" s="1098"/>
      <c r="BY70" s="1098"/>
      <c r="BZ70" s="1098"/>
      <c r="CA70" s="1098"/>
      <c r="CB70" s="1098"/>
      <c r="CC70" s="1098"/>
      <c r="CD70" s="1098"/>
      <c r="CE70" s="1098"/>
      <c r="CF70" s="1098"/>
      <c r="CG70" s="1098"/>
      <c r="CH70" s="1098"/>
      <c r="CI70" s="1098"/>
      <c r="CJ70" s="1098"/>
      <c r="CK70" s="1098"/>
      <c r="CL70" s="1098"/>
      <c r="CM70" s="1098"/>
      <c r="CN70" s="1098"/>
      <c r="CO70" s="1102"/>
      <c r="CP70" s="1101"/>
    </row>
    <row r="71" spans="8:94" ht="77.25" customHeight="1" x14ac:dyDescent="0.25">
      <c r="H71" s="1095"/>
      <c r="I71" s="1095"/>
      <c r="J71" s="1095"/>
      <c r="Q71" s="1101"/>
      <c r="R71" s="1101"/>
      <c r="S71" s="1101"/>
      <c r="T71" s="1101"/>
      <c r="U71" s="1101"/>
      <c r="V71" s="1101"/>
      <c r="W71" s="1102"/>
      <c r="X71" s="1102"/>
      <c r="Y71" s="1102"/>
      <c r="Z71" s="1520" t="s">
        <v>91</v>
      </c>
      <c r="AA71" s="1520"/>
      <c r="AB71" s="1520"/>
      <c r="AC71" s="1520"/>
      <c r="AD71" s="1520"/>
      <c r="AE71" s="1520"/>
      <c r="AF71" s="1520"/>
      <c r="AG71" s="1520"/>
      <c r="AH71" s="1520"/>
      <c r="AI71" s="1520"/>
      <c r="AJ71" s="1098"/>
      <c r="AK71" s="1098"/>
      <c r="AL71" s="1521" t="s">
        <v>92</v>
      </c>
      <c r="AM71" s="1521"/>
      <c r="AN71" s="1521"/>
      <c r="AO71" s="1521"/>
      <c r="AP71" s="1521"/>
      <c r="AQ71" s="1521"/>
      <c r="AR71" s="1521"/>
      <c r="AS71" s="1521"/>
      <c r="AT71" s="1521"/>
      <c r="AU71" s="1521"/>
      <c r="AV71" s="1521"/>
      <c r="AW71" s="1521"/>
      <c r="AX71" s="1521"/>
      <c r="AY71" s="1521"/>
      <c r="AZ71" s="1521"/>
      <c r="BA71" s="1521"/>
      <c r="BB71" s="1521"/>
      <c r="BC71" s="1521"/>
      <c r="BD71" s="1521"/>
      <c r="BE71" s="1521"/>
      <c r="BF71" s="1521"/>
      <c r="BG71" s="1521"/>
      <c r="BH71" s="1521"/>
      <c r="BI71" s="1521"/>
      <c r="BJ71" s="1521"/>
      <c r="BK71" s="1521"/>
      <c r="BL71" s="1521"/>
      <c r="BM71" s="1521"/>
      <c r="BN71" s="1521"/>
      <c r="BO71" s="1521"/>
      <c r="BP71" s="1521"/>
      <c r="BQ71" s="1521"/>
      <c r="BR71" s="1521"/>
      <c r="BS71" s="1521"/>
      <c r="BT71" s="1521"/>
      <c r="BU71" s="1521"/>
      <c r="BV71" s="1521"/>
      <c r="BW71" s="1521"/>
      <c r="BX71" s="1521"/>
      <c r="BY71" s="1521"/>
      <c r="BZ71" s="1521"/>
      <c r="CA71" s="1521"/>
      <c r="CB71" s="1521"/>
      <c r="CC71" s="1521"/>
      <c r="CD71" s="1521"/>
      <c r="CE71" s="1098"/>
      <c r="CF71" s="1098"/>
      <c r="CG71" s="1098"/>
      <c r="CH71" s="1098"/>
      <c r="CI71" s="1098"/>
      <c r="CJ71" s="1098"/>
      <c r="CK71" s="1098"/>
      <c r="CL71" s="1098"/>
      <c r="CM71" s="1098"/>
      <c r="CN71" s="1098"/>
      <c r="CO71" s="1102"/>
      <c r="CP71" s="1101"/>
    </row>
    <row r="72" spans="8:94" ht="15" customHeight="1" x14ac:dyDescent="0.25">
      <c r="H72" s="1095"/>
      <c r="I72" s="1095"/>
      <c r="J72" s="1095"/>
      <c r="Q72" s="1101"/>
      <c r="R72" s="1101"/>
      <c r="S72" s="1101"/>
      <c r="T72" s="1101"/>
      <c r="U72" s="1101"/>
      <c r="V72" s="1101"/>
      <c r="W72" s="1102"/>
      <c r="X72" s="1102"/>
      <c r="Y72" s="1102"/>
      <c r="Z72" s="1102"/>
      <c r="AA72" s="1102"/>
      <c r="AB72" s="1102"/>
      <c r="AC72" s="1102"/>
      <c r="AD72" s="1102"/>
      <c r="AE72" s="1102"/>
      <c r="AF72" s="1102"/>
      <c r="AG72" s="1102"/>
      <c r="AH72" s="1102"/>
      <c r="AI72" s="1098"/>
      <c r="AJ72" s="1098"/>
      <c r="AK72" s="1098"/>
      <c r="AL72" s="1098"/>
      <c r="AM72" s="1098"/>
      <c r="AN72" s="1098"/>
      <c r="AO72" s="1098"/>
      <c r="AP72" s="1098"/>
      <c r="AQ72" s="1098"/>
      <c r="AR72" s="1098"/>
      <c r="AS72" s="1098"/>
      <c r="AT72" s="1098"/>
      <c r="AU72" s="1098"/>
      <c r="AV72" s="1098"/>
      <c r="AW72" s="1098"/>
      <c r="AX72" s="1098"/>
      <c r="AY72" s="1098"/>
      <c r="AZ72" s="1098"/>
      <c r="BA72" s="1098"/>
      <c r="BB72" s="1098"/>
      <c r="BC72" s="1098"/>
      <c r="BD72" s="1098"/>
      <c r="BE72" s="1098"/>
      <c r="BF72" s="1098"/>
      <c r="BG72" s="1098"/>
      <c r="BH72" s="1098"/>
      <c r="BI72" s="1098"/>
      <c r="BJ72" s="1098"/>
      <c r="BK72" s="1098"/>
      <c r="BL72" s="1098"/>
      <c r="BM72" s="1098"/>
      <c r="BN72" s="1098"/>
      <c r="BO72" s="1098"/>
      <c r="BP72" s="1098"/>
      <c r="BQ72" s="1098"/>
      <c r="BR72" s="1098"/>
      <c r="BS72" s="1098"/>
      <c r="BT72" s="1098"/>
      <c r="BU72" s="1098"/>
      <c r="BV72" s="1098"/>
      <c r="BW72" s="1098"/>
      <c r="BX72" s="1098"/>
      <c r="BY72" s="1098"/>
      <c r="BZ72" s="1098"/>
      <c r="CA72" s="1098"/>
      <c r="CB72" s="1098"/>
      <c r="CC72" s="1098"/>
      <c r="CD72" s="1098"/>
      <c r="CE72" s="1098"/>
      <c r="CF72" s="1098"/>
      <c r="CG72" s="1098"/>
      <c r="CH72" s="1098"/>
      <c r="CI72" s="1098"/>
      <c r="CJ72" s="1098"/>
      <c r="CK72" s="1098"/>
      <c r="CL72" s="1098"/>
      <c r="CM72" s="1098"/>
      <c r="CN72" s="1098"/>
      <c r="CO72" s="1102"/>
      <c r="CP72" s="1101"/>
    </row>
    <row r="73" spans="8:94" ht="15.75" customHeight="1" x14ac:dyDescent="0.25">
      <c r="H73" s="1095"/>
      <c r="I73" s="1095"/>
      <c r="J73" s="1095"/>
      <c r="Q73" s="1101"/>
      <c r="R73" s="1101"/>
      <c r="S73" s="1101"/>
      <c r="T73" s="1101"/>
      <c r="U73" s="1101"/>
      <c r="V73" s="1101"/>
      <c r="W73" s="1102"/>
      <c r="X73" s="1102"/>
      <c r="Y73" s="1102"/>
      <c r="Z73" s="1518" t="s">
        <v>93</v>
      </c>
      <c r="AA73" s="1518"/>
      <c r="AB73" s="1518"/>
      <c r="AC73" s="1518"/>
      <c r="AD73" s="1518"/>
      <c r="AE73" s="1518"/>
      <c r="AF73" s="1518"/>
      <c r="AG73" s="1518"/>
      <c r="AH73" s="1518"/>
      <c r="AI73" s="1518"/>
      <c r="AJ73" s="1098"/>
      <c r="AK73" s="1098"/>
      <c r="AL73" s="1522">
        <v>45838</v>
      </c>
      <c r="AM73" s="1523"/>
      <c r="AN73" s="1523"/>
      <c r="AO73" s="1523"/>
      <c r="AP73" s="1523"/>
      <c r="AQ73" s="1523"/>
      <c r="AR73" s="1523"/>
      <c r="AS73" s="1523"/>
      <c r="AT73" s="1523"/>
      <c r="AU73" s="1523"/>
      <c r="AV73" s="1523"/>
      <c r="AW73" s="1523"/>
      <c r="AX73" s="1523"/>
      <c r="AY73" s="1523"/>
      <c r="AZ73" s="1523"/>
      <c r="BA73" s="1523"/>
      <c r="BB73" s="1098"/>
      <c r="BC73" s="1098"/>
      <c r="BD73" s="1143" t="s">
        <v>94</v>
      </c>
      <c r="BE73" s="1098"/>
      <c r="BF73" s="1098"/>
      <c r="BG73" s="1098"/>
      <c r="BH73" s="1098"/>
      <c r="BI73" s="1098"/>
      <c r="BJ73" s="1098"/>
      <c r="BK73" s="1098"/>
      <c r="BL73" s="1098"/>
      <c r="BM73" s="1098"/>
      <c r="BN73" s="1098"/>
      <c r="BO73" s="1098"/>
      <c r="BP73" s="1098"/>
      <c r="BQ73" s="1098"/>
      <c r="BR73" s="1098"/>
      <c r="BS73" s="1098"/>
      <c r="BT73" s="1098"/>
      <c r="BU73" s="1098"/>
      <c r="BV73" s="1098"/>
      <c r="BW73" s="1098"/>
      <c r="BX73" s="1098"/>
      <c r="BY73" s="1098"/>
      <c r="BZ73" s="1098"/>
      <c r="CA73" s="1098"/>
      <c r="CB73" s="1098"/>
      <c r="CC73" s="1098"/>
      <c r="CD73" s="1098"/>
      <c r="CE73" s="1098"/>
      <c r="CF73" s="1098"/>
      <c r="CG73" s="1098"/>
      <c r="CH73" s="1098"/>
      <c r="CI73" s="1098"/>
      <c r="CJ73" s="1098"/>
      <c r="CK73" s="1098"/>
      <c r="CL73" s="1098"/>
      <c r="CM73" s="1098"/>
      <c r="CN73" s="1098"/>
      <c r="CO73" s="1102"/>
      <c r="CP73" s="1101"/>
    </row>
    <row r="74" spans="8:94" ht="15" customHeight="1" x14ac:dyDescent="0.25">
      <c r="H74" s="1095"/>
      <c r="I74" s="1095"/>
      <c r="J74" s="1095"/>
      <c r="Q74" s="1102"/>
      <c r="R74" s="1102"/>
      <c r="S74" s="1102"/>
      <c r="T74" s="1102"/>
      <c r="U74" s="1102"/>
      <c r="V74" s="1102"/>
      <c r="W74" s="1102"/>
      <c r="X74" s="1102"/>
      <c r="Y74" s="1102"/>
      <c r="Z74" s="1102"/>
      <c r="AA74" s="1102"/>
      <c r="AB74" s="1102"/>
      <c r="AC74" s="1102"/>
      <c r="AD74" s="1102"/>
      <c r="AE74" s="1102"/>
      <c r="AF74" s="1102"/>
      <c r="AG74" s="1102"/>
      <c r="AH74" s="1102"/>
      <c r="AI74" s="1098"/>
      <c r="AJ74" s="1098"/>
      <c r="AK74" s="1098"/>
      <c r="AL74" s="1098"/>
      <c r="AM74" s="1098"/>
      <c r="AN74" s="1098"/>
      <c r="AO74" s="1098"/>
      <c r="AP74" s="1098"/>
      <c r="AQ74" s="1098"/>
      <c r="AR74" s="1098"/>
      <c r="AS74" s="1098"/>
      <c r="AT74" s="1098"/>
      <c r="AU74" s="1098"/>
      <c r="AV74" s="1098"/>
      <c r="AW74" s="1098"/>
      <c r="AX74" s="1098"/>
      <c r="AY74" s="1098"/>
      <c r="AZ74" s="1098"/>
      <c r="BA74" s="1098"/>
      <c r="BB74" s="1098"/>
      <c r="BC74" s="1098"/>
      <c r="BD74" s="1098"/>
      <c r="BE74" s="1098"/>
      <c r="BF74" s="1098"/>
      <c r="BG74" s="1098"/>
      <c r="BH74" s="1098"/>
      <c r="BI74" s="1098"/>
      <c r="BJ74" s="1098"/>
      <c r="BK74" s="1098"/>
      <c r="BL74" s="1098"/>
      <c r="BM74" s="1098"/>
      <c r="BN74" s="1098"/>
      <c r="BO74" s="1098"/>
      <c r="BP74" s="1098"/>
      <c r="BQ74" s="1098"/>
      <c r="BR74" s="1098"/>
      <c r="BS74" s="1098"/>
      <c r="BT74" s="1098"/>
      <c r="BU74" s="1098"/>
      <c r="BV74" s="1098"/>
      <c r="BW74" s="1098"/>
      <c r="BX74" s="1098"/>
      <c r="BY74" s="1098"/>
      <c r="BZ74" s="1098"/>
      <c r="CA74" s="1098"/>
      <c r="CB74" s="1098"/>
      <c r="CC74" s="1098"/>
      <c r="CD74" s="1098"/>
      <c r="CE74" s="1098"/>
      <c r="CF74" s="1098"/>
      <c r="CG74" s="1098"/>
      <c r="CH74" s="1098"/>
      <c r="CI74" s="1098"/>
      <c r="CJ74" s="1098"/>
      <c r="CK74" s="1098"/>
      <c r="CL74" s="1098"/>
      <c r="CM74" s="1098"/>
      <c r="CN74" s="1098"/>
      <c r="CO74" s="1102"/>
      <c r="CP74" s="1102"/>
    </row>
    <row r="75" spans="8:94" ht="15" customHeight="1" x14ac:dyDescent="0.25">
      <c r="H75" s="1095"/>
      <c r="I75" s="1095"/>
      <c r="J75" s="1095"/>
      <c r="Q75" s="1102"/>
      <c r="R75" s="1102"/>
      <c r="S75" s="1102"/>
      <c r="T75" s="1102"/>
      <c r="U75" s="1102"/>
      <c r="V75" s="1102"/>
      <c r="W75" s="1102"/>
      <c r="X75" s="1102"/>
      <c r="Y75" s="1102"/>
      <c r="Z75" s="1102"/>
      <c r="AA75" s="1102"/>
      <c r="AB75" s="1102"/>
      <c r="AC75" s="1102"/>
      <c r="AD75" s="1102"/>
      <c r="AE75" s="1102"/>
      <c r="AF75" s="1102"/>
      <c r="AG75" s="1102"/>
      <c r="AH75" s="1102"/>
      <c r="AI75" s="1098"/>
      <c r="AJ75" s="1098"/>
      <c r="AK75" s="1098"/>
      <c r="AL75" s="1098"/>
      <c r="AM75" s="1098"/>
      <c r="AN75" s="1098"/>
      <c r="AO75" s="1098"/>
      <c r="AP75" s="1098"/>
      <c r="AQ75" s="1098"/>
      <c r="AR75" s="1098"/>
      <c r="AS75" s="1098"/>
      <c r="AT75" s="1098"/>
      <c r="AU75" s="1098"/>
      <c r="AV75" s="1098"/>
      <c r="AW75" s="1098"/>
      <c r="AX75" s="1098"/>
      <c r="AY75" s="1098"/>
      <c r="AZ75" s="1098"/>
      <c r="BA75" s="1098"/>
      <c r="BB75" s="1098"/>
      <c r="BC75" s="1098"/>
      <c r="BD75" s="1098"/>
      <c r="BE75" s="1098"/>
      <c r="BF75" s="1098"/>
      <c r="BG75" s="1098"/>
      <c r="BH75" s="1098"/>
      <c r="BI75" s="1098"/>
      <c r="BJ75" s="1098"/>
      <c r="BK75" s="1098"/>
      <c r="BL75" s="1098"/>
      <c r="BM75" s="1098"/>
      <c r="BN75" s="1098"/>
      <c r="BO75" s="1098"/>
      <c r="BP75" s="1098"/>
      <c r="BQ75" s="1098"/>
      <c r="BR75" s="1098"/>
      <c r="BS75" s="1098"/>
      <c r="BT75" s="1098"/>
      <c r="BU75" s="1098"/>
      <c r="BV75" s="1098"/>
      <c r="BW75" s="1098"/>
      <c r="BX75" s="1098"/>
      <c r="BY75" s="1098"/>
      <c r="BZ75" s="1098"/>
      <c r="CA75" s="1098"/>
      <c r="CB75" s="1098"/>
      <c r="CC75" s="1098"/>
      <c r="CD75" s="1098"/>
      <c r="CE75" s="1098"/>
      <c r="CF75" s="1098"/>
      <c r="CG75" s="1098"/>
      <c r="CH75" s="1098"/>
      <c r="CI75" s="1098"/>
      <c r="CJ75" s="1098"/>
      <c r="CK75" s="1098"/>
      <c r="CL75" s="1098"/>
      <c r="CM75" s="1098"/>
      <c r="CN75" s="1098"/>
      <c r="CO75" s="1102"/>
      <c r="CP75" s="1102"/>
    </row>
    <row r="76" spans="8:94" ht="15.6" customHeight="1" x14ac:dyDescent="0.25">
      <c r="H76" s="76"/>
      <c r="I76" s="76"/>
      <c r="J76" s="76"/>
      <c r="Q76" s="1114"/>
      <c r="R76" s="1114"/>
      <c r="S76" s="1114"/>
      <c r="T76" s="1114"/>
      <c r="U76" s="1114"/>
      <c r="V76" s="1114"/>
      <c r="W76" s="1114"/>
      <c r="X76" s="1114"/>
      <c r="Y76" s="1114"/>
      <c r="Z76" s="1114"/>
      <c r="AA76" s="1114"/>
      <c r="AB76" s="1114"/>
      <c r="AC76" s="1114"/>
      <c r="AD76" s="1114"/>
      <c r="AE76" s="1114"/>
      <c r="AF76" s="1114"/>
      <c r="AG76" s="1114"/>
      <c r="AH76" s="1114"/>
      <c r="AI76" s="1083"/>
      <c r="AJ76" s="1083"/>
      <c r="AK76" s="1083"/>
      <c r="AL76" s="1083"/>
      <c r="AM76" s="1083"/>
      <c r="AN76" s="1083"/>
      <c r="AO76" s="1083"/>
      <c r="AP76" s="1083"/>
      <c r="AQ76" s="1083"/>
      <c r="AR76" s="1083"/>
      <c r="AS76" s="1083"/>
      <c r="AT76" s="1083"/>
      <c r="AU76" s="1083"/>
      <c r="AV76" s="1083"/>
      <c r="AW76" s="1083"/>
      <c r="AX76" s="1083"/>
      <c r="AY76" s="1083"/>
      <c r="AZ76" s="1083"/>
      <c r="BA76" s="1083"/>
      <c r="BB76" s="1083"/>
      <c r="BC76" s="1083"/>
      <c r="BD76" s="1083"/>
      <c r="BE76" s="1083"/>
      <c r="BF76" s="1083"/>
      <c r="BG76" s="1083"/>
      <c r="BH76" s="1083"/>
      <c r="BI76" s="1083"/>
      <c r="BJ76" s="1083"/>
      <c r="BK76" s="1083"/>
      <c r="BL76" s="1083"/>
      <c r="BM76" s="1083"/>
      <c r="BN76" s="1083"/>
      <c r="BO76" s="1083"/>
      <c r="BP76" s="1083"/>
      <c r="BQ76" s="1083"/>
      <c r="BR76" s="1083"/>
      <c r="BS76" s="1083"/>
      <c r="BT76" s="1083"/>
      <c r="BU76" s="1083"/>
      <c r="BV76" s="1083"/>
      <c r="BW76" s="1083"/>
      <c r="BX76" s="1083"/>
      <c r="BY76" s="1083"/>
      <c r="BZ76" s="1083"/>
      <c r="CA76" s="1083"/>
      <c r="CB76" s="1083"/>
      <c r="CC76" s="1083"/>
      <c r="CD76" s="1083"/>
      <c r="CE76" s="1083"/>
      <c r="CF76" s="1083"/>
      <c r="CG76" s="1083"/>
      <c r="CH76" s="1083"/>
      <c r="CI76" s="1083"/>
      <c r="CJ76" s="1083"/>
      <c r="CK76" s="1083"/>
      <c r="CL76" s="1083"/>
      <c r="CM76" s="1083"/>
      <c r="CN76" s="1083"/>
      <c r="CO76" s="1114"/>
      <c r="CP76" s="1114"/>
    </row>
  </sheetData>
  <mergeCells count="103">
    <mergeCell ref="BQ25:BT25"/>
    <mergeCell ref="CC25:CE25"/>
    <mergeCell ref="H1:P3"/>
    <mergeCell ref="V4:BF4"/>
    <mergeCell ref="V7:BX7"/>
    <mergeCell ref="Q9:CP9"/>
    <mergeCell ref="V16:AJ16"/>
    <mergeCell ref="AL16:BG16"/>
    <mergeCell ref="V17:AJ17"/>
    <mergeCell ref="AL17:AW17"/>
    <mergeCell ref="V22:AJ22"/>
    <mergeCell ref="AL22:BG22"/>
    <mergeCell ref="BI22:BO22"/>
    <mergeCell ref="BQ22:CL22"/>
    <mergeCell ref="V33:AJ33"/>
    <mergeCell ref="AL33:BG33"/>
    <mergeCell ref="BI33:BO33"/>
    <mergeCell ref="BQ33:CL33"/>
    <mergeCell ref="V23:AJ23"/>
    <mergeCell ref="AL23:BG23"/>
    <mergeCell ref="BI23:BO23"/>
    <mergeCell ref="BQ23:CL23"/>
    <mergeCell ref="V24:AJ24"/>
    <mergeCell ref="AL24:AZ24"/>
    <mergeCell ref="BI24:BO24"/>
    <mergeCell ref="BQ24:CE24"/>
    <mergeCell ref="V25:AJ25"/>
    <mergeCell ref="AL25:AO25"/>
    <mergeCell ref="AX25:AZ25"/>
    <mergeCell ref="BI25:BO25"/>
    <mergeCell ref="V31:AJ31"/>
    <mergeCell ref="AL31:BG31"/>
    <mergeCell ref="BI31:BO31"/>
    <mergeCell ref="BQ31:CL31"/>
    <mergeCell ref="V32:AJ32"/>
    <mergeCell ref="AL32:BG32"/>
    <mergeCell ref="BI32:BO32"/>
    <mergeCell ref="BQ32:CL32"/>
    <mergeCell ref="BV47:CC47"/>
    <mergeCell ref="Z45:AI45"/>
    <mergeCell ref="Z41:AI41"/>
    <mergeCell ref="AL41:AS41"/>
    <mergeCell ref="AU41:BB41"/>
    <mergeCell ref="BD41:BK41"/>
    <mergeCell ref="BM41:BT41"/>
    <mergeCell ref="BV41:CC41"/>
    <mergeCell ref="AL42:AS42"/>
    <mergeCell ref="AU42:BB42"/>
    <mergeCell ref="BD42:BK42"/>
    <mergeCell ref="BM42:BT42"/>
    <mergeCell ref="BV42:CC42"/>
    <mergeCell ref="Z47:AI47"/>
    <mergeCell ref="AL47:AS47"/>
    <mergeCell ref="AU47:BB47"/>
    <mergeCell ref="BD47:BK47"/>
    <mergeCell ref="BM47:BT47"/>
    <mergeCell ref="AL43:AS43"/>
    <mergeCell ref="AU43:BB43"/>
    <mergeCell ref="BD43:BK43"/>
    <mergeCell ref="BM43:BT43"/>
    <mergeCell ref="BV43:CC43"/>
    <mergeCell ref="AL49:AS49"/>
    <mergeCell ref="AU49:BB49"/>
    <mergeCell ref="BD49:BK49"/>
    <mergeCell ref="BM49:BT49"/>
    <mergeCell ref="BV49:CC49"/>
    <mergeCell ref="AL48:AS48"/>
    <mergeCell ref="AU48:BB48"/>
    <mergeCell ref="BD48:BK48"/>
    <mergeCell ref="BM48:BT48"/>
    <mergeCell ref="BV48:CC48"/>
    <mergeCell ref="Z51:AI51"/>
    <mergeCell ref="AL51:AS51"/>
    <mergeCell ref="AL53:AS53"/>
    <mergeCell ref="AU53:BB53"/>
    <mergeCell ref="BD53:BK53"/>
    <mergeCell ref="AU51:BB51"/>
    <mergeCell ref="BD51:BK51"/>
    <mergeCell ref="BM51:BT51"/>
    <mergeCell ref="BV51:CC51"/>
    <mergeCell ref="AL52:AS52"/>
    <mergeCell ref="AU52:BB52"/>
    <mergeCell ref="BD52:BK52"/>
    <mergeCell ref="BM52:BT52"/>
    <mergeCell ref="BV52:CC52"/>
    <mergeCell ref="BM53:BT53"/>
    <mergeCell ref="BV53:CC53"/>
    <mergeCell ref="Z63:AI63"/>
    <mergeCell ref="AL63:BA63"/>
    <mergeCell ref="Z71:AI71"/>
    <mergeCell ref="AL71:CD71"/>
    <mergeCell ref="Z73:AI73"/>
    <mergeCell ref="AL73:BA73"/>
    <mergeCell ref="Z65:AI65"/>
    <mergeCell ref="AL65:BA65"/>
    <mergeCell ref="Z67:AI67"/>
    <mergeCell ref="AL67:BA67"/>
    <mergeCell ref="Z69:AI69"/>
    <mergeCell ref="AL69:BA69"/>
    <mergeCell ref="Z55:AI55"/>
    <mergeCell ref="AL55:AS55"/>
    <mergeCell ref="Z57:AI57"/>
    <mergeCell ref="AL57:AS57"/>
  </mergeCells>
  <conditionalFormatting sqref="AL42">
    <cfRule type="expression" dxfId="69" priority="34">
      <formula>dms_FRCPlength_Num&lt;6</formula>
    </cfRule>
  </conditionalFormatting>
  <conditionalFormatting sqref="AL43">
    <cfRule type="expression" dxfId="68" priority="26">
      <formula>dms_FRCPlength_Num&lt;11</formula>
    </cfRule>
  </conditionalFormatting>
  <conditionalFormatting sqref="AL48">
    <cfRule type="expression" dxfId="67" priority="30">
      <formula>dms_CRCPlength_Num&lt;6</formula>
    </cfRule>
  </conditionalFormatting>
  <conditionalFormatting sqref="AL49">
    <cfRule type="expression" dxfId="66" priority="20">
      <formula>dms_CRCPlength_Num&lt;11</formula>
    </cfRule>
  </conditionalFormatting>
  <conditionalFormatting sqref="AL52">
    <cfRule type="expression" dxfId="65" priority="11">
      <formula>dms_PRCPlength_Num&lt;6</formula>
    </cfRule>
  </conditionalFormatting>
  <conditionalFormatting sqref="AL53">
    <cfRule type="expression" dxfId="64" priority="10">
      <formula>dms_PRCPlength_Num&lt;11</formula>
    </cfRule>
  </conditionalFormatting>
  <conditionalFormatting sqref="AL41:AS41">
    <cfRule type="expression" dxfId="63" priority="28" stopIfTrue="1">
      <formula>(INDEX(dms_Model_Span_List,MATCH(dms_Model,dms_Model_List))&gt;1)</formula>
    </cfRule>
  </conditionalFormatting>
  <conditionalFormatting sqref="AL55:AS55">
    <cfRule type="expression" dxfId="62" priority="29" stopIfTrue="1">
      <formula>(INDEX(dms_Model_Span_List,MATCH(dms_Model,dms_Model_List))=1)</formula>
    </cfRule>
  </conditionalFormatting>
  <conditionalFormatting sqref="AL69:BA69">
    <cfRule type="cellIs" dxfId="61" priority="27" operator="equal">
      <formula>"Confidential"</formula>
    </cfRule>
  </conditionalFormatting>
  <conditionalFormatting sqref="AU42">
    <cfRule type="expression" dxfId="60" priority="33">
      <formula>dms_FRCPlength_Num&lt;7</formula>
    </cfRule>
  </conditionalFormatting>
  <conditionalFormatting sqref="AU43">
    <cfRule type="expression" dxfId="59" priority="15">
      <formula>dms_FRCPlength_Num&lt;12</formula>
    </cfRule>
  </conditionalFormatting>
  <conditionalFormatting sqref="AU48">
    <cfRule type="expression" dxfId="58" priority="24">
      <formula>dms_CRCPlength_Num&lt;7</formula>
    </cfRule>
  </conditionalFormatting>
  <conditionalFormatting sqref="AU49">
    <cfRule type="expression" dxfId="57" priority="19">
      <formula>dms_CRCPlength_Num&lt;12</formula>
    </cfRule>
  </conditionalFormatting>
  <conditionalFormatting sqref="AU52">
    <cfRule type="expression" dxfId="56" priority="9">
      <formula>dms_PRCPlength_Num&lt;7</formula>
    </cfRule>
  </conditionalFormatting>
  <conditionalFormatting sqref="AU53">
    <cfRule type="expression" dxfId="55" priority="5">
      <formula>dms_PRCPlength_Num&lt;12</formula>
    </cfRule>
  </conditionalFormatting>
  <conditionalFormatting sqref="BD42">
    <cfRule type="expression" dxfId="54" priority="32">
      <formula>dms_FRCPlength_Num&lt;8</formula>
    </cfRule>
  </conditionalFormatting>
  <conditionalFormatting sqref="BD43">
    <cfRule type="expression" dxfId="53" priority="14">
      <formula>dms_FRCPlength_Num&lt;13</formula>
    </cfRule>
  </conditionalFormatting>
  <conditionalFormatting sqref="BD48">
    <cfRule type="expression" dxfId="52" priority="23">
      <formula>dms_CRCPlength_Num&lt;8</formula>
    </cfRule>
  </conditionalFormatting>
  <conditionalFormatting sqref="BD49">
    <cfRule type="expression" dxfId="51" priority="18">
      <formula>dms_CRCPlength_Num&lt;13</formula>
    </cfRule>
  </conditionalFormatting>
  <conditionalFormatting sqref="BD52">
    <cfRule type="expression" dxfId="50" priority="8">
      <formula>dms_PRCPlength_Num&lt;8</formula>
    </cfRule>
  </conditionalFormatting>
  <conditionalFormatting sqref="BD53">
    <cfRule type="expression" dxfId="49" priority="4">
      <formula>dms_PRCPlength_Num&lt;13</formula>
    </cfRule>
  </conditionalFormatting>
  <conditionalFormatting sqref="BM42">
    <cfRule type="expression" dxfId="48" priority="25">
      <formula>dms_FRCPlength_Num&lt;9</formula>
    </cfRule>
  </conditionalFormatting>
  <conditionalFormatting sqref="BM43">
    <cfRule type="expression" dxfId="47" priority="13">
      <formula>dms_FRCPlength_Num&lt;14</formula>
    </cfRule>
  </conditionalFormatting>
  <conditionalFormatting sqref="BM48">
    <cfRule type="expression" dxfId="46" priority="22">
      <formula>dms_CRCPlength_Num&lt;9</formula>
    </cfRule>
  </conditionalFormatting>
  <conditionalFormatting sqref="BM49">
    <cfRule type="expression" dxfId="45" priority="17">
      <formula>dms_CRCPlength_Num&lt;14</formula>
    </cfRule>
  </conditionalFormatting>
  <conditionalFormatting sqref="BM52">
    <cfRule type="expression" dxfId="44" priority="7">
      <formula>dms_PRCPlength_Num&lt;9</formula>
    </cfRule>
  </conditionalFormatting>
  <conditionalFormatting sqref="BM53">
    <cfRule type="expression" dxfId="43" priority="3">
      <formula>dms_PRCPlength_Num&lt;14</formula>
    </cfRule>
  </conditionalFormatting>
  <conditionalFormatting sqref="BV41">
    <cfRule type="expression" dxfId="42" priority="1">
      <formula>dms_FRCPlength_Num&lt;5</formula>
    </cfRule>
  </conditionalFormatting>
  <conditionalFormatting sqref="BV42">
    <cfRule type="expression" dxfId="41" priority="31">
      <formula>dms_FRCPlength_Num&lt;10</formula>
    </cfRule>
  </conditionalFormatting>
  <conditionalFormatting sqref="BV43">
    <cfRule type="expression" dxfId="40" priority="12">
      <formula>dms_FRCPlength_Num&lt;15</formula>
    </cfRule>
  </conditionalFormatting>
  <conditionalFormatting sqref="BV48">
    <cfRule type="expression" dxfId="39" priority="21">
      <formula>dms_CRCPlength_Num&lt;10</formula>
    </cfRule>
  </conditionalFormatting>
  <conditionalFormatting sqref="BV49">
    <cfRule type="expression" dxfId="38" priority="16">
      <formula>dms_CRCPlength_Num&lt;15</formula>
    </cfRule>
  </conditionalFormatting>
  <conditionalFormatting sqref="BV52">
    <cfRule type="expression" dxfId="37" priority="6">
      <formula>dms_PRCPlength_Num&lt;10</formula>
    </cfRule>
  </conditionalFormatting>
  <conditionalFormatting sqref="BV53">
    <cfRule type="expression" dxfId="36" priority="2">
      <formula>dms_PRCPlength_Num&lt;15</formula>
    </cfRule>
  </conditionalFormatting>
  <dataValidations count="6">
    <dataValidation type="list" operator="lessThanOrEqual" showInputMessage="1" showErrorMessage="1" prompt="Please use drop down to select correct business name. ABN will auto populate." sqref="AL16:AN16" xr:uid="{00000000-0002-0000-0200-000000000000}">
      <formula1>dms_TradingName_List</formula1>
    </dataValidation>
    <dataValidation type="list" allowBlank="1" showInputMessage="1" showErrorMessage="1" sqref="AL65:BA65" xr:uid="{00000000-0002-0000-0200-000001000000}">
      <formula1>dms_SourceList</formula1>
    </dataValidation>
    <dataValidation type="list" allowBlank="1" showInputMessage="1" showErrorMessage="1" sqref="AL67:BA67" xr:uid="{00000000-0002-0000-0200-000002000000}">
      <formula1>dms_DataQuality_List</formula1>
    </dataValidation>
    <dataValidation type="list" allowBlank="1" showInputMessage="1" showErrorMessage="1" sqref="AL69:BA69" xr:uid="{00000000-0002-0000-0200-000003000000}">
      <formula1>dms_Confid_status_List</formula1>
    </dataValidation>
    <dataValidation allowBlank="1" showInputMessage="1" showErrorMessage="1" promptTitle="Submission Date" prompt="-- enter date file submitted to AER -- " sqref="AL73:BA73" xr:uid="{00000000-0002-0000-0200-000004000000}"/>
    <dataValidation type="list" allowBlank="1" showInputMessage="1" showErrorMessage="1" sqref="AL41:AS41 AL55:AS55 AL57:AS57" xr:uid="{00000000-0002-0000-0200-000005000000}">
      <formula1>INDIRECT(dms_RPT)</formula1>
    </dataValidation>
  </dataValidations>
  <pageMargins left="0.7" right="0.7" top="0.75" bottom="0.75" header="0.3" footer="0.3"/>
  <pageSetup orientation="portrait" r:id="rId1"/>
  <headerFooter>
    <oddFooter>&amp;C_x000D_&amp;1#&amp;"Calibri"&amp;10&amp;K000000 Ringfenced Confidential - Commercially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7375E"/>
  </sheetPr>
  <dimension ref="A1:I190"/>
  <sheetViews>
    <sheetView showGridLines="0" topLeftCell="A2" zoomScale="85" zoomScaleNormal="85" workbookViewId="0">
      <selection activeCell="K19" sqref="K19"/>
    </sheetView>
  </sheetViews>
  <sheetFormatPr defaultColWidth="9.140625" defaultRowHeight="15" outlineLevelRow="2" x14ac:dyDescent="0.25"/>
  <cols>
    <col min="1" max="1" width="22.7109375" customWidth="1"/>
    <col min="2" max="2" width="46" customWidth="1"/>
    <col min="3" max="9" width="20.71093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95</v>
      </c>
      <c r="C4" s="383"/>
      <c r="D4" s="383"/>
      <c r="E4" s="383"/>
      <c r="F4" s="383"/>
      <c r="G4" s="383"/>
      <c r="H4" s="383"/>
      <c r="I4" s="383"/>
    </row>
    <row r="5" spans="1:9" ht="30" customHeight="1" x14ac:dyDescent="0.25">
      <c r="B5" s="1440" t="s">
        <v>96</v>
      </c>
      <c r="C5" s="1440"/>
      <c r="D5" s="1440"/>
      <c r="E5" s="1440"/>
      <c r="F5" s="1440"/>
      <c r="G5" s="1440"/>
      <c r="H5" s="1440"/>
      <c r="I5" s="1440"/>
    </row>
    <row r="6" spans="1:9" x14ac:dyDescent="0.25">
      <c r="B6" s="299"/>
    </row>
    <row r="7" spans="1:9" ht="15" customHeight="1" x14ac:dyDescent="0.25"/>
    <row r="8" spans="1:9" s="41" customFormat="1" ht="24.75" customHeight="1" x14ac:dyDescent="0.2">
      <c r="A8" s="276"/>
      <c r="B8" s="31" t="s">
        <v>97</v>
      </c>
      <c r="C8" s="31"/>
      <c r="D8" s="31"/>
      <c r="E8" s="31"/>
      <c r="F8" s="31"/>
      <c r="G8" s="31"/>
      <c r="H8" s="31"/>
      <c r="I8" s="31"/>
    </row>
    <row r="9" spans="1:9" s="41" customFormat="1" ht="24.75" customHeight="1" outlineLevel="1" x14ac:dyDescent="0.2">
      <c r="A9" s="276"/>
      <c r="B9" s="232" t="s">
        <v>98</v>
      </c>
      <c r="C9" s="233"/>
      <c r="D9" s="233"/>
      <c r="E9" s="233"/>
      <c r="F9" s="233"/>
      <c r="G9" s="233"/>
      <c r="H9" s="233"/>
      <c r="I9" s="234"/>
    </row>
    <row r="10" spans="1:9" s="275" customFormat="1" ht="17.25" customHeight="1" outlineLevel="2" x14ac:dyDescent="0.25">
      <c r="A10" s="274"/>
      <c r="B10" s="289"/>
      <c r="C10" s="1331" t="s">
        <v>24</v>
      </c>
      <c r="D10" s="1331"/>
      <c r="E10" s="1331"/>
      <c r="F10" s="1331"/>
      <c r="G10" s="1331"/>
      <c r="H10" s="1331"/>
      <c r="I10" s="1331"/>
    </row>
    <row r="11" spans="1:9" s="275" customFormat="1" ht="17.25" customHeight="1" outlineLevel="2" x14ac:dyDescent="0.2">
      <c r="A11" s="274"/>
      <c r="C11" s="1331" t="str">
        <f ca="1">CONCATENATE("$, real ",dms_DollarReal)</f>
        <v>$, real June 2026</v>
      </c>
      <c r="D11" s="1331"/>
      <c r="E11" s="1331"/>
      <c r="F11" s="1331"/>
      <c r="G11" s="1331"/>
      <c r="H11" s="1331"/>
      <c r="I11" s="1331"/>
    </row>
    <row r="12" spans="1:9" s="275" customFormat="1" ht="17.25" customHeight="1" outlineLevel="2" x14ac:dyDescent="0.25">
      <c r="A12" s="274"/>
      <c r="B12" s="302"/>
      <c r="C12" s="298" t="str">
        <f ca="1">dms_y1</f>
        <v>2024-25</v>
      </c>
      <c r="D12" s="298" t="str">
        <f ca="1">dms_y2</f>
        <v>2025-26</v>
      </c>
      <c r="E12" s="298" t="str">
        <f ca="1">dms_y3</f>
        <v>2026-27</v>
      </c>
      <c r="F12" s="298" t="str">
        <f ca="1">dms_y4</f>
        <v>2027-28</v>
      </c>
      <c r="G12" s="298" t="str">
        <f ca="1">dms_y5</f>
        <v>2028-29</v>
      </c>
      <c r="H12" s="298" t="str">
        <f ca="1">dms_y6</f>
        <v>2029-30</v>
      </c>
      <c r="I12" s="298" t="str">
        <f ca="1">dms_y7</f>
        <v>2030-31</v>
      </c>
    </row>
    <row r="13" spans="1:9" outlineLevel="2" x14ac:dyDescent="0.25">
      <c r="A13" s="238"/>
      <c r="B13" s="35" t="s">
        <v>99</v>
      </c>
      <c r="C13" s="261">
        <v>2657751</v>
      </c>
      <c r="D13" s="262">
        <v>856656</v>
      </c>
      <c r="E13" s="261">
        <v>1238170</v>
      </c>
      <c r="F13" s="262">
        <v>1202416</v>
      </c>
      <c r="G13" s="262">
        <v>1231507</v>
      </c>
      <c r="H13" s="262">
        <v>1245100</v>
      </c>
      <c r="I13" s="265">
        <v>1247397</v>
      </c>
    </row>
    <row r="14" spans="1:9" outlineLevel="2" x14ac:dyDescent="0.25">
      <c r="A14" s="238"/>
      <c r="B14" s="35" t="s">
        <v>100</v>
      </c>
      <c r="C14" s="270">
        <v>848969</v>
      </c>
      <c r="D14" s="256">
        <v>1335125</v>
      </c>
      <c r="E14" s="270">
        <v>0</v>
      </c>
      <c r="F14" s="629">
        <v>0</v>
      </c>
      <c r="G14" s="256">
        <v>0</v>
      </c>
      <c r="H14" s="256">
        <v>0</v>
      </c>
      <c r="I14" s="257">
        <v>0</v>
      </c>
    </row>
    <row r="15" spans="1:9" outlineLevel="2" x14ac:dyDescent="0.25">
      <c r="A15" s="238"/>
      <c r="B15" s="35" t="s">
        <v>101</v>
      </c>
      <c r="C15" s="270">
        <v>-5189</v>
      </c>
      <c r="D15" s="256">
        <v>0</v>
      </c>
      <c r="E15" s="1442">
        <v>0</v>
      </c>
      <c r="F15" s="629">
        <v>0</v>
      </c>
      <c r="G15" s="256">
        <v>0</v>
      </c>
      <c r="H15" s="629">
        <v>0</v>
      </c>
      <c r="I15" s="1441">
        <v>0</v>
      </c>
    </row>
    <row r="16" spans="1:9" outlineLevel="2" x14ac:dyDescent="0.25">
      <c r="A16" s="238"/>
      <c r="B16" s="35" t="s">
        <v>102</v>
      </c>
      <c r="C16" s="270">
        <v>0</v>
      </c>
      <c r="D16" s="256">
        <v>0</v>
      </c>
      <c r="E16" s="1442">
        <v>0</v>
      </c>
      <c r="F16" s="629">
        <v>0</v>
      </c>
      <c r="G16" s="629">
        <v>0</v>
      </c>
      <c r="H16" s="629">
        <v>0</v>
      </c>
      <c r="I16" s="1441">
        <v>0</v>
      </c>
    </row>
    <row r="17" spans="1:9" outlineLevel="2" x14ac:dyDescent="0.25">
      <c r="A17" s="238"/>
      <c r="B17" s="35" t="s">
        <v>103</v>
      </c>
      <c r="C17" s="270">
        <v>3136268</v>
      </c>
      <c r="D17" s="256">
        <v>3526822</v>
      </c>
      <c r="E17" s="1442">
        <v>5026552</v>
      </c>
      <c r="F17" s="629">
        <v>5374101</v>
      </c>
      <c r="G17" s="629">
        <v>5360297</v>
      </c>
      <c r="H17" s="629">
        <v>5867479</v>
      </c>
      <c r="I17" s="1441">
        <v>6960827</v>
      </c>
    </row>
    <row r="18" spans="1:9" outlineLevel="2" x14ac:dyDescent="0.25">
      <c r="A18" s="238"/>
      <c r="B18" s="35" t="s">
        <v>104</v>
      </c>
      <c r="C18" s="270">
        <v>21713</v>
      </c>
      <c r="D18" s="256">
        <v>0</v>
      </c>
      <c r="E18" s="1442">
        <v>0</v>
      </c>
      <c r="F18" s="629">
        <v>0</v>
      </c>
      <c r="G18" s="629">
        <v>0</v>
      </c>
      <c r="H18" s="629">
        <v>106798</v>
      </c>
      <c r="I18" s="1441">
        <v>0</v>
      </c>
    </row>
    <row r="19" spans="1:9" outlineLevel="2" x14ac:dyDescent="0.25">
      <c r="A19" s="238"/>
      <c r="B19" s="35" t="s">
        <v>105</v>
      </c>
      <c r="C19" s="270">
        <v>0</v>
      </c>
      <c r="D19" s="256">
        <v>0</v>
      </c>
      <c r="E19" s="1442">
        <v>0</v>
      </c>
      <c r="F19" s="629">
        <v>0</v>
      </c>
      <c r="G19" s="629">
        <v>0</v>
      </c>
      <c r="H19" s="629">
        <v>0</v>
      </c>
      <c r="I19" s="1441">
        <v>0</v>
      </c>
    </row>
    <row r="20" spans="1:9" outlineLevel="2" x14ac:dyDescent="0.25">
      <c r="A20" s="238"/>
      <c r="B20" s="35" t="s">
        <v>106</v>
      </c>
      <c r="C20" s="270">
        <v>790339</v>
      </c>
      <c r="D20" s="256">
        <v>547169</v>
      </c>
      <c r="E20" s="1442">
        <v>664586</v>
      </c>
      <c r="F20" s="629">
        <v>517800</v>
      </c>
      <c r="G20" s="629">
        <v>514153</v>
      </c>
      <c r="H20" s="629">
        <v>575547</v>
      </c>
      <c r="I20" s="1441">
        <v>649094</v>
      </c>
    </row>
    <row r="21" spans="1:9" outlineLevel="2" x14ac:dyDescent="0.25">
      <c r="A21" s="238"/>
      <c r="B21" s="35" t="s">
        <v>107</v>
      </c>
      <c r="C21" s="283">
        <v>1489265</v>
      </c>
      <c r="D21" s="286">
        <v>3400882</v>
      </c>
      <c r="E21" s="283">
        <v>1241921</v>
      </c>
      <c r="F21" s="286">
        <v>107034</v>
      </c>
      <c r="G21" s="286">
        <v>51762</v>
      </c>
      <c r="H21" s="286">
        <v>52191</v>
      </c>
      <c r="I21" s="287">
        <v>52658</v>
      </c>
    </row>
    <row r="22" spans="1:9" ht="15" customHeight="1" outlineLevel="2" x14ac:dyDescent="0.25">
      <c r="A22" s="238"/>
      <c r="B22" s="35" t="s">
        <v>108</v>
      </c>
      <c r="C22" s="588">
        <v>205075</v>
      </c>
      <c r="D22" s="589">
        <v>37001</v>
      </c>
      <c r="E22" s="588">
        <v>119060</v>
      </c>
      <c r="F22" s="589">
        <v>117451</v>
      </c>
      <c r="G22" s="589">
        <v>120283</v>
      </c>
      <c r="H22" s="589">
        <v>122210</v>
      </c>
      <c r="I22" s="590">
        <v>123482</v>
      </c>
    </row>
    <row r="23" spans="1:9" ht="15" customHeight="1" outlineLevel="2" x14ac:dyDescent="0.25">
      <c r="A23" s="238"/>
      <c r="B23" s="625" t="s">
        <v>109</v>
      </c>
      <c r="C23" s="281">
        <f t="shared" ref="C23:I23" si="0">SUM(C13:C21)-C22</f>
        <v>8734041</v>
      </c>
      <c r="D23" s="281">
        <f t="shared" si="0"/>
        <v>9629653</v>
      </c>
      <c r="E23" s="281">
        <f t="shared" si="0"/>
        <v>8052169</v>
      </c>
      <c r="F23" s="281">
        <f t="shared" si="0"/>
        <v>7083900</v>
      </c>
      <c r="G23" s="281">
        <f t="shared" si="0"/>
        <v>7037436</v>
      </c>
      <c r="H23" s="281">
        <f t="shared" si="0"/>
        <v>7724905</v>
      </c>
      <c r="I23" s="282">
        <f t="shared" si="0"/>
        <v>8786494</v>
      </c>
    </row>
    <row r="24" spans="1:9" s="238" customFormat="1" ht="15" customHeight="1" outlineLevel="1" x14ac:dyDescent="0.25"/>
    <row r="25" spans="1:9" s="41" customFormat="1" ht="24.75" customHeight="1" outlineLevel="1" x14ac:dyDescent="0.2">
      <c r="A25" s="276"/>
      <c r="B25" s="232" t="s">
        <v>110</v>
      </c>
      <c r="C25" s="233"/>
      <c r="D25" s="233"/>
      <c r="E25" s="233"/>
      <c r="F25" s="233"/>
      <c r="G25" s="233"/>
      <c r="H25" s="233"/>
      <c r="I25" s="234"/>
    </row>
    <row r="26" spans="1:9" outlineLevel="2" x14ac:dyDescent="0.25">
      <c r="A26" s="238"/>
      <c r="B26" s="553"/>
      <c r="C26" s="261"/>
      <c r="D26" s="265"/>
      <c r="E26" s="264"/>
      <c r="F26" s="262"/>
      <c r="G26" s="262"/>
      <c r="H26" s="262"/>
      <c r="I26" s="265"/>
    </row>
    <row r="27" spans="1:9" outlineLevel="2" x14ac:dyDescent="0.25">
      <c r="A27" s="238"/>
      <c r="B27" s="553"/>
      <c r="C27" s="266"/>
      <c r="D27" s="269"/>
      <c r="E27" s="268"/>
      <c r="F27" s="267"/>
      <c r="G27" s="267"/>
      <c r="H27" s="267"/>
      <c r="I27" s="269"/>
    </row>
    <row r="28" spans="1:9" outlineLevel="2" x14ac:dyDescent="0.25">
      <c r="A28" s="238"/>
      <c r="B28" s="553"/>
      <c r="C28" s="266"/>
      <c r="D28" s="269"/>
      <c r="E28" s="268"/>
      <c r="F28" s="267"/>
      <c r="G28" s="267"/>
      <c r="H28" s="267"/>
      <c r="I28" s="269"/>
    </row>
    <row r="29" spans="1:9" outlineLevel="2" x14ac:dyDescent="0.25">
      <c r="A29" s="238"/>
      <c r="B29" s="553"/>
      <c r="C29" s="266"/>
      <c r="D29" s="269"/>
      <c r="E29" s="268"/>
      <c r="F29" s="267"/>
      <c r="G29" s="267"/>
      <c r="H29" s="267"/>
      <c r="I29" s="269"/>
    </row>
    <row r="30" spans="1:9" outlineLevel="2" x14ac:dyDescent="0.25">
      <c r="A30" s="238"/>
      <c r="B30" s="553"/>
      <c r="C30" s="266"/>
      <c r="D30" s="269"/>
      <c r="E30" s="268"/>
      <c r="F30" s="267"/>
      <c r="G30" s="267"/>
      <c r="H30" s="267"/>
      <c r="I30" s="269"/>
    </row>
    <row r="31" spans="1:9" outlineLevel="2" x14ac:dyDescent="0.25">
      <c r="A31" s="238"/>
      <c r="B31" s="553"/>
      <c r="C31" s="266"/>
      <c r="D31" s="269"/>
      <c r="E31" s="268"/>
      <c r="F31" s="267"/>
      <c r="G31" s="267"/>
      <c r="H31" s="267"/>
      <c r="I31" s="269"/>
    </row>
    <row r="32" spans="1:9" outlineLevel="2" x14ac:dyDescent="0.25">
      <c r="A32" s="238"/>
      <c r="B32" s="553"/>
      <c r="C32" s="266"/>
      <c r="D32" s="269"/>
      <c r="E32" s="268"/>
      <c r="F32" s="267"/>
      <c r="G32" s="267"/>
      <c r="H32" s="267"/>
      <c r="I32" s="269"/>
    </row>
    <row r="33" spans="1:9" outlineLevel="2" x14ac:dyDescent="0.25">
      <c r="A33" s="238"/>
      <c r="B33" s="553"/>
      <c r="C33" s="266"/>
      <c r="D33" s="269"/>
      <c r="E33" s="268"/>
      <c r="F33" s="267"/>
      <c r="G33" s="267"/>
      <c r="H33" s="267"/>
      <c r="I33" s="269"/>
    </row>
    <row r="34" spans="1:9" outlineLevel="2" x14ac:dyDescent="0.25">
      <c r="A34" s="238"/>
      <c r="B34" s="553"/>
      <c r="C34" s="266"/>
      <c r="D34" s="269"/>
      <c r="E34" s="268"/>
      <c r="F34" s="267"/>
      <c r="G34" s="267"/>
      <c r="H34" s="267"/>
      <c r="I34" s="269"/>
    </row>
    <row r="35" spans="1:9" outlineLevel="2" x14ac:dyDescent="0.25">
      <c r="A35" s="238"/>
      <c r="B35" s="553"/>
      <c r="C35" s="266"/>
      <c r="D35" s="269"/>
      <c r="E35" s="268"/>
      <c r="F35" s="267"/>
      <c r="G35" s="267"/>
      <c r="H35" s="267"/>
      <c r="I35" s="269"/>
    </row>
    <row r="36" spans="1:9" outlineLevel="2" x14ac:dyDescent="0.25">
      <c r="A36" s="238"/>
      <c r="B36" s="553"/>
      <c r="C36" s="266"/>
      <c r="D36" s="269"/>
      <c r="E36" s="268"/>
      <c r="F36" s="267"/>
      <c r="G36" s="267"/>
      <c r="H36" s="267"/>
      <c r="I36" s="269"/>
    </row>
    <row r="37" spans="1:9" outlineLevel="2" x14ac:dyDescent="0.25">
      <c r="A37" s="238"/>
      <c r="B37" s="553"/>
      <c r="C37" s="266"/>
      <c r="D37" s="269"/>
      <c r="E37" s="268"/>
      <c r="F37" s="267"/>
      <c r="G37" s="267"/>
      <c r="H37" s="267"/>
      <c r="I37" s="269"/>
    </row>
    <row r="38" spans="1:9" outlineLevel="2" x14ac:dyDescent="0.25">
      <c r="A38" s="238"/>
      <c r="B38" s="553"/>
      <c r="C38" s="266"/>
      <c r="D38" s="269"/>
      <c r="E38" s="268"/>
      <c r="F38" s="267"/>
      <c r="G38" s="267"/>
      <c r="H38" s="267"/>
      <c r="I38" s="269"/>
    </row>
    <row r="39" spans="1:9" outlineLevel="2" x14ac:dyDescent="0.25">
      <c r="A39" s="238"/>
      <c r="B39" s="553"/>
      <c r="C39" s="266"/>
      <c r="D39" s="269"/>
      <c r="E39" s="268"/>
      <c r="F39" s="267"/>
      <c r="G39" s="267"/>
      <c r="H39" s="267"/>
      <c r="I39" s="269"/>
    </row>
    <row r="40" spans="1:9" outlineLevel="2" x14ac:dyDescent="0.25">
      <c r="A40" s="238"/>
      <c r="B40" s="553"/>
      <c r="C40" s="266"/>
      <c r="D40" s="269"/>
      <c r="E40" s="268"/>
      <c r="F40" s="267"/>
      <c r="G40" s="267"/>
      <c r="H40" s="267"/>
      <c r="I40" s="269"/>
    </row>
    <row r="41" spans="1:9" outlineLevel="2" x14ac:dyDescent="0.25">
      <c r="A41" s="238"/>
      <c r="B41" s="553"/>
      <c r="C41" s="266"/>
      <c r="D41" s="269"/>
      <c r="E41" s="268"/>
      <c r="F41" s="267"/>
      <c r="G41" s="267"/>
      <c r="H41" s="267"/>
      <c r="I41" s="269"/>
    </row>
    <row r="42" spans="1:9" outlineLevel="2" x14ac:dyDescent="0.25">
      <c r="A42" s="238"/>
      <c r="B42" s="553"/>
      <c r="C42" s="266"/>
      <c r="D42" s="269"/>
      <c r="E42" s="268"/>
      <c r="F42" s="267"/>
      <c r="G42" s="267"/>
      <c r="H42" s="267"/>
      <c r="I42" s="269"/>
    </row>
    <row r="43" spans="1:9" outlineLevel="2" x14ac:dyDescent="0.25">
      <c r="A43" s="238"/>
      <c r="B43" s="553"/>
      <c r="C43" s="266"/>
      <c r="D43" s="269"/>
      <c r="E43" s="268"/>
      <c r="F43" s="267"/>
      <c r="G43" s="267"/>
      <c r="H43" s="267"/>
      <c r="I43" s="269"/>
    </row>
    <row r="44" spans="1:9" outlineLevel="2" x14ac:dyDescent="0.25">
      <c r="A44" s="238"/>
      <c r="B44" s="553"/>
      <c r="C44" s="270"/>
      <c r="D44" s="257"/>
      <c r="E44" s="255"/>
      <c r="F44" s="256"/>
      <c r="G44" s="256"/>
      <c r="H44" s="256"/>
      <c r="I44" s="257"/>
    </row>
    <row r="45" spans="1:9" outlineLevel="2" x14ac:dyDescent="0.25">
      <c r="A45" s="238"/>
      <c r="B45" s="553"/>
      <c r="C45" s="270"/>
      <c r="D45" s="257"/>
      <c r="E45" s="255"/>
      <c r="F45" s="256"/>
      <c r="G45" s="256"/>
      <c r="H45" s="256"/>
      <c r="I45" s="257"/>
    </row>
    <row r="46" spans="1:9" outlineLevel="2" x14ac:dyDescent="0.25">
      <c r="A46" s="238"/>
      <c r="B46" s="553"/>
      <c r="C46" s="270"/>
      <c r="D46" s="257"/>
      <c r="E46" s="255"/>
      <c r="F46" s="256"/>
      <c r="G46" s="256"/>
      <c r="H46" s="256"/>
      <c r="I46" s="257"/>
    </row>
    <row r="47" spans="1:9" outlineLevel="2" x14ac:dyDescent="0.25">
      <c r="A47" s="238"/>
      <c r="B47" s="553"/>
      <c r="C47" s="270"/>
      <c r="D47" s="257"/>
      <c r="E47" s="255"/>
      <c r="F47" s="256"/>
      <c r="G47" s="256"/>
      <c r="H47" s="256"/>
      <c r="I47" s="257"/>
    </row>
    <row r="48" spans="1:9" outlineLevel="2" x14ac:dyDescent="0.25">
      <c r="A48" s="238"/>
      <c r="B48" s="553"/>
      <c r="C48" s="270"/>
      <c r="D48" s="257"/>
      <c r="E48" s="255"/>
      <c r="F48" s="256"/>
      <c r="G48" s="256"/>
      <c r="H48" s="256"/>
      <c r="I48" s="257"/>
    </row>
    <row r="49" spans="1:9" outlineLevel="2" x14ac:dyDescent="0.25">
      <c r="A49" s="238"/>
      <c r="B49" s="553"/>
      <c r="C49" s="270"/>
      <c r="D49" s="257"/>
      <c r="E49" s="255"/>
      <c r="F49" s="256"/>
      <c r="G49" s="256"/>
      <c r="H49" s="256"/>
      <c r="I49" s="257"/>
    </row>
    <row r="50" spans="1:9" outlineLevel="2" x14ac:dyDescent="0.25">
      <c r="A50" s="238"/>
      <c r="B50" s="1152"/>
      <c r="C50" s="283"/>
      <c r="D50" s="287"/>
      <c r="E50" s="285"/>
      <c r="F50" s="286"/>
      <c r="G50" s="286"/>
      <c r="H50" s="286"/>
      <c r="I50" s="287"/>
    </row>
    <row r="51" spans="1:9" ht="15" customHeight="1" outlineLevel="2" x14ac:dyDescent="0.25">
      <c r="A51" s="238"/>
      <c r="B51" s="1153" t="s">
        <v>111</v>
      </c>
      <c r="C51" s="303"/>
      <c r="D51" s="538"/>
      <c r="E51" s="304"/>
      <c r="F51" s="305"/>
      <c r="G51" s="305"/>
      <c r="H51" s="305"/>
      <c r="I51" s="538"/>
    </row>
    <row r="52" spans="1:9" ht="15" customHeight="1" outlineLevel="2" x14ac:dyDescent="0.25">
      <c r="A52" s="238"/>
      <c r="B52" s="625" t="s">
        <v>112</v>
      </c>
      <c r="C52" s="281">
        <f t="shared" ref="C52:I52" si="1">SUM(C26:C50)-C51</f>
        <v>0</v>
      </c>
      <c r="D52" s="281">
        <f t="shared" si="1"/>
        <v>0</v>
      </c>
      <c r="E52" s="281">
        <f t="shared" si="1"/>
        <v>0</v>
      </c>
      <c r="F52" s="281">
        <f t="shared" si="1"/>
        <v>0</v>
      </c>
      <c r="G52" s="281">
        <f t="shared" si="1"/>
        <v>0</v>
      </c>
      <c r="H52" s="281">
        <f t="shared" si="1"/>
        <v>0</v>
      </c>
      <c r="I52" s="282">
        <f t="shared" si="1"/>
        <v>0</v>
      </c>
    </row>
    <row r="53" spans="1:9" s="238" customFormat="1" ht="23.25" customHeight="1" outlineLevel="1" x14ac:dyDescent="0.25"/>
    <row r="54" spans="1:9" ht="15" customHeight="1" x14ac:dyDescent="0.25">
      <c r="B54" s="41"/>
    </row>
    <row r="55" spans="1:9" s="41" customFormat="1" ht="24.75" customHeight="1" x14ac:dyDescent="0.2">
      <c r="A55" s="276"/>
      <c r="B55" s="31" t="s">
        <v>113</v>
      </c>
      <c r="C55" s="31"/>
      <c r="D55" s="31"/>
      <c r="E55" s="31"/>
      <c r="F55" s="31"/>
      <c r="G55" s="31"/>
      <c r="H55" s="31"/>
      <c r="I55" s="31"/>
    </row>
    <row r="56" spans="1:9" s="41" customFormat="1" ht="24.75" customHeight="1" outlineLevel="1" x14ac:dyDescent="0.2">
      <c r="A56" s="276"/>
      <c r="B56" s="232" t="s">
        <v>114</v>
      </c>
      <c r="C56" s="233"/>
      <c r="D56" s="233"/>
      <c r="E56" s="233"/>
      <c r="F56" s="233"/>
      <c r="G56" s="233"/>
      <c r="H56" s="233"/>
      <c r="I56" s="234"/>
    </row>
    <row r="57" spans="1:9" s="275" customFormat="1" ht="17.25" customHeight="1" outlineLevel="2" x14ac:dyDescent="0.25">
      <c r="A57" s="274"/>
      <c r="B57" s="289"/>
      <c r="C57" s="1331" t="s">
        <v>24</v>
      </c>
      <c r="D57" s="1331"/>
      <c r="E57" s="1331"/>
      <c r="F57" s="1331"/>
      <c r="G57" s="1331"/>
      <c r="H57" s="1331"/>
      <c r="I57" s="1331"/>
    </row>
    <row r="58" spans="1:9" s="275" customFormat="1" ht="17.25" customHeight="1" outlineLevel="2" x14ac:dyDescent="0.2">
      <c r="A58" s="274"/>
      <c r="C58" s="1331" t="str">
        <f ca="1">CONCATENATE("$, real ",dms_DollarReal)</f>
        <v>$, real June 2026</v>
      </c>
      <c r="D58" s="1331"/>
      <c r="E58" s="1331"/>
      <c r="F58" s="1331"/>
      <c r="G58" s="1331"/>
      <c r="H58" s="1331"/>
      <c r="I58" s="1331"/>
    </row>
    <row r="59" spans="1:9" s="275" customFormat="1" ht="17.25" customHeight="1" outlineLevel="2" x14ac:dyDescent="0.25">
      <c r="A59" s="274"/>
      <c r="B59" s="302"/>
      <c r="C59" s="298" t="str">
        <f ca="1">dms_y1</f>
        <v>2024-25</v>
      </c>
      <c r="D59" s="298" t="str">
        <f ca="1">dms_y2</f>
        <v>2025-26</v>
      </c>
      <c r="E59" s="298" t="str">
        <f ca="1">dms_y3</f>
        <v>2026-27</v>
      </c>
      <c r="F59" s="298" t="str">
        <f ca="1">dms_y4</f>
        <v>2027-28</v>
      </c>
      <c r="G59" s="298" t="str">
        <f ca="1">dms_y5</f>
        <v>2028-29</v>
      </c>
      <c r="H59" s="298" t="str">
        <f ca="1">dms_y6</f>
        <v>2029-30</v>
      </c>
      <c r="I59" s="298" t="str">
        <f ca="1">dms_y7</f>
        <v>2030-31</v>
      </c>
    </row>
    <row r="60" spans="1:9" outlineLevel="2" x14ac:dyDescent="0.25">
      <c r="A60" s="238"/>
      <c r="B60" s="300" t="str">
        <f>'E20. Opex'!B45</f>
        <v>repairs and maintenance</v>
      </c>
      <c r="C60" s="1350"/>
      <c r="D60" s="1351"/>
      <c r="E60" s="1350"/>
      <c r="F60" s="1351"/>
      <c r="G60" s="1351"/>
      <c r="H60" s="1351"/>
      <c r="I60" s="1352"/>
    </row>
    <row r="61" spans="1:9" outlineLevel="2" x14ac:dyDescent="0.25">
      <c r="A61" s="238"/>
      <c r="B61" s="300" t="str">
        <f>'E20. Opex'!B46</f>
        <v>marketing and retail incentives</v>
      </c>
      <c r="C61" s="1350"/>
      <c r="D61" s="1351"/>
      <c r="E61" s="1350"/>
      <c r="F61" s="1351"/>
      <c r="G61" s="1351"/>
      <c r="H61" s="1351"/>
      <c r="I61" s="1352"/>
    </row>
    <row r="62" spans="1:9" outlineLevel="2" x14ac:dyDescent="0.25">
      <c r="A62" s="238"/>
      <c r="B62" s="300" t="str">
        <f>'E20. Opex'!B47</f>
        <v>debt raising</v>
      </c>
      <c r="C62" s="1350"/>
      <c r="D62" s="1351"/>
      <c r="E62" s="1350"/>
      <c r="F62" s="1351"/>
      <c r="G62" s="1351"/>
      <c r="H62" s="1351"/>
      <c r="I62" s="1352"/>
    </row>
    <row r="63" spans="1:9" outlineLevel="2" x14ac:dyDescent="0.25">
      <c r="A63" s="238"/>
      <c r="B63" s="300" t="str">
        <f>'E20. Opex'!B48</f>
        <v>equity raising</v>
      </c>
      <c r="C63" s="1350"/>
      <c r="D63" s="1351"/>
      <c r="E63" s="1350"/>
      <c r="F63" s="1351"/>
      <c r="G63" s="1351"/>
      <c r="H63" s="1351"/>
      <c r="I63" s="1352"/>
    </row>
    <row r="64" spans="1:9" outlineLevel="2" x14ac:dyDescent="0.25">
      <c r="A64" s="238"/>
      <c r="B64" s="300" t="str">
        <f>'E20. Opex'!B49</f>
        <v>unaccounted for gas</v>
      </c>
      <c r="C64" s="1350"/>
      <c r="D64" s="1351"/>
      <c r="E64" s="1350"/>
      <c r="F64" s="1351"/>
      <c r="G64" s="1351"/>
      <c r="H64" s="1351"/>
      <c r="I64" s="1352"/>
    </row>
    <row r="65" spans="1:9" outlineLevel="2" x14ac:dyDescent="0.25">
      <c r="A65" s="238"/>
      <c r="B65" s="300" t="str">
        <f>'E20. Opex'!B50</f>
        <v>jurisdictional charges</v>
      </c>
      <c r="C65" s="1350"/>
      <c r="D65" s="1351"/>
      <c r="E65" s="1350"/>
      <c r="F65" s="1351"/>
      <c r="G65" s="1351"/>
      <c r="H65" s="1351"/>
      <c r="I65" s="1352"/>
    </row>
    <row r="66" spans="1:9" outlineLevel="2" x14ac:dyDescent="0.25">
      <c r="A66" s="238"/>
      <c r="B66" s="300" t="str">
        <f>'E20. Opex'!B51</f>
        <v>GSL payments</v>
      </c>
      <c r="C66" s="1350"/>
      <c r="D66" s="1351"/>
      <c r="E66" s="1350"/>
      <c r="F66" s="1351"/>
      <c r="G66" s="1351"/>
      <c r="H66" s="1351"/>
      <c r="I66" s="1352"/>
    </row>
    <row r="67" spans="1:9" ht="15" customHeight="1" outlineLevel="2" x14ac:dyDescent="0.25">
      <c r="A67" s="238"/>
      <c r="B67" s="300" t="str">
        <f>'E20. Opex'!B52</f>
        <v>other opex</v>
      </c>
      <c r="C67" s="1350"/>
      <c r="D67" s="1351"/>
      <c r="E67" s="1350"/>
      <c r="F67" s="1351"/>
      <c r="G67" s="1351"/>
      <c r="H67" s="1351"/>
      <c r="I67" s="1352"/>
    </row>
    <row r="68" spans="1:9" ht="15" customHeight="1" outlineLevel="2" x14ac:dyDescent="0.25">
      <c r="A68" s="238"/>
      <c r="B68" s="625" t="s">
        <v>115</v>
      </c>
      <c r="C68" s="281">
        <f t="shared" ref="C68:I68" si="2">SUM(C60:C67)</f>
        <v>0</v>
      </c>
      <c r="D68" s="281">
        <f t="shared" si="2"/>
        <v>0</v>
      </c>
      <c r="E68" s="281">
        <f t="shared" si="2"/>
        <v>0</v>
      </c>
      <c r="F68" s="281">
        <f t="shared" si="2"/>
        <v>0</v>
      </c>
      <c r="G68" s="281">
        <f t="shared" si="2"/>
        <v>0</v>
      </c>
      <c r="H68" s="281">
        <f t="shared" si="2"/>
        <v>0</v>
      </c>
      <c r="I68" s="281">
        <f t="shared" si="2"/>
        <v>0</v>
      </c>
    </row>
    <row r="69" spans="1:9" s="238" customFormat="1" ht="15" customHeight="1" outlineLevel="1" x14ac:dyDescent="0.25"/>
    <row r="70" spans="1:9" s="41" customFormat="1" ht="24.75" customHeight="1" outlineLevel="1" x14ac:dyDescent="0.2">
      <c r="A70" s="276"/>
      <c r="B70" s="232" t="s">
        <v>116</v>
      </c>
      <c r="C70" s="233"/>
      <c r="D70" s="233"/>
      <c r="E70" s="233"/>
      <c r="F70" s="233"/>
      <c r="G70" s="233"/>
      <c r="H70" s="233"/>
      <c r="I70" s="234"/>
    </row>
    <row r="71" spans="1:9" outlineLevel="2" x14ac:dyDescent="0.25">
      <c r="A71" s="238"/>
      <c r="B71" s="1200" t="str">
        <f>IF(ISBLANK('E20. Opex'!B59),"",'E20. Opex'!B59)</f>
        <v/>
      </c>
      <c r="C71" s="1186"/>
      <c r="D71" s="1188"/>
      <c r="E71" s="1193"/>
      <c r="F71" s="1187"/>
      <c r="G71" s="1187"/>
      <c r="H71" s="1187"/>
      <c r="I71" s="1188"/>
    </row>
    <row r="72" spans="1:9" outlineLevel="2" x14ac:dyDescent="0.25">
      <c r="A72" s="238"/>
      <c r="B72" s="1200" t="str">
        <f>IF(ISBLANK('E20. Opex'!B60),"",'E20. Opex'!B60)</f>
        <v/>
      </c>
      <c r="C72" s="1189"/>
      <c r="D72" s="595"/>
      <c r="E72" s="1194"/>
      <c r="F72" s="594"/>
      <c r="G72" s="594"/>
      <c r="H72" s="594"/>
      <c r="I72" s="595"/>
    </row>
    <row r="73" spans="1:9" outlineLevel="2" x14ac:dyDescent="0.25">
      <c r="A73" s="238"/>
      <c r="B73" s="1200" t="str">
        <f>IF(ISBLANK('E20. Opex'!B61),"",'E20. Opex'!B61)</f>
        <v/>
      </c>
      <c r="C73" s="1189"/>
      <c r="D73" s="595"/>
      <c r="E73" s="1194"/>
      <c r="F73" s="594"/>
      <c r="G73" s="594"/>
      <c r="H73" s="594"/>
      <c r="I73" s="595"/>
    </row>
    <row r="74" spans="1:9" outlineLevel="2" x14ac:dyDescent="0.25">
      <c r="A74" s="238"/>
      <c r="B74" s="1200" t="str">
        <f>IF(ISBLANK('E20. Opex'!B62),"",'E20. Opex'!B62)</f>
        <v/>
      </c>
      <c r="C74" s="1189"/>
      <c r="D74" s="595"/>
      <c r="E74" s="1194"/>
      <c r="F74" s="594"/>
      <c r="G74" s="594"/>
      <c r="H74" s="594"/>
      <c r="I74" s="595"/>
    </row>
    <row r="75" spans="1:9" outlineLevel="2" x14ac:dyDescent="0.25">
      <c r="A75" s="238"/>
      <c r="B75" s="1200" t="str">
        <f>IF(ISBLANK('E20. Opex'!B63),"",'E20. Opex'!B63)</f>
        <v/>
      </c>
      <c r="C75" s="1189"/>
      <c r="D75" s="595"/>
      <c r="E75" s="1194"/>
      <c r="F75" s="594"/>
      <c r="G75" s="594"/>
      <c r="H75" s="594"/>
      <c r="I75" s="595"/>
    </row>
    <row r="76" spans="1:9" outlineLevel="2" x14ac:dyDescent="0.25">
      <c r="A76" s="238"/>
      <c r="B76" s="1200" t="str">
        <f>IF(ISBLANK('E20. Opex'!B64),"",'E20. Opex'!B64)</f>
        <v/>
      </c>
      <c r="C76" s="1189"/>
      <c r="D76" s="595"/>
      <c r="E76" s="1194"/>
      <c r="F76" s="594"/>
      <c r="G76" s="594"/>
      <c r="H76" s="594"/>
      <c r="I76" s="595"/>
    </row>
    <row r="77" spans="1:9" outlineLevel="2" x14ac:dyDescent="0.25">
      <c r="A77" s="238"/>
      <c r="B77" s="1200" t="str">
        <f>IF(ISBLANK('E20. Opex'!B65),"",'E20. Opex'!B65)</f>
        <v/>
      </c>
      <c r="C77" s="1189"/>
      <c r="D77" s="595"/>
      <c r="E77" s="1194"/>
      <c r="F77" s="594"/>
      <c r="G77" s="594"/>
      <c r="H77" s="594"/>
      <c r="I77" s="595"/>
    </row>
    <row r="78" spans="1:9" outlineLevel="2" x14ac:dyDescent="0.25">
      <c r="A78" s="238"/>
      <c r="B78" s="1200" t="str">
        <f>IF(ISBLANK('E20. Opex'!B66),"",'E20. Opex'!B66)</f>
        <v/>
      </c>
      <c r="C78" s="1189"/>
      <c r="D78" s="595"/>
      <c r="E78" s="1194"/>
      <c r="F78" s="594"/>
      <c r="G78" s="594"/>
      <c r="H78" s="594"/>
      <c r="I78" s="595"/>
    </row>
    <row r="79" spans="1:9" outlineLevel="2" x14ac:dyDescent="0.25">
      <c r="A79" s="238"/>
      <c r="B79" s="1200" t="str">
        <f>IF(ISBLANK('E20. Opex'!B67),"",'E20. Opex'!B67)</f>
        <v/>
      </c>
      <c r="C79" s="1189"/>
      <c r="D79" s="595"/>
      <c r="E79" s="1194"/>
      <c r="F79" s="594"/>
      <c r="G79" s="594"/>
      <c r="H79" s="594"/>
      <c r="I79" s="595"/>
    </row>
    <row r="80" spans="1:9" outlineLevel="2" x14ac:dyDescent="0.25">
      <c r="A80" s="238"/>
      <c r="B80" s="1200" t="str">
        <f>IF(ISBLANK('E20. Opex'!B68),"",'E20. Opex'!B68)</f>
        <v/>
      </c>
      <c r="C80" s="1189"/>
      <c r="D80" s="595"/>
      <c r="E80" s="1194"/>
      <c r="F80" s="594"/>
      <c r="G80" s="594"/>
      <c r="H80" s="594"/>
      <c r="I80" s="595"/>
    </row>
    <row r="81" spans="1:9" outlineLevel="2" x14ac:dyDescent="0.25">
      <c r="A81" s="238"/>
      <c r="B81" s="1200" t="str">
        <f>IF(ISBLANK('E20. Opex'!B69),"",'E20. Opex'!B69)</f>
        <v/>
      </c>
      <c r="C81" s="1189"/>
      <c r="D81" s="595"/>
      <c r="E81" s="1194"/>
      <c r="F81" s="594"/>
      <c r="G81" s="594"/>
      <c r="H81" s="594"/>
      <c r="I81" s="595"/>
    </row>
    <row r="82" spans="1:9" outlineLevel="2" x14ac:dyDescent="0.25">
      <c r="A82" s="238"/>
      <c r="B82" s="1200" t="str">
        <f>IF(ISBLANK('E20. Opex'!B70),"",'E20. Opex'!B70)</f>
        <v/>
      </c>
      <c r="C82" s="1189"/>
      <c r="D82" s="595"/>
      <c r="E82" s="1194"/>
      <c r="F82" s="594"/>
      <c r="G82" s="594"/>
      <c r="H82" s="594"/>
      <c r="I82" s="595"/>
    </row>
    <row r="83" spans="1:9" outlineLevel="2" x14ac:dyDescent="0.25">
      <c r="A83" s="238"/>
      <c r="B83" s="1200" t="str">
        <f>IF(ISBLANK('E20. Opex'!B71),"",'E20. Opex'!B71)</f>
        <v/>
      </c>
      <c r="C83" s="1189"/>
      <c r="D83" s="595"/>
      <c r="E83" s="1194"/>
      <c r="F83" s="594"/>
      <c r="G83" s="594"/>
      <c r="H83" s="594"/>
      <c r="I83" s="595"/>
    </row>
    <row r="84" spans="1:9" outlineLevel="2" x14ac:dyDescent="0.25">
      <c r="A84" s="238"/>
      <c r="B84" s="1200" t="str">
        <f>IF(ISBLANK('E20. Opex'!B72),"",'E20. Opex'!B72)</f>
        <v/>
      </c>
      <c r="C84" s="1189"/>
      <c r="D84" s="595"/>
      <c r="E84" s="1194"/>
      <c r="F84" s="594"/>
      <c r="G84" s="594"/>
      <c r="H84" s="594"/>
      <c r="I84" s="595"/>
    </row>
    <row r="85" spans="1:9" outlineLevel="2" x14ac:dyDescent="0.25">
      <c r="A85" s="238"/>
      <c r="B85" s="1200" t="str">
        <f>IF(ISBLANK('E20. Opex'!B73),"",'E20. Opex'!B73)</f>
        <v/>
      </c>
      <c r="C85" s="1189"/>
      <c r="D85" s="595"/>
      <c r="E85" s="1194"/>
      <c r="F85" s="594"/>
      <c r="G85" s="594"/>
      <c r="H85" s="594"/>
      <c r="I85" s="595"/>
    </row>
    <row r="86" spans="1:9" outlineLevel="2" x14ac:dyDescent="0.25">
      <c r="A86" s="238"/>
      <c r="B86" s="1200" t="str">
        <f>IF(ISBLANK('E20. Opex'!B74),"",'E20. Opex'!B74)</f>
        <v/>
      </c>
      <c r="C86" s="1189"/>
      <c r="D86" s="595"/>
      <c r="E86" s="1194"/>
      <c r="F86" s="594"/>
      <c r="G86" s="594"/>
      <c r="H86" s="594"/>
      <c r="I86" s="595"/>
    </row>
    <row r="87" spans="1:9" outlineLevel="2" x14ac:dyDescent="0.25">
      <c r="A87" s="238"/>
      <c r="B87" s="1200" t="str">
        <f>IF(ISBLANK('E20. Opex'!B75),"",'E20. Opex'!B75)</f>
        <v/>
      </c>
      <c r="C87" s="1189"/>
      <c r="D87" s="595"/>
      <c r="E87" s="1194"/>
      <c r="F87" s="594"/>
      <c r="G87" s="594"/>
      <c r="H87" s="594"/>
      <c r="I87" s="595"/>
    </row>
    <row r="88" spans="1:9" outlineLevel="2" x14ac:dyDescent="0.25">
      <c r="A88" s="238"/>
      <c r="B88" s="1200" t="str">
        <f>IF(ISBLANK('E20. Opex'!B76),"",'E20. Opex'!B76)</f>
        <v/>
      </c>
      <c r="C88" s="1189"/>
      <c r="D88" s="595"/>
      <c r="E88" s="1194"/>
      <c r="F88" s="594"/>
      <c r="G88" s="594"/>
      <c r="H88" s="594"/>
      <c r="I88" s="595"/>
    </row>
    <row r="89" spans="1:9" outlineLevel="2" x14ac:dyDescent="0.25">
      <c r="A89" s="238"/>
      <c r="B89" s="1200" t="str">
        <f>IF(ISBLANK('E20. Opex'!B77),"",'E20. Opex'!B77)</f>
        <v/>
      </c>
      <c r="C89" s="1190"/>
      <c r="D89" s="1192"/>
      <c r="E89" s="1195"/>
      <c r="F89" s="1191"/>
      <c r="G89" s="1191"/>
      <c r="H89" s="1191"/>
      <c r="I89" s="1192"/>
    </row>
    <row r="90" spans="1:9" outlineLevel="2" x14ac:dyDescent="0.25">
      <c r="A90" s="238"/>
      <c r="B90" s="1200" t="str">
        <f>IF(ISBLANK('E20. Opex'!B78),"",'E20. Opex'!B78)</f>
        <v/>
      </c>
      <c r="C90" s="1190"/>
      <c r="D90" s="1192"/>
      <c r="E90" s="1195"/>
      <c r="F90" s="1191"/>
      <c r="G90" s="1191"/>
      <c r="H90" s="1191"/>
      <c r="I90" s="1192"/>
    </row>
    <row r="91" spans="1:9" outlineLevel="2" x14ac:dyDescent="0.25">
      <c r="A91" s="238"/>
      <c r="B91" s="1200" t="str">
        <f>IF(ISBLANK('E20. Opex'!B79),"",'E20. Opex'!B79)</f>
        <v/>
      </c>
      <c r="C91" s="1190"/>
      <c r="D91" s="1192"/>
      <c r="E91" s="1195"/>
      <c r="F91" s="1191"/>
      <c r="G91" s="1191"/>
      <c r="H91" s="1191"/>
      <c r="I91" s="1192"/>
    </row>
    <row r="92" spans="1:9" outlineLevel="2" x14ac:dyDescent="0.25">
      <c r="A92" s="238"/>
      <c r="B92" s="1200" t="str">
        <f>IF(ISBLANK('E20. Opex'!B80),"",'E20. Opex'!B80)</f>
        <v/>
      </c>
      <c r="C92" s="1190"/>
      <c r="D92" s="1192"/>
      <c r="E92" s="1195"/>
      <c r="F92" s="1191"/>
      <c r="G92" s="1191"/>
      <c r="H92" s="1191"/>
      <c r="I92" s="1192"/>
    </row>
    <row r="93" spans="1:9" outlineLevel="2" x14ac:dyDescent="0.25">
      <c r="A93" s="238"/>
      <c r="B93" s="1200" t="str">
        <f>IF(ISBLANK('E20. Opex'!B81),"",'E20. Opex'!B81)</f>
        <v/>
      </c>
      <c r="C93" s="1190"/>
      <c r="D93" s="1192"/>
      <c r="E93" s="1195"/>
      <c r="F93" s="1191"/>
      <c r="G93" s="1191"/>
      <c r="H93" s="1191"/>
      <c r="I93" s="1192"/>
    </row>
    <row r="94" spans="1:9" outlineLevel="2" x14ac:dyDescent="0.25">
      <c r="A94" s="238"/>
      <c r="B94" s="1200" t="str">
        <f>IF(ISBLANK('E20. Opex'!B82),"",'E20. Opex'!B82)</f>
        <v/>
      </c>
      <c r="C94" s="1190"/>
      <c r="D94" s="1192"/>
      <c r="E94" s="1195"/>
      <c r="F94" s="1191"/>
      <c r="G94" s="1191"/>
      <c r="H94" s="1191"/>
      <c r="I94" s="1192"/>
    </row>
    <row r="95" spans="1:9" ht="15" customHeight="1" outlineLevel="2" x14ac:dyDescent="0.25">
      <c r="A95" s="238"/>
      <c r="B95" s="1200" t="str">
        <f>IF(ISBLANK('E20. Opex'!B83),"",'E20. Opex'!B83)</f>
        <v/>
      </c>
      <c r="C95" s="1196"/>
      <c r="D95" s="1197"/>
      <c r="E95" s="1198"/>
      <c r="F95" s="1199"/>
      <c r="G95" s="1199"/>
      <c r="H95" s="1199"/>
      <c r="I95" s="1197"/>
    </row>
    <row r="96" spans="1:9" ht="15" customHeight="1" outlineLevel="2" x14ac:dyDescent="0.25">
      <c r="A96" s="238"/>
      <c r="B96" s="625" t="s">
        <v>115</v>
      </c>
      <c r="C96" s="281">
        <f t="shared" ref="C96:I96" si="3">SUM(C71:C95)</f>
        <v>0</v>
      </c>
      <c r="D96" s="281">
        <f t="shared" si="3"/>
        <v>0</v>
      </c>
      <c r="E96" s="281">
        <f t="shared" si="3"/>
        <v>0</v>
      </c>
      <c r="F96" s="281">
        <f t="shared" si="3"/>
        <v>0</v>
      </c>
      <c r="G96" s="281">
        <f t="shared" si="3"/>
        <v>0</v>
      </c>
      <c r="H96" s="281">
        <f t="shared" si="3"/>
        <v>0</v>
      </c>
      <c r="I96" s="282">
        <f t="shared" si="3"/>
        <v>0</v>
      </c>
    </row>
    <row r="97" spans="1:9" s="238" customFormat="1" ht="23.25" customHeight="1" outlineLevel="1" x14ac:dyDescent="0.25"/>
    <row r="98" spans="1:9" ht="15" customHeight="1" x14ac:dyDescent="0.25">
      <c r="B98" s="41"/>
    </row>
    <row r="99" spans="1:9" s="41" customFormat="1" ht="24.75" customHeight="1" x14ac:dyDescent="0.2">
      <c r="A99" s="276"/>
      <c r="B99" s="31" t="s">
        <v>117</v>
      </c>
      <c r="C99" s="31"/>
      <c r="D99" s="31"/>
      <c r="E99" s="31"/>
      <c r="F99" s="31"/>
      <c r="G99" s="31"/>
      <c r="H99" s="31"/>
      <c r="I99" s="31"/>
    </row>
    <row r="100" spans="1:9" s="41" customFormat="1" ht="24.75" customHeight="1" outlineLevel="1" x14ac:dyDescent="0.2">
      <c r="A100" s="276"/>
      <c r="B100" s="232" t="s">
        <v>118</v>
      </c>
      <c r="C100" s="233"/>
      <c r="D100" s="233"/>
      <c r="E100" s="233"/>
      <c r="F100" s="233"/>
      <c r="G100" s="233"/>
      <c r="H100" s="233"/>
      <c r="I100" s="234"/>
    </row>
    <row r="101" spans="1:9" s="275" customFormat="1" ht="17.25" customHeight="1" outlineLevel="2" x14ac:dyDescent="0.25">
      <c r="A101" s="274"/>
      <c r="B101" s="289"/>
      <c r="C101" s="1331" t="s">
        <v>24</v>
      </c>
      <c r="D101" s="1331"/>
      <c r="E101" s="1331"/>
      <c r="F101" s="1331"/>
      <c r="G101" s="1331"/>
      <c r="H101" s="1331"/>
      <c r="I101" s="1331"/>
    </row>
    <row r="102" spans="1:9" s="275" customFormat="1" ht="17.25" customHeight="1" outlineLevel="2" x14ac:dyDescent="0.2">
      <c r="A102" s="274"/>
      <c r="C102" s="1331" t="str">
        <f ca="1">CONCATENATE("$, real ",dms_DollarReal)</f>
        <v>$, real June 2026</v>
      </c>
      <c r="D102" s="1331"/>
      <c r="E102" s="1331"/>
      <c r="F102" s="1331"/>
      <c r="G102" s="1331"/>
      <c r="H102" s="1331"/>
      <c r="I102" s="1331"/>
    </row>
    <row r="103" spans="1:9" s="275" customFormat="1" ht="17.25" customHeight="1" outlineLevel="2" x14ac:dyDescent="0.25">
      <c r="A103" s="274"/>
      <c r="B103" s="302"/>
      <c r="C103" s="298" t="str">
        <f ca="1">dms_y1</f>
        <v>2024-25</v>
      </c>
      <c r="D103" s="298" t="str">
        <f ca="1">dms_y2</f>
        <v>2025-26</v>
      </c>
      <c r="E103" s="298" t="str">
        <f ca="1">dms_y3</f>
        <v>2026-27</v>
      </c>
      <c r="F103" s="298" t="str">
        <f ca="1">dms_y4</f>
        <v>2027-28</v>
      </c>
      <c r="G103" s="298" t="str">
        <f ca="1">dms_y5</f>
        <v>2028-29</v>
      </c>
      <c r="H103" s="298" t="str">
        <f ca="1">dms_y6</f>
        <v>2029-30</v>
      </c>
      <c r="I103" s="298" t="str">
        <f ca="1">dms_y7</f>
        <v>2030-31</v>
      </c>
    </row>
    <row r="104" spans="1:9" outlineLevel="2" x14ac:dyDescent="0.25">
      <c r="A104" s="238"/>
      <c r="B104" s="35" t="s">
        <v>99</v>
      </c>
      <c r="C104" s="261">
        <v>205075</v>
      </c>
      <c r="D104" s="262">
        <v>37001</v>
      </c>
      <c r="E104" s="261">
        <v>119060</v>
      </c>
      <c r="F104" s="262">
        <v>117451</v>
      </c>
      <c r="G104" s="262">
        <v>120283</v>
      </c>
      <c r="H104" s="262">
        <v>122210</v>
      </c>
      <c r="I104" s="265">
        <v>123482</v>
      </c>
    </row>
    <row r="105" spans="1:9" outlineLevel="2" x14ac:dyDescent="0.25">
      <c r="A105" s="238"/>
      <c r="B105" s="35" t="s">
        <v>100</v>
      </c>
      <c r="C105" s="270"/>
      <c r="D105" s="256"/>
      <c r="E105" s="270"/>
      <c r="F105" s="256"/>
      <c r="G105" s="256"/>
      <c r="H105" s="256"/>
      <c r="I105" s="257"/>
    </row>
    <row r="106" spans="1:9" outlineLevel="2" x14ac:dyDescent="0.25">
      <c r="A106" s="238"/>
      <c r="B106" s="35" t="s">
        <v>101</v>
      </c>
      <c r="C106" s="270"/>
      <c r="D106" s="256"/>
      <c r="E106" s="270"/>
      <c r="F106" s="256"/>
      <c r="G106" s="256"/>
      <c r="H106" s="256"/>
      <c r="I106" s="257"/>
    </row>
    <row r="107" spans="1:9" outlineLevel="2" x14ac:dyDescent="0.25">
      <c r="A107" s="238"/>
      <c r="B107" s="35" t="s">
        <v>102</v>
      </c>
      <c r="C107" s="270"/>
      <c r="D107" s="256"/>
      <c r="E107" s="270"/>
      <c r="F107" s="256"/>
      <c r="G107" s="256"/>
      <c r="H107" s="256"/>
      <c r="I107" s="257"/>
    </row>
    <row r="108" spans="1:9" outlineLevel="2" x14ac:dyDescent="0.25">
      <c r="A108" s="238"/>
      <c r="B108" s="35" t="s">
        <v>103</v>
      </c>
      <c r="C108" s="270"/>
      <c r="D108" s="256"/>
      <c r="E108" s="270"/>
      <c r="F108" s="256"/>
      <c r="G108" s="256"/>
      <c r="H108" s="256"/>
      <c r="I108" s="257"/>
    </row>
    <row r="109" spans="1:9" outlineLevel="2" x14ac:dyDescent="0.25">
      <c r="A109" s="238"/>
      <c r="B109" s="35" t="s">
        <v>104</v>
      </c>
      <c r="C109" s="270"/>
      <c r="D109" s="256"/>
      <c r="E109" s="270"/>
      <c r="F109" s="256"/>
      <c r="G109" s="256"/>
      <c r="H109" s="256"/>
      <c r="I109" s="257"/>
    </row>
    <row r="110" spans="1:9" outlineLevel="2" x14ac:dyDescent="0.25">
      <c r="A110" s="238"/>
      <c r="B110" s="35" t="s">
        <v>105</v>
      </c>
      <c r="C110" s="270"/>
      <c r="D110" s="256"/>
      <c r="E110" s="270"/>
      <c r="F110" s="256"/>
      <c r="G110" s="256"/>
      <c r="H110" s="256"/>
      <c r="I110" s="257"/>
    </row>
    <row r="111" spans="1:9" outlineLevel="2" x14ac:dyDescent="0.25">
      <c r="A111" s="238"/>
      <c r="B111" s="35" t="s">
        <v>106</v>
      </c>
      <c r="C111" s="270"/>
      <c r="D111" s="256"/>
      <c r="E111" s="270"/>
      <c r="F111" s="256"/>
      <c r="G111" s="256"/>
      <c r="H111" s="256"/>
      <c r="I111" s="257"/>
    </row>
    <row r="112" spans="1:9" ht="15" customHeight="1" outlineLevel="2" x14ac:dyDescent="0.25">
      <c r="A112" s="238"/>
      <c r="B112" s="35" t="s">
        <v>107</v>
      </c>
      <c r="C112" s="270"/>
      <c r="D112" s="256"/>
      <c r="E112" s="270"/>
      <c r="F112" s="256"/>
      <c r="G112" s="256"/>
      <c r="H112" s="256"/>
      <c r="I112" s="257"/>
    </row>
    <row r="113" spans="1:9" ht="15" customHeight="1" outlineLevel="2" x14ac:dyDescent="0.25">
      <c r="A113" s="238"/>
      <c r="B113" s="280" t="s">
        <v>112</v>
      </c>
      <c r="C113" s="281">
        <f t="shared" ref="C113:I113" si="4">SUM(C104:C112)</f>
        <v>205075</v>
      </c>
      <c r="D113" s="281">
        <f t="shared" si="4"/>
        <v>37001</v>
      </c>
      <c r="E113" s="281">
        <f t="shared" si="4"/>
        <v>119060</v>
      </c>
      <c r="F113" s="281">
        <f t="shared" si="4"/>
        <v>117451</v>
      </c>
      <c r="G113" s="281">
        <f t="shared" si="4"/>
        <v>120283</v>
      </c>
      <c r="H113" s="281">
        <f t="shared" si="4"/>
        <v>122210</v>
      </c>
      <c r="I113" s="282">
        <f t="shared" si="4"/>
        <v>123482</v>
      </c>
    </row>
    <row r="114" spans="1:9" ht="15" customHeight="1" outlineLevel="1" x14ac:dyDescent="0.25"/>
    <row r="115" spans="1:9" s="41" customFormat="1" ht="24.75" customHeight="1" outlineLevel="1" x14ac:dyDescent="0.2">
      <c r="A115" s="276"/>
      <c r="B115" s="232" t="s">
        <v>119</v>
      </c>
      <c r="C115" s="233"/>
      <c r="D115" s="233"/>
      <c r="E115" s="233"/>
      <c r="F115" s="233"/>
      <c r="G115" s="233"/>
      <c r="H115" s="233"/>
      <c r="I115" s="234"/>
    </row>
    <row r="116" spans="1:9" s="275" customFormat="1" ht="17.25" customHeight="1" outlineLevel="2" x14ac:dyDescent="0.25">
      <c r="A116" s="274"/>
      <c r="B116" s="289"/>
      <c r="C116" s="1331" t="s">
        <v>24</v>
      </c>
      <c r="D116" s="1331"/>
      <c r="E116" s="1331"/>
      <c r="F116" s="1331"/>
      <c r="G116" s="1331"/>
      <c r="H116" s="1331"/>
      <c r="I116" s="1331"/>
    </row>
    <row r="117" spans="1:9" s="275" customFormat="1" ht="17.25" customHeight="1" outlineLevel="2" x14ac:dyDescent="0.2">
      <c r="A117" s="274"/>
      <c r="C117" s="1331" t="str">
        <f ca="1">CONCATENATE("$, real ",dms_DollarReal)</f>
        <v>$, real June 2026</v>
      </c>
      <c r="D117" s="1331"/>
      <c r="E117" s="1331"/>
      <c r="F117" s="1331"/>
      <c r="G117" s="1331"/>
      <c r="H117" s="1331"/>
      <c r="I117" s="1331"/>
    </row>
    <row r="118" spans="1:9" s="275" customFormat="1" ht="17.25" customHeight="1" outlineLevel="2" x14ac:dyDescent="0.25">
      <c r="A118" s="274"/>
      <c r="B118" s="302"/>
      <c r="C118" s="298" t="str">
        <f ca="1">dms_y1</f>
        <v>2024-25</v>
      </c>
      <c r="D118" s="298" t="str">
        <f ca="1">dms_y2</f>
        <v>2025-26</v>
      </c>
      <c r="E118" s="298" t="str">
        <f ca="1">dms_y3</f>
        <v>2026-27</v>
      </c>
      <c r="F118" s="298" t="str">
        <f ca="1">dms_y4</f>
        <v>2027-28</v>
      </c>
      <c r="G118" s="298" t="str">
        <f ca="1">dms_y5</f>
        <v>2028-29</v>
      </c>
      <c r="H118" s="298" t="str">
        <f ca="1">dms_y6</f>
        <v>2029-30</v>
      </c>
      <c r="I118" s="298" t="str">
        <f ca="1">dms_y7</f>
        <v>2030-31</v>
      </c>
    </row>
    <row r="119" spans="1:9" outlineLevel="2" x14ac:dyDescent="0.25">
      <c r="A119" s="238"/>
      <c r="B119" s="554"/>
      <c r="C119" s="261"/>
      <c r="D119" s="262"/>
      <c r="E119" s="261"/>
      <c r="F119" s="262"/>
      <c r="G119" s="262"/>
      <c r="H119" s="262"/>
      <c r="I119" s="265"/>
    </row>
    <row r="120" spans="1:9" outlineLevel="2" x14ac:dyDescent="0.25">
      <c r="A120" s="238"/>
      <c r="B120" s="553"/>
      <c r="C120" s="266"/>
      <c r="D120" s="267"/>
      <c r="E120" s="266"/>
      <c r="F120" s="267"/>
      <c r="G120" s="267"/>
      <c r="H120" s="267"/>
      <c r="I120" s="269"/>
    </row>
    <row r="121" spans="1:9" outlineLevel="2" x14ac:dyDescent="0.25">
      <c r="A121" s="238"/>
      <c r="B121" s="553"/>
      <c r="C121" s="266"/>
      <c r="D121" s="267"/>
      <c r="E121" s="266"/>
      <c r="F121" s="267"/>
      <c r="G121" s="267"/>
      <c r="H121" s="267"/>
      <c r="I121" s="269"/>
    </row>
    <row r="122" spans="1:9" outlineLevel="2" x14ac:dyDescent="0.25">
      <c r="A122" s="238"/>
      <c r="B122" s="553"/>
      <c r="C122" s="266"/>
      <c r="D122" s="267"/>
      <c r="E122" s="266"/>
      <c r="F122" s="267"/>
      <c r="G122" s="267"/>
      <c r="H122" s="267"/>
      <c r="I122" s="269"/>
    </row>
    <row r="123" spans="1:9" outlineLevel="2" x14ac:dyDescent="0.25">
      <c r="A123" s="238"/>
      <c r="B123" s="553"/>
      <c r="C123" s="266"/>
      <c r="D123" s="267"/>
      <c r="E123" s="266"/>
      <c r="F123" s="267"/>
      <c r="G123" s="267"/>
      <c r="H123" s="267"/>
      <c r="I123" s="269"/>
    </row>
    <row r="124" spans="1:9" outlineLevel="2" x14ac:dyDescent="0.25">
      <c r="A124" s="238"/>
      <c r="B124" s="553"/>
      <c r="C124" s="266"/>
      <c r="D124" s="267"/>
      <c r="E124" s="266"/>
      <c r="F124" s="267"/>
      <c r="G124" s="267"/>
      <c r="H124" s="267"/>
      <c r="I124" s="269"/>
    </row>
    <row r="125" spans="1:9" outlineLevel="2" x14ac:dyDescent="0.25">
      <c r="A125" s="238"/>
      <c r="B125" s="553"/>
      <c r="C125" s="266"/>
      <c r="D125" s="267"/>
      <c r="E125" s="266"/>
      <c r="F125" s="267"/>
      <c r="G125" s="267"/>
      <c r="H125" s="267"/>
      <c r="I125" s="269"/>
    </row>
    <row r="126" spans="1:9" outlineLevel="2" x14ac:dyDescent="0.25">
      <c r="A126" s="238"/>
      <c r="B126" s="553"/>
      <c r="C126" s="266"/>
      <c r="D126" s="267"/>
      <c r="E126" s="266"/>
      <c r="F126" s="267"/>
      <c r="G126" s="267"/>
      <c r="H126" s="267"/>
      <c r="I126" s="269"/>
    </row>
    <row r="127" spans="1:9" outlineLevel="2" x14ac:dyDescent="0.25">
      <c r="A127" s="238"/>
      <c r="B127" s="553"/>
      <c r="C127" s="266"/>
      <c r="D127" s="267"/>
      <c r="E127" s="266"/>
      <c r="F127" s="267"/>
      <c r="G127" s="267"/>
      <c r="H127" s="267"/>
      <c r="I127" s="269"/>
    </row>
    <row r="128" spans="1:9" outlineLevel="2" x14ac:dyDescent="0.25">
      <c r="A128" s="238"/>
      <c r="B128" s="553"/>
      <c r="C128" s="266"/>
      <c r="D128" s="267"/>
      <c r="E128" s="266"/>
      <c r="F128" s="267"/>
      <c r="G128" s="267"/>
      <c r="H128" s="267"/>
      <c r="I128" s="269"/>
    </row>
    <row r="129" spans="1:9" outlineLevel="2" x14ac:dyDescent="0.25">
      <c r="A129" s="238"/>
      <c r="B129" s="553"/>
      <c r="C129" s="266"/>
      <c r="D129" s="267"/>
      <c r="E129" s="266"/>
      <c r="F129" s="267"/>
      <c r="G129" s="267"/>
      <c r="H129" s="267"/>
      <c r="I129" s="269"/>
    </row>
    <row r="130" spans="1:9" outlineLevel="2" x14ac:dyDescent="0.25">
      <c r="A130" s="238"/>
      <c r="B130" s="553"/>
      <c r="C130" s="266"/>
      <c r="D130" s="267"/>
      <c r="E130" s="266"/>
      <c r="F130" s="267"/>
      <c r="G130" s="267"/>
      <c r="H130" s="267"/>
      <c r="I130" s="269"/>
    </row>
    <row r="131" spans="1:9" outlineLevel="2" x14ac:dyDescent="0.25">
      <c r="A131" s="238"/>
      <c r="B131" s="553"/>
      <c r="C131" s="266"/>
      <c r="D131" s="267"/>
      <c r="E131" s="266"/>
      <c r="F131" s="267"/>
      <c r="G131" s="267"/>
      <c r="H131" s="267"/>
      <c r="I131" s="269"/>
    </row>
    <row r="132" spans="1:9" outlineLevel="2" x14ac:dyDescent="0.25">
      <c r="A132" s="238"/>
      <c r="B132" s="553"/>
      <c r="C132" s="266"/>
      <c r="D132" s="267"/>
      <c r="E132" s="266"/>
      <c r="F132" s="267"/>
      <c r="G132" s="267"/>
      <c r="H132" s="267"/>
      <c r="I132" s="269"/>
    </row>
    <row r="133" spans="1:9" outlineLevel="2" x14ac:dyDescent="0.25">
      <c r="A133" s="238"/>
      <c r="B133" s="553"/>
      <c r="C133" s="266"/>
      <c r="D133" s="267"/>
      <c r="E133" s="266"/>
      <c r="F133" s="267"/>
      <c r="G133" s="267"/>
      <c r="H133" s="267"/>
      <c r="I133" s="269"/>
    </row>
    <row r="134" spans="1:9" outlineLevel="2" x14ac:dyDescent="0.25">
      <c r="A134" s="238"/>
      <c r="B134" s="553"/>
      <c r="C134" s="266"/>
      <c r="D134" s="267"/>
      <c r="E134" s="266"/>
      <c r="F134" s="267"/>
      <c r="G134" s="267"/>
      <c r="H134" s="267"/>
      <c r="I134" s="269"/>
    </row>
    <row r="135" spans="1:9" outlineLevel="2" x14ac:dyDescent="0.25">
      <c r="A135" s="238"/>
      <c r="B135" s="553"/>
      <c r="C135" s="270"/>
      <c r="D135" s="256"/>
      <c r="E135" s="270"/>
      <c r="F135" s="256"/>
      <c r="G135" s="256"/>
      <c r="H135" s="256"/>
      <c r="I135" s="257"/>
    </row>
    <row r="136" spans="1:9" outlineLevel="2" x14ac:dyDescent="0.25">
      <c r="A136" s="238"/>
      <c r="B136" s="553"/>
      <c r="C136" s="270"/>
      <c r="D136" s="256"/>
      <c r="E136" s="270"/>
      <c r="F136" s="256"/>
      <c r="G136" s="256"/>
      <c r="H136" s="256"/>
      <c r="I136" s="257"/>
    </row>
    <row r="137" spans="1:9" outlineLevel="2" x14ac:dyDescent="0.25">
      <c r="A137" s="238"/>
      <c r="B137" s="553"/>
      <c r="C137" s="270"/>
      <c r="D137" s="256"/>
      <c r="E137" s="270"/>
      <c r="F137" s="256"/>
      <c r="G137" s="256"/>
      <c r="H137" s="256"/>
      <c r="I137" s="257"/>
    </row>
    <row r="138" spans="1:9" outlineLevel="2" x14ac:dyDescent="0.25">
      <c r="A138" s="238"/>
      <c r="B138" s="553"/>
      <c r="C138" s="270"/>
      <c r="D138" s="256"/>
      <c r="E138" s="270"/>
      <c r="F138" s="256"/>
      <c r="G138" s="256"/>
      <c r="H138" s="256"/>
      <c r="I138" s="257"/>
    </row>
    <row r="139" spans="1:9" outlineLevel="2" x14ac:dyDescent="0.25">
      <c r="A139" s="238"/>
      <c r="B139" s="553"/>
      <c r="C139" s="270"/>
      <c r="D139" s="256"/>
      <c r="E139" s="270"/>
      <c r="F139" s="256"/>
      <c r="G139" s="256"/>
      <c r="H139" s="256"/>
      <c r="I139" s="257"/>
    </row>
    <row r="140" spans="1:9" outlineLevel="2" x14ac:dyDescent="0.25">
      <c r="A140" s="238"/>
      <c r="B140" s="553"/>
      <c r="C140" s="270"/>
      <c r="D140" s="256"/>
      <c r="E140" s="270"/>
      <c r="F140" s="256"/>
      <c r="G140" s="256"/>
      <c r="H140" s="256"/>
      <c r="I140" s="257"/>
    </row>
    <row r="141" spans="1:9" outlineLevel="2" x14ac:dyDescent="0.25">
      <c r="A141" s="238"/>
      <c r="B141" s="553"/>
      <c r="C141" s="270"/>
      <c r="D141" s="256"/>
      <c r="E141" s="270"/>
      <c r="F141" s="256"/>
      <c r="G141" s="256"/>
      <c r="H141" s="256"/>
      <c r="I141" s="257"/>
    </row>
    <row r="142" spans="1:9" ht="15" customHeight="1" outlineLevel="2" x14ac:dyDescent="0.25">
      <c r="A142" s="238"/>
      <c r="B142" s="553"/>
      <c r="C142" s="270"/>
      <c r="D142" s="256"/>
      <c r="E142" s="270"/>
      <c r="F142" s="256"/>
      <c r="G142" s="256"/>
      <c r="H142" s="256"/>
      <c r="I142" s="257"/>
    </row>
    <row r="143" spans="1:9" ht="15" customHeight="1" outlineLevel="2" x14ac:dyDescent="0.25">
      <c r="A143" s="238"/>
      <c r="B143" s="280" t="s">
        <v>112</v>
      </c>
      <c r="C143" s="281">
        <f t="shared" ref="C143:I143" si="5">SUM(C119:C142)</f>
        <v>0</v>
      </c>
      <c r="D143" s="281">
        <f t="shared" si="5"/>
        <v>0</v>
      </c>
      <c r="E143" s="281">
        <f t="shared" si="5"/>
        <v>0</v>
      </c>
      <c r="F143" s="281">
        <f t="shared" si="5"/>
        <v>0</v>
      </c>
      <c r="G143" s="281">
        <f t="shared" si="5"/>
        <v>0</v>
      </c>
      <c r="H143" s="281">
        <f t="shared" si="5"/>
        <v>0</v>
      </c>
      <c r="I143" s="282">
        <f t="shared" si="5"/>
        <v>0</v>
      </c>
    </row>
    <row r="144" spans="1:9" outlineLevel="1" x14ac:dyDescent="0.25"/>
    <row r="145" spans="1:9" ht="15" customHeight="1" x14ac:dyDescent="0.25"/>
    <row r="146" spans="1:9" s="41" customFormat="1" ht="24.75" customHeight="1" x14ac:dyDescent="0.2">
      <c r="A146" s="276"/>
      <c r="B146" s="31" t="s">
        <v>120</v>
      </c>
      <c r="C146" s="31"/>
      <c r="D146" s="31"/>
      <c r="E146" s="31"/>
      <c r="F146" s="31"/>
      <c r="G146" s="31"/>
      <c r="H146" s="31"/>
      <c r="I146" s="31"/>
    </row>
    <row r="147" spans="1:9" s="41" customFormat="1" ht="24.75" customHeight="1" outlineLevel="1" x14ac:dyDescent="0.2">
      <c r="A147" s="276"/>
      <c r="B147" s="232" t="s">
        <v>121</v>
      </c>
      <c r="C147" s="233"/>
      <c r="D147" s="233"/>
      <c r="E147" s="233"/>
      <c r="F147" s="233"/>
      <c r="G147" s="233"/>
      <c r="H147" s="233"/>
      <c r="I147" s="234"/>
    </row>
    <row r="148" spans="1:9" s="275" customFormat="1" ht="17.25" customHeight="1" outlineLevel="2" x14ac:dyDescent="0.25">
      <c r="A148" s="274"/>
      <c r="B148" s="289"/>
      <c r="C148" s="1331" t="s">
        <v>24</v>
      </c>
      <c r="D148" s="1331"/>
      <c r="E148" s="1331"/>
      <c r="F148" s="1331"/>
      <c r="G148" s="1331"/>
      <c r="H148" s="1331"/>
      <c r="I148" s="1331"/>
    </row>
    <row r="149" spans="1:9" s="275" customFormat="1" ht="17.25" customHeight="1" outlineLevel="2" x14ac:dyDescent="0.2">
      <c r="A149" s="274"/>
      <c r="C149" s="1331" t="str">
        <f ca="1">CONCATENATE("$, real ",dms_DollarReal)</f>
        <v>$, real June 2026</v>
      </c>
      <c r="D149" s="1331"/>
      <c r="E149" s="1331"/>
      <c r="F149" s="1331"/>
      <c r="G149" s="1331"/>
      <c r="H149" s="1331"/>
      <c r="I149" s="1331"/>
    </row>
    <row r="150" spans="1:9" s="275" customFormat="1" ht="17.25" customHeight="1" outlineLevel="2" x14ac:dyDescent="0.25">
      <c r="A150" s="274"/>
      <c r="B150" s="302"/>
      <c r="C150" s="298" t="str">
        <f ca="1">dms_y1</f>
        <v>2024-25</v>
      </c>
      <c r="D150" s="298" t="str">
        <f ca="1">dms_y2</f>
        <v>2025-26</v>
      </c>
      <c r="E150" s="298" t="str">
        <f ca="1">dms_y3</f>
        <v>2026-27</v>
      </c>
      <c r="F150" s="298" t="str">
        <f ca="1">dms_y4</f>
        <v>2027-28</v>
      </c>
      <c r="G150" s="298" t="str">
        <f ca="1">dms_y5</f>
        <v>2028-29</v>
      </c>
      <c r="H150" s="298" t="str">
        <f ca="1">dms_y6</f>
        <v>2029-30</v>
      </c>
      <c r="I150" s="298" t="str">
        <f ca="1">dms_y7</f>
        <v>2030-31</v>
      </c>
    </row>
    <row r="151" spans="1:9" outlineLevel="2" x14ac:dyDescent="0.25">
      <c r="A151" s="238"/>
      <c r="B151" s="35" t="s">
        <v>99</v>
      </c>
      <c r="C151" s="261">
        <v>232129</v>
      </c>
      <c r="D151" s="262">
        <v>51399</v>
      </c>
      <c r="E151" s="261">
        <v>93787</v>
      </c>
      <c r="F151" s="262">
        <v>91649</v>
      </c>
      <c r="G151" s="262">
        <v>94546</v>
      </c>
      <c r="H151" s="262">
        <v>96356</v>
      </c>
      <c r="I151" s="265">
        <v>97362</v>
      </c>
    </row>
    <row r="152" spans="1:9" outlineLevel="2" x14ac:dyDescent="0.25">
      <c r="A152" s="238"/>
      <c r="B152" s="35" t="s">
        <v>100</v>
      </c>
      <c r="C152" s="270">
        <v>0</v>
      </c>
      <c r="D152" s="256">
        <v>0</v>
      </c>
      <c r="E152" s="270">
        <v>0</v>
      </c>
      <c r="F152" s="256">
        <v>0</v>
      </c>
      <c r="G152" s="256">
        <v>0</v>
      </c>
      <c r="H152" s="256">
        <v>0</v>
      </c>
      <c r="I152" s="257">
        <v>0</v>
      </c>
    </row>
    <row r="153" spans="1:9" outlineLevel="2" x14ac:dyDescent="0.25">
      <c r="A153" s="238"/>
      <c r="B153" s="35" t="s">
        <v>101</v>
      </c>
      <c r="C153" s="270">
        <v>2645</v>
      </c>
      <c r="D153" s="256">
        <v>0</v>
      </c>
      <c r="E153" s="270">
        <v>0</v>
      </c>
      <c r="F153" s="256">
        <v>0</v>
      </c>
      <c r="G153" s="256">
        <v>0</v>
      </c>
      <c r="H153" s="256">
        <v>0</v>
      </c>
      <c r="I153" s="257">
        <v>0</v>
      </c>
    </row>
    <row r="154" spans="1:9" outlineLevel="2" x14ac:dyDescent="0.25">
      <c r="A154" s="238"/>
      <c r="B154" s="35" t="s">
        <v>102</v>
      </c>
      <c r="C154" s="270">
        <v>0</v>
      </c>
      <c r="D154" s="256">
        <v>0</v>
      </c>
      <c r="E154" s="270">
        <v>0</v>
      </c>
      <c r="F154" s="256">
        <v>0</v>
      </c>
      <c r="G154" s="256">
        <v>0</v>
      </c>
      <c r="H154" s="256">
        <v>0</v>
      </c>
      <c r="I154" s="257">
        <v>0</v>
      </c>
    </row>
    <row r="155" spans="1:9" outlineLevel="2" x14ac:dyDescent="0.25">
      <c r="A155" s="238"/>
      <c r="B155" s="35" t="s">
        <v>103</v>
      </c>
      <c r="C155" s="270">
        <v>394228</v>
      </c>
      <c r="D155" s="256">
        <v>291717</v>
      </c>
      <c r="E155" s="270">
        <v>380744</v>
      </c>
      <c r="F155" s="256">
        <v>409619</v>
      </c>
      <c r="G155" s="256">
        <v>411526</v>
      </c>
      <c r="H155" s="256">
        <v>454072</v>
      </c>
      <c r="I155" s="257">
        <v>543305</v>
      </c>
    </row>
    <row r="156" spans="1:9" outlineLevel="2" x14ac:dyDescent="0.25">
      <c r="A156" s="238"/>
      <c r="B156" s="35" t="s">
        <v>104</v>
      </c>
      <c r="C156" s="270">
        <v>23089</v>
      </c>
      <c r="D156" s="256">
        <v>0</v>
      </c>
      <c r="E156" s="270">
        <v>0</v>
      </c>
      <c r="F156" s="256">
        <v>0</v>
      </c>
      <c r="G156" s="256">
        <v>0</v>
      </c>
      <c r="H156" s="256">
        <v>16874</v>
      </c>
      <c r="I156" s="257">
        <v>0</v>
      </c>
    </row>
    <row r="157" spans="1:9" outlineLevel="2" x14ac:dyDescent="0.25">
      <c r="A157" s="238"/>
      <c r="B157" s="1155" t="s">
        <v>107</v>
      </c>
      <c r="C157" s="283">
        <v>138247</v>
      </c>
      <c r="D157" s="286">
        <v>204053</v>
      </c>
      <c r="E157" s="283">
        <v>190055</v>
      </c>
      <c r="F157" s="286">
        <v>16532</v>
      </c>
      <c r="G157" s="286">
        <v>8081</v>
      </c>
      <c r="H157" s="286">
        <v>8246</v>
      </c>
      <c r="I157" s="287">
        <v>8427</v>
      </c>
    </row>
    <row r="158" spans="1:9" ht="15" customHeight="1" outlineLevel="2" x14ac:dyDescent="0.25">
      <c r="A158" s="238"/>
      <c r="B158" s="1153" t="s">
        <v>122</v>
      </c>
      <c r="C158" s="588">
        <v>0</v>
      </c>
      <c r="D158" s="589">
        <v>0</v>
      </c>
      <c r="E158" s="588">
        <v>0</v>
      </c>
      <c r="F158" s="589">
        <v>0</v>
      </c>
      <c r="G158" s="589">
        <v>0</v>
      </c>
      <c r="H158" s="589">
        <v>0</v>
      </c>
      <c r="I158" s="590">
        <v>0</v>
      </c>
    </row>
    <row r="159" spans="1:9" ht="15" customHeight="1" outlineLevel="2" x14ac:dyDescent="0.25">
      <c r="A159" s="238"/>
      <c r="B159" s="625" t="s">
        <v>109</v>
      </c>
      <c r="C159" s="281">
        <f t="shared" ref="C159:I159" si="6">SUM(C151:C157)-C158</f>
        <v>790338</v>
      </c>
      <c r="D159" s="281">
        <f t="shared" si="6"/>
        <v>547169</v>
      </c>
      <c r="E159" s="281">
        <f t="shared" si="6"/>
        <v>664586</v>
      </c>
      <c r="F159" s="281">
        <f t="shared" si="6"/>
        <v>517800</v>
      </c>
      <c r="G159" s="281">
        <f t="shared" si="6"/>
        <v>514153</v>
      </c>
      <c r="H159" s="281">
        <f t="shared" si="6"/>
        <v>575548</v>
      </c>
      <c r="I159" s="282">
        <f t="shared" si="6"/>
        <v>649094</v>
      </c>
    </row>
    <row r="160" spans="1:9" x14ac:dyDescent="0.25">
      <c r="B160" s="41"/>
    </row>
    <row r="161" spans="1:9" ht="15" customHeight="1" x14ac:dyDescent="0.25">
      <c r="B161" s="41"/>
    </row>
    <row r="162" spans="1:9" s="41" customFormat="1" ht="24.75" customHeight="1" outlineLevel="1" x14ac:dyDescent="0.2">
      <c r="A162" s="276"/>
      <c r="B162" s="232" t="s">
        <v>123</v>
      </c>
      <c r="C162" s="233"/>
      <c r="D162" s="233"/>
      <c r="E162" s="233"/>
      <c r="F162" s="233"/>
      <c r="G162" s="233"/>
      <c r="H162" s="233"/>
      <c r="I162" s="234"/>
    </row>
    <row r="163" spans="1:9" s="275" customFormat="1" ht="17.25" customHeight="1" outlineLevel="2" x14ac:dyDescent="0.25">
      <c r="A163" s="274"/>
      <c r="B163" s="289"/>
      <c r="C163" s="1331" t="s">
        <v>24</v>
      </c>
      <c r="D163" s="1331"/>
      <c r="E163" s="1331"/>
      <c r="F163" s="1331"/>
      <c r="G163" s="1331"/>
      <c r="H163" s="1331"/>
      <c r="I163" s="1331"/>
    </row>
    <row r="164" spans="1:9" s="275" customFormat="1" ht="17.25" customHeight="1" outlineLevel="2" x14ac:dyDescent="0.2">
      <c r="A164" s="274"/>
      <c r="C164" s="1331" t="str">
        <f ca="1">CONCATENATE("$, real ",dms_DollarReal)</f>
        <v>$, real June 2026</v>
      </c>
      <c r="D164" s="1331"/>
      <c r="E164" s="1331"/>
      <c r="F164" s="1331"/>
      <c r="G164" s="1331"/>
      <c r="H164" s="1331"/>
      <c r="I164" s="1331"/>
    </row>
    <row r="165" spans="1:9" s="275" customFormat="1" ht="17.25" customHeight="1" outlineLevel="2" x14ac:dyDescent="0.25">
      <c r="A165" s="274"/>
      <c r="B165" s="302"/>
      <c r="C165" s="298" t="str">
        <f ca="1">dms_y1</f>
        <v>2024-25</v>
      </c>
      <c r="D165" s="298" t="str">
        <f ca="1">dms_y2</f>
        <v>2025-26</v>
      </c>
      <c r="E165" s="298" t="str">
        <f ca="1">dms_y3</f>
        <v>2026-27</v>
      </c>
      <c r="F165" s="298" t="str">
        <f ca="1">dms_y4</f>
        <v>2027-28</v>
      </c>
      <c r="G165" s="298" t="str">
        <f ca="1">dms_y5</f>
        <v>2028-29</v>
      </c>
      <c r="H165" s="298" t="str">
        <f ca="1">dms_y6</f>
        <v>2029-30</v>
      </c>
      <c r="I165" s="298" t="str">
        <f ca="1">dms_y7</f>
        <v>2030-31</v>
      </c>
    </row>
    <row r="166" spans="1:9" outlineLevel="2" x14ac:dyDescent="0.25">
      <c r="A166" s="238"/>
      <c r="B166" s="554"/>
      <c r="C166" s="261"/>
      <c r="D166" s="262"/>
      <c r="E166" s="261"/>
      <c r="F166" s="262"/>
      <c r="G166" s="262"/>
      <c r="H166" s="262"/>
      <c r="I166" s="265"/>
    </row>
    <row r="167" spans="1:9" outlineLevel="2" x14ac:dyDescent="0.25">
      <c r="A167" s="238"/>
      <c r="B167" s="553"/>
      <c r="C167" s="266"/>
      <c r="D167" s="267"/>
      <c r="E167" s="266"/>
      <c r="F167" s="267"/>
      <c r="G167" s="267"/>
      <c r="H167" s="267"/>
      <c r="I167" s="269"/>
    </row>
    <row r="168" spans="1:9" outlineLevel="2" x14ac:dyDescent="0.25">
      <c r="A168" s="238"/>
      <c r="B168" s="553"/>
      <c r="C168" s="266"/>
      <c r="D168" s="267"/>
      <c r="E168" s="266"/>
      <c r="F168" s="267"/>
      <c r="G168" s="267"/>
      <c r="H168" s="267"/>
      <c r="I168" s="269"/>
    </row>
    <row r="169" spans="1:9" outlineLevel="2" x14ac:dyDescent="0.25">
      <c r="A169" s="238"/>
      <c r="B169" s="553"/>
      <c r="C169" s="266"/>
      <c r="D169" s="267"/>
      <c r="E169" s="266"/>
      <c r="F169" s="267"/>
      <c r="G169" s="267"/>
      <c r="H169" s="267"/>
      <c r="I169" s="269"/>
    </row>
    <row r="170" spans="1:9" outlineLevel="2" x14ac:dyDescent="0.25">
      <c r="A170" s="238"/>
      <c r="B170" s="553"/>
      <c r="C170" s="266"/>
      <c r="D170" s="267"/>
      <c r="E170" s="266"/>
      <c r="F170" s="267"/>
      <c r="G170" s="267"/>
      <c r="H170" s="267"/>
      <c r="I170" s="269"/>
    </row>
    <row r="171" spans="1:9" outlineLevel="2" x14ac:dyDescent="0.25">
      <c r="A171" s="238"/>
      <c r="B171" s="553"/>
      <c r="C171" s="266"/>
      <c r="D171" s="267"/>
      <c r="E171" s="266"/>
      <c r="F171" s="267"/>
      <c r="G171" s="267"/>
      <c r="H171" s="267"/>
      <c r="I171" s="269"/>
    </row>
    <row r="172" spans="1:9" outlineLevel="2" x14ac:dyDescent="0.25">
      <c r="A172" s="238"/>
      <c r="B172" s="553"/>
      <c r="C172" s="266"/>
      <c r="D172" s="267"/>
      <c r="E172" s="266"/>
      <c r="F172" s="267"/>
      <c r="G172" s="267"/>
      <c r="H172" s="267"/>
      <c r="I172" s="269"/>
    </row>
    <row r="173" spans="1:9" outlineLevel="2" x14ac:dyDescent="0.25">
      <c r="A173" s="238"/>
      <c r="B173" s="553"/>
      <c r="C173" s="266"/>
      <c r="D173" s="267"/>
      <c r="E173" s="266"/>
      <c r="F173" s="267"/>
      <c r="G173" s="267"/>
      <c r="H173" s="267"/>
      <c r="I173" s="269"/>
    </row>
    <row r="174" spans="1:9" outlineLevel="2" x14ac:dyDescent="0.25">
      <c r="A174" s="238"/>
      <c r="B174" s="553"/>
      <c r="C174" s="266"/>
      <c r="D174" s="267"/>
      <c r="E174" s="266"/>
      <c r="F174" s="267"/>
      <c r="G174" s="267"/>
      <c r="H174" s="267"/>
      <c r="I174" s="269"/>
    </row>
    <row r="175" spans="1:9" outlineLevel="2" x14ac:dyDescent="0.25">
      <c r="A175" s="238"/>
      <c r="B175" s="553"/>
      <c r="C175" s="266"/>
      <c r="D175" s="267"/>
      <c r="E175" s="266"/>
      <c r="F175" s="267"/>
      <c r="G175" s="267"/>
      <c r="H175" s="267"/>
      <c r="I175" s="269"/>
    </row>
    <row r="176" spans="1:9" outlineLevel="2" x14ac:dyDescent="0.25">
      <c r="A176" s="238"/>
      <c r="B176" s="553"/>
      <c r="C176" s="266"/>
      <c r="D176" s="267"/>
      <c r="E176" s="266"/>
      <c r="F176" s="267"/>
      <c r="G176" s="267"/>
      <c r="H176" s="267"/>
      <c r="I176" s="269"/>
    </row>
    <row r="177" spans="1:9" outlineLevel="2" x14ac:dyDescent="0.25">
      <c r="A177" s="238"/>
      <c r="B177" s="553"/>
      <c r="C177" s="266"/>
      <c r="D177" s="267"/>
      <c r="E177" s="266"/>
      <c r="F177" s="267"/>
      <c r="G177" s="267"/>
      <c r="H177" s="267"/>
      <c r="I177" s="269"/>
    </row>
    <row r="178" spans="1:9" outlineLevel="2" x14ac:dyDescent="0.25">
      <c r="A178" s="238"/>
      <c r="B178" s="553"/>
      <c r="C178" s="266"/>
      <c r="D178" s="267"/>
      <c r="E178" s="266"/>
      <c r="F178" s="267"/>
      <c r="G178" s="267"/>
      <c r="H178" s="267"/>
      <c r="I178" s="269"/>
    </row>
    <row r="179" spans="1:9" outlineLevel="2" x14ac:dyDescent="0.25">
      <c r="A179" s="238"/>
      <c r="B179" s="553"/>
      <c r="C179" s="266"/>
      <c r="D179" s="267"/>
      <c r="E179" s="266"/>
      <c r="F179" s="267"/>
      <c r="G179" s="267"/>
      <c r="H179" s="267"/>
      <c r="I179" s="269"/>
    </row>
    <row r="180" spans="1:9" outlineLevel="2" x14ac:dyDescent="0.25">
      <c r="A180" s="238"/>
      <c r="B180" s="553"/>
      <c r="C180" s="266"/>
      <c r="D180" s="267"/>
      <c r="E180" s="266"/>
      <c r="F180" s="267"/>
      <c r="G180" s="267"/>
      <c r="H180" s="267"/>
      <c r="I180" s="269"/>
    </row>
    <row r="181" spans="1:9" outlineLevel="2" x14ac:dyDescent="0.25">
      <c r="A181" s="238"/>
      <c r="B181" s="553"/>
      <c r="C181" s="266"/>
      <c r="D181" s="267"/>
      <c r="E181" s="266"/>
      <c r="F181" s="267"/>
      <c r="G181" s="267"/>
      <c r="H181" s="267"/>
      <c r="I181" s="269"/>
    </row>
    <row r="182" spans="1:9" outlineLevel="2" x14ac:dyDescent="0.25">
      <c r="A182" s="238"/>
      <c r="B182" s="553"/>
      <c r="C182" s="270"/>
      <c r="D182" s="256"/>
      <c r="E182" s="270"/>
      <c r="F182" s="256"/>
      <c r="G182" s="256"/>
      <c r="H182" s="256"/>
      <c r="I182" s="257"/>
    </row>
    <row r="183" spans="1:9" outlineLevel="2" x14ac:dyDescent="0.25">
      <c r="A183" s="238"/>
      <c r="B183" s="553"/>
      <c r="C183" s="270"/>
      <c r="D183" s="256"/>
      <c r="E183" s="270"/>
      <c r="F183" s="256"/>
      <c r="G183" s="256"/>
      <c r="H183" s="256"/>
      <c r="I183" s="257"/>
    </row>
    <row r="184" spans="1:9" outlineLevel="2" x14ac:dyDescent="0.25">
      <c r="A184" s="238"/>
      <c r="B184" s="553"/>
      <c r="C184" s="270"/>
      <c r="D184" s="256"/>
      <c r="E184" s="270"/>
      <c r="F184" s="256"/>
      <c r="G184" s="256"/>
      <c r="H184" s="256"/>
      <c r="I184" s="257"/>
    </row>
    <row r="185" spans="1:9" outlineLevel="2" x14ac:dyDescent="0.25">
      <c r="A185" s="238"/>
      <c r="B185" s="553"/>
      <c r="C185" s="270"/>
      <c r="D185" s="256"/>
      <c r="E185" s="270"/>
      <c r="F185" s="256"/>
      <c r="G185" s="256"/>
      <c r="H185" s="256"/>
      <c r="I185" s="257"/>
    </row>
    <row r="186" spans="1:9" outlineLevel="2" x14ac:dyDescent="0.25">
      <c r="A186" s="238"/>
      <c r="B186" s="553"/>
      <c r="C186" s="270"/>
      <c r="D186" s="256"/>
      <c r="E186" s="270"/>
      <c r="F186" s="256"/>
      <c r="G186" s="256"/>
      <c r="H186" s="256"/>
      <c r="I186" s="257"/>
    </row>
    <row r="187" spans="1:9" outlineLevel="2" x14ac:dyDescent="0.25">
      <c r="A187" s="238"/>
      <c r="B187" s="1154"/>
      <c r="C187" s="283"/>
      <c r="D187" s="286"/>
      <c r="E187" s="283"/>
      <c r="F187" s="286"/>
      <c r="G187" s="286"/>
      <c r="H187" s="286"/>
      <c r="I187" s="287"/>
    </row>
    <row r="188" spans="1:9" ht="15" customHeight="1" outlineLevel="2" x14ac:dyDescent="0.25">
      <c r="A188" s="238"/>
      <c r="B188" s="1153" t="s">
        <v>122</v>
      </c>
      <c r="C188" s="588"/>
      <c r="D188" s="589"/>
      <c r="E188" s="588"/>
      <c r="F188" s="589"/>
      <c r="G188" s="589"/>
      <c r="H188" s="589"/>
      <c r="I188" s="590"/>
    </row>
    <row r="189" spans="1:9" ht="15" customHeight="1" outlineLevel="2" x14ac:dyDescent="0.25">
      <c r="A189" s="238"/>
      <c r="B189" s="625" t="s">
        <v>109</v>
      </c>
      <c r="C189" s="281">
        <f t="shared" ref="C189:I189" si="7">SUM(C166:C187)-C188</f>
        <v>0</v>
      </c>
      <c r="D189" s="281">
        <f t="shared" si="7"/>
        <v>0</v>
      </c>
      <c r="E189" s="281">
        <f t="shared" si="7"/>
        <v>0</v>
      </c>
      <c r="F189" s="281">
        <f t="shared" si="7"/>
        <v>0</v>
      </c>
      <c r="G189" s="281">
        <f t="shared" si="7"/>
        <v>0</v>
      </c>
      <c r="H189" s="281">
        <f t="shared" si="7"/>
        <v>0</v>
      </c>
      <c r="I189" s="282">
        <f t="shared" si="7"/>
        <v>0</v>
      </c>
    </row>
    <row r="190" spans="1:9" x14ac:dyDescent="0.25">
      <c r="B190" s="41"/>
    </row>
  </sheetData>
  <sheetProtection algorithmName="SHA-256" hashValue="LFvGveCZvYCWTt9Z2K+v2X2x5RuJ2YYqgC1fi0mx5P0=" saltValue="Ye5qMMKZv3m9XWXIItxblw=="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7375E"/>
  </sheetPr>
  <dimension ref="A1:J749"/>
  <sheetViews>
    <sheetView showGridLines="0" topLeftCell="A612" zoomScale="85" zoomScaleNormal="85" workbookViewId="0">
      <selection activeCell="C739" sqref="C739"/>
    </sheetView>
  </sheetViews>
  <sheetFormatPr defaultColWidth="9.140625" defaultRowHeight="15" outlineLevelRow="4" x14ac:dyDescent="0.25"/>
  <cols>
    <col min="1" max="1" width="22.7109375" customWidth="1"/>
    <col min="2" max="2" width="61" customWidth="1"/>
    <col min="3" max="3" width="30.5703125" customWidth="1"/>
    <col min="4" max="10" width="20.7109375" customWidth="1"/>
  </cols>
  <sheetData>
    <row r="1" spans="1:10" ht="30" customHeight="1" x14ac:dyDescent="0.25">
      <c r="A1" s="1068"/>
      <c r="B1" s="1069" t="str">
        <f>INDEX(dms_Worksheet_List,MATCH(dms_Model,dms_Model_List))</f>
        <v>REGULATORY REPORTING STATEMENT</v>
      </c>
      <c r="C1" s="25"/>
      <c r="D1" s="25"/>
      <c r="E1" s="25"/>
      <c r="F1" s="25"/>
      <c r="G1" s="25"/>
      <c r="H1" s="25"/>
      <c r="I1" s="25"/>
      <c r="J1" s="25"/>
    </row>
    <row r="2" spans="1:10" ht="30" customHeight="1" x14ac:dyDescent="0.25">
      <c r="A2" s="1069"/>
      <c r="B2" s="1069" t="str">
        <f>dms_TradingNameFull</f>
        <v>Icon Distribution Investments Limited (ABN 83 073 025 224) and Jemena Networks (ACT) Pty Ltd (ABN 24 008 552 663)</v>
      </c>
      <c r="C2" s="25"/>
      <c r="D2" s="25"/>
      <c r="E2" s="25"/>
      <c r="F2" s="25"/>
      <c r="G2" s="25"/>
      <c r="H2" s="25"/>
      <c r="I2" s="25"/>
      <c r="J2" s="25"/>
    </row>
    <row r="3" spans="1:10" ht="30" customHeight="1" x14ac:dyDescent="0.25">
      <c r="A3" s="1071"/>
      <c r="B3" s="1071" t="str">
        <f ca="1">dms_Header_Span</f>
        <v>2024-25 to 2030-31</v>
      </c>
      <c r="C3" s="25"/>
      <c r="D3" s="25"/>
      <c r="E3" s="25"/>
      <c r="F3" s="25"/>
      <c r="G3" s="25"/>
      <c r="H3" s="25"/>
      <c r="I3" s="25"/>
      <c r="J3" s="25"/>
    </row>
    <row r="4" spans="1:10" ht="30" customHeight="1" x14ac:dyDescent="0.25">
      <c r="A4" s="383"/>
      <c r="B4" s="383" t="s">
        <v>124</v>
      </c>
      <c r="C4" s="383"/>
      <c r="D4" s="383"/>
      <c r="E4" s="383"/>
      <c r="F4" s="383"/>
      <c r="G4" s="383"/>
      <c r="H4" s="383"/>
      <c r="I4" s="383"/>
      <c r="J4" s="383"/>
    </row>
    <row r="5" spans="1:10" ht="30" customHeight="1" x14ac:dyDescent="0.25">
      <c r="B5" s="1440" t="s">
        <v>96</v>
      </c>
      <c r="C5" s="1440"/>
      <c r="D5" s="1440"/>
      <c r="E5" s="1440"/>
      <c r="F5" s="1440"/>
      <c r="G5" s="1440"/>
      <c r="H5" s="1440"/>
      <c r="I5" s="1440"/>
      <c r="J5" s="1440"/>
    </row>
    <row r="6" spans="1:10" s="41" customFormat="1" ht="13.15" customHeight="1" x14ac:dyDescent="0.2"/>
    <row r="7" spans="1:10" ht="12" customHeight="1" x14ac:dyDescent="0.25"/>
    <row r="8" spans="1:10" ht="18.600000000000001" customHeight="1" x14ac:dyDescent="0.3">
      <c r="B8" s="493" t="s">
        <v>125</v>
      </c>
    </row>
    <row r="9" spans="1:10" x14ac:dyDescent="0.25">
      <c r="B9" s="494" t="s">
        <v>126</v>
      </c>
      <c r="C9" s="495"/>
    </row>
    <row r="10" spans="1:10" x14ac:dyDescent="0.25">
      <c r="B10" s="496" t="s">
        <v>127</v>
      </c>
      <c r="C10" s="497"/>
    </row>
    <row r="11" spans="1:10" x14ac:dyDescent="0.25">
      <c r="B11" s="498" t="s">
        <v>128</v>
      </c>
      <c r="C11" s="499"/>
    </row>
    <row r="12" spans="1:10" x14ac:dyDescent="0.25">
      <c r="B12" s="496" t="s">
        <v>129</v>
      </c>
      <c r="C12" s="497"/>
    </row>
    <row r="13" spans="1:10" x14ac:dyDescent="0.25">
      <c r="B13" s="498" t="s">
        <v>130</v>
      </c>
      <c r="C13" s="499"/>
    </row>
    <row r="14" spans="1:10" x14ac:dyDescent="0.25">
      <c r="B14" s="496" t="s">
        <v>131</v>
      </c>
      <c r="C14" s="497"/>
    </row>
    <row r="15" spans="1:10" x14ac:dyDescent="0.25">
      <c r="B15" s="498" t="s">
        <v>132</v>
      </c>
      <c r="C15" s="499"/>
    </row>
    <row r="16" spans="1:10" outlineLevel="1" x14ac:dyDescent="0.25">
      <c r="B16" s="496"/>
      <c r="C16" s="497"/>
    </row>
    <row r="17" spans="2:3" outlineLevel="1" x14ac:dyDescent="0.25">
      <c r="B17" s="498"/>
      <c r="C17" s="499"/>
    </row>
    <row r="18" spans="2:3" outlineLevel="1" x14ac:dyDescent="0.25">
      <c r="B18" s="496"/>
      <c r="C18" s="497"/>
    </row>
    <row r="19" spans="2:3" outlineLevel="1" x14ac:dyDescent="0.25">
      <c r="B19" s="498"/>
      <c r="C19" s="499"/>
    </row>
    <row r="20" spans="2:3" outlineLevel="1" x14ac:dyDescent="0.25">
      <c r="B20" s="496"/>
      <c r="C20" s="497"/>
    </row>
    <row r="21" spans="2:3" outlineLevel="1" x14ac:dyDescent="0.25">
      <c r="B21" s="498"/>
      <c r="C21" s="499"/>
    </row>
    <row r="22" spans="2:3" outlineLevel="1" x14ac:dyDescent="0.25">
      <c r="B22" s="496"/>
      <c r="C22" s="497"/>
    </row>
    <row r="23" spans="2:3" outlineLevel="1" x14ac:dyDescent="0.25">
      <c r="B23" s="498"/>
      <c r="C23" s="500"/>
    </row>
    <row r="24" spans="2:3" outlineLevel="2" x14ac:dyDescent="0.25">
      <c r="B24" s="496"/>
      <c r="C24" s="501"/>
    </row>
    <row r="25" spans="2:3" outlineLevel="2" x14ac:dyDescent="0.25">
      <c r="B25" s="498"/>
      <c r="C25" s="500"/>
    </row>
    <row r="26" spans="2:3" outlineLevel="2" x14ac:dyDescent="0.25">
      <c r="B26" s="496"/>
      <c r="C26" s="501"/>
    </row>
    <row r="27" spans="2:3" outlineLevel="2" x14ac:dyDescent="0.25">
      <c r="B27" s="498"/>
      <c r="C27" s="500"/>
    </row>
    <row r="28" spans="2:3" outlineLevel="2" x14ac:dyDescent="0.25">
      <c r="B28" s="496"/>
      <c r="C28" s="501"/>
    </row>
    <row r="29" spans="2:3" outlineLevel="2" x14ac:dyDescent="0.25">
      <c r="B29" s="498"/>
      <c r="C29" s="500"/>
    </row>
    <row r="30" spans="2:3" outlineLevel="2" x14ac:dyDescent="0.25">
      <c r="B30" s="496"/>
      <c r="C30" s="501"/>
    </row>
    <row r="31" spans="2:3" outlineLevel="2" x14ac:dyDescent="0.25">
      <c r="B31" s="498"/>
      <c r="C31" s="500"/>
    </row>
    <row r="32" spans="2:3" outlineLevel="2" x14ac:dyDescent="0.25">
      <c r="B32" s="496"/>
      <c r="C32" s="501"/>
    </row>
    <row r="33" spans="2:3" outlineLevel="2" x14ac:dyDescent="0.25">
      <c r="B33" s="498"/>
      <c r="C33" s="500"/>
    </row>
    <row r="34" spans="2:3" outlineLevel="2" x14ac:dyDescent="0.25">
      <c r="B34" s="496"/>
      <c r="C34" s="501"/>
    </row>
    <row r="35" spans="2:3" outlineLevel="2" x14ac:dyDescent="0.25">
      <c r="B35" s="498"/>
      <c r="C35" s="500"/>
    </row>
    <row r="36" spans="2:3" outlineLevel="2" x14ac:dyDescent="0.25">
      <c r="B36" s="496"/>
      <c r="C36" s="501"/>
    </row>
    <row r="37" spans="2:3" outlineLevel="2" x14ac:dyDescent="0.25">
      <c r="B37" s="498"/>
      <c r="C37" s="500"/>
    </row>
    <row r="38" spans="2:3" outlineLevel="2" x14ac:dyDescent="0.25">
      <c r="B38" s="496"/>
      <c r="C38" s="501"/>
    </row>
    <row r="39" spans="2:3" outlineLevel="2" x14ac:dyDescent="0.25">
      <c r="B39" s="498"/>
      <c r="C39" s="500"/>
    </row>
    <row r="40" spans="2:3" outlineLevel="2" x14ac:dyDescent="0.25">
      <c r="B40" s="496"/>
      <c r="C40" s="501"/>
    </row>
    <row r="41" spans="2:3" outlineLevel="2" x14ac:dyDescent="0.25">
      <c r="B41" s="498"/>
      <c r="C41" s="500"/>
    </row>
    <row r="42" spans="2:3" outlineLevel="2" x14ac:dyDescent="0.25">
      <c r="B42" s="496"/>
      <c r="C42" s="501"/>
    </row>
    <row r="43" spans="2:3" outlineLevel="2" x14ac:dyDescent="0.25">
      <c r="B43" s="498"/>
      <c r="C43" s="500"/>
    </row>
    <row r="44" spans="2:3" outlineLevel="2" x14ac:dyDescent="0.25">
      <c r="B44" s="496"/>
      <c r="C44" s="501"/>
    </row>
    <row r="45" spans="2:3" outlineLevel="2" x14ac:dyDescent="0.25">
      <c r="B45" s="498"/>
      <c r="C45" s="500"/>
    </row>
    <row r="46" spans="2:3" outlineLevel="2" x14ac:dyDescent="0.25">
      <c r="B46" s="496"/>
      <c r="C46" s="501"/>
    </row>
    <row r="47" spans="2:3" outlineLevel="2" x14ac:dyDescent="0.25">
      <c r="B47" s="498"/>
      <c r="C47" s="500"/>
    </row>
    <row r="48" spans="2:3" outlineLevel="2" x14ac:dyDescent="0.25">
      <c r="B48" s="496"/>
      <c r="C48" s="501"/>
    </row>
    <row r="49" spans="1:10" outlineLevel="2" x14ac:dyDescent="0.25">
      <c r="B49" s="498"/>
      <c r="C49" s="500"/>
    </row>
    <row r="50" spans="1:10" outlineLevel="2" x14ac:dyDescent="0.25">
      <c r="B50" s="496"/>
      <c r="C50" s="501"/>
    </row>
    <row r="51" spans="1:10" outlineLevel="2" x14ac:dyDescent="0.25">
      <c r="B51" s="502"/>
      <c r="C51" s="500"/>
    </row>
    <row r="52" spans="1:10" outlineLevel="2" x14ac:dyDescent="0.25">
      <c r="B52" s="503"/>
      <c r="C52" s="501"/>
    </row>
    <row r="53" spans="1:10" outlineLevel="2" x14ac:dyDescent="0.25">
      <c r="B53" s="502"/>
      <c r="C53" s="500"/>
    </row>
    <row r="54" spans="1:10" outlineLevel="2" x14ac:dyDescent="0.25">
      <c r="B54" s="503"/>
      <c r="C54" s="501"/>
    </row>
    <row r="55" spans="1:10" outlineLevel="2" x14ac:dyDescent="0.25">
      <c r="B55" s="502"/>
      <c r="C55" s="500"/>
    </row>
    <row r="56" spans="1:10" outlineLevel="2" x14ac:dyDescent="0.25">
      <c r="B56" s="503"/>
      <c r="C56" s="501"/>
    </row>
    <row r="57" spans="1:10" outlineLevel="2" x14ac:dyDescent="0.25">
      <c r="B57" s="502"/>
      <c r="C57" s="500"/>
    </row>
    <row r="58" spans="1:10" ht="15" customHeight="1" outlineLevel="2" x14ac:dyDescent="0.25">
      <c r="B58" s="504"/>
      <c r="C58" s="505"/>
    </row>
    <row r="59" spans="1:10" x14ac:dyDescent="0.25">
      <c r="B59" s="74"/>
    </row>
    <row r="60" spans="1:10" ht="15" customHeight="1" x14ac:dyDescent="0.25">
      <c r="B60" s="74"/>
    </row>
    <row r="61" spans="1:10" s="301" customFormat="1" ht="24" customHeight="1" x14ac:dyDescent="0.25">
      <c r="B61" s="31" t="s">
        <v>133</v>
      </c>
      <c r="C61" s="31"/>
      <c r="D61" s="31"/>
      <c r="E61" s="31"/>
      <c r="F61" s="31"/>
      <c r="G61" s="31"/>
      <c r="H61" s="31"/>
      <c r="I61" s="31"/>
      <c r="J61" s="31"/>
    </row>
    <row r="62" spans="1:10" s="301" customFormat="1" ht="24" customHeight="1" outlineLevel="1" x14ac:dyDescent="0.25">
      <c r="B62" s="232" t="s">
        <v>134</v>
      </c>
      <c r="C62" s="233"/>
      <c r="D62" s="233"/>
      <c r="E62" s="233"/>
      <c r="F62" s="233"/>
      <c r="G62" s="233"/>
      <c r="H62" s="233"/>
      <c r="I62" s="233"/>
      <c r="J62" s="233"/>
    </row>
    <row r="63" spans="1:10" s="41" customFormat="1" ht="15" customHeight="1" outlineLevel="2" x14ac:dyDescent="0.2">
      <c r="A63" s="276"/>
      <c r="D63" s="1331" t="s">
        <v>24</v>
      </c>
      <c r="E63" s="1331"/>
      <c r="F63" s="1331"/>
      <c r="G63" s="1331"/>
      <c r="H63" s="1331"/>
      <c r="I63" s="1331"/>
      <c r="J63" s="1331"/>
    </row>
    <row r="64" spans="1:10" s="41" customFormat="1" ht="15" customHeight="1" outlineLevel="2" x14ac:dyDescent="0.2">
      <c r="A64" s="276"/>
      <c r="D64" s="1331" t="str">
        <f ca="1">CONCATENATE("$, real ",dms_DollarReal)</f>
        <v>$, real June 2026</v>
      </c>
      <c r="E64" s="1331"/>
      <c r="F64" s="1331"/>
      <c r="G64" s="1331"/>
      <c r="H64" s="1331"/>
      <c r="I64" s="1331"/>
      <c r="J64" s="1331"/>
    </row>
    <row r="65" spans="1:10" s="41" customFormat="1" ht="15.75" customHeight="1" outlineLevel="2" x14ac:dyDescent="0.25">
      <c r="A65" s="276"/>
      <c r="B65" s="77"/>
      <c r="C65" s="302"/>
      <c r="D65" s="298" t="str">
        <f ca="1">dms_y1</f>
        <v>2024-25</v>
      </c>
      <c r="E65" s="298" t="str">
        <f ca="1">dms_y2</f>
        <v>2025-26</v>
      </c>
      <c r="F65" s="298" t="str">
        <f ca="1">dms_y3</f>
        <v>2026-27</v>
      </c>
      <c r="G65" s="298" t="str">
        <f ca="1">dms_y4</f>
        <v>2027-28</v>
      </c>
      <c r="H65" s="298" t="str">
        <f ca="1">dms_y5</f>
        <v>2028-29</v>
      </c>
      <c r="I65" s="298" t="str">
        <f ca="1">dms_y6</f>
        <v>2029-30</v>
      </c>
      <c r="J65" s="298" t="str">
        <f ca="1">dms_y7</f>
        <v>2030-31</v>
      </c>
    </row>
    <row r="66" spans="1:10" ht="21.75" customHeight="1" outlineLevel="2" x14ac:dyDescent="0.25">
      <c r="B66" s="235" t="s">
        <v>135</v>
      </c>
      <c r="C66" s="236"/>
      <c r="D66" s="236"/>
      <c r="E66" s="236"/>
      <c r="F66" s="236"/>
      <c r="G66" s="236"/>
      <c r="H66" s="236"/>
      <c r="I66" s="236"/>
      <c r="J66" s="236"/>
    </row>
    <row r="67" spans="1:10" ht="15.75" customHeight="1" outlineLevel="4" x14ac:dyDescent="0.25">
      <c r="B67" s="506" t="s">
        <v>126</v>
      </c>
      <c r="C67" s="507"/>
      <c r="D67" s="270">
        <v>0</v>
      </c>
      <c r="E67" s="263">
        <v>0</v>
      </c>
      <c r="F67" s="294">
        <v>0</v>
      </c>
      <c r="G67" s="256">
        <v>0</v>
      </c>
      <c r="H67" s="256">
        <v>0</v>
      </c>
      <c r="I67" s="256">
        <v>0</v>
      </c>
      <c r="J67" s="256">
        <v>0</v>
      </c>
    </row>
    <row r="68" spans="1:10" ht="15.75" customHeight="1" outlineLevel="4" x14ac:dyDescent="0.25">
      <c r="B68" s="506" t="s">
        <v>127</v>
      </c>
      <c r="C68" s="508"/>
      <c r="D68" s="509"/>
      <c r="E68" s="544"/>
      <c r="F68" s="545"/>
      <c r="G68" s="510"/>
      <c r="H68" s="510"/>
      <c r="I68" s="510"/>
      <c r="J68" s="510"/>
    </row>
    <row r="69" spans="1:10" ht="15.75" customHeight="1" outlineLevel="4" x14ac:dyDescent="0.25">
      <c r="B69" s="506" t="s">
        <v>128</v>
      </c>
      <c r="C69" s="508"/>
      <c r="D69" s="270"/>
      <c r="E69" s="271"/>
      <c r="F69" s="295"/>
      <c r="G69" s="256"/>
      <c r="H69" s="256"/>
      <c r="I69" s="256"/>
      <c r="J69" s="256"/>
    </row>
    <row r="70" spans="1:10" ht="15.75" customHeight="1" outlineLevel="4" x14ac:dyDescent="0.25">
      <c r="B70" s="506" t="s">
        <v>129</v>
      </c>
      <c r="C70" s="508"/>
      <c r="D70" s="509"/>
      <c r="E70" s="544"/>
      <c r="F70" s="545"/>
      <c r="G70" s="510"/>
      <c r="H70" s="510"/>
      <c r="I70" s="510"/>
      <c r="J70" s="510"/>
    </row>
    <row r="71" spans="1:10" ht="15.75" customHeight="1" outlineLevel="4" x14ac:dyDescent="0.25">
      <c r="B71" s="506" t="s">
        <v>130</v>
      </c>
      <c r="C71" s="508"/>
      <c r="D71" s="270"/>
      <c r="E71" s="271"/>
      <c r="F71" s="295"/>
      <c r="G71" s="256"/>
      <c r="H71" s="256"/>
      <c r="I71" s="256"/>
      <c r="J71" s="256"/>
    </row>
    <row r="72" spans="1:10" ht="15.75" customHeight="1" outlineLevel="4" x14ac:dyDescent="0.25">
      <c r="B72" s="506" t="s">
        <v>131</v>
      </c>
      <c r="C72" s="508"/>
      <c r="D72" s="509"/>
      <c r="E72" s="544"/>
      <c r="F72" s="545"/>
      <c r="G72" s="510"/>
      <c r="H72" s="510"/>
      <c r="I72" s="510"/>
      <c r="J72" s="510"/>
    </row>
    <row r="73" spans="1:10" ht="15.75" customHeight="1" outlineLevel="4" x14ac:dyDescent="0.25">
      <c r="B73" s="506" t="s">
        <v>132</v>
      </c>
      <c r="C73" s="508"/>
      <c r="D73" s="270"/>
      <c r="E73" s="271"/>
      <c r="F73" s="295"/>
      <c r="G73" s="256"/>
      <c r="H73" s="256"/>
      <c r="I73" s="256"/>
      <c r="J73" s="256"/>
    </row>
    <row r="74" spans="1:10" ht="15.75" customHeight="1" outlineLevel="4" x14ac:dyDescent="0.25">
      <c r="B74" s="506"/>
      <c r="C74" s="508"/>
      <c r="D74" s="509"/>
      <c r="E74" s="544"/>
      <c r="F74" s="545"/>
      <c r="G74" s="510"/>
      <c r="H74" s="510"/>
      <c r="I74" s="510"/>
      <c r="J74" s="510"/>
    </row>
    <row r="75" spans="1:10" ht="15.75" customHeight="1" outlineLevel="4" x14ac:dyDescent="0.25">
      <c r="B75" s="506"/>
      <c r="C75" s="508"/>
      <c r="D75" s="270"/>
      <c r="E75" s="271"/>
      <c r="F75" s="295"/>
      <c r="G75" s="256"/>
      <c r="H75" s="256"/>
      <c r="I75" s="256"/>
      <c r="J75" s="256"/>
    </row>
    <row r="76" spans="1:10" ht="15.75" customHeight="1" outlineLevel="4" x14ac:dyDescent="0.25">
      <c r="B76" s="506"/>
      <c r="C76" s="508"/>
      <c r="D76" s="509"/>
      <c r="E76" s="544"/>
      <c r="F76" s="545"/>
      <c r="G76" s="510"/>
      <c r="H76" s="510"/>
      <c r="I76" s="510"/>
      <c r="J76" s="510"/>
    </row>
    <row r="77" spans="1:10" ht="15.75" customHeight="1" outlineLevel="4" x14ac:dyDescent="0.25">
      <c r="B77" s="506"/>
      <c r="C77" s="508"/>
      <c r="D77" s="270"/>
      <c r="E77" s="271"/>
      <c r="F77" s="295"/>
      <c r="G77" s="256"/>
      <c r="H77" s="256"/>
      <c r="I77" s="256"/>
      <c r="J77" s="256"/>
    </row>
    <row r="78" spans="1:10" ht="15.75" customHeight="1" outlineLevel="4" x14ac:dyDescent="0.25">
      <c r="B78" s="506"/>
      <c r="C78" s="508"/>
      <c r="D78" s="509"/>
      <c r="E78" s="544"/>
      <c r="F78" s="545"/>
      <c r="G78" s="510"/>
      <c r="H78" s="510"/>
      <c r="I78" s="510"/>
      <c r="J78" s="510"/>
    </row>
    <row r="79" spans="1:10" ht="15.75" customHeight="1" outlineLevel="4" x14ac:dyDescent="0.25">
      <c r="B79" s="506"/>
      <c r="C79" s="508"/>
      <c r="D79" s="270"/>
      <c r="E79" s="271"/>
      <c r="F79" s="295"/>
      <c r="G79" s="256"/>
      <c r="H79" s="256"/>
      <c r="I79" s="256"/>
      <c r="J79" s="256"/>
    </row>
    <row r="80" spans="1:10" ht="15.75" customHeight="1" outlineLevel="4" x14ac:dyDescent="0.25">
      <c r="B80" s="506"/>
      <c r="C80" s="508"/>
      <c r="D80" s="509"/>
      <c r="E80" s="544"/>
      <c r="F80" s="545"/>
      <c r="G80" s="510"/>
      <c r="H80" s="510"/>
      <c r="I80" s="510"/>
      <c r="J80" s="510"/>
    </row>
    <row r="81" spans="2:10" ht="15.75" customHeight="1" outlineLevel="4" x14ac:dyDescent="0.25">
      <c r="B81" s="506"/>
      <c r="C81" s="508"/>
      <c r="D81" s="270"/>
      <c r="E81" s="271"/>
      <c r="F81" s="295"/>
      <c r="G81" s="256"/>
      <c r="H81" s="256"/>
      <c r="I81" s="256"/>
      <c r="J81" s="256"/>
    </row>
    <row r="82" spans="2:10" ht="15.75" customHeight="1" outlineLevel="4" x14ac:dyDescent="0.25">
      <c r="B82" s="506"/>
      <c r="C82" s="508"/>
      <c r="D82" s="509"/>
      <c r="E82" s="544"/>
      <c r="F82" s="545"/>
      <c r="G82" s="510"/>
      <c r="H82" s="510"/>
      <c r="I82" s="510"/>
      <c r="J82" s="510"/>
    </row>
    <row r="83" spans="2:10" ht="15.75" customHeight="1" outlineLevel="4" x14ac:dyDescent="0.25">
      <c r="B83" s="506"/>
      <c r="C83" s="508"/>
      <c r="D83" s="270"/>
      <c r="E83" s="271"/>
      <c r="F83" s="295"/>
      <c r="G83" s="256"/>
      <c r="H83" s="256"/>
      <c r="I83" s="256"/>
      <c r="J83" s="256"/>
    </row>
    <row r="84" spans="2:10" ht="15.75" customHeight="1" outlineLevel="4" x14ac:dyDescent="0.25">
      <c r="B84" s="506"/>
      <c r="C84" s="508"/>
      <c r="D84" s="509"/>
      <c r="E84" s="544"/>
      <c r="F84" s="545"/>
      <c r="G84" s="510"/>
      <c r="H84" s="510"/>
      <c r="I84" s="510"/>
      <c r="J84" s="510"/>
    </row>
    <row r="85" spans="2:10" ht="15.75" customHeight="1" outlineLevel="4" x14ac:dyDescent="0.25">
      <c r="B85" s="506"/>
      <c r="C85" s="508"/>
      <c r="D85" s="270"/>
      <c r="E85" s="271"/>
      <c r="F85" s="295"/>
      <c r="G85" s="256"/>
      <c r="H85" s="256"/>
      <c r="I85" s="256"/>
      <c r="J85" s="256"/>
    </row>
    <row r="86" spans="2:10" ht="15.75" customHeight="1" outlineLevel="4" x14ac:dyDescent="0.25">
      <c r="B86" s="506"/>
      <c r="C86" s="508"/>
      <c r="D86" s="509"/>
      <c r="E86" s="544"/>
      <c r="F86" s="545"/>
      <c r="G86" s="510"/>
      <c r="H86" s="510"/>
      <c r="I86" s="510"/>
      <c r="J86" s="510"/>
    </row>
    <row r="87" spans="2:10" ht="15.75" customHeight="1" outlineLevel="4" x14ac:dyDescent="0.25">
      <c r="B87" s="506"/>
      <c r="C87" s="508"/>
      <c r="D87" s="270"/>
      <c r="E87" s="271"/>
      <c r="F87" s="295"/>
      <c r="G87" s="256"/>
      <c r="H87" s="256"/>
      <c r="I87" s="256"/>
      <c r="J87" s="256"/>
    </row>
    <row r="88" spans="2:10" ht="15.75" customHeight="1" outlineLevel="4" x14ac:dyDescent="0.25">
      <c r="B88" s="506"/>
      <c r="C88" s="508"/>
      <c r="D88" s="509"/>
      <c r="E88" s="544"/>
      <c r="F88" s="545"/>
      <c r="G88" s="510"/>
      <c r="H88" s="510"/>
      <c r="I88" s="510"/>
      <c r="J88" s="510"/>
    </row>
    <row r="89" spans="2:10" ht="15.75" customHeight="1" outlineLevel="4" x14ac:dyDescent="0.25">
      <c r="B89" s="506"/>
      <c r="C89" s="508"/>
      <c r="D89" s="270"/>
      <c r="E89" s="271"/>
      <c r="F89" s="295"/>
      <c r="G89" s="256"/>
      <c r="H89" s="256"/>
      <c r="I89" s="256"/>
      <c r="J89" s="256"/>
    </row>
    <row r="90" spans="2:10" ht="15.75" customHeight="1" outlineLevel="4" x14ac:dyDescent="0.25">
      <c r="B90" s="506"/>
      <c r="C90" s="508"/>
      <c r="D90" s="509"/>
      <c r="E90" s="544"/>
      <c r="F90" s="545"/>
      <c r="G90" s="510"/>
      <c r="H90" s="510"/>
      <c r="I90" s="510"/>
      <c r="J90" s="510"/>
    </row>
    <row r="91" spans="2:10" ht="15.75" customHeight="1" outlineLevel="4" x14ac:dyDescent="0.25">
      <c r="B91" s="506"/>
      <c r="C91" s="508"/>
      <c r="D91" s="270"/>
      <c r="E91" s="271"/>
      <c r="F91" s="295"/>
      <c r="G91" s="256"/>
      <c r="H91" s="256"/>
      <c r="I91" s="256"/>
      <c r="J91" s="256"/>
    </row>
    <row r="92" spans="2:10" ht="15.75" customHeight="1" outlineLevel="4" x14ac:dyDescent="0.25">
      <c r="B92" s="506"/>
      <c r="C92" s="508"/>
      <c r="D92" s="509"/>
      <c r="E92" s="544"/>
      <c r="F92" s="545"/>
      <c r="G92" s="510"/>
      <c r="H92" s="510"/>
      <c r="I92" s="510"/>
      <c r="J92" s="510"/>
    </row>
    <row r="93" spans="2:10" ht="15.75" customHeight="1" outlineLevel="4" x14ac:dyDescent="0.25">
      <c r="B93" s="506"/>
      <c r="C93" s="508"/>
      <c r="D93" s="270"/>
      <c r="E93" s="271"/>
      <c r="F93" s="295"/>
      <c r="G93" s="256"/>
      <c r="H93" s="256"/>
      <c r="I93" s="256"/>
      <c r="J93" s="256"/>
    </row>
    <row r="94" spans="2:10" ht="15.75" customHeight="1" outlineLevel="4" x14ac:dyDescent="0.25">
      <c r="B94" s="506"/>
      <c r="C94" s="508"/>
      <c r="D94" s="509"/>
      <c r="E94" s="544"/>
      <c r="F94" s="545"/>
      <c r="G94" s="510"/>
      <c r="H94" s="510"/>
      <c r="I94" s="510"/>
      <c r="J94" s="510"/>
    </row>
    <row r="95" spans="2:10" ht="15.75" customHeight="1" outlineLevel="4" x14ac:dyDescent="0.25">
      <c r="B95" s="506"/>
      <c r="C95" s="508"/>
      <c r="D95" s="270"/>
      <c r="E95" s="271"/>
      <c r="F95" s="295"/>
      <c r="G95" s="256"/>
      <c r="H95" s="256"/>
      <c r="I95" s="256"/>
      <c r="J95" s="256"/>
    </row>
    <row r="96" spans="2:10" ht="15.75" customHeight="1" outlineLevel="4" x14ac:dyDescent="0.25">
      <c r="B96" s="506"/>
      <c r="C96" s="508"/>
      <c r="D96" s="509"/>
      <c r="E96" s="544"/>
      <c r="F96" s="545"/>
      <c r="G96" s="510"/>
      <c r="H96" s="510"/>
      <c r="I96" s="510"/>
      <c r="J96" s="510"/>
    </row>
    <row r="97" spans="2:10" ht="15.75" customHeight="1" outlineLevel="4" x14ac:dyDescent="0.25">
      <c r="B97" s="506"/>
      <c r="C97" s="508"/>
      <c r="D97" s="270"/>
      <c r="E97" s="271"/>
      <c r="F97" s="295"/>
      <c r="G97" s="256"/>
      <c r="H97" s="256"/>
      <c r="I97" s="256"/>
      <c r="J97" s="256"/>
    </row>
    <row r="98" spans="2:10" ht="15.75" customHeight="1" outlineLevel="4" x14ac:dyDescent="0.25">
      <c r="B98" s="506"/>
      <c r="C98" s="508"/>
      <c r="D98" s="509"/>
      <c r="E98" s="544"/>
      <c r="F98" s="545"/>
      <c r="G98" s="510"/>
      <c r="H98" s="510"/>
      <c r="I98" s="510"/>
      <c r="J98" s="510"/>
    </row>
    <row r="99" spans="2:10" ht="15.75" customHeight="1" outlineLevel="4" x14ac:dyDescent="0.25">
      <c r="B99" s="506"/>
      <c r="C99" s="508"/>
      <c r="D99" s="270"/>
      <c r="E99" s="271"/>
      <c r="F99" s="295"/>
      <c r="G99" s="256"/>
      <c r="H99" s="256"/>
      <c r="I99" s="256"/>
      <c r="J99" s="256"/>
    </row>
    <row r="100" spans="2:10" ht="15.75" customHeight="1" outlineLevel="4" x14ac:dyDescent="0.25">
      <c r="B100" s="506"/>
      <c r="C100" s="508"/>
      <c r="D100" s="509"/>
      <c r="E100" s="544"/>
      <c r="F100" s="545"/>
      <c r="G100" s="510"/>
      <c r="H100" s="510"/>
      <c r="I100" s="510"/>
      <c r="J100" s="510"/>
    </row>
    <row r="101" spans="2:10" ht="15.75" customHeight="1" outlineLevel="4" x14ac:dyDescent="0.25">
      <c r="B101" s="506"/>
      <c r="C101" s="508"/>
      <c r="D101" s="270"/>
      <c r="E101" s="271"/>
      <c r="F101" s="295"/>
      <c r="G101" s="256"/>
      <c r="H101" s="256"/>
      <c r="I101" s="256"/>
      <c r="J101" s="256"/>
    </row>
    <row r="102" spans="2:10" ht="15.75" customHeight="1" outlineLevel="4" x14ac:dyDescent="0.25">
      <c r="B102" s="506"/>
      <c r="C102" s="508"/>
      <c r="D102" s="509"/>
      <c r="E102" s="544"/>
      <c r="F102" s="545"/>
      <c r="G102" s="510"/>
      <c r="H102" s="510"/>
      <c r="I102" s="510"/>
      <c r="J102" s="510"/>
    </row>
    <row r="103" spans="2:10" ht="15.75" customHeight="1" outlineLevel="4" x14ac:dyDescent="0.25">
      <c r="B103" s="506"/>
      <c r="C103" s="508"/>
      <c r="D103" s="270"/>
      <c r="E103" s="271"/>
      <c r="F103" s="295"/>
      <c r="G103" s="256"/>
      <c r="H103" s="256"/>
      <c r="I103" s="256"/>
      <c r="J103" s="256"/>
    </row>
    <row r="104" spans="2:10" ht="15.75" customHeight="1" outlineLevel="4" x14ac:dyDescent="0.25">
      <c r="B104" s="506"/>
      <c r="C104" s="508"/>
      <c r="D104" s="509"/>
      <c r="E104" s="544"/>
      <c r="F104" s="545"/>
      <c r="G104" s="510"/>
      <c r="H104" s="510"/>
      <c r="I104" s="510"/>
      <c r="J104" s="510"/>
    </row>
    <row r="105" spans="2:10" ht="15.75" customHeight="1" outlineLevel="4" x14ac:dyDescent="0.25">
      <c r="B105" s="506"/>
      <c r="C105" s="508"/>
      <c r="D105" s="270"/>
      <c r="E105" s="271"/>
      <c r="F105" s="295"/>
      <c r="G105" s="256"/>
      <c r="H105" s="256"/>
      <c r="I105" s="256"/>
      <c r="J105" s="256"/>
    </row>
    <row r="106" spans="2:10" ht="15.75" customHeight="1" outlineLevel="4" x14ac:dyDescent="0.25">
      <c r="B106" s="506"/>
      <c r="C106" s="508"/>
      <c r="D106" s="509"/>
      <c r="E106" s="544"/>
      <c r="F106" s="545"/>
      <c r="G106" s="510"/>
      <c r="H106" s="510"/>
      <c r="I106" s="510"/>
      <c r="J106" s="510"/>
    </row>
    <row r="107" spans="2:10" ht="15.75" customHeight="1" outlineLevel="4" x14ac:dyDescent="0.25">
      <c r="B107" s="506"/>
      <c r="C107" s="508"/>
      <c r="D107" s="270"/>
      <c r="E107" s="271"/>
      <c r="F107" s="295"/>
      <c r="G107" s="256"/>
      <c r="H107" s="256"/>
      <c r="I107" s="256"/>
      <c r="J107" s="256"/>
    </row>
    <row r="108" spans="2:10" ht="15.75" customHeight="1" outlineLevel="4" x14ac:dyDescent="0.25">
      <c r="B108" s="506"/>
      <c r="C108" s="508"/>
      <c r="D108" s="509"/>
      <c r="E108" s="544"/>
      <c r="F108" s="545"/>
      <c r="G108" s="510"/>
      <c r="H108" s="510"/>
      <c r="I108" s="510"/>
      <c r="J108" s="510"/>
    </row>
    <row r="109" spans="2:10" ht="15.75" customHeight="1" outlineLevel="4" x14ac:dyDescent="0.25">
      <c r="B109" s="506"/>
      <c r="C109" s="508"/>
      <c r="D109" s="270"/>
      <c r="E109" s="271"/>
      <c r="F109" s="295"/>
      <c r="G109" s="256"/>
      <c r="H109" s="256"/>
      <c r="I109" s="256"/>
      <c r="J109" s="256"/>
    </row>
    <row r="110" spans="2:10" ht="15.75" customHeight="1" outlineLevel="4" x14ac:dyDescent="0.25">
      <c r="B110" s="506"/>
      <c r="C110" s="508"/>
      <c r="D110" s="509"/>
      <c r="E110" s="544"/>
      <c r="F110" s="545"/>
      <c r="G110" s="510"/>
      <c r="H110" s="510"/>
      <c r="I110" s="510"/>
      <c r="J110" s="510"/>
    </row>
    <row r="111" spans="2:10" ht="15.75" customHeight="1" outlineLevel="4" x14ac:dyDescent="0.25">
      <c r="B111" s="506"/>
      <c r="C111" s="508"/>
      <c r="D111" s="270"/>
      <c r="E111" s="271"/>
      <c r="F111" s="295"/>
      <c r="G111" s="256"/>
      <c r="H111" s="256"/>
      <c r="I111" s="256"/>
      <c r="J111" s="256"/>
    </row>
    <row r="112" spans="2:10" ht="15.75" customHeight="1" outlineLevel="4" x14ac:dyDescent="0.25">
      <c r="B112" s="506"/>
      <c r="C112" s="508"/>
      <c r="D112" s="509"/>
      <c r="E112" s="544"/>
      <c r="F112" s="545"/>
      <c r="G112" s="510"/>
      <c r="H112" s="510"/>
      <c r="I112" s="510"/>
      <c r="J112" s="510"/>
    </row>
    <row r="113" spans="1:10" ht="15.75" customHeight="1" outlineLevel="4" x14ac:dyDescent="0.25">
      <c r="B113" s="506"/>
      <c r="C113" s="508"/>
      <c r="D113" s="270"/>
      <c r="E113" s="271"/>
      <c r="F113" s="295"/>
      <c r="G113" s="256"/>
      <c r="H113" s="256"/>
      <c r="I113" s="256"/>
      <c r="J113" s="256"/>
    </row>
    <row r="114" spans="1:10" ht="15.75" customHeight="1" outlineLevel="4" x14ac:dyDescent="0.25">
      <c r="B114" s="506"/>
      <c r="C114" s="508"/>
      <c r="D114" s="509"/>
      <c r="E114" s="544"/>
      <c r="F114" s="545"/>
      <c r="G114" s="510"/>
      <c r="H114" s="510"/>
      <c r="I114" s="510"/>
      <c r="J114" s="510"/>
    </row>
    <row r="115" spans="1:10" ht="15.75" customHeight="1" outlineLevel="4" x14ac:dyDescent="0.25">
      <c r="B115" s="506"/>
      <c r="C115" s="508"/>
      <c r="D115" s="270"/>
      <c r="E115" s="271"/>
      <c r="F115" s="295"/>
      <c r="G115" s="256"/>
      <c r="H115" s="256"/>
      <c r="I115" s="256"/>
      <c r="J115" s="256"/>
    </row>
    <row r="116" spans="1:10" ht="15.75" customHeight="1" outlineLevel="4" x14ac:dyDescent="0.25">
      <c r="B116" s="506"/>
      <c r="C116" s="508"/>
      <c r="D116" s="509"/>
      <c r="E116" s="544"/>
      <c r="F116" s="545"/>
      <c r="G116" s="510"/>
      <c r="H116" s="510"/>
      <c r="I116" s="510"/>
      <c r="J116" s="510"/>
    </row>
    <row r="117" spans="1:10" ht="15.75" customHeight="1" outlineLevel="4" x14ac:dyDescent="0.25">
      <c r="B117" s="511" t="s">
        <v>136</v>
      </c>
      <c r="C117" s="512"/>
      <c r="D117" s="272"/>
      <c r="E117" s="546"/>
      <c r="F117" s="296"/>
      <c r="G117" s="259"/>
      <c r="H117" s="259"/>
      <c r="I117" s="259"/>
      <c r="J117" s="259"/>
    </row>
    <row r="118" spans="1:10" ht="15" customHeight="1" outlineLevel="4" collapsed="1" x14ac:dyDescent="0.25">
      <c r="B118" s="280"/>
      <c r="C118" s="281" t="s">
        <v>112</v>
      </c>
      <c r="D118" s="281">
        <f t="shared" ref="D118:J118" si="0">SUM(D67:D117)</f>
        <v>0</v>
      </c>
      <c r="E118" s="281">
        <f t="shared" si="0"/>
        <v>0</v>
      </c>
      <c r="F118" s="281">
        <f t="shared" si="0"/>
        <v>0</v>
      </c>
      <c r="G118" s="281">
        <f t="shared" si="0"/>
        <v>0</v>
      </c>
      <c r="H118" s="281">
        <f t="shared" si="0"/>
        <v>0</v>
      </c>
      <c r="I118" s="281">
        <f t="shared" si="0"/>
        <v>0</v>
      </c>
      <c r="J118" s="282">
        <f t="shared" si="0"/>
        <v>0</v>
      </c>
    </row>
    <row r="119" spans="1:10" ht="13.5" customHeight="1" outlineLevel="2" x14ac:dyDescent="0.25"/>
    <row r="120" spans="1:10" ht="21.75" customHeight="1" outlineLevel="2" x14ac:dyDescent="0.25">
      <c r="B120" s="235" t="s">
        <v>137</v>
      </c>
      <c r="C120" s="236"/>
      <c r="D120" s="236"/>
      <c r="E120" s="236"/>
      <c r="F120" s="236"/>
      <c r="G120" s="236"/>
      <c r="H120" s="236"/>
      <c r="I120" s="236"/>
      <c r="J120" s="236"/>
    </row>
    <row r="121" spans="1:10" s="41" customFormat="1" ht="15" customHeight="1" outlineLevel="4" x14ac:dyDescent="0.2">
      <c r="A121" s="276"/>
      <c r="D121" s="1331" t="s">
        <v>24</v>
      </c>
      <c r="E121" s="1331"/>
      <c r="F121" s="1331"/>
      <c r="G121" s="1331"/>
      <c r="H121" s="1331"/>
      <c r="I121" s="1331"/>
      <c r="J121" s="1331"/>
    </row>
    <row r="122" spans="1:10" s="41" customFormat="1" ht="15" customHeight="1" outlineLevel="4" x14ac:dyDescent="0.2">
      <c r="A122" s="276"/>
      <c r="D122" s="1331" t="str">
        <f ca="1">CONCATENATE("$, real ",dms_DollarReal)</f>
        <v>$, real June 2026</v>
      </c>
      <c r="E122" s="1331"/>
      <c r="F122" s="1331"/>
      <c r="G122" s="1331"/>
      <c r="H122" s="1331"/>
      <c r="I122" s="1331"/>
      <c r="J122" s="1331"/>
    </row>
    <row r="123" spans="1:10" s="41" customFormat="1" ht="15.75" customHeight="1" outlineLevel="4" x14ac:dyDescent="0.25">
      <c r="A123" s="276"/>
      <c r="B123" s="77"/>
      <c r="C123" s="302"/>
      <c r="D123" s="298" t="str">
        <f ca="1">dms_y1</f>
        <v>2024-25</v>
      </c>
      <c r="E123" s="298" t="str">
        <f ca="1">dms_y2</f>
        <v>2025-26</v>
      </c>
      <c r="F123" s="298" t="str">
        <f ca="1">dms_y3</f>
        <v>2026-27</v>
      </c>
      <c r="G123" s="298" t="str">
        <f ca="1">dms_y4</f>
        <v>2027-28</v>
      </c>
      <c r="H123" s="298" t="str">
        <f ca="1">dms_y5</f>
        <v>2028-29</v>
      </c>
      <c r="I123" s="298" t="str">
        <f ca="1">dms_y6</f>
        <v>2029-30</v>
      </c>
      <c r="J123" s="298" t="str">
        <f ca="1">dms_y7</f>
        <v>2030-31</v>
      </c>
    </row>
    <row r="124" spans="1:10" ht="15.75" customHeight="1" outlineLevel="4" x14ac:dyDescent="0.25">
      <c r="B124" s="506" t="s">
        <v>126</v>
      </c>
      <c r="C124" s="507"/>
      <c r="D124" s="270">
        <v>0</v>
      </c>
      <c r="E124" s="263">
        <v>920215</v>
      </c>
      <c r="F124" s="294">
        <v>0</v>
      </c>
      <c r="G124" s="256">
        <v>0</v>
      </c>
      <c r="H124" s="256">
        <v>0</v>
      </c>
      <c r="I124" s="256">
        <v>0</v>
      </c>
      <c r="J124" s="256">
        <v>0</v>
      </c>
    </row>
    <row r="125" spans="1:10" ht="15.75" customHeight="1" outlineLevel="4" x14ac:dyDescent="0.25">
      <c r="B125" s="506" t="s">
        <v>127</v>
      </c>
      <c r="C125" s="508"/>
      <c r="D125" s="509"/>
      <c r="E125" s="544"/>
      <c r="F125" s="545"/>
      <c r="G125" s="510"/>
      <c r="H125" s="510"/>
      <c r="I125" s="510"/>
      <c r="J125" s="510"/>
    </row>
    <row r="126" spans="1:10" ht="15.75" customHeight="1" outlineLevel="4" x14ac:dyDescent="0.25">
      <c r="B126" s="506" t="s">
        <v>128</v>
      </c>
      <c r="C126" s="508"/>
      <c r="D126" s="270"/>
      <c r="E126" s="271"/>
      <c r="F126" s="295"/>
      <c r="G126" s="256"/>
      <c r="H126" s="256"/>
      <c r="I126" s="256"/>
      <c r="J126" s="256"/>
    </row>
    <row r="127" spans="1:10" ht="15.75" customHeight="1" outlineLevel="4" x14ac:dyDescent="0.25">
      <c r="B127" s="506" t="s">
        <v>129</v>
      </c>
      <c r="C127" s="508"/>
      <c r="D127" s="509"/>
      <c r="E127" s="544"/>
      <c r="F127" s="545"/>
      <c r="G127" s="510"/>
      <c r="H127" s="510"/>
      <c r="I127" s="510"/>
      <c r="J127" s="510"/>
    </row>
    <row r="128" spans="1:10" ht="15.75" customHeight="1" outlineLevel="4" x14ac:dyDescent="0.25">
      <c r="B128" s="506" t="s">
        <v>130</v>
      </c>
      <c r="C128" s="508"/>
      <c r="D128" s="270"/>
      <c r="E128" s="271"/>
      <c r="F128" s="295"/>
      <c r="G128" s="256"/>
      <c r="H128" s="256"/>
      <c r="I128" s="256"/>
      <c r="J128" s="256"/>
    </row>
    <row r="129" spans="2:10" ht="15.75" customHeight="1" outlineLevel="4" x14ac:dyDescent="0.25">
      <c r="B129" s="506" t="s">
        <v>131</v>
      </c>
      <c r="C129" s="508"/>
      <c r="D129" s="509"/>
      <c r="E129" s="544"/>
      <c r="F129" s="545"/>
      <c r="G129" s="510"/>
      <c r="H129" s="510"/>
      <c r="I129" s="510"/>
      <c r="J129" s="510"/>
    </row>
    <row r="130" spans="2:10" ht="15.75" customHeight="1" outlineLevel="4" x14ac:dyDescent="0.25">
      <c r="B130" s="506" t="s">
        <v>132</v>
      </c>
      <c r="C130" s="508"/>
      <c r="D130" s="270"/>
      <c r="E130" s="271"/>
      <c r="F130" s="295"/>
      <c r="G130" s="256"/>
      <c r="H130" s="256"/>
      <c r="I130" s="256"/>
      <c r="J130" s="256"/>
    </row>
    <row r="131" spans="2:10" ht="15.75" customHeight="1" outlineLevel="4" x14ac:dyDescent="0.25">
      <c r="B131" s="506"/>
      <c r="C131" s="508"/>
      <c r="D131" s="509"/>
      <c r="E131" s="544"/>
      <c r="F131" s="545"/>
      <c r="G131" s="510"/>
      <c r="H131" s="510"/>
      <c r="I131" s="510"/>
      <c r="J131" s="510"/>
    </row>
    <row r="132" spans="2:10" ht="15.75" customHeight="1" outlineLevel="4" x14ac:dyDescent="0.25">
      <c r="B132" s="506"/>
      <c r="C132" s="508"/>
      <c r="D132" s="270"/>
      <c r="E132" s="271"/>
      <c r="F132" s="295"/>
      <c r="G132" s="256"/>
      <c r="H132" s="256"/>
      <c r="I132" s="256"/>
      <c r="J132" s="256"/>
    </row>
    <row r="133" spans="2:10" ht="15.75" customHeight="1" outlineLevel="4" x14ac:dyDescent="0.25">
      <c r="B133" s="506"/>
      <c r="C133" s="508"/>
      <c r="D133" s="509"/>
      <c r="E133" s="544"/>
      <c r="F133" s="545"/>
      <c r="G133" s="510"/>
      <c r="H133" s="510"/>
      <c r="I133" s="510"/>
      <c r="J133" s="510"/>
    </row>
    <row r="134" spans="2:10" ht="15.75" customHeight="1" outlineLevel="4" x14ac:dyDescent="0.25">
      <c r="B134" s="506"/>
      <c r="C134" s="508"/>
      <c r="D134" s="270"/>
      <c r="E134" s="271"/>
      <c r="F134" s="295"/>
      <c r="G134" s="256"/>
      <c r="H134" s="256"/>
      <c r="I134" s="256"/>
      <c r="J134" s="256"/>
    </row>
    <row r="135" spans="2:10" ht="15.75" customHeight="1" outlineLevel="4" x14ac:dyDescent="0.25">
      <c r="B135" s="506"/>
      <c r="C135" s="508"/>
      <c r="D135" s="509"/>
      <c r="E135" s="544"/>
      <c r="F135" s="545"/>
      <c r="G135" s="510"/>
      <c r="H135" s="510"/>
      <c r="I135" s="510"/>
      <c r="J135" s="510"/>
    </row>
    <row r="136" spans="2:10" ht="15.75" customHeight="1" outlineLevel="4" x14ac:dyDescent="0.25">
      <c r="B136" s="506"/>
      <c r="C136" s="508"/>
      <c r="D136" s="270"/>
      <c r="E136" s="271"/>
      <c r="F136" s="295"/>
      <c r="G136" s="256"/>
      <c r="H136" s="256"/>
      <c r="I136" s="256"/>
      <c r="J136" s="256"/>
    </row>
    <row r="137" spans="2:10" ht="15.75" customHeight="1" outlineLevel="4" x14ac:dyDescent="0.25">
      <c r="B137" s="506"/>
      <c r="C137" s="508"/>
      <c r="D137" s="509"/>
      <c r="E137" s="544"/>
      <c r="F137" s="545"/>
      <c r="G137" s="510"/>
      <c r="H137" s="510"/>
      <c r="I137" s="510"/>
      <c r="J137" s="510"/>
    </row>
    <row r="138" spans="2:10" ht="15.75" customHeight="1" outlineLevel="4" x14ac:dyDescent="0.25">
      <c r="B138" s="506"/>
      <c r="C138" s="508"/>
      <c r="D138" s="270"/>
      <c r="E138" s="271"/>
      <c r="F138" s="295"/>
      <c r="G138" s="256"/>
      <c r="H138" s="256"/>
      <c r="I138" s="256"/>
      <c r="J138" s="256"/>
    </row>
    <row r="139" spans="2:10" ht="15.75" customHeight="1" outlineLevel="4" x14ac:dyDescent="0.25">
      <c r="B139" s="506"/>
      <c r="C139" s="508"/>
      <c r="D139" s="509"/>
      <c r="E139" s="544"/>
      <c r="F139" s="545"/>
      <c r="G139" s="510"/>
      <c r="H139" s="510"/>
      <c r="I139" s="510"/>
      <c r="J139" s="510"/>
    </row>
    <row r="140" spans="2:10" ht="15.75" customHeight="1" outlineLevel="4" x14ac:dyDescent="0.25">
      <c r="B140" s="506"/>
      <c r="C140" s="508"/>
      <c r="D140" s="270"/>
      <c r="E140" s="271"/>
      <c r="F140" s="295"/>
      <c r="G140" s="256"/>
      <c r="H140" s="256"/>
      <c r="I140" s="256"/>
      <c r="J140" s="256"/>
    </row>
    <row r="141" spans="2:10" ht="15.75" customHeight="1" outlineLevel="4" x14ac:dyDescent="0.25">
      <c r="B141" s="506"/>
      <c r="C141" s="508"/>
      <c r="D141" s="509"/>
      <c r="E141" s="544"/>
      <c r="F141" s="545"/>
      <c r="G141" s="510"/>
      <c r="H141" s="510"/>
      <c r="I141" s="510"/>
      <c r="J141" s="510"/>
    </row>
    <row r="142" spans="2:10" ht="15.75" customHeight="1" outlineLevel="4" x14ac:dyDescent="0.25">
      <c r="B142" s="506"/>
      <c r="C142" s="508"/>
      <c r="D142" s="270"/>
      <c r="E142" s="271"/>
      <c r="F142" s="295"/>
      <c r="G142" s="256"/>
      <c r="H142" s="256"/>
      <c r="I142" s="256"/>
      <c r="J142" s="256"/>
    </row>
    <row r="143" spans="2:10" ht="15.75" customHeight="1" outlineLevel="4" x14ac:dyDescent="0.25">
      <c r="B143" s="506"/>
      <c r="C143" s="508"/>
      <c r="D143" s="509"/>
      <c r="E143" s="544"/>
      <c r="F143" s="545"/>
      <c r="G143" s="510"/>
      <c r="H143" s="510"/>
      <c r="I143" s="510"/>
      <c r="J143" s="510"/>
    </row>
    <row r="144" spans="2:10" ht="15.75" customHeight="1" outlineLevel="4" x14ac:dyDescent="0.25">
      <c r="B144" s="506"/>
      <c r="C144" s="508"/>
      <c r="D144" s="270"/>
      <c r="E144" s="271"/>
      <c r="F144" s="295"/>
      <c r="G144" s="256"/>
      <c r="H144" s="256"/>
      <c r="I144" s="256"/>
      <c r="J144" s="256"/>
    </row>
    <row r="145" spans="2:10" ht="15.75" customHeight="1" outlineLevel="4" x14ac:dyDescent="0.25">
      <c r="B145" s="506"/>
      <c r="C145" s="508"/>
      <c r="D145" s="509"/>
      <c r="E145" s="544"/>
      <c r="F145" s="545"/>
      <c r="G145" s="510"/>
      <c r="H145" s="510"/>
      <c r="I145" s="510"/>
      <c r="J145" s="510"/>
    </row>
    <row r="146" spans="2:10" ht="15.75" customHeight="1" outlineLevel="4" x14ac:dyDescent="0.25">
      <c r="B146" s="506"/>
      <c r="C146" s="508"/>
      <c r="D146" s="270"/>
      <c r="E146" s="271"/>
      <c r="F146" s="295"/>
      <c r="G146" s="256"/>
      <c r="H146" s="256"/>
      <c r="I146" s="256"/>
      <c r="J146" s="256"/>
    </row>
    <row r="147" spans="2:10" ht="15.75" customHeight="1" outlineLevel="4" x14ac:dyDescent="0.25">
      <c r="B147" s="506"/>
      <c r="C147" s="508"/>
      <c r="D147" s="509"/>
      <c r="E147" s="544"/>
      <c r="F147" s="545"/>
      <c r="G147" s="510"/>
      <c r="H147" s="510"/>
      <c r="I147" s="510"/>
      <c r="J147" s="510"/>
    </row>
    <row r="148" spans="2:10" ht="15.75" customHeight="1" outlineLevel="4" x14ac:dyDescent="0.25">
      <c r="B148" s="506"/>
      <c r="C148" s="508"/>
      <c r="D148" s="270"/>
      <c r="E148" s="271"/>
      <c r="F148" s="295"/>
      <c r="G148" s="256"/>
      <c r="H148" s="256"/>
      <c r="I148" s="256"/>
      <c r="J148" s="256"/>
    </row>
    <row r="149" spans="2:10" ht="15.75" customHeight="1" outlineLevel="4" x14ac:dyDescent="0.25">
      <c r="B149" s="506"/>
      <c r="C149" s="508"/>
      <c r="D149" s="509"/>
      <c r="E149" s="544"/>
      <c r="F149" s="545"/>
      <c r="G149" s="510"/>
      <c r="H149" s="510"/>
      <c r="I149" s="510"/>
      <c r="J149" s="510"/>
    </row>
    <row r="150" spans="2:10" ht="15.75" customHeight="1" outlineLevel="4" x14ac:dyDescent="0.25">
      <c r="B150" s="506"/>
      <c r="C150" s="508"/>
      <c r="D150" s="270"/>
      <c r="E150" s="271"/>
      <c r="F150" s="295"/>
      <c r="G150" s="256"/>
      <c r="H150" s="256"/>
      <c r="I150" s="256"/>
      <c r="J150" s="256"/>
    </row>
    <row r="151" spans="2:10" ht="15.75" customHeight="1" outlineLevel="4" x14ac:dyDescent="0.25">
      <c r="B151" s="506"/>
      <c r="C151" s="508"/>
      <c r="D151" s="509"/>
      <c r="E151" s="544"/>
      <c r="F151" s="545"/>
      <c r="G151" s="510"/>
      <c r="H151" s="510"/>
      <c r="I151" s="510"/>
      <c r="J151" s="510"/>
    </row>
    <row r="152" spans="2:10" ht="15.75" customHeight="1" outlineLevel="4" x14ac:dyDescent="0.25">
      <c r="B152" s="506"/>
      <c r="C152" s="508"/>
      <c r="D152" s="270"/>
      <c r="E152" s="271"/>
      <c r="F152" s="295"/>
      <c r="G152" s="256"/>
      <c r="H152" s="256"/>
      <c r="I152" s="256"/>
      <c r="J152" s="256"/>
    </row>
    <row r="153" spans="2:10" ht="15.75" customHeight="1" outlineLevel="4" x14ac:dyDescent="0.25">
      <c r="B153" s="506"/>
      <c r="C153" s="508"/>
      <c r="D153" s="509"/>
      <c r="E153" s="544"/>
      <c r="F153" s="545"/>
      <c r="G153" s="510"/>
      <c r="H153" s="510"/>
      <c r="I153" s="510"/>
      <c r="J153" s="510"/>
    </row>
    <row r="154" spans="2:10" ht="15.75" customHeight="1" outlineLevel="4" x14ac:dyDescent="0.25">
      <c r="B154" s="506"/>
      <c r="C154" s="508"/>
      <c r="D154" s="270"/>
      <c r="E154" s="271"/>
      <c r="F154" s="295"/>
      <c r="G154" s="256"/>
      <c r="H154" s="256"/>
      <c r="I154" s="256"/>
      <c r="J154" s="256"/>
    </row>
    <row r="155" spans="2:10" ht="15.75" customHeight="1" outlineLevel="4" x14ac:dyDescent="0.25">
      <c r="B155" s="506"/>
      <c r="C155" s="508"/>
      <c r="D155" s="509"/>
      <c r="E155" s="544"/>
      <c r="F155" s="545"/>
      <c r="G155" s="510"/>
      <c r="H155" s="510"/>
      <c r="I155" s="510"/>
      <c r="J155" s="510"/>
    </row>
    <row r="156" spans="2:10" ht="15.75" customHeight="1" outlineLevel="4" x14ac:dyDescent="0.25">
      <c r="B156" s="506"/>
      <c r="C156" s="508"/>
      <c r="D156" s="270"/>
      <c r="E156" s="271"/>
      <c r="F156" s="295"/>
      <c r="G156" s="256"/>
      <c r="H156" s="256"/>
      <c r="I156" s="256"/>
      <c r="J156" s="256"/>
    </row>
    <row r="157" spans="2:10" ht="15.75" customHeight="1" outlineLevel="4" x14ac:dyDescent="0.25">
      <c r="B157" s="506"/>
      <c r="C157" s="508"/>
      <c r="D157" s="509"/>
      <c r="E157" s="544"/>
      <c r="F157" s="545"/>
      <c r="G157" s="510"/>
      <c r="H157" s="510"/>
      <c r="I157" s="510"/>
      <c r="J157" s="510"/>
    </row>
    <row r="158" spans="2:10" ht="15.75" customHeight="1" outlineLevel="4" x14ac:dyDescent="0.25">
      <c r="B158" s="506"/>
      <c r="C158" s="508"/>
      <c r="D158" s="270"/>
      <c r="E158" s="271"/>
      <c r="F158" s="295"/>
      <c r="G158" s="256"/>
      <c r="H158" s="256"/>
      <c r="I158" s="256"/>
      <c r="J158" s="256"/>
    </row>
    <row r="159" spans="2:10" ht="15.75" customHeight="1" outlineLevel="4" x14ac:dyDescent="0.25">
      <c r="B159" s="506"/>
      <c r="C159" s="508"/>
      <c r="D159" s="509"/>
      <c r="E159" s="544"/>
      <c r="F159" s="545"/>
      <c r="G159" s="510"/>
      <c r="H159" s="510"/>
      <c r="I159" s="510"/>
      <c r="J159" s="510"/>
    </row>
    <row r="160" spans="2:10" ht="15.75" customHeight="1" outlineLevel="4" x14ac:dyDescent="0.25">
      <c r="B160" s="506"/>
      <c r="C160" s="508"/>
      <c r="D160" s="270"/>
      <c r="E160" s="271"/>
      <c r="F160" s="295"/>
      <c r="G160" s="256"/>
      <c r="H160" s="256"/>
      <c r="I160" s="256"/>
      <c r="J160" s="256"/>
    </row>
    <row r="161" spans="2:10" ht="15.75" customHeight="1" outlineLevel="4" x14ac:dyDescent="0.25">
      <c r="B161" s="506"/>
      <c r="C161" s="508"/>
      <c r="D161" s="509"/>
      <c r="E161" s="544"/>
      <c r="F161" s="545"/>
      <c r="G161" s="510"/>
      <c r="H161" s="510"/>
      <c r="I161" s="510"/>
      <c r="J161" s="510"/>
    </row>
    <row r="162" spans="2:10" ht="15.75" customHeight="1" outlineLevel="4" x14ac:dyDescent="0.25">
      <c r="B162" s="506"/>
      <c r="C162" s="508"/>
      <c r="D162" s="270"/>
      <c r="E162" s="271"/>
      <c r="F162" s="295"/>
      <c r="G162" s="256"/>
      <c r="H162" s="256"/>
      <c r="I162" s="256"/>
      <c r="J162" s="256"/>
    </row>
    <row r="163" spans="2:10" ht="15.75" customHeight="1" outlineLevel="4" x14ac:dyDescent="0.25">
      <c r="B163" s="506"/>
      <c r="C163" s="508"/>
      <c r="D163" s="509"/>
      <c r="E163" s="544"/>
      <c r="F163" s="545"/>
      <c r="G163" s="510"/>
      <c r="H163" s="510"/>
      <c r="I163" s="510"/>
      <c r="J163" s="510"/>
    </row>
    <row r="164" spans="2:10" ht="15.75" customHeight="1" outlineLevel="4" x14ac:dyDescent="0.25">
      <c r="B164" s="506"/>
      <c r="C164" s="508"/>
      <c r="D164" s="270"/>
      <c r="E164" s="271"/>
      <c r="F164" s="295"/>
      <c r="G164" s="256"/>
      <c r="H164" s="256"/>
      <c r="I164" s="256"/>
      <c r="J164" s="256"/>
    </row>
    <row r="165" spans="2:10" ht="15.75" customHeight="1" outlineLevel="4" x14ac:dyDescent="0.25">
      <c r="B165" s="506"/>
      <c r="C165" s="508"/>
      <c r="D165" s="509"/>
      <c r="E165" s="544"/>
      <c r="F165" s="545"/>
      <c r="G165" s="510"/>
      <c r="H165" s="510"/>
      <c r="I165" s="510"/>
      <c r="J165" s="510"/>
    </row>
    <row r="166" spans="2:10" ht="15.75" customHeight="1" outlineLevel="4" x14ac:dyDescent="0.25">
      <c r="B166" s="506"/>
      <c r="C166" s="508"/>
      <c r="D166" s="270"/>
      <c r="E166" s="271"/>
      <c r="F166" s="295"/>
      <c r="G166" s="256"/>
      <c r="H166" s="256"/>
      <c r="I166" s="256"/>
      <c r="J166" s="256"/>
    </row>
    <row r="167" spans="2:10" ht="15.75" customHeight="1" outlineLevel="4" x14ac:dyDescent="0.25">
      <c r="B167" s="506"/>
      <c r="C167" s="508"/>
      <c r="D167" s="509"/>
      <c r="E167" s="544"/>
      <c r="F167" s="545"/>
      <c r="G167" s="510"/>
      <c r="H167" s="510"/>
      <c r="I167" s="510"/>
      <c r="J167" s="510"/>
    </row>
    <row r="168" spans="2:10" ht="15.75" customHeight="1" outlineLevel="4" x14ac:dyDescent="0.25">
      <c r="B168" s="506"/>
      <c r="C168" s="508"/>
      <c r="D168" s="270"/>
      <c r="E168" s="271"/>
      <c r="F168" s="295"/>
      <c r="G168" s="256"/>
      <c r="H168" s="256"/>
      <c r="I168" s="256"/>
      <c r="J168" s="256"/>
    </row>
    <row r="169" spans="2:10" ht="15.75" customHeight="1" outlineLevel="4" x14ac:dyDescent="0.25">
      <c r="B169" s="506"/>
      <c r="C169" s="508"/>
      <c r="D169" s="509"/>
      <c r="E169" s="544"/>
      <c r="F169" s="545"/>
      <c r="G169" s="510"/>
      <c r="H169" s="510"/>
      <c r="I169" s="510"/>
      <c r="J169" s="510"/>
    </row>
    <row r="170" spans="2:10" ht="15.75" customHeight="1" outlineLevel="4" x14ac:dyDescent="0.25">
      <c r="B170" s="506"/>
      <c r="C170" s="508"/>
      <c r="D170" s="270"/>
      <c r="E170" s="271"/>
      <c r="F170" s="295"/>
      <c r="G170" s="256"/>
      <c r="H170" s="256"/>
      <c r="I170" s="256"/>
      <c r="J170" s="256"/>
    </row>
    <row r="171" spans="2:10" ht="15.75" customHeight="1" outlineLevel="4" x14ac:dyDescent="0.25">
      <c r="B171" s="506"/>
      <c r="C171" s="508"/>
      <c r="D171" s="509"/>
      <c r="E171" s="544"/>
      <c r="F171" s="545"/>
      <c r="G171" s="510"/>
      <c r="H171" s="510"/>
      <c r="I171" s="510"/>
      <c r="J171" s="510"/>
    </row>
    <row r="172" spans="2:10" ht="15.75" customHeight="1" outlineLevel="4" x14ac:dyDescent="0.25">
      <c r="B172" s="506"/>
      <c r="C172" s="508"/>
      <c r="D172" s="270"/>
      <c r="E172" s="271"/>
      <c r="F172" s="295"/>
      <c r="G172" s="256"/>
      <c r="H172" s="256"/>
      <c r="I172" s="256"/>
      <c r="J172" s="256"/>
    </row>
    <row r="173" spans="2:10" ht="15.75" customHeight="1" outlineLevel="4" x14ac:dyDescent="0.25">
      <c r="B173" s="506"/>
      <c r="C173" s="508"/>
      <c r="D173" s="509"/>
      <c r="E173" s="544"/>
      <c r="F173" s="545"/>
      <c r="G173" s="510"/>
      <c r="H173" s="510"/>
      <c r="I173" s="510"/>
      <c r="J173" s="510"/>
    </row>
    <row r="174" spans="2:10" ht="15.75" customHeight="1" outlineLevel="4" x14ac:dyDescent="0.25">
      <c r="B174" s="511" t="s">
        <v>136</v>
      </c>
      <c r="C174" s="512"/>
      <c r="D174" s="272">
        <v>848969</v>
      </c>
      <c r="E174" s="546">
        <v>414911</v>
      </c>
      <c r="F174" s="296"/>
      <c r="G174" s="259"/>
      <c r="H174" s="259"/>
      <c r="I174" s="259"/>
      <c r="J174" s="259"/>
    </row>
    <row r="175" spans="2:10" ht="15.75" customHeight="1" outlineLevel="4" collapsed="1" x14ac:dyDescent="0.25">
      <c r="B175" s="513"/>
      <c r="C175" s="514" t="s">
        <v>112</v>
      </c>
      <c r="D175" s="514">
        <f t="shared" ref="D175:J175" si="1">SUM(D124:D174)</f>
        <v>848969</v>
      </c>
      <c r="E175" s="514">
        <f t="shared" si="1"/>
        <v>1335126</v>
      </c>
      <c r="F175" s="514">
        <f t="shared" si="1"/>
        <v>0</v>
      </c>
      <c r="G175" s="514">
        <f t="shared" si="1"/>
        <v>0</v>
      </c>
      <c r="H175" s="514">
        <f t="shared" si="1"/>
        <v>0</v>
      </c>
      <c r="I175" s="514">
        <f t="shared" si="1"/>
        <v>0</v>
      </c>
      <c r="J175" s="514">
        <f t="shared" si="1"/>
        <v>0</v>
      </c>
    </row>
    <row r="176" spans="2:10" ht="15.75" customHeight="1" outlineLevel="2" x14ac:dyDescent="0.25"/>
    <row r="177" spans="1:10" ht="21.75" customHeight="1" outlineLevel="2" x14ac:dyDescent="0.25">
      <c r="B177" s="235" t="s">
        <v>138</v>
      </c>
      <c r="C177" s="236"/>
      <c r="D177" s="236"/>
      <c r="E177" s="236"/>
      <c r="F177" s="236"/>
      <c r="G177" s="236"/>
      <c r="H177" s="236"/>
      <c r="I177" s="236"/>
      <c r="J177" s="236"/>
    </row>
    <row r="178" spans="1:10" s="41" customFormat="1" ht="15" customHeight="1" outlineLevel="4" x14ac:dyDescent="0.2">
      <c r="A178" s="276"/>
      <c r="D178" s="1331" t="s">
        <v>24</v>
      </c>
      <c r="E178" s="1331"/>
      <c r="F178" s="1331"/>
      <c r="G178" s="1331"/>
      <c r="H178" s="1331"/>
      <c r="I178" s="1331"/>
      <c r="J178" s="1331"/>
    </row>
    <row r="179" spans="1:10" s="41" customFormat="1" ht="15" customHeight="1" outlineLevel="4" x14ac:dyDescent="0.2">
      <c r="A179" s="276"/>
      <c r="D179" s="1331" t="str">
        <f ca="1">CONCATENATE("$, real ",dms_DollarReal)</f>
        <v>$, real June 2026</v>
      </c>
      <c r="E179" s="1331"/>
      <c r="F179" s="1331"/>
      <c r="G179" s="1331"/>
      <c r="H179" s="1331"/>
      <c r="I179" s="1331"/>
      <c r="J179" s="1331"/>
    </row>
    <row r="180" spans="1:10" s="41" customFormat="1" ht="15.75" customHeight="1" outlineLevel="4" x14ac:dyDescent="0.25">
      <c r="A180" s="276"/>
      <c r="B180" s="77"/>
      <c r="C180" s="302"/>
      <c r="D180" s="298" t="str">
        <f ca="1">dms_y1</f>
        <v>2024-25</v>
      </c>
      <c r="E180" s="298" t="str">
        <f ca="1">dms_y2</f>
        <v>2025-26</v>
      </c>
      <c r="F180" s="298" t="str">
        <f ca="1">dms_y3</f>
        <v>2026-27</v>
      </c>
      <c r="G180" s="298" t="str">
        <f ca="1">dms_y4</f>
        <v>2027-28</v>
      </c>
      <c r="H180" s="298" t="str">
        <f ca="1">dms_y5</f>
        <v>2028-29</v>
      </c>
      <c r="I180" s="298" t="str">
        <f ca="1">dms_y6</f>
        <v>2029-30</v>
      </c>
      <c r="J180" s="298" t="str">
        <f ca="1">dms_y7</f>
        <v>2030-31</v>
      </c>
    </row>
    <row r="181" spans="1:10" ht="15.75" customHeight="1" outlineLevel="4" x14ac:dyDescent="0.25">
      <c r="B181" s="506" t="s">
        <v>126</v>
      </c>
      <c r="C181" s="507"/>
      <c r="D181" s="270">
        <v>0</v>
      </c>
      <c r="E181" s="263">
        <v>0</v>
      </c>
      <c r="F181" s="294">
        <v>0</v>
      </c>
      <c r="G181" s="256">
        <v>0</v>
      </c>
      <c r="H181" s="256">
        <v>0</v>
      </c>
      <c r="I181" s="256">
        <v>0</v>
      </c>
      <c r="J181" s="256">
        <v>0</v>
      </c>
    </row>
    <row r="182" spans="1:10" ht="15.75" customHeight="1" outlineLevel="4" x14ac:dyDescent="0.25">
      <c r="B182" s="506" t="s">
        <v>127</v>
      </c>
      <c r="C182" s="508"/>
      <c r="D182" s="509"/>
      <c r="E182" s="544"/>
      <c r="F182" s="545"/>
      <c r="G182" s="510"/>
      <c r="H182" s="510"/>
      <c r="I182" s="510"/>
      <c r="J182" s="510"/>
    </row>
    <row r="183" spans="1:10" ht="15.75" customHeight="1" outlineLevel="4" x14ac:dyDescent="0.25">
      <c r="B183" s="506" t="s">
        <v>128</v>
      </c>
      <c r="C183" s="508"/>
      <c r="D183" s="270"/>
      <c r="E183" s="271"/>
      <c r="F183" s="295"/>
      <c r="G183" s="256"/>
      <c r="H183" s="256"/>
      <c r="I183" s="256"/>
      <c r="J183" s="256"/>
    </row>
    <row r="184" spans="1:10" ht="15.75" customHeight="1" outlineLevel="4" x14ac:dyDescent="0.25">
      <c r="B184" s="506" t="s">
        <v>129</v>
      </c>
      <c r="C184" s="508"/>
      <c r="D184" s="509"/>
      <c r="E184" s="544"/>
      <c r="F184" s="545"/>
      <c r="G184" s="510"/>
      <c r="H184" s="510"/>
      <c r="I184" s="510"/>
      <c r="J184" s="510"/>
    </row>
    <row r="185" spans="1:10" ht="15.75" customHeight="1" outlineLevel="4" x14ac:dyDescent="0.25">
      <c r="B185" s="506" t="s">
        <v>130</v>
      </c>
      <c r="C185" s="508"/>
      <c r="D185" s="270"/>
      <c r="E185" s="271"/>
      <c r="F185" s="295"/>
      <c r="G185" s="256"/>
      <c r="H185" s="256"/>
      <c r="I185" s="256"/>
      <c r="J185" s="256"/>
    </row>
    <row r="186" spans="1:10" ht="15.75" customHeight="1" outlineLevel="4" x14ac:dyDescent="0.25">
      <c r="B186" s="506" t="s">
        <v>131</v>
      </c>
      <c r="C186" s="508"/>
      <c r="D186" s="509"/>
      <c r="E186" s="544"/>
      <c r="F186" s="545"/>
      <c r="G186" s="510"/>
      <c r="H186" s="510"/>
      <c r="I186" s="510"/>
      <c r="J186" s="510"/>
    </row>
    <row r="187" spans="1:10" ht="15.75" customHeight="1" outlineLevel="4" x14ac:dyDescent="0.25">
      <c r="B187" s="506" t="s">
        <v>132</v>
      </c>
      <c r="C187" s="508"/>
      <c r="D187" s="270"/>
      <c r="E187" s="271"/>
      <c r="F187" s="295"/>
      <c r="G187" s="256"/>
      <c r="H187" s="256"/>
      <c r="I187" s="256"/>
      <c r="J187" s="256"/>
    </row>
    <row r="188" spans="1:10" ht="15.75" customHeight="1" outlineLevel="4" x14ac:dyDescent="0.25">
      <c r="B188" s="506"/>
      <c r="C188" s="508"/>
      <c r="D188" s="509"/>
      <c r="E188" s="544"/>
      <c r="F188" s="545"/>
      <c r="G188" s="510"/>
      <c r="H188" s="510"/>
      <c r="I188" s="510"/>
      <c r="J188" s="510"/>
    </row>
    <row r="189" spans="1:10" ht="15.75" customHeight="1" outlineLevel="4" x14ac:dyDescent="0.25">
      <c r="B189" s="506"/>
      <c r="C189" s="508"/>
      <c r="D189" s="270"/>
      <c r="E189" s="271"/>
      <c r="F189" s="295"/>
      <c r="G189" s="256"/>
      <c r="H189" s="256"/>
      <c r="I189" s="256"/>
      <c r="J189" s="256"/>
    </row>
    <row r="190" spans="1:10" ht="15.75" customHeight="1" outlineLevel="4" x14ac:dyDescent="0.25">
      <c r="B190" s="506"/>
      <c r="C190" s="508"/>
      <c r="D190" s="509"/>
      <c r="E190" s="544"/>
      <c r="F190" s="545"/>
      <c r="G190" s="510"/>
      <c r="H190" s="510"/>
      <c r="I190" s="510"/>
      <c r="J190" s="510"/>
    </row>
    <row r="191" spans="1:10" ht="15.75" customHeight="1" outlineLevel="4" x14ac:dyDescent="0.25">
      <c r="B191" s="506"/>
      <c r="C191" s="508"/>
      <c r="D191" s="270"/>
      <c r="E191" s="271"/>
      <c r="F191" s="295"/>
      <c r="G191" s="256"/>
      <c r="H191" s="256"/>
      <c r="I191" s="256"/>
      <c r="J191" s="256"/>
    </row>
    <row r="192" spans="1:10" ht="15.75" customHeight="1" outlineLevel="4" x14ac:dyDescent="0.25">
      <c r="B192" s="506"/>
      <c r="C192" s="508"/>
      <c r="D192" s="509"/>
      <c r="E192" s="544"/>
      <c r="F192" s="545"/>
      <c r="G192" s="510"/>
      <c r="H192" s="510"/>
      <c r="I192" s="510"/>
      <c r="J192" s="510"/>
    </row>
    <row r="193" spans="2:10" ht="15.75" customHeight="1" outlineLevel="4" x14ac:dyDescent="0.25">
      <c r="B193" s="506"/>
      <c r="C193" s="508"/>
      <c r="D193" s="270"/>
      <c r="E193" s="271"/>
      <c r="F193" s="295"/>
      <c r="G193" s="256"/>
      <c r="H193" s="256"/>
      <c r="I193" s="256"/>
      <c r="J193" s="256"/>
    </row>
    <row r="194" spans="2:10" ht="15.75" customHeight="1" outlineLevel="4" x14ac:dyDescent="0.25">
      <c r="B194" s="506"/>
      <c r="C194" s="508"/>
      <c r="D194" s="509"/>
      <c r="E194" s="544"/>
      <c r="F194" s="545"/>
      <c r="G194" s="510"/>
      <c r="H194" s="510"/>
      <c r="I194" s="510"/>
      <c r="J194" s="510"/>
    </row>
    <row r="195" spans="2:10" ht="15.75" customHeight="1" outlineLevel="4" x14ac:dyDescent="0.25">
      <c r="B195" s="506"/>
      <c r="C195" s="508"/>
      <c r="D195" s="270"/>
      <c r="E195" s="271"/>
      <c r="F195" s="295"/>
      <c r="G195" s="256"/>
      <c r="H195" s="256"/>
      <c r="I195" s="256"/>
      <c r="J195" s="256"/>
    </row>
    <row r="196" spans="2:10" ht="15.75" customHeight="1" outlineLevel="4" x14ac:dyDescent="0.25">
      <c r="B196" s="506"/>
      <c r="C196" s="508"/>
      <c r="D196" s="509"/>
      <c r="E196" s="544"/>
      <c r="F196" s="545"/>
      <c r="G196" s="510"/>
      <c r="H196" s="510"/>
      <c r="I196" s="510"/>
      <c r="J196" s="510"/>
    </row>
    <row r="197" spans="2:10" ht="15.75" customHeight="1" outlineLevel="4" x14ac:dyDescent="0.25">
      <c r="B197" s="506"/>
      <c r="C197" s="508"/>
      <c r="D197" s="270"/>
      <c r="E197" s="271"/>
      <c r="F197" s="295"/>
      <c r="G197" s="256"/>
      <c r="H197" s="256"/>
      <c r="I197" s="256"/>
      <c r="J197" s="256"/>
    </row>
    <row r="198" spans="2:10" ht="15.75" customHeight="1" outlineLevel="4" x14ac:dyDescent="0.25">
      <c r="B198" s="506"/>
      <c r="C198" s="508"/>
      <c r="D198" s="509"/>
      <c r="E198" s="544"/>
      <c r="F198" s="545"/>
      <c r="G198" s="510"/>
      <c r="H198" s="510"/>
      <c r="I198" s="510"/>
      <c r="J198" s="510"/>
    </row>
    <row r="199" spans="2:10" ht="15.75" customHeight="1" outlineLevel="4" x14ac:dyDescent="0.25">
      <c r="B199" s="506"/>
      <c r="C199" s="508"/>
      <c r="D199" s="270"/>
      <c r="E199" s="271"/>
      <c r="F199" s="295"/>
      <c r="G199" s="256"/>
      <c r="H199" s="256"/>
      <c r="I199" s="256"/>
      <c r="J199" s="256"/>
    </row>
    <row r="200" spans="2:10" ht="15.75" customHeight="1" outlineLevel="4" x14ac:dyDescent="0.25">
      <c r="B200" s="506"/>
      <c r="C200" s="508"/>
      <c r="D200" s="509"/>
      <c r="E200" s="544"/>
      <c r="F200" s="545"/>
      <c r="G200" s="510"/>
      <c r="H200" s="510"/>
      <c r="I200" s="510"/>
      <c r="J200" s="510"/>
    </row>
    <row r="201" spans="2:10" ht="15.75" customHeight="1" outlineLevel="4" x14ac:dyDescent="0.25">
      <c r="B201" s="506"/>
      <c r="C201" s="508"/>
      <c r="D201" s="270"/>
      <c r="E201" s="271"/>
      <c r="F201" s="295"/>
      <c r="G201" s="256"/>
      <c r="H201" s="256"/>
      <c r="I201" s="256"/>
      <c r="J201" s="256"/>
    </row>
    <row r="202" spans="2:10" ht="15.75" customHeight="1" outlineLevel="4" x14ac:dyDescent="0.25">
      <c r="B202" s="506"/>
      <c r="C202" s="508"/>
      <c r="D202" s="509"/>
      <c r="E202" s="544"/>
      <c r="F202" s="545"/>
      <c r="G202" s="510"/>
      <c r="H202" s="510"/>
      <c r="I202" s="510"/>
      <c r="J202" s="510"/>
    </row>
    <row r="203" spans="2:10" ht="15.75" customHeight="1" outlineLevel="4" x14ac:dyDescent="0.25">
      <c r="B203" s="506"/>
      <c r="C203" s="508"/>
      <c r="D203" s="270"/>
      <c r="E203" s="271"/>
      <c r="F203" s="295"/>
      <c r="G203" s="256"/>
      <c r="H203" s="256"/>
      <c r="I203" s="256"/>
      <c r="J203" s="256"/>
    </row>
    <row r="204" spans="2:10" ht="15.75" customHeight="1" outlineLevel="4" x14ac:dyDescent="0.25">
      <c r="B204" s="506"/>
      <c r="C204" s="508"/>
      <c r="D204" s="509"/>
      <c r="E204" s="544"/>
      <c r="F204" s="545"/>
      <c r="G204" s="510"/>
      <c r="H204" s="510"/>
      <c r="I204" s="510"/>
      <c r="J204" s="510"/>
    </row>
    <row r="205" spans="2:10" ht="15.75" customHeight="1" outlineLevel="4" x14ac:dyDescent="0.25">
      <c r="B205" s="506"/>
      <c r="C205" s="508"/>
      <c r="D205" s="270"/>
      <c r="E205" s="271"/>
      <c r="F205" s="295"/>
      <c r="G205" s="256"/>
      <c r="H205" s="256"/>
      <c r="I205" s="256"/>
      <c r="J205" s="256"/>
    </row>
    <row r="206" spans="2:10" ht="15.75" customHeight="1" outlineLevel="4" x14ac:dyDescent="0.25">
      <c r="B206" s="506"/>
      <c r="C206" s="508"/>
      <c r="D206" s="509"/>
      <c r="E206" s="544"/>
      <c r="F206" s="545"/>
      <c r="G206" s="510"/>
      <c r="H206" s="510"/>
      <c r="I206" s="510"/>
      <c r="J206" s="510"/>
    </row>
    <row r="207" spans="2:10" ht="15.75" customHeight="1" outlineLevel="4" x14ac:dyDescent="0.25">
      <c r="B207" s="506"/>
      <c r="C207" s="508"/>
      <c r="D207" s="270"/>
      <c r="E207" s="271"/>
      <c r="F207" s="295"/>
      <c r="G207" s="256"/>
      <c r="H207" s="256"/>
      <c r="I207" s="256"/>
      <c r="J207" s="256"/>
    </row>
    <row r="208" spans="2:10" ht="15.75" customHeight="1" outlineLevel="4" x14ac:dyDescent="0.25">
      <c r="B208" s="506"/>
      <c r="C208" s="508"/>
      <c r="D208" s="509"/>
      <c r="E208" s="544"/>
      <c r="F208" s="545"/>
      <c r="G208" s="510"/>
      <c r="H208" s="510"/>
      <c r="I208" s="510"/>
      <c r="J208" s="510"/>
    </row>
    <row r="209" spans="2:10" ht="15.75" customHeight="1" outlineLevel="4" x14ac:dyDescent="0.25">
      <c r="B209" s="506"/>
      <c r="C209" s="508"/>
      <c r="D209" s="270"/>
      <c r="E209" s="271"/>
      <c r="F209" s="295"/>
      <c r="G209" s="256"/>
      <c r="H209" s="256"/>
      <c r="I209" s="256"/>
      <c r="J209" s="256"/>
    </row>
    <row r="210" spans="2:10" ht="15.75" customHeight="1" outlineLevel="4" x14ac:dyDescent="0.25">
      <c r="B210" s="506"/>
      <c r="C210" s="508"/>
      <c r="D210" s="509"/>
      <c r="E210" s="544"/>
      <c r="F210" s="545"/>
      <c r="G210" s="510"/>
      <c r="H210" s="510"/>
      <c r="I210" s="510"/>
      <c r="J210" s="510"/>
    </row>
    <row r="211" spans="2:10" ht="15.75" customHeight="1" outlineLevel="4" x14ac:dyDescent="0.25">
      <c r="B211" s="506"/>
      <c r="C211" s="508"/>
      <c r="D211" s="270"/>
      <c r="E211" s="271"/>
      <c r="F211" s="295"/>
      <c r="G211" s="256"/>
      <c r="H211" s="256"/>
      <c r="I211" s="256"/>
      <c r="J211" s="256"/>
    </row>
    <row r="212" spans="2:10" ht="15.75" customHeight="1" outlineLevel="4" x14ac:dyDescent="0.25">
      <c r="B212" s="506"/>
      <c r="C212" s="508"/>
      <c r="D212" s="509"/>
      <c r="E212" s="544"/>
      <c r="F212" s="545"/>
      <c r="G212" s="510"/>
      <c r="H212" s="510"/>
      <c r="I212" s="510"/>
      <c r="J212" s="510"/>
    </row>
    <row r="213" spans="2:10" ht="15.75" customHeight="1" outlineLevel="4" x14ac:dyDescent="0.25">
      <c r="B213" s="506"/>
      <c r="C213" s="508"/>
      <c r="D213" s="270"/>
      <c r="E213" s="271"/>
      <c r="F213" s="295"/>
      <c r="G213" s="256"/>
      <c r="H213" s="256"/>
      <c r="I213" s="256"/>
      <c r="J213" s="256"/>
    </row>
    <row r="214" spans="2:10" ht="15.75" customHeight="1" outlineLevel="4" x14ac:dyDescent="0.25">
      <c r="B214" s="506"/>
      <c r="C214" s="508"/>
      <c r="D214" s="509"/>
      <c r="E214" s="544"/>
      <c r="F214" s="545"/>
      <c r="G214" s="510"/>
      <c r="H214" s="510"/>
      <c r="I214" s="510"/>
      <c r="J214" s="510"/>
    </row>
    <row r="215" spans="2:10" ht="15.75" customHeight="1" outlineLevel="4" x14ac:dyDescent="0.25">
      <c r="B215" s="506"/>
      <c r="C215" s="508"/>
      <c r="D215" s="270"/>
      <c r="E215" s="271"/>
      <c r="F215" s="295"/>
      <c r="G215" s="256"/>
      <c r="H215" s="256"/>
      <c r="I215" s="256"/>
      <c r="J215" s="256"/>
    </row>
    <row r="216" spans="2:10" ht="15.75" customHeight="1" outlineLevel="4" x14ac:dyDescent="0.25">
      <c r="B216" s="506"/>
      <c r="C216" s="508"/>
      <c r="D216" s="509"/>
      <c r="E216" s="544"/>
      <c r="F216" s="545"/>
      <c r="G216" s="510"/>
      <c r="H216" s="510"/>
      <c r="I216" s="510"/>
      <c r="J216" s="510"/>
    </row>
    <row r="217" spans="2:10" ht="15.75" customHeight="1" outlineLevel="4" x14ac:dyDescent="0.25">
      <c r="B217" s="506"/>
      <c r="C217" s="508"/>
      <c r="D217" s="270"/>
      <c r="E217" s="271"/>
      <c r="F217" s="295"/>
      <c r="G217" s="256"/>
      <c r="H217" s="256"/>
      <c r="I217" s="256"/>
      <c r="J217" s="256"/>
    </row>
    <row r="218" spans="2:10" ht="15.75" customHeight="1" outlineLevel="4" x14ac:dyDescent="0.25">
      <c r="B218" s="506"/>
      <c r="C218" s="508"/>
      <c r="D218" s="509"/>
      <c r="E218" s="544"/>
      <c r="F218" s="545"/>
      <c r="G218" s="510"/>
      <c r="H218" s="510"/>
      <c r="I218" s="510"/>
      <c r="J218" s="510"/>
    </row>
    <row r="219" spans="2:10" ht="15.75" customHeight="1" outlineLevel="4" x14ac:dyDescent="0.25">
      <c r="B219" s="506"/>
      <c r="C219" s="508"/>
      <c r="D219" s="270"/>
      <c r="E219" s="271"/>
      <c r="F219" s="295"/>
      <c r="G219" s="256"/>
      <c r="H219" s="256"/>
      <c r="I219" s="256"/>
      <c r="J219" s="256"/>
    </row>
    <row r="220" spans="2:10" ht="15.75" customHeight="1" outlineLevel="4" x14ac:dyDescent="0.25">
      <c r="B220" s="506"/>
      <c r="C220" s="508"/>
      <c r="D220" s="509"/>
      <c r="E220" s="544"/>
      <c r="F220" s="545"/>
      <c r="G220" s="510"/>
      <c r="H220" s="510"/>
      <c r="I220" s="510"/>
      <c r="J220" s="510"/>
    </row>
    <row r="221" spans="2:10" ht="15.75" customHeight="1" outlineLevel="4" x14ac:dyDescent="0.25">
      <c r="B221" s="506"/>
      <c r="C221" s="508"/>
      <c r="D221" s="270"/>
      <c r="E221" s="271"/>
      <c r="F221" s="295"/>
      <c r="G221" s="256"/>
      <c r="H221" s="256"/>
      <c r="I221" s="256"/>
      <c r="J221" s="256"/>
    </row>
    <row r="222" spans="2:10" ht="15.75" customHeight="1" outlineLevel="4" x14ac:dyDescent="0.25">
      <c r="B222" s="506"/>
      <c r="C222" s="508"/>
      <c r="D222" s="509"/>
      <c r="E222" s="544"/>
      <c r="F222" s="545"/>
      <c r="G222" s="510"/>
      <c r="H222" s="510"/>
      <c r="I222" s="510"/>
      <c r="J222" s="510"/>
    </row>
    <row r="223" spans="2:10" ht="15.75" customHeight="1" outlineLevel="4" x14ac:dyDescent="0.25">
      <c r="B223" s="506"/>
      <c r="C223" s="508"/>
      <c r="D223" s="270"/>
      <c r="E223" s="271"/>
      <c r="F223" s="295"/>
      <c r="G223" s="256"/>
      <c r="H223" s="256"/>
      <c r="I223" s="256"/>
      <c r="J223" s="256"/>
    </row>
    <row r="224" spans="2:10" ht="15.75" customHeight="1" outlineLevel="4" x14ac:dyDescent="0.25">
      <c r="B224" s="506"/>
      <c r="C224" s="508"/>
      <c r="D224" s="509"/>
      <c r="E224" s="544"/>
      <c r="F224" s="545"/>
      <c r="G224" s="510"/>
      <c r="H224" s="510"/>
      <c r="I224" s="510"/>
      <c r="J224" s="510"/>
    </row>
    <row r="225" spans="1:10" ht="15.75" customHeight="1" outlineLevel="4" x14ac:dyDescent="0.25">
      <c r="B225" s="506"/>
      <c r="C225" s="508"/>
      <c r="D225" s="270"/>
      <c r="E225" s="271"/>
      <c r="F225" s="295"/>
      <c r="G225" s="256"/>
      <c r="H225" s="256"/>
      <c r="I225" s="256"/>
      <c r="J225" s="256"/>
    </row>
    <row r="226" spans="1:10" ht="15.75" customHeight="1" outlineLevel="4" x14ac:dyDescent="0.25">
      <c r="B226" s="506"/>
      <c r="C226" s="508"/>
      <c r="D226" s="509"/>
      <c r="E226" s="544"/>
      <c r="F226" s="545"/>
      <c r="G226" s="510"/>
      <c r="H226" s="510"/>
      <c r="I226" s="510"/>
      <c r="J226" s="510"/>
    </row>
    <row r="227" spans="1:10" ht="15.75" customHeight="1" outlineLevel="4" x14ac:dyDescent="0.25">
      <c r="B227" s="506"/>
      <c r="C227" s="508"/>
      <c r="D227" s="270"/>
      <c r="E227" s="271"/>
      <c r="F227" s="295"/>
      <c r="G227" s="256"/>
      <c r="H227" s="256"/>
      <c r="I227" s="256"/>
      <c r="J227" s="256"/>
    </row>
    <row r="228" spans="1:10" ht="15.75" customHeight="1" outlineLevel="4" x14ac:dyDescent="0.25">
      <c r="B228" s="506"/>
      <c r="C228" s="508"/>
      <c r="D228" s="509"/>
      <c r="E228" s="544"/>
      <c r="F228" s="545"/>
      <c r="G228" s="510"/>
      <c r="H228" s="510"/>
      <c r="I228" s="510"/>
      <c r="J228" s="510"/>
    </row>
    <row r="229" spans="1:10" ht="15.75" customHeight="1" outlineLevel="4" x14ac:dyDescent="0.25">
      <c r="B229" s="506"/>
      <c r="C229" s="508"/>
      <c r="D229" s="270"/>
      <c r="E229" s="271"/>
      <c r="F229" s="295"/>
      <c r="G229" s="256"/>
      <c r="H229" s="256"/>
      <c r="I229" s="256"/>
      <c r="J229" s="256"/>
    </row>
    <row r="230" spans="1:10" ht="15.75" customHeight="1" outlineLevel="4" x14ac:dyDescent="0.25">
      <c r="B230" s="506"/>
      <c r="C230" s="508"/>
      <c r="D230" s="509"/>
      <c r="E230" s="544"/>
      <c r="F230" s="545"/>
      <c r="G230" s="510"/>
      <c r="H230" s="510"/>
      <c r="I230" s="510"/>
      <c r="J230" s="510"/>
    </row>
    <row r="231" spans="1:10" ht="15.75" customHeight="1" outlineLevel="4" x14ac:dyDescent="0.25">
      <c r="B231" s="511" t="s">
        <v>136</v>
      </c>
      <c r="C231" s="512"/>
      <c r="D231" s="272"/>
      <c r="E231" s="546"/>
      <c r="F231" s="296"/>
      <c r="G231" s="259"/>
      <c r="H231" s="259"/>
      <c r="I231" s="259"/>
      <c r="J231" s="259"/>
    </row>
    <row r="232" spans="1:10" ht="15.75" customHeight="1" outlineLevel="4" collapsed="1" x14ac:dyDescent="0.25">
      <c r="B232" s="513"/>
      <c r="C232" s="514" t="s">
        <v>112</v>
      </c>
      <c r="D232" s="514">
        <f t="shared" ref="D232:J232" si="2">SUM(D181:D231)</f>
        <v>0</v>
      </c>
      <c r="E232" s="514">
        <f t="shared" si="2"/>
        <v>0</v>
      </c>
      <c r="F232" s="514">
        <f t="shared" si="2"/>
        <v>0</v>
      </c>
      <c r="G232" s="514">
        <f t="shared" si="2"/>
        <v>0</v>
      </c>
      <c r="H232" s="514">
        <f t="shared" si="2"/>
        <v>0</v>
      </c>
      <c r="I232" s="514">
        <f t="shared" si="2"/>
        <v>0</v>
      </c>
      <c r="J232" s="514">
        <f t="shared" si="2"/>
        <v>0</v>
      </c>
    </row>
    <row r="233" spans="1:10" ht="15.75" customHeight="1" outlineLevel="2" x14ac:dyDescent="0.25">
      <c r="B233" s="74"/>
    </row>
    <row r="234" spans="1:10" ht="21.75" customHeight="1" outlineLevel="2" x14ac:dyDescent="0.25">
      <c r="B234" s="235" t="s">
        <v>139</v>
      </c>
      <c r="C234" s="236"/>
      <c r="D234" s="236"/>
      <c r="E234" s="236"/>
      <c r="F234" s="236"/>
      <c r="G234" s="236"/>
      <c r="H234" s="236"/>
      <c r="I234" s="236"/>
      <c r="J234" s="236"/>
    </row>
    <row r="235" spans="1:10" s="41" customFormat="1" ht="15" customHeight="1" outlineLevel="4" x14ac:dyDescent="0.2">
      <c r="A235" s="276"/>
      <c r="D235" s="1331" t="s">
        <v>24</v>
      </c>
      <c r="E235" s="1331"/>
      <c r="F235" s="1331"/>
      <c r="G235" s="1331"/>
      <c r="H235" s="1331"/>
      <c r="I235" s="1331"/>
      <c r="J235" s="1331"/>
    </row>
    <row r="236" spans="1:10" s="41" customFormat="1" ht="15" customHeight="1" outlineLevel="4" x14ac:dyDescent="0.2">
      <c r="A236" s="276"/>
      <c r="D236" s="1331" t="str">
        <f ca="1">CONCATENATE("$, real ",dms_DollarReal)</f>
        <v>$, real June 2026</v>
      </c>
      <c r="E236" s="1331"/>
      <c r="F236" s="1331"/>
      <c r="G236" s="1331"/>
      <c r="H236" s="1331"/>
      <c r="I236" s="1331"/>
      <c r="J236" s="1331"/>
    </row>
    <row r="237" spans="1:10" s="41" customFormat="1" ht="15.75" customHeight="1" outlineLevel="4" x14ac:dyDescent="0.25">
      <c r="A237" s="276"/>
      <c r="B237" s="77"/>
      <c r="C237" s="302"/>
      <c r="D237" s="298" t="str">
        <f ca="1">dms_y1</f>
        <v>2024-25</v>
      </c>
      <c r="E237" s="298" t="str">
        <f ca="1">dms_y2</f>
        <v>2025-26</v>
      </c>
      <c r="F237" s="298" t="str">
        <f ca="1">dms_y3</f>
        <v>2026-27</v>
      </c>
      <c r="G237" s="298" t="str">
        <f ca="1">dms_y4</f>
        <v>2027-28</v>
      </c>
      <c r="H237" s="298" t="str">
        <f ca="1">dms_y5</f>
        <v>2028-29</v>
      </c>
      <c r="I237" s="298" t="str">
        <f ca="1">dms_y6</f>
        <v>2029-30</v>
      </c>
      <c r="J237" s="298" t="str">
        <f ca="1">dms_y7</f>
        <v>2030-31</v>
      </c>
    </row>
    <row r="238" spans="1:10" ht="15.75" customHeight="1" outlineLevel="4" x14ac:dyDescent="0.25">
      <c r="B238" s="506" t="s">
        <v>126</v>
      </c>
      <c r="C238" s="507"/>
      <c r="D238" s="270">
        <v>0</v>
      </c>
      <c r="E238" s="263">
        <v>0</v>
      </c>
      <c r="F238" s="294">
        <v>0</v>
      </c>
      <c r="G238" s="256">
        <v>0</v>
      </c>
      <c r="H238" s="256">
        <v>0</v>
      </c>
      <c r="I238" s="256">
        <v>0</v>
      </c>
      <c r="J238" s="256">
        <v>0</v>
      </c>
    </row>
    <row r="239" spans="1:10" ht="15.75" customHeight="1" outlineLevel="4" x14ac:dyDescent="0.25">
      <c r="B239" s="506" t="s">
        <v>127</v>
      </c>
      <c r="C239" s="508"/>
      <c r="D239" s="509"/>
      <c r="E239" s="544"/>
      <c r="F239" s="545"/>
      <c r="G239" s="510"/>
      <c r="H239" s="510"/>
      <c r="I239" s="510"/>
      <c r="J239" s="510"/>
    </row>
    <row r="240" spans="1:10" ht="15.75" customHeight="1" outlineLevel="4" x14ac:dyDescent="0.25">
      <c r="B240" s="506" t="s">
        <v>128</v>
      </c>
      <c r="C240" s="508"/>
      <c r="D240" s="270"/>
      <c r="E240" s="271"/>
      <c r="F240" s="295"/>
      <c r="G240" s="256"/>
      <c r="H240" s="256"/>
      <c r="I240" s="256"/>
      <c r="J240" s="256"/>
    </row>
    <row r="241" spans="2:10" ht="15.75" customHeight="1" outlineLevel="4" x14ac:dyDescent="0.25">
      <c r="B241" s="506" t="s">
        <v>129</v>
      </c>
      <c r="C241" s="508"/>
      <c r="D241" s="509"/>
      <c r="E241" s="544"/>
      <c r="F241" s="545"/>
      <c r="G241" s="510"/>
      <c r="H241" s="510"/>
      <c r="I241" s="510"/>
      <c r="J241" s="510"/>
    </row>
    <row r="242" spans="2:10" ht="15.75" customHeight="1" outlineLevel="4" x14ac:dyDescent="0.25">
      <c r="B242" s="506" t="s">
        <v>130</v>
      </c>
      <c r="C242" s="508"/>
      <c r="D242" s="270"/>
      <c r="E242" s="271"/>
      <c r="F242" s="295"/>
      <c r="G242" s="256"/>
      <c r="H242" s="256"/>
      <c r="I242" s="256"/>
      <c r="J242" s="256"/>
    </row>
    <row r="243" spans="2:10" ht="15.75" customHeight="1" outlineLevel="4" x14ac:dyDescent="0.25">
      <c r="B243" s="506" t="s">
        <v>131</v>
      </c>
      <c r="C243" s="508"/>
      <c r="D243" s="509"/>
      <c r="E243" s="544"/>
      <c r="F243" s="545"/>
      <c r="G243" s="510"/>
      <c r="H243" s="510"/>
      <c r="I243" s="510"/>
      <c r="J243" s="510"/>
    </row>
    <row r="244" spans="2:10" ht="15.75" customHeight="1" outlineLevel="4" x14ac:dyDescent="0.25">
      <c r="B244" s="506" t="s">
        <v>132</v>
      </c>
      <c r="C244" s="508"/>
      <c r="D244" s="270"/>
      <c r="E244" s="271"/>
      <c r="F244" s="295"/>
      <c r="G244" s="256"/>
      <c r="H244" s="256"/>
      <c r="I244" s="256"/>
      <c r="J244" s="256"/>
    </row>
    <row r="245" spans="2:10" ht="15.75" customHeight="1" outlineLevel="4" x14ac:dyDescent="0.25">
      <c r="B245" s="506"/>
      <c r="C245" s="508"/>
      <c r="D245" s="509"/>
      <c r="E245" s="544"/>
      <c r="F245" s="545"/>
      <c r="G245" s="510"/>
      <c r="H245" s="510"/>
      <c r="I245" s="510"/>
      <c r="J245" s="510"/>
    </row>
    <row r="246" spans="2:10" ht="15.75" customHeight="1" outlineLevel="4" x14ac:dyDescent="0.25">
      <c r="B246" s="506"/>
      <c r="C246" s="508"/>
      <c r="D246" s="270"/>
      <c r="E246" s="271"/>
      <c r="F246" s="295"/>
      <c r="G246" s="256"/>
      <c r="H246" s="256"/>
      <c r="I246" s="256"/>
      <c r="J246" s="256"/>
    </row>
    <row r="247" spans="2:10" ht="15.75" customHeight="1" outlineLevel="4" x14ac:dyDescent="0.25">
      <c r="B247" s="506"/>
      <c r="C247" s="508"/>
      <c r="D247" s="509"/>
      <c r="E247" s="544"/>
      <c r="F247" s="545"/>
      <c r="G247" s="510"/>
      <c r="H247" s="510"/>
      <c r="I247" s="510"/>
      <c r="J247" s="510"/>
    </row>
    <row r="248" spans="2:10" ht="15.75" customHeight="1" outlineLevel="4" x14ac:dyDescent="0.25">
      <c r="B248" s="506"/>
      <c r="C248" s="508"/>
      <c r="D248" s="270"/>
      <c r="E248" s="271"/>
      <c r="F248" s="295"/>
      <c r="G248" s="256"/>
      <c r="H248" s="256"/>
      <c r="I248" s="256"/>
      <c r="J248" s="256"/>
    </row>
    <row r="249" spans="2:10" ht="15.75" customHeight="1" outlineLevel="4" x14ac:dyDescent="0.25">
      <c r="B249" s="506"/>
      <c r="C249" s="508"/>
      <c r="D249" s="509"/>
      <c r="E249" s="544"/>
      <c r="F249" s="545"/>
      <c r="G249" s="510"/>
      <c r="H249" s="510"/>
      <c r="I249" s="510"/>
      <c r="J249" s="510"/>
    </row>
    <row r="250" spans="2:10" ht="15.75" customHeight="1" outlineLevel="4" x14ac:dyDescent="0.25">
      <c r="B250" s="506"/>
      <c r="C250" s="508"/>
      <c r="D250" s="270"/>
      <c r="E250" s="271"/>
      <c r="F250" s="295"/>
      <c r="G250" s="256"/>
      <c r="H250" s="256"/>
      <c r="I250" s="256"/>
      <c r="J250" s="256"/>
    </row>
    <row r="251" spans="2:10" ht="15.75" customHeight="1" outlineLevel="4" x14ac:dyDescent="0.25">
      <c r="B251" s="506"/>
      <c r="C251" s="508"/>
      <c r="D251" s="509"/>
      <c r="E251" s="544"/>
      <c r="F251" s="545"/>
      <c r="G251" s="510"/>
      <c r="H251" s="510"/>
      <c r="I251" s="510"/>
      <c r="J251" s="510"/>
    </row>
    <row r="252" spans="2:10" ht="15.75" customHeight="1" outlineLevel="4" x14ac:dyDescent="0.25">
      <c r="B252" s="506"/>
      <c r="C252" s="508"/>
      <c r="D252" s="270"/>
      <c r="E252" s="271"/>
      <c r="F252" s="295"/>
      <c r="G252" s="256"/>
      <c r="H252" s="256"/>
      <c r="I252" s="256"/>
      <c r="J252" s="256"/>
    </row>
    <row r="253" spans="2:10" ht="15.75" customHeight="1" outlineLevel="4" x14ac:dyDescent="0.25">
      <c r="B253" s="506"/>
      <c r="C253" s="508"/>
      <c r="D253" s="509"/>
      <c r="E253" s="544"/>
      <c r="F253" s="545"/>
      <c r="G253" s="510"/>
      <c r="H253" s="510"/>
      <c r="I253" s="510"/>
      <c r="J253" s="510"/>
    </row>
    <row r="254" spans="2:10" ht="15.75" customHeight="1" outlineLevel="4" x14ac:dyDescent="0.25">
      <c r="B254" s="506"/>
      <c r="C254" s="508"/>
      <c r="D254" s="270"/>
      <c r="E254" s="271"/>
      <c r="F254" s="295"/>
      <c r="G254" s="256"/>
      <c r="H254" s="256"/>
      <c r="I254" s="256"/>
      <c r="J254" s="256"/>
    </row>
    <row r="255" spans="2:10" ht="15.75" customHeight="1" outlineLevel="4" x14ac:dyDescent="0.25">
      <c r="B255" s="506"/>
      <c r="C255" s="508"/>
      <c r="D255" s="509"/>
      <c r="E255" s="544"/>
      <c r="F255" s="545"/>
      <c r="G255" s="510"/>
      <c r="H255" s="510"/>
      <c r="I255" s="510"/>
      <c r="J255" s="510"/>
    </row>
    <row r="256" spans="2:10" ht="15.75" customHeight="1" outlineLevel="4" x14ac:dyDescent="0.25">
      <c r="B256" s="506"/>
      <c r="C256" s="508"/>
      <c r="D256" s="270"/>
      <c r="E256" s="271"/>
      <c r="F256" s="295"/>
      <c r="G256" s="256"/>
      <c r="H256" s="256"/>
      <c r="I256" s="256"/>
      <c r="J256" s="256"/>
    </row>
    <row r="257" spans="2:10" ht="15.75" customHeight="1" outlineLevel="4" x14ac:dyDescent="0.25">
      <c r="B257" s="506"/>
      <c r="C257" s="508"/>
      <c r="D257" s="509"/>
      <c r="E257" s="544"/>
      <c r="F257" s="545"/>
      <c r="G257" s="510"/>
      <c r="H257" s="510"/>
      <c r="I257" s="510"/>
      <c r="J257" s="510"/>
    </row>
    <row r="258" spans="2:10" ht="15.75" customHeight="1" outlineLevel="4" x14ac:dyDescent="0.25">
      <c r="B258" s="506"/>
      <c r="C258" s="508"/>
      <c r="D258" s="270"/>
      <c r="E258" s="271"/>
      <c r="F258" s="295"/>
      <c r="G258" s="256"/>
      <c r="H258" s="256"/>
      <c r="I258" s="256"/>
      <c r="J258" s="256"/>
    </row>
    <row r="259" spans="2:10" ht="15.75" customHeight="1" outlineLevel="4" x14ac:dyDescent="0.25">
      <c r="B259" s="506"/>
      <c r="C259" s="508"/>
      <c r="D259" s="509"/>
      <c r="E259" s="544"/>
      <c r="F259" s="545"/>
      <c r="G259" s="510"/>
      <c r="H259" s="510"/>
      <c r="I259" s="510"/>
      <c r="J259" s="510"/>
    </row>
    <row r="260" spans="2:10" ht="15.75" customHeight="1" outlineLevel="4" x14ac:dyDescent="0.25">
      <c r="B260" s="506"/>
      <c r="C260" s="508"/>
      <c r="D260" s="270"/>
      <c r="E260" s="271"/>
      <c r="F260" s="295"/>
      <c r="G260" s="256"/>
      <c r="H260" s="256"/>
      <c r="I260" s="256"/>
      <c r="J260" s="256"/>
    </row>
    <row r="261" spans="2:10" ht="15.75" customHeight="1" outlineLevel="4" x14ac:dyDescent="0.25">
      <c r="B261" s="506"/>
      <c r="C261" s="508"/>
      <c r="D261" s="509"/>
      <c r="E261" s="544"/>
      <c r="F261" s="545"/>
      <c r="G261" s="510"/>
      <c r="H261" s="510"/>
      <c r="I261" s="510"/>
      <c r="J261" s="510"/>
    </row>
    <row r="262" spans="2:10" ht="15.75" customHeight="1" outlineLevel="4" x14ac:dyDescent="0.25">
      <c r="B262" s="506"/>
      <c r="C262" s="508"/>
      <c r="D262" s="270"/>
      <c r="E262" s="271"/>
      <c r="F262" s="295"/>
      <c r="G262" s="256"/>
      <c r="H262" s="256"/>
      <c r="I262" s="256"/>
      <c r="J262" s="256"/>
    </row>
    <row r="263" spans="2:10" ht="15.75" customHeight="1" outlineLevel="4" x14ac:dyDescent="0.25">
      <c r="B263" s="506"/>
      <c r="C263" s="508"/>
      <c r="D263" s="509"/>
      <c r="E263" s="544"/>
      <c r="F263" s="545"/>
      <c r="G263" s="510"/>
      <c r="H263" s="510"/>
      <c r="I263" s="510"/>
      <c r="J263" s="510"/>
    </row>
    <row r="264" spans="2:10" ht="15.75" customHeight="1" outlineLevel="4" x14ac:dyDescent="0.25">
      <c r="B264" s="506"/>
      <c r="C264" s="508"/>
      <c r="D264" s="270"/>
      <c r="E264" s="271"/>
      <c r="F264" s="295"/>
      <c r="G264" s="256"/>
      <c r="H264" s="256"/>
      <c r="I264" s="256"/>
      <c r="J264" s="256"/>
    </row>
    <row r="265" spans="2:10" ht="15.75" customHeight="1" outlineLevel="4" x14ac:dyDescent="0.25">
      <c r="B265" s="506"/>
      <c r="C265" s="508"/>
      <c r="D265" s="509"/>
      <c r="E265" s="544"/>
      <c r="F265" s="545"/>
      <c r="G265" s="510"/>
      <c r="H265" s="510"/>
      <c r="I265" s="510"/>
      <c r="J265" s="510"/>
    </row>
    <row r="266" spans="2:10" ht="15.75" customHeight="1" outlineLevel="4" x14ac:dyDescent="0.25">
      <c r="B266" s="506"/>
      <c r="C266" s="508"/>
      <c r="D266" s="270"/>
      <c r="E266" s="271"/>
      <c r="F266" s="295"/>
      <c r="G266" s="256"/>
      <c r="H266" s="256"/>
      <c r="I266" s="256"/>
      <c r="J266" s="256"/>
    </row>
    <row r="267" spans="2:10" ht="15.75" customHeight="1" outlineLevel="4" x14ac:dyDescent="0.25">
      <c r="B267" s="506"/>
      <c r="C267" s="508"/>
      <c r="D267" s="509"/>
      <c r="E267" s="544"/>
      <c r="F267" s="545"/>
      <c r="G267" s="510"/>
      <c r="H267" s="510"/>
      <c r="I267" s="510"/>
      <c r="J267" s="510"/>
    </row>
    <row r="268" spans="2:10" ht="15.75" customHeight="1" outlineLevel="4" x14ac:dyDescent="0.25">
      <c r="B268" s="506"/>
      <c r="C268" s="508"/>
      <c r="D268" s="270"/>
      <c r="E268" s="271"/>
      <c r="F268" s="295"/>
      <c r="G268" s="256"/>
      <c r="H268" s="256"/>
      <c r="I268" s="256"/>
      <c r="J268" s="256"/>
    </row>
    <row r="269" spans="2:10" ht="15.75" customHeight="1" outlineLevel="4" x14ac:dyDescent="0.25">
      <c r="B269" s="506"/>
      <c r="C269" s="508"/>
      <c r="D269" s="509"/>
      <c r="E269" s="544"/>
      <c r="F269" s="545"/>
      <c r="G269" s="510"/>
      <c r="H269" s="510"/>
      <c r="I269" s="510"/>
      <c r="J269" s="510"/>
    </row>
    <row r="270" spans="2:10" ht="15.75" customHeight="1" outlineLevel="4" x14ac:dyDescent="0.25">
      <c r="B270" s="506"/>
      <c r="C270" s="508"/>
      <c r="D270" s="270"/>
      <c r="E270" s="271"/>
      <c r="F270" s="295"/>
      <c r="G270" s="256"/>
      <c r="H270" s="256"/>
      <c r="I270" s="256"/>
      <c r="J270" s="256"/>
    </row>
    <row r="271" spans="2:10" ht="15.75" customHeight="1" outlineLevel="4" x14ac:dyDescent="0.25">
      <c r="B271" s="506"/>
      <c r="C271" s="508"/>
      <c r="D271" s="509"/>
      <c r="E271" s="544"/>
      <c r="F271" s="545"/>
      <c r="G271" s="510"/>
      <c r="H271" s="510"/>
      <c r="I271" s="510"/>
      <c r="J271" s="510"/>
    </row>
    <row r="272" spans="2:10" ht="15.75" customHeight="1" outlineLevel="4" x14ac:dyDescent="0.25">
      <c r="B272" s="506"/>
      <c r="C272" s="508"/>
      <c r="D272" s="270"/>
      <c r="E272" s="271"/>
      <c r="F272" s="295"/>
      <c r="G272" s="256"/>
      <c r="H272" s="256"/>
      <c r="I272" s="256"/>
      <c r="J272" s="256"/>
    </row>
    <row r="273" spans="2:10" ht="15.75" customHeight="1" outlineLevel="4" x14ac:dyDescent="0.25">
      <c r="B273" s="506"/>
      <c r="C273" s="508"/>
      <c r="D273" s="509"/>
      <c r="E273" s="544"/>
      <c r="F273" s="545"/>
      <c r="G273" s="510"/>
      <c r="H273" s="510"/>
      <c r="I273" s="510"/>
      <c r="J273" s="510"/>
    </row>
    <row r="274" spans="2:10" ht="15.75" customHeight="1" outlineLevel="4" x14ac:dyDescent="0.25">
      <c r="B274" s="506"/>
      <c r="C274" s="508"/>
      <c r="D274" s="270"/>
      <c r="E274" s="271"/>
      <c r="F274" s="295"/>
      <c r="G274" s="256"/>
      <c r="H274" s="256"/>
      <c r="I274" s="256"/>
      <c r="J274" s="256"/>
    </row>
    <row r="275" spans="2:10" ht="15.75" customHeight="1" outlineLevel="4" x14ac:dyDescent="0.25">
      <c r="B275" s="506"/>
      <c r="C275" s="508"/>
      <c r="D275" s="509"/>
      <c r="E275" s="544"/>
      <c r="F275" s="545"/>
      <c r="G275" s="510"/>
      <c r="H275" s="510"/>
      <c r="I275" s="510"/>
      <c r="J275" s="510"/>
    </row>
    <row r="276" spans="2:10" ht="15.75" customHeight="1" outlineLevel="4" x14ac:dyDescent="0.25">
      <c r="B276" s="506"/>
      <c r="C276" s="508"/>
      <c r="D276" s="270"/>
      <c r="E276" s="271"/>
      <c r="F276" s="295"/>
      <c r="G276" s="256"/>
      <c r="H276" s="256"/>
      <c r="I276" s="256"/>
      <c r="J276" s="256"/>
    </row>
    <row r="277" spans="2:10" ht="15.75" customHeight="1" outlineLevel="4" x14ac:dyDescent="0.25">
      <c r="B277" s="506"/>
      <c r="C277" s="508"/>
      <c r="D277" s="509"/>
      <c r="E277" s="544"/>
      <c r="F277" s="545"/>
      <c r="G277" s="510"/>
      <c r="H277" s="510"/>
      <c r="I277" s="510"/>
      <c r="J277" s="510"/>
    </row>
    <row r="278" spans="2:10" ht="15.75" customHeight="1" outlineLevel="4" x14ac:dyDescent="0.25">
      <c r="B278" s="506"/>
      <c r="C278" s="508"/>
      <c r="D278" s="270"/>
      <c r="E278" s="271"/>
      <c r="F278" s="295"/>
      <c r="G278" s="256"/>
      <c r="H278" s="256"/>
      <c r="I278" s="256"/>
      <c r="J278" s="256"/>
    </row>
    <row r="279" spans="2:10" ht="15.75" customHeight="1" outlineLevel="4" x14ac:dyDescent="0.25">
      <c r="B279" s="506"/>
      <c r="C279" s="508"/>
      <c r="D279" s="509"/>
      <c r="E279" s="544"/>
      <c r="F279" s="545"/>
      <c r="G279" s="510"/>
      <c r="H279" s="510"/>
      <c r="I279" s="510"/>
      <c r="J279" s="510"/>
    </row>
    <row r="280" spans="2:10" ht="15.75" customHeight="1" outlineLevel="4" x14ac:dyDescent="0.25">
      <c r="B280" s="506"/>
      <c r="C280" s="508"/>
      <c r="D280" s="270"/>
      <c r="E280" s="271"/>
      <c r="F280" s="295"/>
      <c r="G280" s="256"/>
      <c r="H280" s="256"/>
      <c r="I280" s="256"/>
      <c r="J280" s="256"/>
    </row>
    <row r="281" spans="2:10" ht="15.75" customHeight="1" outlineLevel="4" x14ac:dyDescent="0.25">
      <c r="B281" s="506"/>
      <c r="C281" s="508"/>
      <c r="D281" s="509"/>
      <c r="E281" s="544"/>
      <c r="F281" s="545"/>
      <c r="G281" s="510"/>
      <c r="H281" s="510"/>
      <c r="I281" s="510"/>
      <c r="J281" s="510"/>
    </row>
    <row r="282" spans="2:10" ht="15.75" customHeight="1" outlineLevel="4" x14ac:dyDescent="0.25">
      <c r="B282" s="506"/>
      <c r="C282" s="508"/>
      <c r="D282" s="270"/>
      <c r="E282" s="271"/>
      <c r="F282" s="295"/>
      <c r="G282" s="256"/>
      <c r="H282" s="256"/>
      <c r="I282" s="256"/>
      <c r="J282" s="256"/>
    </row>
    <row r="283" spans="2:10" ht="15.75" customHeight="1" outlineLevel="4" x14ac:dyDescent="0.25">
      <c r="B283" s="506"/>
      <c r="C283" s="508"/>
      <c r="D283" s="509"/>
      <c r="E283" s="544"/>
      <c r="F283" s="545"/>
      <c r="G283" s="510"/>
      <c r="H283" s="510"/>
      <c r="I283" s="510"/>
      <c r="J283" s="510"/>
    </row>
    <row r="284" spans="2:10" ht="15.75" customHeight="1" outlineLevel="4" x14ac:dyDescent="0.25">
      <c r="B284" s="506"/>
      <c r="C284" s="508"/>
      <c r="D284" s="270"/>
      <c r="E284" s="271"/>
      <c r="F284" s="295"/>
      <c r="G284" s="256"/>
      <c r="H284" s="256"/>
      <c r="I284" s="256"/>
      <c r="J284" s="256"/>
    </row>
    <row r="285" spans="2:10" ht="15.75" customHeight="1" outlineLevel="4" x14ac:dyDescent="0.25">
      <c r="B285" s="506"/>
      <c r="C285" s="508"/>
      <c r="D285" s="509"/>
      <c r="E285" s="544"/>
      <c r="F285" s="545"/>
      <c r="G285" s="510"/>
      <c r="H285" s="510"/>
      <c r="I285" s="510"/>
      <c r="J285" s="510"/>
    </row>
    <row r="286" spans="2:10" ht="15.75" customHeight="1" outlineLevel="4" x14ac:dyDescent="0.25">
      <c r="B286" s="506"/>
      <c r="C286" s="508"/>
      <c r="D286" s="270"/>
      <c r="E286" s="271"/>
      <c r="F286" s="295"/>
      <c r="G286" s="256"/>
      <c r="H286" s="256"/>
      <c r="I286" s="256"/>
      <c r="J286" s="256"/>
    </row>
    <row r="287" spans="2:10" ht="15.75" customHeight="1" outlineLevel="4" x14ac:dyDescent="0.25">
      <c r="B287" s="506"/>
      <c r="C287" s="508"/>
      <c r="D287" s="509"/>
      <c r="E287" s="544"/>
      <c r="F287" s="545"/>
      <c r="G287" s="510"/>
      <c r="H287" s="510"/>
      <c r="I287" s="510"/>
      <c r="J287" s="510"/>
    </row>
    <row r="288" spans="2:10" ht="15.75" customHeight="1" outlineLevel="4" x14ac:dyDescent="0.25">
      <c r="B288" s="511" t="s">
        <v>136</v>
      </c>
      <c r="C288" s="512"/>
      <c r="D288" s="272"/>
      <c r="E288" s="546"/>
      <c r="F288" s="296"/>
      <c r="G288" s="259"/>
      <c r="H288" s="259"/>
      <c r="I288" s="259"/>
      <c r="J288" s="259"/>
    </row>
    <row r="289" spans="1:10" ht="15.75" customHeight="1" outlineLevel="4" collapsed="1" x14ac:dyDescent="0.25">
      <c r="B289" s="513"/>
      <c r="C289" s="514" t="s">
        <v>112</v>
      </c>
      <c r="D289" s="514">
        <f t="shared" ref="D289:J289" si="3">SUM(D238:D288)</f>
        <v>0</v>
      </c>
      <c r="E289" s="514">
        <f t="shared" si="3"/>
        <v>0</v>
      </c>
      <c r="F289" s="514">
        <f t="shared" si="3"/>
        <v>0</v>
      </c>
      <c r="G289" s="514">
        <f t="shared" si="3"/>
        <v>0</v>
      </c>
      <c r="H289" s="514">
        <f t="shared" si="3"/>
        <v>0</v>
      </c>
      <c r="I289" s="514">
        <f t="shared" si="3"/>
        <v>0</v>
      </c>
      <c r="J289" s="514">
        <f t="shared" si="3"/>
        <v>0</v>
      </c>
    </row>
    <row r="290" spans="1:10" ht="15.75" customHeight="1" outlineLevel="2" x14ac:dyDescent="0.25">
      <c r="B290" s="74"/>
    </row>
    <row r="291" spans="1:10" ht="21.75" customHeight="1" outlineLevel="2" x14ac:dyDescent="0.25">
      <c r="B291" s="235" t="s">
        <v>140</v>
      </c>
      <c r="C291" s="236"/>
      <c r="D291" s="236"/>
      <c r="E291" s="236"/>
      <c r="F291" s="236"/>
      <c r="G291" s="236"/>
      <c r="H291" s="236"/>
      <c r="I291" s="236"/>
      <c r="J291" s="236"/>
    </row>
    <row r="292" spans="1:10" s="41" customFormat="1" ht="15" customHeight="1" outlineLevel="4" x14ac:dyDescent="0.2">
      <c r="A292" s="276"/>
      <c r="D292" s="1331" t="s">
        <v>24</v>
      </c>
      <c r="E292" s="1331"/>
      <c r="F292" s="1331"/>
      <c r="G292" s="1331"/>
      <c r="H292" s="1331"/>
      <c r="I292" s="1331"/>
      <c r="J292" s="1331"/>
    </row>
    <row r="293" spans="1:10" s="41" customFormat="1" ht="15" customHeight="1" outlineLevel="4" x14ac:dyDescent="0.2">
      <c r="A293" s="276"/>
      <c r="D293" s="1331" t="str">
        <f ca="1">CONCATENATE("$, real ",dms_DollarReal)</f>
        <v>$, real June 2026</v>
      </c>
      <c r="E293" s="1331"/>
      <c r="F293" s="1331"/>
      <c r="G293" s="1331"/>
      <c r="H293" s="1331"/>
      <c r="I293" s="1331"/>
      <c r="J293" s="1331"/>
    </row>
    <row r="294" spans="1:10" s="41" customFormat="1" ht="15.75" customHeight="1" outlineLevel="4" x14ac:dyDescent="0.25">
      <c r="A294" s="276"/>
      <c r="B294" s="77"/>
      <c r="C294" s="302"/>
      <c r="D294" s="298" t="str">
        <f ca="1">dms_y1</f>
        <v>2024-25</v>
      </c>
      <c r="E294" s="298" t="str">
        <f ca="1">dms_y2</f>
        <v>2025-26</v>
      </c>
      <c r="F294" s="298" t="str">
        <f ca="1">dms_y3</f>
        <v>2026-27</v>
      </c>
      <c r="G294" s="298" t="str">
        <f ca="1">dms_y4</f>
        <v>2027-28</v>
      </c>
      <c r="H294" s="298" t="str">
        <f ca="1">dms_y5</f>
        <v>2028-29</v>
      </c>
      <c r="I294" s="298" t="str">
        <f ca="1">dms_y6</f>
        <v>2029-30</v>
      </c>
      <c r="J294" s="298" t="str">
        <f ca="1">dms_y7</f>
        <v>2030-31</v>
      </c>
    </row>
    <row r="295" spans="1:10" ht="15.75" customHeight="1" outlineLevel="4" x14ac:dyDescent="0.25">
      <c r="B295" s="511" t="s">
        <v>112</v>
      </c>
      <c r="C295" s="512"/>
      <c r="D295" s="272">
        <v>0</v>
      </c>
      <c r="E295" s="546">
        <v>0</v>
      </c>
      <c r="F295" s="296">
        <v>0</v>
      </c>
      <c r="G295" s="259">
        <v>0</v>
      </c>
      <c r="H295" s="259">
        <v>0</v>
      </c>
      <c r="I295" s="259">
        <v>0</v>
      </c>
      <c r="J295" s="259">
        <v>0</v>
      </c>
    </row>
    <row r="296" spans="1:10" ht="15.75" customHeight="1" outlineLevel="4" collapsed="1" x14ac:dyDescent="0.25">
      <c r="B296" s="513"/>
      <c r="C296" s="514" t="s">
        <v>112</v>
      </c>
      <c r="D296" s="514">
        <f t="shared" ref="D296:J296" si="4">SUM(D295:D295)</f>
        <v>0</v>
      </c>
      <c r="E296" s="514">
        <f t="shared" si="4"/>
        <v>0</v>
      </c>
      <c r="F296" s="514">
        <f t="shared" si="4"/>
        <v>0</v>
      </c>
      <c r="G296" s="514">
        <f t="shared" si="4"/>
        <v>0</v>
      </c>
      <c r="H296" s="514">
        <f t="shared" si="4"/>
        <v>0</v>
      </c>
      <c r="I296" s="514">
        <f t="shared" si="4"/>
        <v>0</v>
      </c>
      <c r="J296" s="514">
        <f t="shared" si="4"/>
        <v>0</v>
      </c>
    </row>
    <row r="297" spans="1:10" ht="15.75" customHeight="1" outlineLevel="2" x14ac:dyDescent="0.25">
      <c r="B297" s="74"/>
    </row>
    <row r="298" spans="1:10" ht="21.75" customHeight="1" outlineLevel="2" x14ac:dyDescent="0.25">
      <c r="B298" s="235" t="s">
        <v>141</v>
      </c>
      <c r="C298" s="236"/>
      <c r="D298" s="236"/>
      <c r="E298" s="236"/>
      <c r="F298" s="236"/>
      <c r="G298" s="236"/>
      <c r="H298" s="236"/>
      <c r="I298" s="236"/>
      <c r="J298" s="236"/>
    </row>
    <row r="299" spans="1:10" s="41" customFormat="1" ht="15" hidden="1" customHeight="1" outlineLevel="4" x14ac:dyDescent="0.2">
      <c r="A299" s="276"/>
      <c r="D299" s="1331" t="s">
        <v>24</v>
      </c>
      <c r="E299" s="1331"/>
      <c r="F299" s="1331"/>
      <c r="G299" s="1331"/>
      <c r="H299" s="1331"/>
      <c r="I299" s="1331"/>
      <c r="J299" s="1331"/>
    </row>
    <row r="300" spans="1:10" s="41" customFormat="1" ht="15" hidden="1" customHeight="1" outlineLevel="4" x14ac:dyDescent="0.2">
      <c r="A300" s="276"/>
      <c r="D300" s="1331" t="str">
        <f ca="1">CONCATENATE("$, real ",dms_DollarReal)</f>
        <v>$, real June 2026</v>
      </c>
      <c r="E300" s="1331"/>
      <c r="F300" s="1331"/>
      <c r="G300" s="1331"/>
      <c r="H300" s="1331"/>
      <c r="I300" s="1331"/>
      <c r="J300" s="1331"/>
    </row>
    <row r="301" spans="1:10" s="41" customFormat="1" ht="15.75" hidden="1" customHeight="1" outlineLevel="4" x14ac:dyDescent="0.25">
      <c r="A301" s="276"/>
      <c r="B301" s="77"/>
      <c r="C301" s="302"/>
      <c r="D301" s="298" t="str">
        <f ca="1">dms_y1</f>
        <v>2024-25</v>
      </c>
      <c r="E301" s="298" t="str">
        <f ca="1">dms_y2</f>
        <v>2025-26</v>
      </c>
      <c r="F301" s="298" t="str">
        <f ca="1">dms_y3</f>
        <v>2026-27</v>
      </c>
      <c r="G301" s="298" t="str">
        <f ca="1">dms_y4</f>
        <v>2027-28</v>
      </c>
      <c r="H301" s="298" t="str">
        <f ca="1">dms_y5</f>
        <v>2028-29</v>
      </c>
      <c r="I301" s="298" t="str">
        <f ca="1">dms_y6</f>
        <v>2029-30</v>
      </c>
      <c r="J301" s="298" t="str">
        <f ca="1">dms_y7</f>
        <v>2030-31</v>
      </c>
    </row>
    <row r="302" spans="1:10" ht="15.75" hidden="1" customHeight="1" outlineLevel="4" x14ac:dyDescent="0.25">
      <c r="B302" s="506" t="s">
        <v>126</v>
      </c>
      <c r="C302" s="507"/>
      <c r="D302" s="270">
        <v>0</v>
      </c>
      <c r="E302" s="263">
        <v>0</v>
      </c>
      <c r="F302" s="294">
        <v>0</v>
      </c>
      <c r="G302" s="256">
        <v>0</v>
      </c>
      <c r="H302" s="256">
        <v>0</v>
      </c>
      <c r="I302" s="256">
        <v>0</v>
      </c>
      <c r="J302" s="256">
        <v>0</v>
      </c>
    </row>
    <row r="303" spans="1:10" ht="15.75" hidden="1" customHeight="1" outlineLevel="4" x14ac:dyDescent="0.25">
      <c r="B303" s="506" t="s">
        <v>127</v>
      </c>
      <c r="C303" s="508"/>
      <c r="D303" s="509"/>
      <c r="E303" s="544"/>
      <c r="F303" s="545"/>
      <c r="G303" s="510"/>
      <c r="H303" s="510"/>
      <c r="I303" s="510"/>
      <c r="J303" s="510"/>
    </row>
    <row r="304" spans="1:10" ht="15.75" hidden="1" customHeight="1" outlineLevel="4" x14ac:dyDescent="0.25">
      <c r="B304" s="506" t="s">
        <v>128</v>
      </c>
      <c r="C304" s="508"/>
      <c r="D304" s="270"/>
      <c r="E304" s="271"/>
      <c r="F304" s="295"/>
      <c r="G304" s="256"/>
      <c r="H304" s="256"/>
      <c r="I304" s="256"/>
      <c r="J304" s="256"/>
    </row>
    <row r="305" spans="2:10" ht="15.75" hidden="1" customHeight="1" outlineLevel="4" x14ac:dyDescent="0.25">
      <c r="B305" s="506" t="s">
        <v>129</v>
      </c>
      <c r="C305" s="508"/>
      <c r="D305" s="509"/>
      <c r="E305" s="544"/>
      <c r="F305" s="545"/>
      <c r="G305" s="510"/>
      <c r="H305" s="510"/>
      <c r="I305" s="510"/>
      <c r="J305" s="510"/>
    </row>
    <row r="306" spans="2:10" ht="15.75" hidden="1" customHeight="1" outlineLevel="4" x14ac:dyDescent="0.25">
      <c r="B306" s="506" t="s">
        <v>130</v>
      </c>
      <c r="C306" s="508"/>
      <c r="D306" s="270"/>
      <c r="E306" s="271"/>
      <c r="F306" s="295"/>
      <c r="G306" s="256"/>
      <c r="H306" s="256"/>
      <c r="I306" s="256"/>
      <c r="J306" s="256"/>
    </row>
    <row r="307" spans="2:10" ht="15.75" hidden="1" customHeight="1" outlineLevel="4" x14ac:dyDescent="0.25">
      <c r="B307" s="506" t="s">
        <v>131</v>
      </c>
      <c r="C307" s="508"/>
      <c r="D307" s="509"/>
      <c r="E307" s="544"/>
      <c r="F307" s="545"/>
      <c r="G307" s="510"/>
      <c r="H307" s="510"/>
      <c r="I307" s="510"/>
      <c r="J307" s="510"/>
    </row>
    <row r="308" spans="2:10" ht="15.75" hidden="1" customHeight="1" outlineLevel="4" x14ac:dyDescent="0.25">
      <c r="B308" s="506" t="s">
        <v>132</v>
      </c>
      <c r="C308" s="508"/>
      <c r="D308" s="270"/>
      <c r="E308" s="271"/>
      <c r="F308" s="295"/>
      <c r="G308" s="256"/>
      <c r="H308" s="256"/>
      <c r="I308" s="256"/>
      <c r="J308" s="256"/>
    </row>
    <row r="309" spans="2:10" ht="15.75" hidden="1" customHeight="1" outlineLevel="4" x14ac:dyDescent="0.25">
      <c r="B309" s="506"/>
      <c r="C309" s="508"/>
      <c r="D309" s="509"/>
      <c r="E309" s="544"/>
      <c r="F309" s="545"/>
      <c r="G309" s="510"/>
      <c r="H309" s="510"/>
      <c r="I309" s="510"/>
      <c r="J309" s="510"/>
    </row>
    <row r="310" spans="2:10" ht="15.75" hidden="1" customHeight="1" outlineLevel="4" x14ac:dyDescent="0.25">
      <c r="B310" s="506"/>
      <c r="C310" s="508"/>
      <c r="D310" s="270"/>
      <c r="E310" s="271"/>
      <c r="F310" s="295"/>
      <c r="G310" s="256"/>
      <c r="H310" s="256"/>
      <c r="I310" s="256"/>
      <c r="J310" s="256"/>
    </row>
    <row r="311" spans="2:10" ht="15.75" hidden="1" customHeight="1" outlineLevel="4" x14ac:dyDescent="0.25">
      <c r="B311" s="506"/>
      <c r="C311" s="508"/>
      <c r="D311" s="509"/>
      <c r="E311" s="544"/>
      <c r="F311" s="545"/>
      <c r="G311" s="510"/>
      <c r="H311" s="510"/>
      <c r="I311" s="510"/>
      <c r="J311" s="510"/>
    </row>
    <row r="312" spans="2:10" ht="15.75" hidden="1" customHeight="1" outlineLevel="4" x14ac:dyDescent="0.25">
      <c r="B312" s="506"/>
      <c r="C312" s="508"/>
      <c r="D312" s="270"/>
      <c r="E312" s="271"/>
      <c r="F312" s="295"/>
      <c r="G312" s="256"/>
      <c r="H312" s="256"/>
      <c r="I312" s="256"/>
      <c r="J312" s="256"/>
    </row>
    <row r="313" spans="2:10" ht="15.75" hidden="1" customHeight="1" outlineLevel="4" x14ac:dyDescent="0.25">
      <c r="B313" s="506"/>
      <c r="C313" s="508"/>
      <c r="D313" s="509"/>
      <c r="E313" s="544"/>
      <c r="F313" s="545"/>
      <c r="G313" s="510"/>
      <c r="H313" s="510"/>
      <c r="I313" s="510"/>
      <c r="J313" s="510"/>
    </row>
    <row r="314" spans="2:10" ht="15.75" hidden="1" customHeight="1" outlineLevel="4" x14ac:dyDescent="0.25">
      <c r="B314" s="506"/>
      <c r="C314" s="508"/>
      <c r="D314" s="270"/>
      <c r="E314" s="271"/>
      <c r="F314" s="295"/>
      <c r="G314" s="256"/>
      <c r="H314" s="256"/>
      <c r="I314" s="256"/>
      <c r="J314" s="256"/>
    </row>
    <row r="315" spans="2:10" ht="15.75" hidden="1" customHeight="1" outlineLevel="4" x14ac:dyDescent="0.25">
      <c r="B315" s="506"/>
      <c r="C315" s="508"/>
      <c r="D315" s="509"/>
      <c r="E315" s="544"/>
      <c r="F315" s="545"/>
      <c r="G315" s="510"/>
      <c r="H315" s="510"/>
      <c r="I315" s="510"/>
      <c r="J315" s="510"/>
    </row>
    <row r="316" spans="2:10" ht="15.75" hidden="1" customHeight="1" outlineLevel="4" x14ac:dyDescent="0.25">
      <c r="B316" s="506"/>
      <c r="C316" s="508"/>
      <c r="D316" s="270"/>
      <c r="E316" s="271"/>
      <c r="F316" s="295"/>
      <c r="G316" s="256"/>
      <c r="H316" s="256"/>
      <c r="I316" s="256"/>
      <c r="J316" s="256"/>
    </row>
    <row r="317" spans="2:10" ht="15.75" hidden="1" customHeight="1" outlineLevel="4" x14ac:dyDescent="0.25">
      <c r="B317" s="506"/>
      <c r="C317" s="508"/>
      <c r="D317" s="509"/>
      <c r="E317" s="544"/>
      <c r="F317" s="545"/>
      <c r="G317" s="510"/>
      <c r="H317" s="510"/>
      <c r="I317" s="510"/>
      <c r="J317" s="510"/>
    </row>
    <row r="318" spans="2:10" ht="15.75" hidden="1" customHeight="1" outlineLevel="4" x14ac:dyDescent="0.25">
      <c r="B318" s="506"/>
      <c r="C318" s="508"/>
      <c r="D318" s="270"/>
      <c r="E318" s="271"/>
      <c r="F318" s="295"/>
      <c r="G318" s="256"/>
      <c r="H318" s="256"/>
      <c r="I318" s="256"/>
      <c r="J318" s="256"/>
    </row>
    <row r="319" spans="2:10" ht="15.75" hidden="1" customHeight="1" outlineLevel="4" x14ac:dyDescent="0.25">
      <c r="B319" s="506"/>
      <c r="C319" s="508"/>
      <c r="D319" s="509"/>
      <c r="E319" s="544"/>
      <c r="F319" s="545"/>
      <c r="G319" s="510"/>
      <c r="H319" s="510"/>
      <c r="I319" s="510"/>
      <c r="J319" s="510"/>
    </row>
    <row r="320" spans="2:10" ht="15.75" hidden="1" customHeight="1" outlineLevel="4" x14ac:dyDescent="0.25">
      <c r="B320" s="506"/>
      <c r="C320" s="508"/>
      <c r="D320" s="270"/>
      <c r="E320" s="271"/>
      <c r="F320" s="295"/>
      <c r="G320" s="256"/>
      <c r="H320" s="256"/>
      <c r="I320" s="256"/>
      <c r="J320" s="256"/>
    </row>
    <row r="321" spans="2:10" ht="15.75" hidden="1" customHeight="1" outlineLevel="4" x14ac:dyDescent="0.25">
      <c r="B321" s="506"/>
      <c r="C321" s="508"/>
      <c r="D321" s="509"/>
      <c r="E321" s="544"/>
      <c r="F321" s="545"/>
      <c r="G321" s="510"/>
      <c r="H321" s="510"/>
      <c r="I321" s="510"/>
      <c r="J321" s="510"/>
    </row>
    <row r="322" spans="2:10" ht="15.75" hidden="1" customHeight="1" outlineLevel="4" x14ac:dyDescent="0.25">
      <c r="B322" s="506"/>
      <c r="C322" s="508"/>
      <c r="D322" s="270"/>
      <c r="E322" s="271"/>
      <c r="F322" s="295"/>
      <c r="G322" s="256"/>
      <c r="H322" s="256"/>
      <c r="I322" s="256"/>
      <c r="J322" s="256"/>
    </row>
    <row r="323" spans="2:10" ht="15.75" hidden="1" customHeight="1" outlineLevel="4" x14ac:dyDescent="0.25">
      <c r="B323" s="506"/>
      <c r="C323" s="508"/>
      <c r="D323" s="509"/>
      <c r="E323" s="544"/>
      <c r="F323" s="545"/>
      <c r="G323" s="510"/>
      <c r="H323" s="510"/>
      <c r="I323" s="510"/>
      <c r="J323" s="510"/>
    </row>
    <row r="324" spans="2:10" ht="15.75" hidden="1" customHeight="1" outlineLevel="4" x14ac:dyDescent="0.25">
      <c r="B324" s="506"/>
      <c r="C324" s="508"/>
      <c r="D324" s="270"/>
      <c r="E324" s="271"/>
      <c r="F324" s="295"/>
      <c r="G324" s="256"/>
      <c r="H324" s="256"/>
      <c r="I324" s="256"/>
      <c r="J324" s="256"/>
    </row>
    <row r="325" spans="2:10" ht="15.75" hidden="1" customHeight="1" outlineLevel="4" x14ac:dyDescent="0.25">
      <c r="B325" s="506"/>
      <c r="C325" s="508"/>
      <c r="D325" s="509"/>
      <c r="E325" s="544"/>
      <c r="F325" s="545"/>
      <c r="G325" s="510"/>
      <c r="H325" s="510"/>
      <c r="I325" s="510"/>
      <c r="J325" s="510"/>
    </row>
    <row r="326" spans="2:10" ht="15.75" hidden="1" customHeight="1" outlineLevel="4" x14ac:dyDescent="0.25">
      <c r="B326" s="506"/>
      <c r="C326" s="508"/>
      <c r="D326" s="270"/>
      <c r="E326" s="271"/>
      <c r="F326" s="295"/>
      <c r="G326" s="256"/>
      <c r="H326" s="256"/>
      <c r="I326" s="256"/>
      <c r="J326" s="256"/>
    </row>
    <row r="327" spans="2:10" ht="15.75" hidden="1" customHeight="1" outlineLevel="4" x14ac:dyDescent="0.25">
      <c r="B327" s="506"/>
      <c r="C327" s="508"/>
      <c r="D327" s="509"/>
      <c r="E327" s="544"/>
      <c r="F327" s="545"/>
      <c r="G327" s="510"/>
      <c r="H327" s="510"/>
      <c r="I327" s="510"/>
      <c r="J327" s="510"/>
    </row>
    <row r="328" spans="2:10" ht="15.75" hidden="1" customHeight="1" outlineLevel="4" x14ac:dyDescent="0.25">
      <c r="B328" s="506"/>
      <c r="C328" s="508"/>
      <c r="D328" s="270"/>
      <c r="E328" s="271"/>
      <c r="F328" s="295"/>
      <c r="G328" s="256"/>
      <c r="H328" s="256"/>
      <c r="I328" s="256"/>
      <c r="J328" s="256"/>
    </row>
    <row r="329" spans="2:10" ht="15.75" hidden="1" customHeight="1" outlineLevel="4" x14ac:dyDescent="0.25">
      <c r="B329" s="506"/>
      <c r="C329" s="508"/>
      <c r="D329" s="509"/>
      <c r="E329" s="544"/>
      <c r="F329" s="545"/>
      <c r="G329" s="510"/>
      <c r="H329" s="510"/>
      <c r="I329" s="510"/>
      <c r="J329" s="510"/>
    </row>
    <row r="330" spans="2:10" ht="15.75" hidden="1" customHeight="1" outlineLevel="4" x14ac:dyDescent="0.25">
      <c r="B330" s="506"/>
      <c r="C330" s="508"/>
      <c r="D330" s="270"/>
      <c r="E330" s="271"/>
      <c r="F330" s="295"/>
      <c r="G330" s="256"/>
      <c r="H330" s="256"/>
      <c r="I330" s="256"/>
      <c r="J330" s="256"/>
    </row>
    <row r="331" spans="2:10" ht="15.75" hidden="1" customHeight="1" outlineLevel="4" x14ac:dyDescent="0.25">
      <c r="B331" s="506"/>
      <c r="C331" s="508"/>
      <c r="D331" s="509"/>
      <c r="E331" s="544"/>
      <c r="F331" s="545"/>
      <c r="G331" s="510"/>
      <c r="H331" s="510"/>
      <c r="I331" s="510"/>
      <c r="J331" s="510"/>
    </row>
    <row r="332" spans="2:10" ht="15.75" hidden="1" customHeight="1" outlineLevel="4" x14ac:dyDescent="0.25">
      <c r="B332" s="506"/>
      <c r="C332" s="508"/>
      <c r="D332" s="270"/>
      <c r="E332" s="271"/>
      <c r="F332" s="295"/>
      <c r="G332" s="256"/>
      <c r="H332" s="256"/>
      <c r="I332" s="256"/>
      <c r="J332" s="256"/>
    </row>
    <row r="333" spans="2:10" ht="15.75" hidden="1" customHeight="1" outlineLevel="4" x14ac:dyDescent="0.25">
      <c r="B333" s="506"/>
      <c r="C333" s="508"/>
      <c r="D333" s="509"/>
      <c r="E333" s="544"/>
      <c r="F333" s="545"/>
      <c r="G333" s="510"/>
      <c r="H333" s="510"/>
      <c r="I333" s="510"/>
      <c r="J333" s="510"/>
    </row>
    <row r="334" spans="2:10" ht="15.75" hidden="1" customHeight="1" outlineLevel="4" x14ac:dyDescent="0.25">
      <c r="B334" s="506"/>
      <c r="C334" s="508"/>
      <c r="D334" s="270"/>
      <c r="E334" s="271"/>
      <c r="F334" s="295"/>
      <c r="G334" s="256"/>
      <c r="H334" s="256"/>
      <c r="I334" s="256"/>
      <c r="J334" s="256"/>
    </row>
    <row r="335" spans="2:10" ht="15.75" hidden="1" customHeight="1" outlineLevel="4" x14ac:dyDescent="0.25">
      <c r="B335" s="506"/>
      <c r="C335" s="508"/>
      <c r="D335" s="509"/>
      <c r="E335" s="544"/>
      <c r="F335" s="545"/>
      <c r="G335" s="510"/>
      <c r="H335" s="510"/>
      <c r="I335" s="510"/>
      <c r="J335" s="510"/>
    </row>
    <row r="336" spans="2:10" ht="15.75" hidden="1" customHeight="1" outlineLevel="4" x14ac:dyDescent="0.25">
      <c r="B336" s="506"/>
      <c r="C336" s="508"/>
      <c r="D336" s="270"/>
      <c r="E336" s="271"/>
      <c r="F336" s="295"/>
      <c r="G336" s="256"/>
      <c r="H336" s="256"/>
      <c r="I336" s="256"/>
      <c r="J336" s="256"/>
    </row>
    <row r="337" spans="2:10" ht="15.75" hidden="1" customHeight="1" outlineLevel="4" x14ac:dyDescent="0.25">
      <c r="B337" s="506"/>
      <c r="C337" s="508"/>
      <c r="D337" s="509"/>
      <c r="E337" s="544"/>
      <c r="F337" s="545"/>
      <c r="G337" s="510"/>
      <c r="H337" s="510"/>
      <c r="I337" s="510"/>
      <c r="J337" s="510"/>
    </row>
    <row r="338" spans="2:10" ht="15.75" hidden="1" customHeight="1" outlineLevel="4" x14ac:dyDescent="0.25">
      <c r="B338" s="506"/>
      <c r="C338" s="508"/>
      <c r="D338" s="270"/>
      <c r="E338" s="271"/>
      <c r="F338" s="295"/>
      <c r="G338" s="256"/>
      <c r="H338" s="256"/>
      <c r="I338" s="256"/>
      <c r="J338" s="256"/>
    </row>
    <row r="339" spans="2:10" ht="15.75" hidden="1" customHeight="1" outlineLevel="4" x14ac:dyDescent="0.25">
      <c r="B339" s="506"/>
      <c r="C339" s="508"/>
      <c r="D339" s="509"/>
      <c r="E339" s="544"/>
      <c r="F339" s="545"/>
      <c r="G339" s="510"/>
      <c r="H339" s="510"/>
      <c r="I339" s="510"/>
      <c r="J339" s="510"/>
    </row>
    <row r="340" spans="2:10" ht="15.75" hidden="1" customHeight="1" outlineLevel="4" x14ac:dyDescent="0.25">
      <c r="B340" s="506"/>
      <c r="C340" s="508"/>
      <c r="D340" s="270"/>
      <c r="E340" s="271"/>
      <c r="F340" s="295"/>
      <c r="G340" s="256"/>
      <c r="H340" s="256"/>
      <c r="I340" s="256"/>
      <c r="J340" s="256"/>
    </row>
    <row r="341" spans="2:10" ht="15.75" hidden="1" customHeight="1" outlineLevel="4" x14ac:dyDescent="0.25">
      <c r="B341" s="506"/>
      <c r="C341" s="508"/>
      <c r="D341" s="509"/>
      <c r="E341" s="544"/>
      <c r="F341" s="545"/>
      <c r="G341" s="510"/>
      <c r="H341" s="510"/>
      <c r="I341" s="510"/>
      <c r="J341" s="510"/>
    </row>
    <row r="342" spans="2:10" ht="15.75" hidden="1" customHeight="1" outlineLevel="4" x14ac:dyDescent="0.25">
      <c r="B342" s="506"/>
      <c r="C342" s="508"/>
      <c r="D342" s="270"/>
      <c r="E342" s="271"/>
      <c r="F342" s="295"/>
      <c r="G342" s="256"/>
      <c r="H342" s="256"/>
      <c r="I342" s="256"/>
      <c r="J342" s="256"/>
    </row>
    <row r="343" spans="2:10" ht="15.75" hidden="1" customHeight="1" outlineLevel="4" x14ac:dyDescent="0.25">
      <c r="B343" s="506"/>
      <c r="C343" s="508"/>
      <c r="D343" s="509"/>
      <c r="E343" s="544"/>
      <c r="F343" s="545"/>
      <c r="G343" s="510"/>
      <c r="H343" s="510"/>
      <c r="I343" s="510"/>
      <c r="J343" s="510"/>
    </row>
    <row r="344" spans="2:10" ht="15.75" hidden="1" customHeight="1" outlineLevel="4" x14ac:dyDescent="0.25">
      <c r="B344" s="506"/>
      <c r="C344" s="508"/>
      <c r="D344" s="270"/>
      <c r="E344" s="271"/>
      <c r="F344" s="295"/>
      <c r="G344" s="256"/>
      <c r="H344" s="256"/>
      <c r="I344" s="256"/>
      <c r="J344" s="256"/>
    </row>
    <row r="345" spans="2:10" ht="15.75" hidden="1" customHeight="1" outlineLevel="4" x14ac:dyDescent="0.25">
      <c r="B345" s="506"/>
      <c r="C345" s="508"/>
      <c r="D345" s="509"/>
      <c r="E345" s="544"/>
      <c r="F345" s="545"/>
      <c r="G345" s="510"/>
      <c r="H345" s="510"/>
      <c r="I345" s="510"/>
      <c r="J345" s="510"/>
    </row>
    <row r="346" spans="2:10" ht="15.75" hidden="1" customHeight="1" outlineLevel="4" x14ac:dyDescent="0.25">
      <c r="B346" s="506"/>
      <c r="C346" s="508"/>
      <c r="D346" s="270"/>
      <c r="E346" s="271"/>
      <c r="F346" s="295"/>
      <c r="G346" s="256"/>
      <c r="H346" s="256"/>
      <c r="I346" s="256"/>
      <c r="J346" s="256"/>
    </row>
    <row r="347" spans="2:10" ht="15.75" hidden="1" customHeight="1" outlineLevel="4" x14ac:dyDescent="0.25">
      <c r="B347" s="506"/>
      <c r="C347" s="508"/>
      <c r="D347" s="509"/>
      <c r="E347" s="544"/>
      <c r="F347" s="545"/>
      <c r="G347" s="510"/>
      <c r="H347" s="510"/>
      <c r="I347" s="510"/>
      <c r="J347" s="510"/>
    </row>
    <row r="348" spans="2:10" ht="15.75" hidden="1" customHeight="1" outlineLevel="4" x14ac:dyDescent="0.25">
      <c r="B348" s="506"/>
      <c r="C348" s="508"/>
      <c r="D348" s="270"/>
      <c r="E348" s="271"/>
      <c r="F348" s="295"/>
      <c r="G348" s="256"/>
      <c r="H348" s="256"/>
      <c r="I348" s="256"/>
      <c r="J348" s="256"/>
    </row>
    <row r="349" spans="2:10" ht="15.75" hidden="1" customHeight="1" outlineLevel="4" x14ac:dyDescent="0.25">
      <c r="B349" s="506"/>
      <c r="C349" s="508"/>
      <c r="D349" s="509"/>
      <c r="E349" s="544"/>
      <c r="F349" s="545"/>
      <c r="G349" s="510"/>
      <c r="H349" s="510"/>
      <c r="I349" s="510"/>
      <c r="J349" s="510"/>
    </row>
    <row r="350" spans="2:10" ht="15.75" hidden="1" customHeight="1" outlineLevel="4" x14ac:dyDescent="0.25">
      <c r="B350" s="506"/>
      <c r="C350" s="508"/>
      <c r="D350" s="270"/>
      <c r="E350" s="271"/>
      <c r="F350" s="295"/>
      <c r="G350" s="256"/>
      <c r="H350" s="256"/>
      <c r="I350" s="256"/>
      <c r="J350" s="256"/>
    </row>
    <row r="351" spans="2:10" ht="15.75" hidden="1" customHeight="1" outlineLevel="4" x14ac:dyDescent="0.25">
      <c r="B351" s="506"/>
      <c r="C351" s="508"/>
      <c r="D351" s="509"/>
      <c r="E351" s="544"/>
      <c r="F351" s="545"/>
      <c r="G351" s="510"/>
      <c r="H351" s="510"/>
      <c r="I351" s="510"/>
      <c r="J351" s="510"/>
    </row>
    <row r="352" spans="2:10" ht="15.75" hidden="1" customHeight="1" outlineLevel="4" x14ac:dyDescent="0.25">
      <c r="B352" s="511" t="s">
        <v>136</v>
      </c>
      <c r="C352" s="512"/>
      <c r="D352" s="272"/>
      <c r="E352" s="546"/>
      <c r="F352" s="296"/>
      <c r="G352" s="259"/>
      <c r="H352" s="259"/>
      <c r="I352" s="259"/>
      <c r="J352" s="259"/>
    </row>
    <row r="353" spans="1:10" ht="15.75" hidden="1" customHeight="1" outlineLevel="4" collapsed="1" x14ac:dyDescent="0.25">
      <c r="B353" s="513"/>
      <c r="C353" s="514" t="s">
        <v>112</v>
      </c>
      <c r="D353" s="514">
        <f t="shared" ref="D353:J353" si="5">SUM(D302:D352)</f>
        <v>0</v>
      </c>
      <c r="E353" s="514">
        <f t="shared" si="5"/>
        <v>0</v>
      </c>
      <c r="F353" s="514">
        <f t="shared" si="5"/>
        <v>0</v>
      </c>
      <c r="G353" s="514">
        <f t="shared" si="5"/>
        <v>0</v>
      </c>
      <c r="H353" s="514">
        <f t="shared" si="5"/>
        <v>0</v>
      </c>
      <c r="I353" s="514">
        <f t="shared" si="5"/>
        <v>0</v>
      </c>
      <c r="J353" s="514">
        <f t="shared" si="5"/>
        <v>0</v>
      </c>
    </row>
    <row r="354" spans="1:10" ht="15.75" customHeight="1" outlineLevel="2" collapsed="1" x14ac:dyDescent="0.25">
      <c r="B354" s="74"/>
    </row>
    <row r="355" spans="1:10" outlineLevel="1" x14ac:dyDescent="0.25"/>
    <row r="356" spans="1:10" ht="15" customHeight="1" outlineLevel="1" x14ac:dyDescent="0.25"/>
    <row r="357" spans="1:10" s="301" customFormat="1" ht="24" customHeight="1" outlineLevel="1" x14ac:dyDescent="0.25">
      <c r="B357" s="232" t="s">
        <v>142</v>
      </c>
      <c r="C357" s="233"/>
      <c r="D357" s="233"/>
      <c r="E357" s="233"/>
      <c r="F357" s="233"/>
      <c r="G357" s="233"/>
      <c r="H357" s="233"/>
      <c r="I357" s="233"/>
      <c r="J357" s="233"/>
    </row>
    <row r="358" spans="1:10" s="41" customFormat="1" ht="15" customHeight="1" outlineLevel="2" x14ac:dyDescent="0.2">
      <c r="A358" s="276"/>
      <c r="D358" s="1331" t="s">
        <v>24</v>
      </c>
      <c r="E358" s="1331"/>
      <c r="F358" s="1331"/>
      <c r="G358" s="1331"/>
      <c r="H358" s="1331"/>
      <c r="I358" s="1331"/>
      <c r="J358" s="1331"/>
    </row>
    <row r="359" spans="1:10" s="41" customFormat="1" ht="15" customHeight="1" outlineLevel="2" x14ac:dyDescent="0.2">
      <c r="A359" s="276"/>
      <c r="D359" s="1331" t="str">
        <f ca="1">CONCATENATE("$, real ",dms_DollarReal)</f>
        <v>$, real June 2026</v>
      </c>
      <c r="E359" s="1331"/>
      <c r="F359" s="1331"/>
      <c r="G359" s="1331"/>
      <c r="H359" s="1331"/>
      <c r="I359" s="1331"/>
      <c r="J359" s="1331"/>
    </row>
    <row r="360" spans="1:10" s="41" customFormat="1" ht="15.75" customHeight="1" outlineLevel="2" x14ac:dyDescent="0.25">
      <c r="A360" s="276"/>
      <c r="B360" s="77"/>
      <c r="C360" s="302"/>
      <c r="D360" s="298" t="str">
        <f ca="1">dms_y1</f>
        <v>2024-25</v>
      </c>
      <c r="E360" s="298" t="str">
        <f ca="1">dms_y2</f>
        <v>2025-26</v>
      </c>
      <c r="F360" s="298" t="str">
        <f ca="1">dms_y3</f>
        <v>2026-27</v>
      </c>
      <c r="G360" s="298" t="str">
        <f ca="1">dms_y4</f>
        <v>2027-28</v>
      </c>
      <c r="H360" s="298" t="str">
        <f ca="1">dms_y5</f>
        <v>2028-29</v>
      </c>
      <c r="I360" s="298" t="str">
        <f ca="1">dms_y6</f>
        <v>2029-30</v>
      </c>
      <c r="J360" s="298" t="str">
        <f ca="1">dms_y7</f>
        <v>2030-31</v>
      </c>
    </row>
    <row r="361" spans="1:10" ht="21.75" customHeight="1" outlineLevel="2" x14ac:dyDescent="0.25">
      <c r="B361" s="235" t="s">
        <v>135</v>
      </c>
      <c r="C361" s="236"/>
      <c r="D361" s="236"/>
      <c r="E361" s="236"/>
      <c r="F361" s="236"/>
      <c r="G361" s="236"/>
      <c r="H361" s="236"/>
      <c r="I361" s="236"/>
      <c r="J361" s="236"/>
    </row>
    <row r="362" spans="1:10" ht="15.75" customHeight="1" outlineLevel="3" x14ac:dyDescent="0.25">
      <c r="B362" s="527" t="s">
        <v>143</v>
      </c>
      <c r="C362" s="547"/>
      <c r="D362" s="261">
        <v>0</v>
      </c>
      <c r="E362" s="263">
        <v>0</v>
      </c>
      <c r="F362" s="294">
        <v>0</v>
      </c>
      <c r="G362" s="262">
        <v>0</v>
      </c>
      <c r="H362" s="262">
        <v>0</v>
      </c>
      <c r="I362" s="262">
        <v>0</v>
      </c>
      <c r="J362" s="265">
        <v>0</v>
      </c>
    </row>
    <row r="363" spans="1:10" ht="15.75" customHeight="1" outlineLevel="3" x14ac:dyDescent="0.25">
      <c r="B363" s="524" t="s">
        <v>144</v>
      </c>
      <c r="C363" s="517"/>
      <c r="D363" s="283">
        <v>0</v>
      </c>
      <c r="E363" s="284">
        <v>0</v>
      </c>
      <c r="F363" s="384">
        <v>0</v>
      </c>
      <c r="G363" s="286">
        <v>0</v>
      </c>
      <c r="H363" s="286">
        <v>0</v>
      </c>
      <c r="I363" s="286">
        <v>0</v>
      </c>
      <c r="J363" s="287">
        <v>0</v>
      </c>
    </row>
    <row r="364" spans="1:10" ht="15" customHeight="1" outlineLevel="3" x14ac:dyDescent="0.25">
      <c r="B364" s="521"/>
      <c r="C364" s="522" t="s">
        <v>112</v>
      </c>
      <c r="D364" s="522">
        <f t="shared" ref="D364:J364" si="6">SUM(D362:D363)</f>
        <v>0</v>
      </c>
      <c r="E364" s="522">
        <f t="shared" si="6"/>
        <v>0</v>
      </c>
      <c r="F364" s="522">
        <f t="shared" si="6"/>
        <v>0</v>
      </c>
      <c r="G364" s="522">
        <f t="shared" si="6"/>
        <v>0</v>
      </c>
      <c r="H364" s="522">
        <f t="shared" si="6"/>
        <v>0</v>
      </c>
      <c r="I364" s="522">
        <f t="shared" si="6"/>
        <v>0</v>
      </c>
      <c r="J364" s="523">
        <f t="shared" si="6"/>
        <v>0</v>
      </c>
    </row>
    <row r="365" spans="1:10" ht="21.75" customHeight="1" outlineLevel="2" x14ac:dyDescent="0.25">
      <c r="B365" s="235" t="s">
        <v>137</v>
      </c>
      <c r="C365" s="236"/>
      <c r="D365" s="236"/>
      <c r="E365" s="236"/>
      <c r="F365" s="236"/>
      <c r="G365" s="236"/>
      <c r="H365" s="236"/>
      <c r="I365" s="236"/>
      <c r="J365" s="236"/>
    </row>
    <row r="366" spans="1:10" ht="15.75" customHeight="1" outlineLevel="3" x14ac:dyDescent="0.25">
      <c r="B366" s="527" t="s">
        <v>143</v>
      </c>
      <c r="C366" s="547"/>
      <c r="D366" s="261">
        <v>0</v>
      </c>
      <c r="E366" s="263">
        <v>0</v>
      </c>
      <c r="F366" s="294">
        <v>0</v>
      </c>
      <c r="G366" s="262">
        <v>0</v>
      </c>
      <c r="H366" s="262">
        <v>0</v>
      </c>
      <c r="I366" s="262">
        <v>0</v>
      </c>
      <c r="J366" s="265">
        <v>0</v>
      </c>
    </row>
    <row r="367" spans="1:10" ht="15.75" customHeight="1" outlineLevel="3" x14ac:dyDescent="0.25">
      <c r="B367" s="524" t="s">
        <v>144</v>
      </c>
      <c r="C367" s="517"/>
      <c r="D367" s="283">
        <v>0</v>
      </c>
      <c r="E367" s="284">
        <v>0</v>
      </c>
      <c r="F367" s="384">
        <v>0</v>
      </c>
      <c r="G367" s="286">
        <v>0</v>
      </c>
      <c r="H367" s="286">
        <v>0</v>
      </c>
      <c r="I367" s="286">
        <v>0</v>
      </c>
      <c r="J367" s="287">
        <v>0</v>
      </c>
    </row>
    <row r="368" spans="1:10" ht="15" customHeight="1" outlineLevel="3" x14ac:dyDescent="0.25">
      <c r="B368" s="521"/>
      <c r="C368" s="522" t="s">
        <v>112</v>
      </c>
      <c r="D368" s="522">
        <f t="shared" ref="D368:J368" si="7">SUM(D366:D367)</f>
        <v>0</v>
      </c>
      <c r="E368" s="522">
        <f t="shared" si="7"/>
        <v>0</v>
      </c>
      <c r="F368" s="522">
        <f t="shared" si="7"/>
        <v>0</v>
      </c>
      <c r="G368" s="522">
        <f t="shared" si="7"/>
        <v>0</v>
      </c>
      <c r="H368" s="522">
        <f t="shared" si="7"/>
        <v>0</v>
      </c>
      <c r="I368" s="522">
        <f t="shared" si="7"/>
        <v>0</v>
      </c>
      <c r="J368" s="523">
        <f t="shared" si="7"/>
        <v>0</v>
      </c>
    </row>
    <row r="369" spans="2:10" ht="21.75" customHeight="1" outlineLevel="2" x14ac:dyDescent="0.25">
      <c r="B369" s="235" t="s">
        <v>138</v>
      </c>
      <c r="C369" s="236"/>
      <c r="D369" s="236"/>
      <c r="E369" s="236"/>
      <c r="F369" s="236"/>
      <c r="G369" s="236"/>
      <c r="H369" s="236"/>
      <c r="I369" s="236"/>
      <c r="J369" s="236"/>
    </row>
    <row r="370" spans="2:10" ht="15.75" customHeight="1" outlineLevel="3" x14ac:dyDescent="0.25">
      <c r="B370" s="527" t="s">
        <v>143</v>
      </c>
      <c r="C370" s="547"/>
      <c r="D370" s="261">
        <v>0</v>
      </c>
      <c r="E370" s="263">
        <v>0</v>
      </c>
      <c r="F370" s="294">
        <v>0</v>
      </c>
      <c r="G370" s="262">
        <v>0</v>
      </c>
      <c r="H370" s="262">
        <v>0</v>
      </c>
      <c r="I370" s="262">
        <v>0</v>
      </c>
      <c r="J370" s="265">
        <v>0</v>
      </c>
    </row>
    <row r="371" spans="2:10" ht="15.75" customHeight="1" outlineLevel="3" x14ac:dyDescent="0.25">
      <c r="B371" s="524" t="s">
        <v>144</v>
      </c>
      <c r="C371" s="517"/>
      <c r="D371" s="283">
        <v>0</v>
      </c>
      <c r="E371" s="284">
        <v>0</v>
      </c>
      <c r="F371" s="384">
        <v>0</v>
      </c>
      <c r="G371" s="286">
        <v>0</v>
      </c>
      <c r="H371" s="286">
        <v>0</v>
      </c>
      <c r="I371" s="286">
        <v>0</v>
      </c>
      <c r="J371" s="287">
        <v>0</v>
      </c>
    </row>
    <row r="372" spans="2:10" ht="15" customHeight="1" outlineLevel="3" x14ac:dyDescent="0.25">
      <c r="B372" s="521"/>
      <c r="C372" s="522" t="s">
        <v>112</v>
      </c>
      <c r="D372" s="522">
        <f t="shared" ref="D372:J372" si="8">SUM(D370:D371)</f>
        <v>0</v>
      </c>
      <c r="E372" s="522">
        <f t="shared" si="8"/>
        <v>0</v>
      </c>
      <c r="F372" s="522">
        <f t="shared" si="8"/>
        <v>0</v>
      </c>
      <c r="G372" s="522">
        <f t="shared" si="8"/>
        <v>0</v>
      </c>
      <c r="H372" s="522">
        <f t="shared" si="8"/>
        <v>0</v>
      </c>
      <c r="I372" s="522">
        <f t="shared" si="8"/>
        <v>0</v>
      </c>
      <c r="J372" s="523">
        <f t="shared" si="8"/>
        <v>0</v>
      </c>
    </row>
    <row r="373" spans="2:10" ht="21.75" customHeight="1" outlineLevel="2" x14ac:dyDescent="0.25">
      <c r="B373" s="235" t="s">
        <v>139</v>
      </c>
      <c r="C373" s="236"/>
      <c r="D373" s="236"/>
      <c r="E373" s="236"/>
      <c r="F373" s="236"/>
      <c r="G373" s="236"/>
      <c r="H373" s="236"/>
      <c r="I373" s="236"/>
      <c r="J373" s="236"/>
    </row>
    <row r="374" spans="2:10" ht="15.75" customHeight="1" outlineLevel="3" x14ac:dyDescent="0.25">
      <c r="B374" s="527" t="s">
        <v>143</v>
      </c>
      <c r="C374" s="547"/>
      <c r="D374" s="261">
        <v>0</v>
      </c>
      <c r="E374" s="263">
        <v>0</v>
      </c>
      <c r="F374" s="294">
        <v>0</v>
      </c>
      <c r="G374" s="262">
        <v>0</v>
      </c>
      <c r="H374" s="262">
        <v>0</v>
      </c>
      <c r="I374" s="262">
        <v>0</v>
      </c>
      <c r="J374" s="265">
        <v>0</v>
      </c>
    </row>
    <row r="375" spans="2:10" ht="15.75" customHeight="1" outlineLevel="3" x14ac:dyDescent="0.25">
      <c r="B375" s="524" t="s">
        <v>144</v>
      </c>
      <c r="C375" s="517"/>
      <c r="D375" s="283">
        <v>0</v>
      </c>
      <c r="E375" s="284">
        <v>0</v>
      </c>
      <c r="F375" s="384">
        <v>0</v>
      </c>
      <c r="G375" s="286">
        <v>0</v>
      </c>
      <c r="H375" s="286">
        <v>0</v>
      </c>
      <c r="I375" s="286">
        <v>0</v>
      </c>
      <c r="J375" s="287">
        <v>0</v>
      </c>
    </row>
    <row r="376" spans="2:10" ht="15" customHeight="1" outlineLevel="3" x14ac:dyDescent="0.25">
      <c r="B376" s="521"/>
      <c r="C376" s="522" t="s">
        <v>112</v>
      </c>
      <c r="D376" s="522">
        <f t="shared" ref="D376:J376" si="9">SUM(D374:D375)</f>
        <v>0</v>
      </c>
      <c r="E376" s="522">
        <f t="shared" si="9"/>
        <v>0</v>
      </c>
      <c r="F376" s="522">
        <f t="shared" si="9"/>
        <v>0</v>
      </c>
      <c r="G376" s="522">
        <f t="shared" si="9"/>
        <v>0</v>
      </c>
      <c r="H376" s="522">
        <f t="shared" si="9"/>
        <v>0</v>
      </c>
      <c r="I376" s="522">
        <f t="shared" si="9"/>
        <v>0</v>
      </c>
      <c r="J376" s="523">
        <f t="shared" si="9"/>
        <v>0</v>
      </c>
    </row>
    <row r="377" spans="2:10" ht="21.75" customHeight="1" outlineLevel="2" x14ac:dyDescent="0.25">
      <c r="B377" s="235" t="s">
        <v>140</v>
      </c>
      <c r="C377" s="236"/>
      <c r="D377" s="236"/>
      <c r="E377" s="236"/>
      <c r="F377" s="236"/>
      <c r="G377" s="236"/>
      <c r="H377" s="236"/>
      <c r="I377" s="236"/>
      <c r="J377" s="236"/>
    </row>
    <row r="378" spans="2:10" ht="15.75" customHeight="1" outlineLevel="3" x14ac:dyDescent="0.25">
      <c r="B378" s="527" t="s">
        <v>143</v>
      </c>
      <c r="C378" s="547"/>
      <c r="D378" s="261"/>
      <c r="E378" s="263"/>
      <c r="F378" s="294"/>
      <c r="G378" s="262"/>
      <c r="H378" s="262"/>
      <c r="I378" s="262"/>
      <c r="J378" s="265"/>
    </row>
    <row r="379" spans="2:10" ht="15.75" customHeight="1" outlineLevel="3" x14ac:dyDescent="0.25">
      <c r="B379" s="524" t="s">
        <v>144</v>
      </c>
      <c r="C379" s="517"/>
      <c r="D379" s="283"/>
      <c r="E379" s="284"/>
      <c r="F379" s="384"/>
      <c r="G379" s="286"/>
      <c r="H379" s="286"/>
      <c r="I379" s="286"/>
      <c r="J379" s="287"/>
    </row>
    <row r="380" spans="2:10" ht="15" customHeight="1" outlineLevel="3" x14ac:dyDescent="0.25">
      <c r="B380" s="521"/>
      <c r="C380" s="522" t="s">
        <v>112</v>
      </c>
      <c r="D380" s="522">
        <f t="shared" ref="D380:J380" si="10">SUM(D378:D379)</f>
        <v>0</v>
      </c>
      <c r="E380" s="522">
        <f t="shared" si="10"/>
        <v>0</v>
      </c>
      <c r="F380" s="522">
        <f t="shared" si="10"/>
        <v>0</v>
      </c>
      <c r="G380" s="522">
        <f t="shared" si="10"/>
        <v>0</v>
      </c>
      <c r="H380" s="522">
        <f t="shared" si="10"/>
        <v>0</v>
      </c>
      <c r="I380" s="522">
        <f t="shared" si="10"/>
        <v>0</v>
      </c>
      <c r="J380" s="523">
        <f t="shared" si="10"/>
        <v>0</v>
      </c>
    </row>
    <row r="381" spans="2:10" ht="21.75" customHeight="1" outlineLevel="2" x14ac:dyDescent="0.25">
      <c r="B381" s="235" t="s">
        <v>141</v>
      </c>
      <c r="C381" s="236"/>
      <c r="D381" s="236"/>
      <c r="E381" s="236"/>
      <c r="F381" s="236"/>
      <c r="G381" s="236"/>
      <c r="H381" s="236"/>
      <c r="I381" s="236"/>
      <c r="J381" s="236"/>
    </row>
    <row r="382" spans="2:10" ht="15.75" customHeight="1" outlineLevel="3" x14ac:dyDescent="0.25">
      <c r="B382" s="527" t="s">
        <v>143</v>
      </c>
      <c r="C382" s="547"/>
      <c r="D382" s="261">
        <v>0</v>
      </c>
      <c r="E382" s="263">
        <v>0</v>
      </c>
      <c r="F382" s="294">
        <v>0</v>
      </c>
      <c r="G382" s="262">
        <v>0</v>
      </c>
      <c r="H382" s="262">
        <v>0</v>
      </c>
      <c r="I382" s="262">
        <v>0</v>
      </c>
      <c r="J382" s="265">
        <v>0</v>
      </c>
    </row>
    <row r="383" spans="2:10" ht="15.75" customHeight="1" outlineLevel="3" x14ac:dyDescent="0.25">
      <c r="B383" s="524" t="s">
        <v>144</v>
      </c>
      <c r="C383" s="517"/>
      <c r="D383" s="283">
        <v>0</v>
      </c>
      <c r="E383" s="284">
        <v>0</v>
      </c>
      <c r="F383" s="384">
        <v>0</v>
      </c>
      <c r="G383" s="286">
        <v>0</v>
      </c>
      <c r="H383" s="286">
        <v>0</v>
      </c>
      <c r="I383" s="286">
        <v>0</v>
      </c>
      <c r="J383" s="287">
        <v>0</v>
      </c>
    </row>
    <row r="384" spans="2:10" ht="15" customHeight="1" outlineLevel="3" x14ac:dyDescent="0.25">
      <c r="B384" s="521"/>
      <c r="C384" s="522" t="s">
        <v>112</v>
      </c>
      <c r="D384" s="522">
        <f t="shared" ref="D384:J384" si="11">SUM(D382:D383)</f>
        <v>0</v>
      </c>
      <c r="E384" s="522">
        <f t="shared" si="11"/>
        <v>0</v>
      </c>
      <c r="F384" s="522">
        <f t="shared" si="11"/>
        <v>0</v>
      </c>
      <c r="G384" s="522">
        <f t="shared" si="11"/>
        <v>0</v>
      </c>
      <c r="H384" s="522">
        <f t="shared" si="11"/>
        <v>0</v>
      </c>
      <c r="I384" s="522">
        <f t="shared" si="11"/>
        <v>0</v>
      </c>
      <c r="J384" s="523">
        <f t="shared" si="11"/>
        <v>0</v>
      </c>
    </row>
    <row r="385" spans="1:10" ht="15.75" customHeight="1" outlineLevel="2" x14ac:dyDescent="0.25">
      <c r="B385" s="306"/>
      <c r="C385" s="2" t="s">
        <v>145</v>
      </c>
      <c r="D385" s="2">
        <f t="shared" ref="D385:J385" si="12">SUM(D384,D380,D376,D372,D368,D364)</f>
        <v>0</v>
      </c>
      <c r="E385" s="2">
        <f t="shared" si="12"/>
        <v>0</v>
      </c>
      <c r="F385" s="2">
        <f t="shared" si="12"/>
        <v>0</v>
      </c>
      <c r="G385" s="2">
        <f t="shared" si="12"/>
        <v>0</v>
      </c>
      <c r="H385" s="2">
        <f t="shared" si="12"/>
        <v>0</v>
      </c>
      <c r="I385" s="2">
        <f t="shared" si="12"/>
        <v>0</v>
      </c>
      <c r="J385" s="532">
        <f t="shared" si="12"/>
        <v>0</v>
      </c>
    </row>
    <row r="386" spans="1:10" outlineLevel="1" x14ac:dyDescent="0.25"/>
    <row r="387" spans="1:10" outlineLevel="1" x14ac:dyDescent="0.25"/>
    <row r="388" spans="1:10" ht="15" customHeight="1" x14ac:dyDescent="0.25"/>
    <row r="389" spans="1:10" s="41" customFormat="1" ht="24" customHeight="1" x14ac:dyDescent="0.2">
      <c r="B389" s="31" t="s">
        <v>146</v>
      </c>
      <c r="C389" s="31"/>
      <c r="D389" s="31"/>
      <c r="E389" s="31"/>
      <c r="F389" s="31"/>
      <c r="G389" s="31"/>
      <c r="H389" s="31"/>
      <c r="I389" s="31"/>
      <c r="J389" s="31"/>
    </row>
    <row r="390" spans="1:10" s="301" customFormat="1" ht="24" customHeight="1" outlineLevel="1" x14ac:dyDescent="0.25">
      <c r="B390" s="232" t="s">
        <v>147</v>
      </c>
      <c r="C390" s="233"/>
      <c r="D390" s="233"/>
      <c r="E390" s="233"/>
      <c r="F390" s="233"/>
      <c r="G390" s="233"/>
      <c r="H390" s="233"/>
      <c r="I390" s="233"/>
      <c r="J390" s="233"/>
    </row>
    <row r="391" spans="1:10" s="41" customFormat="1" outlineLevel="2" x14ac:dyDescent="0.25">
      <c r="A391" s="276"/>
      <c r="B391" s="74"/>
      <c r="D391" s="1335" t="s">
        <v>148</v>
      </c>
      <c r="E391" s="1336"/>
      <c r="F391" s="1336"/>
      <c r="G391" s="1336"/>
      <c r="H391" s="1336"/>
      <c r="I391" s="1336"/>
      <c r="J391" s="1337"/>
    </row>
    <row r="392" spans="1:10" s="41" customFormat="1" outlineLevel="2" x14ac:dyDescent="0.25">
      <c r="A392" s="276"/>
      <c r="B392" s="74"/>
      <c r="D392" s="1328" t="s">
        <v>149</v>
      </c>
      <c r="E392" s="1329"/>
      <c r="F392" s="1329"/>
      <c r="G392" s="1329"/>
      <c r="H392" s="1329"/>
      <c r="I392" s="1329"/>
      <c r="J392" s="1330"/>
    </row>
    <row r="393" spans="1:10" s="41" customFormat="1" ht="15" customHeight="1" outlineLevel="2" x14ac:dyDescent="0.25">
      <c r="A393" s="276"/>
      <c r="B393" s="74"/>
      <c r="D393" s="386" t="str">
        <f ca="1">dms_y1</f>
        <v>2024-25</v>
      </c>
      <c r="E393" s="291" t="str">
        <f ca="1">dms_y2</f>
        <v>2025-26</v>
      </c>
      <c r="F393" s="290" t="str">
        <f ca="1">dms_y3</f>
        <v>2026-27</v>
      </c>
      <c r="G393" s="290" t="str">
        <f ca="1">dms_y4</f>
        <v>2027-28</v>
      </c>
      <c r="H393" s="290" t="str">
        <f ca="1">dms_y5</f>
        <v>2028-29</v>
      </c>
      <c r="I393" s="290" t="str">
        <f ca="1">dms_y6</f>
        <v>2029-30</v>
      </c>
      <c r="J393" s="387" t="str">
        <f ca="1">dms_y7</f>
        <v>2030-31</v>
      </c>
    </row>
    <row r="394" spans="1:10" ht="20.25" customHeight="1" outlineLevel="2" x14ac:dyDescent="0.25">
      <c r="B394" s="235" t="s">
        <v>150</v>
      </c>
      <c r="C394" s="236"/>
      <c r="D394" s="236"/>
      <c r="E394" s="236"/>
      <c r="F394" s="236"/>
      <c r="G394" s="236"/>
      <c r="H394" s="236"/>
      <c r="I394" s="236"/>
      <c r="J394" s="236"/>
    </row>
    <row r="395" spans="1:10" ht="15.75" customHeight="1" outlineLevel="3" x14ac:dyDescent="0.25">
      <c r="B395" s="541" t="s">
        <v>126</v>
      </c>
      <c r="C395" s="507"/>
      <c r="D395" s="270">
        <v>0</v>
      </c>
      <c r="E395" s="255">
        <v>0</v>
      </c>
      <c r="F395" s="255">
        <v>0</v>
      </c>
      <c r="G395" s="256">
        <v>0</v>
      </c>
      <c r="H395" s="256">
        <v>0</v>
      </c>
      <c r="I395" s="270">
        <v>0</v>
      </c>
      <c r="J395" s="256">
        <v>0</v>
      </c>
    </row>
    <row r="396" spans="1:10" ht="15.75" customHeight="1" outlineLevel="3" x14ac:dyDescent="0.25">
      <c r="B396" s="541" t="s">
        <v>127</v>
      </c>
      <c r="C396" s="508"/>
      <c r="D396" s="270"/>
      <c r="E396" s="255"/>
      <c r="F396" s="255"/>
      <c r="G396" s="256"/>
      <c r="H396" s="256"/>
      <c r="I396" s="270"/>
      <c r="J396" s="256"/>
    </row>
    <row r="397" spans="1:10" ht="15.75" customHeight="1" outlineLevel="3" x14ac:dyDescent="0.25">
      <c r="B397" s="541" t="s">
        <v>128</v>
      </c>
      <c r="C397" s="508"/>
      <c r="D397" s="270"/>
      <c r="E397" s="255"/>
      <c r="F397" s="255"/>
      <c r="G397" s="256"/>
      <c r="H397" s="256"/>
      <c r="I397" s="270"/>
      <c r="J397" s="256"/>
    </row>
    <row r="398" spans="1:10" ht="15.75" customHeight="1" outlineLevel="3" x14ac:dyDescent="0.25">
      <c r="B398" s="541" t="s">
        <v>129</v>
      </c>
      <c r="C398" s="508"/>
      <c r="D398" s="270"/>
      <c r="E398" s="255"/>
      <c r="F398" s="255"/>
      <c r="G398" s="256"/>
      <c r="H398" s="256"/>
      <c r="I398" s="270"/>
      <c r="J398" s="256"/>
    </row>
    <row r="399" spans="1:10" ht="15.75" customHeight="1" outlineLevel="3" x14ac:dyDescent="0.25">
      <c r="B399" s="541" t="s">
        <v>130</v>
      </c>
      <c r="C399" s="508"/>
      <c r="D399" s="270"/>
      <c r="E399" s="255"/>
      <c r="F399" s="255"/>
      <c r="G399" s="256"/>
      <c r="H399" s="256"/>
      <c r="I399" s="270"/>
      <c r="J399" s="256"/>
    </row>
    <row r="400" spans="1:10" ht="15.75" customHeight="1" outlineLevel="3" x14ac:dyDescent="0.25">
      <c r="B400" s="541" t="s">
        <v>131</v>
      </c>
      <c r="C400" s="508"/>
      <c r="D400" s="270"/>
      <c r="E400" s="255"/>
      <c r="F400" s="255"/>
      <c r="G400" s="256"/>
      <c r="H400" s="256"/>
      <c r="I400" s="270"/>
      <c r="J400" s="256"/>
    </row>
    <row r="401" spans="2:10" ht="15.75" customHeight="1" outlineLevel="3" x14ac:dyDescent="0.25">
      <c r="B401" s="541" t="s">
        <v>132</v>
      </c>
      <c r="C401" s="508"/>
      <c r="D401" s="270"/>
      <c r="E401" s="255"/>
      <c r="F401" s="255"/>
      <c r="G401" s="256"/>
      <c r="H401" s="256"/>
      <c r="I401" s="270"/>
      <c r="J401" s="256"/>
    </row>
    <row r="402" spans="2:10" ht="15.75" customHeight="1" outlineLevel="3" x14ac:dyDescent="0.25">
      <c r="B402" s="541"/>
      <c r="C402" s="508"/>
      <c r="D402" s="270"/>
      <c r="E402" s="255"/>
      <c r="F402" s="255"/>
      <c r="G402" s="256"/>
      <c r="H402" s="256"/>
      <c r="I402" s="270"/>
      <c r="J402" s="256"/>
    </row>
    <row r="403" spans="2:10" ht="15.75" customHeight="1" outlineLevel="3" x14ac:dyDescent="0.25">
      <c r="B403" s="541"/>
      <c r="C403" s="508"/>
      <c r="D403" s="270"/>
      <c r="E403" s="255"/>
      <c r="F403" s="255"/>
      <c r="G403" s="256"/>
      <c r="H403" s="256"/>
      <c r="I403" s="270"/>
      <c r="J403" s="256"/>
    </row>
    <row r="404" spans="2:10" ht="15.75" customHeight="1" outlineLevel="3" x14ac:dyDescent="0.25">
      <c r="B404" s="541"/>
      <c r="C404" s="508"/>
      <c r="D404" s="270"/>
      <c r="E404" s="255"/>
      <c r="F404" s="255"/>
      <c r="G404" s="256"/>
      <c r="H404" s="256"/>
      <c r="I404" s="270"/>
      <c r="J404" s="256"/>
    </row>
    <row r="405" spans="2:10" ht="15.75" customHeight="1" outlineLevel="3" x14ac:dyDescent="0.25">
      <c r="B405" s="541"/>
      <c r="C405" s="508"/>
      <c r="D405" s="270"/>
      <c r="E405" s="255"/>
      <c r="F405" s="255"/>
      <c r="G405" s="256"/>
      <c r="H405" s="256"/>
      <c r="I405" s="270"/>
      <c r="J405" s="256"/>
    </row>
    <row r="406" spans="2:10" ht="15.75" customHeight="1" outlineLevel="3" x14ac:dyDescent="0.25">
      <c r="B406" s="541"/>
      <c r="C406" s="508"/>
      <c r="D406" s="270"/>
      <c r="E406" s="255"/>
      <c r="F406" s="255"/>
      <c r="G406" s="256"/>
      <c r="H406" s="256"/>
      <c r="I406" s="270"/>
      <c r="J406" s="256"/>
    </row>
    <row r="407" spans="2:10" ht="15.75" customHeight="1" outlineLevel="3" x14ac:dyDescent="0.25">
      <c r="B407" s="541"/>
      <c r="C407" s="508"/>
      <c r="D407" s="270"/>
      <c r="E407" s="255"/>
      <c r="F407" s="255"/>
      <c r="G407" s="256"/>
      <c r="H407" s="256"/>
      <c r="I407" s="270"/>
      <c r="J407" s="256"/>
    </row>
    <row r="408" spans="2:10" ht="15.75" customHeight="1" outlineLevel="3" x14ac:dyDescent="0.25">
      <c r="B408" s="541"/>
      <c r="C408" s="508"/>
      <c r="D408" s="270"/>
      <c r="E408" s="255"/>
      <c r="F408" s="255"/>
      <c r="G408" s="256"/>
      <c r="H408" s="256"/>
      <c r="I408" s="270"/>
      <c r="J408" s="256"/>
    </row>
    <row r="409" spans="2:10" ht="15.75" customHeight="1" outlineLevel="3" x14ac:dyDescent="0.25">
      <c r="B409" s="541"/>
      <c r="C409" s="508"/>
      <c r="D409" s="270"/>
      <c r="E409" s="255"/>
      <c r="F409" s="255"/>
      <c r="G409" s="256"/>
      <c r="H409" s="256"/>
      <c r="I409" s="270"/>
      <c r="J409" s="256"/>
    </row>
    <row r="410" spans="2:10" ht="15.75" customHeight="1" outlineLevel="3" x14ac:dyDescent="0.25">
      <c r="B410" s="506"/>
      <c r="C410" s="542"/>
      <c r="D410" s="525"/>
      <c r="E410" s="307"/>
      <c r="F410" s="307"/>
      <c r="G410" s="526"/>
      <c r="H410" s="526"/>
      <c r="I410" s="525"/>
      <c r="J410" s="526"/>
    </row>
    <row r="411" spans="2:10" ht="15.75" customHeight="1" outlineLevel="3" x14ac:dyDescent="0.25">
      <c r="B411" s="506"/>
      <c r="C411" s="542"/>
      <c r="D411" s="525"/>
      <c r="E411" s="307"/>
      <c r="F411" s="307"/>
      <c r="G411" s="526"/>
      <c r="H411" s="526"/>
      <c r="I411" s="525"/>
      <c r="J411" s="526"/>
    </row>
    <row r="412" spans="2:10" ht="15.75" customHeight="1" outlineLevel="3" x14ac:dyDescent="0.25">
      <c r="B412" s="506"/>
      <c r="C412" s="542"/>
      <c r="D412" s="525"/>
      <c r="E412" s="307"/>
      <c r="F412" s="307"/>
      <c r="G412" s="526"/>
      <c r="H412" s="526"/>
      <c r="I412" s="525"/>
      <c r="J412" s="526"/>
    </row>
    <row r="413" spans="2:10" ht="15.75" customHeight="1" outlineLevel="3" x14ac:dyDescent="0.25">
      <c r="B413" s="506"/>
      <c r="C413" s="542"/>
      <c r="D413" s="525"/>
      <c r="E413" s="307"/>
      <c r="F413" s="307"/>
      <c r="G413" s="526"/>
      <c r="H413" s="526"/>
      <c r="I413" s="525"/>
      <c r="J413" s="526"/>
    </row>
    <row r="414" spans="2:10" ht="15.75" customHeight="1" outlineLevel="3" x14ac:dyDescent="0.25">
      <c r="B414" s="506"/>
      <c r="C414" s="542"/>
      <c r="D414" s="525"/>
      <c r="E414" s="307"/>
      <c r="F414" s="307"/>
      <c r="G414" s="526"/>
      <c r="H414" s="526"/>
      <c r="I414" s="525"/>
      <c r="J414" s="526"/>
    </row>
    <row r="415" spans="2:10" ht="15.75" customHeight="1" outlineLevel="3" x14ac:dyDescent="0.25">
      <c r="B415" s="506"/>
      <c r="C415" s="542"/>
      <c r="D415" s="525"/>
      <c r="E415" s="307"/>
      <c r="F415" s="307"/>
      <c r="G415" s="526"/>
      <c r="H415" s="526"/>
      <c r="I415" s="525"/>
      <c r="J415" s="526"/>
    </row>
    <row r="416" spans="2:10" ht="15.75" customHeight="1" outlineLevel="3" x14ac:dyDescent="0.25">
      <c r="B416" s="506"/>
      <c r="C416" s="542"/>
      <c r="D416" s="525"/>
      <c r="E416" s="307"/>
      <c r="F416" s="307"/>
      <c r="G416" s="526"/>
      <c r="H416" s="526"/>
      <c r="I416" s="525"/>
      <c r="J416" s="526"/>
    </row>
    <row r="417" spans="2:10" ht="15.75" customHeight="1" outlineLevel="3" x14ac:dyDescent="0.25">
      <c r="B417" s="506"/>
      <c r="C417" s="542"/>
      <c r="D417" s="525"/>
      <c r="E417" s="307"/>
      <c r="F417" s="307"/>
      <c r="G417" s="526"/>
      <c r="H417" s="526"/>
      <c r="I417" s="525"/>
      <c r="J417" s="526"/>
    </row>
    <row r="418" spans="2:10" ht="15.75" customHeight="1" outlineLevel="3" x14ac:dyDescent="0.25">
      <c r="B418" s="506"/>
      <c r="C418" s="542"/>
      <c r="D418" s="525"/>
      <c r="E418" s="307"/>
      <c r="F418" s="307"/>
      <c r="G418" s="526"/>
      <c r="H418" s="526"/>
      <c r="I418" s="525"/>
      <c r="J418" s="526"/>
    </row>
    <row r="419" spans="2:10" ht="15.75" customHeight="1" outlineLevel="3" x14ac:dyDescent="0.25">
      <c r="B419" s="506"/>
      <c r="C419" s="542"/>
      <c r="D419" s="525"/>
      <c r="E419" s="307"/>
      <c r="F419" s="307"/>
      <c r="G419" s="526"/>
      <c r="H419" s="526"/>
      <c r="I419" s="525"/>
      <c r="J419" s="526"/>
    </row>
    <row r="420" spans="2:10" ht="15.75" customHeight="1" outlineLevel="3" x14ac:dyDescent="0.25">
      <c r="B420" s="506"/>
      <c r="C420" s="542"/>
      <c r="D420" s="525"/>
      <c r="E420" s="307"/>
      <c r="F420" s="307"/>
      <c r="G420" s="526"/>
      <c r="H420" s="526"/>
      <c r="I420" s="525"/>
      <c r="J420" s="526"/>
    </row>
    <row r="421" spans="2:10" ht="15.75" customHeight="1" outlineLevel="3" x14ac:dyDescent="0.25">
      <c r="B421" s="506"/>
      <c r="C421" s="542"/>
      <c r="D421" s="525"/>
      <c r="E421" s="307"/>
      <c r="F421" s="307"/>
      <c r="G421" s="526"/>
      <c r="H421" s="526"/>
      <c r="I421" s="525"/>
      <c r="J421" s="526"/>
    </row>
    <row r="422" spans="2:10" ht="15.75" customHeight="1" outlineLevel="3" x14ac:dyDescent="0.25">
      <c r="B422" s="506"/>
      <c r="C422" s="542"/>
      <c r="D422" s="525"/>
      <c r="E422" s="307"/>
      <c r="F422" s="307"/>
      <c r="G422" s="526"/>
      <c r="H422" s="526"/>
      <c r="I422" s="525"/>
      <c r="J422" s="526"/>
    </row>
    <row r="423" spans="2:10" ht="15.75" customHeight="1" outlineLevel="3" x14ac:dyDescent="0.25">
      <c r="B423" s="506"/>
      <c r="C423" s="542"/>
      <c r="D423" s="525"/>
      <c r="E423" s="307"/>
      <c r="F423" s="307"/>
      <c r="G423" s="526"/>
      <c r="H423" s="526"/>
      <c r="I423" s="525"/>
      <c r="J423" s="526"/>
    </row>
    <row r="424" spans="2:10" ht="15.75" customHeight="1" outlineLevel="3" x14ac:dyDescent="0.25">
      <c r="B424" s="506"/>
      <c r="C424" s="542"/>
      <c r="D424" s="525"/>
      <c r="E424" s="307"/>
      <c r="F424" s="307"/>
      <c r="G424" s="526"/>
      <c r="H424" s="526"/>
      <c r="I424" s="525"/>
      <c r="J424" s="526"/>
    </row>
    <row r="425" spans="2:10" ht="15.75" customHeight="1" outlineLevel="3" x14ac:dyDescent="0.25">
      <c r="B425" s="506"/>
      <c r="C425" s="542"/>
      <c r="D425" s="525"/>
      <c r="E425" s="307"/>
      <c r="F425" s="307"/>
      <c r="G425" s="526"/>
      <c r="H425" s="526"/>
      <c r="I425" s="525"/>
      <c r="J425" s="526"/>
    </row>
    <row r="426" spans="2:10" ht="15.75" customHeight="1" outlineLevel="3" x14ac:dyDescent="0.25">
      <c r="B426" s="506"/>
      <c r="C426" s="542"/>
      <c r="D426" s="525"/>
      <c r="E426" s="307"/>
      <c r="F426" s="307"/>
      <c r="G426" s="526"/>
      <c r="H426" s="526"/>
      <c r="I426" s="525"/>
      <c r="J426" s="526"/>
    </row>
    <row r="427" spans="2:10" ht="15.75" customHeight="1" outlineLevel="3" x14ac:dyDescent="0.25">
      <c r="B427" s="506"/>
      <c r="C427" s="542"/>
      <c r="D427" s="525"/>
      <c r="E427" s="307"/>
      <c r="F427" s="307"/>
      <c r="G427" s="526"/>
      <c r="H427" s="526"/>
      <c r="I427" s="525"/>
      <c r="J427" s="526"/>
    </row>
    <row r="428" spans="2:10" ht="15.75" customHeight="1" outlineLevel="3" x14ac:dyDescent="0.25">
      <c r="B428" s="506"/>
      <c r="C428" s="542"/>
      <c r="D428" s="525"/>
      <c r="E428" s="307"/>
      <c r="F428" s="307"/>
      <c r="G428" s="526"/>
      <c r="H428" s="526"/>
      <c r="I428" s="525"/>
      <c r="J428" s="526"/>
    </row>
    <row r="429" spans="2:10" ht="15.75" customHeight="1" outlineLevel="3" x14ac:dyDescent="0.25">
      <c r="B429" s="506"/>
      <c r="C429" s="542"/>
      <c r="D429" s="525"/>
      <c r="E429" s="307"/>
      <c r="F429" s="307"/>
      <c r="G429" s="526"/>
      <c r="H429" s="526"/>
      <c r="I429" s="525"/>
      <c r="J429" s="526"/>
    </row>
    <row r="430" spans="2:10" ht="15.75" customHeight="1" outlineLevel="3" x14ac:dyDescent="0.25">
      <c r="B430" s="506"/>
      <c r="C430" s="542"/>
      <c r="D430" s="525"/>
      <c r="E430" s="307"/>
      <c r="F430" s="307"/>
      <c r="G430" s="526"/>
      <c r="H430" s="526"/>
      <c r="I430" s="525"/>
      <c r="J430" s="526"/>
    </row>
    <row r="431" spans="2:10" ht="15.75" customHeight="1" outlineLevel="3" x14ac:dyDescent="0.25">
      <c r="B431" s="506"/>
      <c r="C431" s="542"/>
      <c r="D431" s="525"/>
      <c r="E431" s="307"/>
      <c r="F431" s="307"/>
      <c r="G431" s="526"/>
      <c r="H431" s="526"/>
      <c r="I431" s="525"/>
      <c r="J431" s="526"/>
    </row>
    <row r="432" spans="2:10" ht="15.75" customHeight="1" outlineLevel="3" x14ac:dyDescent="0.25">
      <c r="B432" s="506"/>
      <c r="C432" s="542"/>
      <c r="D432" s="525"/>
      <c r="E432" s="307"/>
      <c r="F432" s="307"/>
      <c r="G432" s="526"/>
      <c r="H432" s="526"/>
      <c r="I432" s="525"/>
      <c r="J432" s="526"/>
    </row>
    <row r="433" spans="2:10" ht="15.75" customHeight="1" outlineLevel="3" x14ac:dyDescent="0.25">
      <c r="B433" s="506"/>
      <c r="C433" s="542"/>
      <c r="D433" s="525"/>
      <c r="E433" s="307"/>
      <c r="F433" s="307"/>
      <c r="G433" s="526"/>
      <c r="H433" s="526"/>
      <c r="I433" s="525"/>
      <c r="J433" s="526"/>
    </row>
    <row r="434" spans="2:10" ht="15.75" customHeight="1" outlineLevel="3" x14ac:dyDescent="0.25">
      <c r="B434" s="506"/>
      <c r="C434" s="542"/>
      <c r="D434" s="525"/>
      <c r="E434" s="307"/>
      <c r="F434" s="307"/>
      <c r="G434" s="526"/>
      <c r="H434" s="526"/>
      <c r="I434" s="525"/>
      <c r="J434" s="526"/>
    </row>
    <row r="435" spans="2:10" ht="15.75" customHeight="1" outlineLevel="3" x14ac:dyDescent="0.25">
      <c r="B435" s="506"/>
      <c r="C435" s="542"/>
      <c r="D435" s="525"/>
      <c r="E435" s="307"/>
      <c r="F435" s="307"/>
      <c r="G435" s="526"/>
      <c r="H435" s="526"/>
      <c r="I435" s="525"/>
      <c r="J435" s="526"/>
    </row>
    <row r="436" spans="2:10" ht="15.75" customHeight="1" outlineLevel="3" x14ac:dyDescent="0.25">
      <c r="B436" s="506"/>
      <c r="C436" s="542"/>
      <c r="D436" s="525"/>
      <c r="E436" s="307"/>
      <c r="F436" s="307"/>
      <c r="G436" s="526"/>
      <c r="H436" s="526"/>
      <c r="I436" s="525"/>
      <c r="J436" s="526"/>
    </row>
    <row r="437" spans="2:10" ht="15.75" customHeight="1" outlineLevel="3" x14ac:dyDescent="0.25">
      <c r="B437" s="506"/>
      <c r="C437" s="542"/>
      <c r="D437" s="525"/>
      <c r="E437" s="307"/>
      <c r="F437" s="307"/>
      <c r="G437" s="526"/>
      <c r="H437" s="526"/>
      <c r="I437" s="525"/>
      <c r="J437" s="526"/>
    </row>
    <row r="438" spans="2:10" ht="15.75" customHeight="1" outlineLevel="3" x14ac:dyDescent="0.25">
      <c r="B438" s="506"/>
      <c r="C438" s="542"/>
      <c r="D438" s="525"/>
      <c r="E438" s="307"/>
      <c r="F438" s="307"/>
      <c r="G438" s="526"/>
      <c r="H438" s="526"/>
      <c r="I438" s="525"/>
      <c r="J438" s="526"/>
    </row>
    <row r="439" spans="2:10" ht="15.75" customHeight="1" outlineLevel="3" x14ac:dyDescent="0.25">
      <c r="B439" s="506"/>
      <c r="C439" s="542"/>
      <c r="D439" s="525"/>
      <c r="E439" s="307"/>
      <c r="F439" s="307"/>
      <c r="G439" s="526"/>
      <c r="H439" s="526"/>
      <c r="I439" s="525"/>
      <c r="J439" s="526"/>
    </row>
    <row r="440" spans="2:10" ht="15.75" customHeight="1" outlineLevel="3" x14ac:dyDescent="0.25">
      <c r="B440" s="506"/>
      <c r="C440" s="542"/>
      <c r="D440" s="525"/>
      <c r="E440" s="307"/>
      <c r="F440" s="307"/>
      <c r="G440" s="526"/>
      <c r="H440" s="526"/>
      <c r="I440" s="525"/>
      <c r="J440" s="526"/>
    </row>
    <row r="441" spans="2:10" ht="15.75" customHeight="1" outlineLevel="3" x14ac:dyDescent="0.25">
      <c r="B441" s="506"/>
      <c r="C441" s="542"/>
      <c r="D441" s="525"/>
      <c r="E441" s="307"/>
      <c r="F441" s="307"/>
      <c r="G441" s="526"/>
      <c r="H441" s="526"/>
      <c r="I441" s="525"/>
      <c r="J441" s="526"/>
    </row>
    <row r="442" spans="2:10" ht="15.75" customHeight="1" outlineLevel="3" x14ac:dyDescent="0.25">
      <c r="B442" s="506"/>
      <c r="C442" s="542"/>
      <c r="D442" s="525"/>
      <c r="E442" s="307"/>
      <c r="F442" s="307"/>
      <c r="G442" s="526"/>
      <c r="H442" s="526"/>
      <c r="I442" s="525"/>
      <c r="J442" s="526"/>
    </row>
    <row r="443" spans="2:10" ht="15.75" customHeight="1" outlineLevel="3" x14ac:dyDescent="0.25">
      <c r="B443" s="506"/>
      <c r="C443" s="542"/>
      <c r="D443" s="525"/>
      <c r="E443" s="307"/>
      <c r="F443" s="307"/>
      <c r="G443" s="526"/>
      <c r="H443" s="526"/>
      <c r="I443" s="525"/>
      <c r="J443" s="526"/>
    </row>
    <row r="444" spans="2:10" ht="15.75" customHeight="1" outlineLevel="3" x14ac:dyDescent="0.25">
      <c r="B444" s="506"/>
      <c r="C444" s="542"/>
      <c r="D444" s="525"/>
      <c r="E444" s="307"/>
      <c r="F444" s="307"/>
      <c r="G444" s="526"/>
      <c r="H444" s="526"/>
      <c r="I444" s="525"/>
      <c r="J444" s="526"/>
    </row>
    <row r="445" spans="2:10" ht="15.75" customHeight="1" outlineLevel="3" x14ac:dyDescent="0.25">
      <c r="B445" s="543" t="s">
        <v>151</v>
      </c>
      <c r="C445" s="512"/>
      <c r="D445" s="272"/>
      <c r="E445" s="258"/>
      <c r="F445" s="258"/>
      <c r="G445" s="259"/>
      <c r="H445" s="259"/>
      <c r="I445" s="272"/>
      <c r="J445" s="259"/>
    </row>
    <row r="446" spans="2:10" ht="15.75" customHeight="1" outlineLevel="3" x14ac:dyDescent="0.25">
      <c r="B446" s="513"/>
      <c r="C446" s="514" t="s">
        <v>112</v>
      </c>
      <c r="D446" s="514">
        <f t="shared" ref="D446:J446" si="13">SUM(D395:D445)</f>
        <v>0</v>
      </c>
      <c r="E446" s="514">
        <f t="shared" si="13"/>
        <v>0</v>
      </c>
      <c r="F446" s="514">
        <f t="shared" si="13"/>
        <v>0</v>
      </c>
      <c r="G446" s="514">
        <f t="shared" si="13"/>
        <v>0</v>
      </c>
      <c r="H446" s="514">
        <f t="shared" si="13"/>
        <v>0</v>
      </c>
      <c r="I446" s="514">
        <f t="shared" si="13"/>
        <v>0</v>
      </c>
      <c r="J446" s="514">
        <f t="shared" si="13"/>
        <v>0</v>
      </c>
    </row>
    <row r="447" spans="2:10" ht="15" customHeight="1" outlineLevel="2" x14ac:dyDescent="0.25">
      <c r="B447" s="74"/>
    </row>
    <row r="448" spans="2:10" ht="20.25" customHeight="1" outlineLevel="2" x14ac:dyDescent="0.25">
      <c r="B448" s="235" t="s">
        <v>152</v>
      </c>
      <c r="C448" s="236"/>
      <c r="D448" s="236"/>
      <c r="E448" s="236"/>
      <c r="F448" s="236"/>
      <c r="G448" s="236"/>
      <c r="H448" s="236"/>
      <c r="I448" s="236"/>
      <c r="J448" s="236"/>
    </row>
    <row r="449" spans="2:10" ht="15.75" customHeight="1" outlineLevel="3" x14ac:dyDescent="0.25">
      <c r="B449" s="541" t="s">
        <v>126</v>
      </c>
      <c r="C449" s="507"/>
      <c r="D449" s="270">
        <v>0</v>
      </c>
      <c r="E449" s="255">
        <v>0</v>
      </c>
      <c r="F449" s="255">
        <v>0</v>
      </c>
      <c r="G449" s="256">
        <v>0</v>
      </c>
      <c r="H449" s="256">
        <v>0</v>
      </c>
      <c r="I449" s="270">
        <v>0</v>
      </c>
      <c r="J449" s="256">
        <v>0</v>
      </c>
    </row>
    <row r="450" spans="2:10" ht="15.75" customHeight="1" outlineLevel="3" x14ac:dyDescent="0.25">
      <c r="B450" s="541" t="s">
        <v>127</v>
      </c>
      <c r="C450" s="508"/>
      <c r="D450" s="270"/>
      <c r="E450" s="255"/>
      <c r="F450" s="255"/>
      <c r="G450" s="256"/>
      <c r="H450" s="256"/>
      <c r="I450" s="270"/>
      <c r="J450" s="256"/>
    </row>
    <row r="451" spans="2:10" ht="15.75" customHeight="1" outlineLevel="3" x14ac:dyDescent="0.25">
      <c r="B451" s="541" t="s">
        <v>128</v>
      </c>
      <c r="C451" s="508"/>
      <c r="D451" s="270"/>
      <c r="E451" s="255"/>
      <c r="F451" s="255"/>
      <c r="G451" s="256"/>
      <c r="H451" s="256"/>
      <c r="I451" s="270"/>
      <c r="J451" s="256"/>
    </row>
    <row r="452" spans="2:10" ht="15.75" customHeight="1" outlineLevel="3" x14ac:dyDescent="0.25">
      <c r="B452" s="541" t="s">
        <v>129</v>
      </c>
      <c r="C452" s="508"/>
      <c r="D452" s="270"/>
      <c r="E452" s="255"/>
      <c r="F452" s="255"/>
      <c r="G452" s="256"/>
      <c r="H452" s="256"/>
      <c r="I452" s="270"/>
      <c r="J452" s="256"/>
    </row>
    <row r="453" spans="2:10" ht="15.75" customHeight="1" outlineLevel="3" x14ac:dyDescent="0.25">
      <c r="B453" s="541" t="s">
        <v>130</v>
      </c>
      <c r="C453" s="508"/>
      <c r="D453" s="270"/>
      <c r="E453" s="255"/>
      <c r="F453" s="255"/>
      <c r="G453" s="256"/>
      <c r="H453" s="256"/>
      <c r="I453" s="270"/>
      <c r="J453" s="256"/>
    </row>
    <row r="454" spans="2:10" ht="15.75" customHeight="1" outlineLevel="3" x14ac:dyDescent="0.25">
      <c r="B454" s="541" t="s">
        <v>131</v>
      </c>
      <c r="C454" s="508"/>
      <c r="D454" s="270"/>
      <c r="E454" s="255"/>
      <c r="F454" s="255"/>
      <c r="G454" s="256"/>
      <c r="H454" s="256"/>
      <c r="I454" s="270"/>
      <c r="J454" s="256"/>
    </row>
    <row r="455" spans="2:10" ht="15.75" customHeight="1" outlineLevel="3" x14ac:dyDescent="0.25">
      <c r="B455" s="541" t="s">
        <v>132</v>
      </c>
      <c r="C455" s="508"/>
      <c r="D455" s="270"/>
      <c r="E455" s="255"/>
      <c r="F455" s="255"/>
      <c r="G455" s="256"/>
      <c r="H455" s="256"/>
      <c r="I455" s="270"/>
      <c r="J455" s="256"/>
    </row>
    <row r="456" spans="2:10" ht="15.75" customHeight="1" outlineLevel="3" x14ac:dyDescent="0.25">
      <c r="B456" s="541"/>
      <c r="C456" s="508"/>
      <c r="D456" s="270"/>
      <c r="E456" s="255"/>
      <c r="F456" s="255"/>
      <c r="G456" s="256"/>
      <c r="H456" s="256"/>
      <c r="I456" s="270"/>
      <c r="J456" s="256"/>
    </row>
    <row r="457" spans="2:10" ht="15.75" customHeight="1" outlineLevel="3" x14ac:dyDescent="0.25">
      <c r="B457" s="541"/>
      <c r="C457" s="508"/>
      <c r="D457" s="270"/>
      <c r="E457" s="255"/>
      <c r="F457" s="255"/>
      <c r="G457" s="256"/>
      <c r="H457" s="256"/>
      <c r="I457" s="270"/>
      <c r="J457" s="256"/>
    </row>
    <row r="458" spans="2:10" ht="15.75" customHeight="1" outlineLevel="3" x14ac:dyDescent="0.25">
      <c r="B458" s="541"/>
      <c r="C458" s="508"/>
      <c r="D458" s="270"/>
      <c r="E458" s="255"/>
      <c r="F458" s="255"/>
      <c r="G458" s="256"/>
      <c r="H458" s="256"/>
      <c r="I458" s="270"/>
      <c r="J458" s="256"/>
    </row>
    <row r="459" spans="2:10" ht="15.75" customHeight="1" outlineLevel="3" x14ac:dyDescent="0.25">
      <c r="B459" s="541"/>
      <c r="C459" s="508"/>
      <c r="D459" s="270"/>
      <c r="E459" s="255"/>
      <c r="F459" s="255"/>
      <c r="G459" s="256"/>
      <c r="H459" s="256"/>
      <c r="I459" s="270"/>
      <c r="J459" s="256"/>
    </row>
    <row r="460" spans="2:10" ht="15.75" customHeight="1" outlineLevel="3" x14ac:dyDescent="0.25">
      <c r="B460" s="541"/>
      <c r="C460" s="508"/>
      <c r="D460" s="270"/>
      <c r="E460" s="255"/>
      <c r="F460" s="255"/>
      <c r="G460" s="256"/>
      <c r="H460" s="256"/>
      <c r="I460" s="270"/>
      <c r="J460" s="256"/>
    </row>
    <row r="461" spans="2:10" ht="15.75" customHeight="1" outlineLevel="3" x14ac:dyDescent="0.25">
      <c r="B461" s="541"/>
      <c r="C461" s="508"/>
      <c r="D461" s="270"/>
      <c r="E461" s="255"/>
      <c r="F461" s="255"/>
      <c r="G461" s="256"/>
      <c r="H461" s="256"/>
      <c r="I461" s="270"/>
      <c r="J461" s="256"/>
    </row>
    <row r="462" spans="2:10" ht="15.75" customHeight="1" outlineLevel="3" x14ac:dyDescent="0.25">
      <c r="B462" s="541"/>
      <c r="C462" s="508"/>
      <c r="D462" s="270"/>
      <c r="E462" s="255"/>
      <c r="F462" s="255"/>
      <c r="G462" s="256"/>
      <c r="H462" s="256"/>
      <c r="I462" s="270"/>
      <c r="J462" s="256"/>
    </row>
    <row r="463" spans="2:10" ht="15.75" customHeight="1" outlineLevel="3" x14ac:dyDescent="0.25">
      <c r="B463" s="541"/>
      <c r="C463" s="508"/>
      <c r="D463" s="270"/>
      <c r="E463" s="255"/>
      <c r="F463" s="255"/>
      <c r="G463" s="256"/>
      <c r="H463" s="256"/>
      <c r="I463" s="270"/>
      <c r="J463" s="256"/>
    </row>
    <row r="464" spans="2:10" ht="15.75" customHeight="1" outlineLevel="3" x14ac:dyDescent="0.25">
      <c r="B464" s="506"/>
      <c r="C464" s="542"/>
      <c r="D464" s="525"/>
      <c r="E464" s="307"/>
      <c r="F464" s="307"/>
      <c r="G464" s="526"/>
      <c r="H464" s="526"/>
      <c r="I464" s="525"/>
      <c r="J464" s="526"/>
    </row>
    <row r="465" spans="2:10" ht="15.75" customHeight="1" outlineLevel="3" x14ac:dyDescent="0.25">
      <c r="B465" s="506"/>
      <c r="C465" s="542"/>
      <c r="D465" s="525"/>
      <c r="E465" s="307"/>
      <c r="F465" s="307"/>
      <c r="G465" s="526"/>
      <c r="H465" s="526"/>
      <c r="I465" s="525"/>
      <c r="J465" s="526"/>
    </row>
    <row r="466" spans="2:10" ht="15.75" customHeight="1" outlineLevel="3" x14ac:dyDescent="0.25">
      <c r="B466" s="506"/>
      <c r="C466" s="542"/>
      <c r="D466" s="525"/>
      <c r="E466" s="307"/>
      <c r="F466" s="307"/>
      <c r="G466" s="526"/>
      <c r="H466" s="526"/>
      <c r="I466" s="525"/>
      <c r="J466" s="526"/>
    </row>
    <row r="467" spans="2:10" ht="15.75" customHeight="1" outlineLevel="3" x14ac:dyDescent="0.25">
      <c r="B467" s="506"/>
      <c r="C467" s="542"/>
      <c r="D467" s="525"/>
      <c r="E467" s="307"/>
      <c r="F467" s="307"/>
      <c r="G467" s="526"/>
      <c r="H467" s="526"/>
      <c r="I467" s="525"/>
      <c r="J467" s="526"/>
    </row>
    <row r="468" spans="2:10" ht="15.75" customHeight="1" outlineLevel="3" x14ac:dyDescent="0.25">
      <c r="B468" s="506"/>
      <c r="C468" s="542"/>
      <c r="D468" s="525"/>
      <c r="E468" s="307"/>
      <c r="F468" s="307"/>
      <c r="G468" s="526"/>
      <c r="H468" s="526"/>
      <c r="I468" s="525"/>
      <c r="J468" s="526"/>
    </row>
    <row r="469" spans="2:10" ht="15.75" customHeight="1" outlineLevel="3" x14ac:dyDescent="0.25">
      <c r="B469" s="506"/>
      <c r="C469" s="542"/>
      <c r="D469" s="525"/>
      <c r="E469" s="307"/>
      <c r="F469" s="307"/>
      <c r="G469" s="526"/>
      <c r="H469" s="526"/>
      <c r="I469" s="525"/>
      <c r="J469" s="526"/>
    </row>
    <row r="470" spans="2:10" ht="15.75" customHeight="1" outlineLevel="3" x14ac:dyDescent="0.25">
      <c r="B470" s="506"/>
      <c r="C470" s="542"/>
      <c r="D470" s="525"/>
      <c r="E470" s="307"/>
      <c r="F470" s="307"/>
      <c r="G470" s="526"/>
      <c r="H470" s="526"/>
      <c r="I470" s="525"/>
      <c r="J470" s="526"/>
    </row>
    <row r="471" spans="2:10" ht="15.75" customHeight="1" outlineLevel="3" x14ac:dyDescent="0.25">
      <c r="B471" s="506"/>
      <c r="C471" s="542"/>
      <c r="D471" s="525"/>
      <c r="E471" s="307"/>
      <c r="F471" s="307"/>
      <c r="G471" s="526"/>
      <c r="H471" s="526"/>
      <c r="I471" s="525"/>
      <c r="J471" s="526"/>
    </row>
    <row r="472" spans="2:10" ht="15.75" customHeight="1" outlineLevel="3" x14ac:dyDescent="0.25">
      <c r="B472" s="506"/>
      <c r="C472" s="542"/>
      <c r="D472" s="525"/>
      <c r="E472" s="307"/>
      <c r="F472" s="307"/>
      <c r="G472" s="526"/>
      <c r="H472" s="526"/>
      <c r="I472" s="525"/>
      <c r="J472" s="526"/>
    </row>
    <row r="473" spans="2:10" ht="15.75" customHeight="1" outlineLevel="3" x14ac:dyDescent="0.25">
      <c r="B473" s="506"/>
      <c r="C473" s="542"/>
      <c r="D473" s="525"/>
      <c r="E473" s="307"/>
      <c r="F473" s="307"/>
      <c r="G473" s="526"/>
      <c r="H473" s="526"/>
      <c r="I473" s="525"/>
      <c r="J473" s="526"/>
    </row>
    <row r="474" spans="2:10" ht="15.75" customHeight="1" outlineLevel="3" x14ac:dyDescent="0.25">
      <c r="B474" s="506"/>
      <c r="C474" s="542"/>
      <c r="D474" s="525"/>
      <c r="E474" s="307"/>
      <c r="F474" s="307"/>
      <c r="G474" s="526"/>
      <c r="H474" s="526"/>
      <c r="I474" s="525"/>
      <c r="J474" s="526"/>
    </row>
    <row r="475" spans="2:10" ht="15.75" customHeight="1" outlineLevel="3" x14ac:dyDescent="0.25">
      <c r="B475" s="506"/>
      <c r="C475" s="542"/>
      <c r="D475" s="525"/>
      <c r="E475" s="307"/>
      <c r="F475" s="307"/>
      <c r="G475" s="526"/>
      <c r="H475" s="526"/>
      <c r="I475" s="525"/>
      <c r="J475" s="526"/>
    </row>
    <row r="476" spans="2:10" ht="15.75" customHeight="1" outlineLevel="3" x14ac:dyDescent="0.25">
      <c r="B476" s="506"/>
      <c r="C476" s="542"/>
      <c r="D476" s="525"/>
      <c r="E476" s="307"/>
      <c r="F476" s="307"/>
      <c r="G476" s="526"/>
      <c r="H476" s="526"/>
      <c r="I476" s="525"/>
      <c r="J476" s="526"/>
    </row>
    <row r="477" spans="2:10" ht="15.75" customHeight="1" outlineLevel="3" x14ac:dyDescent="0.25">
      <c r="B477" s="506"/>
      <c r="C477" s="542"/>
      <c r="D477" s="525"/>
      <c r="E477" s="307"/>
      <c r="F477" s="307"/>
      <c r="G477" s="526"/>
      <c r="H477" s="526"/>
      <c r="I477" s="525"/>
      <c r="J477" s="526"/>
    </row>
    <row r="478" spans="2:10" ht="15.75" customHeight="1" outlineLevel="3" x14ac:dyDescent="0.25">
      <c r="B478" s="506"/>
      <c r="C478" s="542"/>
      <c r="D478" s="525"/>
      <c r="E478" s="307"/>
      <c r="F478" s="307"/>
      <c r="G478" s="526"/>
      <c r="H478" s="526"/>
      <c r="I478" s="525"/>
      <c r="J478" s="526"/>
    </row>
    <row r="479" spans="2:10" ht="15.75" customHeight="1" outlineLevel="3" x14ac:dyDescent="0.25">
      <c r="B479" s="506"/>
      <c r="C479" s="542"/>
      <c r="D479" s="525"/>
      <c r="E479" s="307"/>
      <c r="F479" s="307"/>
      <c r="G479" s="526"/>
      <c r="H479" s="526"/>
      <c r="I479" s="525"/>
      <c r="J479" s="526"/>
    </row>
    <row r="480" spans="2:10" ht="15.75" customHeight="1" outlineLevel="3" x14ac:dyDescent="0.25">
      <c r="B480" s="506"/>
      <c r="C480" s="542"/>
      <c r="D480" s="525"/>
      <c r="E480" s="307"/>
      <c r="F480" s="307"/>
      <c r="G480" s="526"/>
      <c r="H480" s="526"/>
      <c r="I480" s="525"/>
      <c r="J480" s="526"/>
    </row>
    <row r="481" spans="2:10" ht="15.75" customHeight="1" outlineLevel="3" x14ac:dyDescent="0.25">
      <c r="B481" s="506"/>
      <c r="C481" s="542"/>
      <c r="D481" s="525"/>
      <c r="E481" s="307"/>
      <c r="F481" s="307"/>
      <c r="G481" s="526"/>
      <c r="H481" s="526"/>
      <c r="I481" s="525"/>
      <c r="J481" s="526"/>
    </row>
    <row r="482" spans="2:10" ht="15.75" customHeight="1" outlineLevel="3" x14ac:dyDescent="0.25">
      <c r="B482" s="506"/>
      <c r="C482" s="542"/>
      <c r="D482" s="525"/>
      <c r="E482" s="307"/>
      <c r="F482" s="307"/>
      <c r="G482" s="526"/>
      <c r="H482" s="526"/>
      <c r="I482" s="525"/>
      <c r="J482" s="526"/>
    </row>
    <row r="483" spans="2:10" ht="15.75" customHeight="1" outlineLevel="3" x14ac:dyDescent="0.25">
      <c r="B483" s="506"/>
      <c r="C483" s="542"/>
      <c r="D483" s="525"/>
      <c r="E483" s="307"/>
      <c r="F483" s="307"/>
      <c r="G483" s="526"/>
      <c r="H483" s="526"/>
      <c r="I483" s="525"/>
      <c r="J483" s="526"/>
    </row>
    <row r="484" spans="2:10" ht="15.75" customHeight="1" outlineLevel="3" x14ac:dyDescent="0.25">
      <c r="B484" s="506"/>
      <c r="C484" s="542"/>
      <c r="D484" s="525"/>
      <c r="E484" s="307"/>
      <c r="F484" s="307"/>
      <c r="G484" s="526"/>
      <c r="H484" s="526"/>
      <c r="I484" s="525"/>
      <c r="J484" s="526"/>
    </row>
    <row r="485" spans="2:10" ht="15.75" customHeight="1" outlineLevel="3" x14ac:dyDescent="0.25">
      <c r="B485" s="506"/>
      <c r="C485" s="542"/>
      <c r="D485" s="525"/>
      <c r="E485" s="307"/>
      <c r="F485" s="307"/>
      <c r="G485" s="526"/>
      <c r="H485" s="526"/>
      <c r="I485" s="525"/>
      <c r="J485" s="526"/>
    </row>
    <row r="486" spans="2:10" ht="15.75" customHeight="1" outlineLevel="3" x14ac:dyDescent="0.25">
      <c r="B486" s="506"/>
      <c r="C486" s="542"/>
      <c r="D486" s="525"/>
      <c r="E486" s="307"/>
      <c r="F486" s="307"/>
      <c r="G486" s="526"/>
      <c r="H486" s="526"/>
      <c r="I486" s="525"/>
      <c r="J486" s="526"/>
    </row>
    <row r="487" spans="2:10" ht="15.75" customHeight="1" outlineLevel="3" x14ac:dyDescent="0.25">
      <c r="B487" s="506"/>
      <c r="C487" s="542"/>
      <c r="D487" s="525"/>
      <c r="E487" s="307"/>
      <c r="F487" s="307"/>
      <c r="G487" s="526"/>
      <c r="H487" s="526"/>
      <c r="I487" s="525"/>
      <c r="J487" s="526"/>
    </row>
    <row r="488" spans="2:10" ht="15.75" customHeight="1" outlineLevel="3" x14ac:dyDescent="0.25">
      <c r="B488" s="506"/>
      <c r="C488" s="542"/>
      <c r="D488" s="525"/>
      <c r="E488" s="307"/>
      <c r="F488" s="307"/>
      <c r="G488" s="526"/>
      <c r="H488" s="526"/>
      <c r="I488" s="525"/>
      <c r="J488" s="526"/>
    </row>
    <row r="489" spans="2:10" ht="15.75" customHeight="1" outlineLevel="3" x14ac:dyDescent="0.25">
      <c r="B489" s="506"/>
      <c r="C489" s="542"/>
      <c r="D489" s="525"/>
      <c r="E489" s="307"/>
      <c r="F489" s="307"/>
      <c r="G489" s="526"/>
      <c r="H489" s="526"/>
      <c r="I489" s="525"/>
      <c r="J489" s="526"/>
    </row>
    <row r="490" spans="2:10" ht="15.75" customHeight="1" outlineLevel="3" x14ac:dyDescent="0.25">
      <c r="B490" s="506"/>
      <c r="C490" s="542"/>
      <c r="D490" s="525"/>
      <c r="E490" s="307"/>
      <c r="F490" s="307"/>
      <c r="G490" s="526"/>
      <c r="H490" s="526"/>
      <c r="I490" s="525"/>
      <c r="J490" s="526"/>
    </row>
    <row r="491" spans="2:10" ht="15.75" customHeight="1" outlineLevel="3" x14ac:dyDescent="0.25">
      <c r="B491" s="506"/>
      <c r="C491" s="542"/>
      <c r="D491" s="525"/>
      <c r="E491" s="307"/>
      <c r="F491" s="307"/>
      <c r="G491" s="526"/>
      <c r="H491" s="526"/>
      <c r="I491" s="525"/>
      <c r="J491" s="526"/>
    </row>
    <row r="492" spans="2:10" ht="15.75" customHeight="1" outlineLevel="3" x14ac:dyDescent="0.25">
      <c r="B492" s="506"/>
      <c r="C492" s="542"/>
      <c r="D492" s="525"/>
      <c r="E492" s="307"/>
      <c r="F492" s="307"/>
      <c r="G492" s="526"/>
      <c r="H492" s="526"/>
      <c r="I492" s="525"/>
      <c r="J492" s="526"/>
    </row>
    <row r="493" spans="2:10" ht="15.75" customHeight="1" outlineLevel="3" x14ac:dyDescent="0.25">
      <c r="B493" s="506"/>
      <c r="C493" s="542"/>
      <c r="D493" s="525"/>
      <c r="E493" s="307"/>
      <c r="F493" s="307"/>
      <c r="G493" s="526"/>
      <c r="H493" s="526"/>
      <c r="I493" s="525"/>
      <c r="J493" s="526"/>
    </row>
    <row r="494" spans="2:10" ht="15.75" customHeight="1" outlineLevel="3" x14ac:dyDescent="0.25">
      <c r="B494" s="506"/>
      <c r="C494" s="542"/>
      <c r="D494" s="525"/>
      <c r="E494" s="307"/>
      <c r="F494" s="307"/>
      <c r="G494" s="526"/>
      <c r="H494" s="526"/>
      <c r="I494" s="525"/>
      <c r="J494" s="526"/>
    </row>
    <row r="495" spans="2:10" ht="15.75" customHeight="1" outlineLevel="3" x14ac:dyDescent="0.25">
      <c r="B495" s="506"/>
      <c r="C495" s="542"/>
      <c r="D495" s="525"/>
      <c r="E495" s="307"/>
      <c r="F495" s="307"/>
      <c r="G495" s="526"/>
      <c r="H495" s="526"/>
      <c r="I495" s="525"/>
      <c r="J495" s="526"/>
    </row>
    <row r="496" spans="2:10" ht="15.75" customHeight="1" outlineLevel="3" x14ac:dyDescent="0.25">
      <c r="B496" s="506"/>
      <c r="C496" s="542"/>
      <c r="D496" s="525"/>
      <c r="E496" s="307"/>
      <c r="F496" s="307"/>
      <c r="G496" s="526"/>
      <c r="H496" s="526"/>
      <c r="I496" s="525"/>
      <c r="J496" s="526"/>
    </row>
    <row r="497" spans="2:10" ht="15.75" customHeight="1" outlineLevel="3" x14ac:dyDescent="0.25">
      <c r="B497" s="506"/>
      <c r="C497" s="542"/>
      <c r="D497" s="525"/>
      <c r="E497" s="307"/>
      <c r="F497" s="307"/>
      <c r="G497" s="526"/>
      <c r="H497" s="526"/>
      <c r="I497" s="525"/>
      <c r="J497" s="526"/>
    </row>
    <row r="498" spans="2:10" ht="15.75" customHeight="1" outlineLevel="3" x14ac:dyDescent="0.25">
      <c r="B498" s="506"/>
      <c r="C498" s="542"/>
      <c r="D498" s="525"/>
      <c r="E498" s="307"/>
      <c r="F498" s="307"/>
      <c r="G498" s="526"/>
      <c r="H498" s="526"/>
      <c r="I498" s="525"/>
      <c r="J498" s="526"/>
    </row>
    <row r="499" spans="2:10" ht="15.75" customHeight="1" outlineLevel="3" x14ac:dyDescent="0.25">
      <c r="B499" s="543" t="s">
        <v>151</v>
      </c>
      <c r="C499" s="512"/>
      <c r="D499" s="272"/>
      <c r="E499" s="258"/>
      <c r="F499" s="258"/>
      <c r="G499" s="259"/>
      <c r="H499" s="259"/>
      <c r="I499" s="272"/>
      <c r="J499" s="259"/>
    </row>
    <row r="500" spans="2:10" ht="15.75" customHeight="1" outlineLevel="3" x14ac:dyDescent="0.25">
      <c r="B500" s="513"/>
      <c r="C500" s="514" t="s">
        <v>112</v>
      </c>
      <c r="D500" s="514">
        <f t="shared" ref="D500:J500" si="14">SUM(D449:D499)</f>
        <v>0</v>
      </c>
      <c r="E500" s="514">
        <f t="shared" si="14"/>
        <v>0</v>
      </c>
      <c r="F500" s="514">
        <f t="shared" si="14"/>
        <v>0</v>
      </c>
      <c r="G500" s="514">
        <f t="shared" si="14"/>
        <v>0</v>
      </c>
      <c r="H500" s="514">
        <f t="shared" si="14"/>
        <v>0</v>
      </c>
      <c r="I500" s="514">
        <f t="shared" si="14"/>
        <v>0</v>
      </c>
      <c r="J500" s="514">
        <f t="shared" si="14"/>
        <v>0</v>
      </c>
    </row>
    <row r="501" spans="2:10" ht="15" customHeight="1" outlineLevel="2" x14ac:dyDescent="0.25">
      <c r="B501" s="74"/>
    </row>
    <row r="502" spans="2:10" ht="20.25" customHeight="1" outlineLevel="2" x14ac:dyDescent="0.25">
      <c r="B502" s="235" t="s">
        <v>153</v>
      </c>
      <c r="C502" s="236"/>
      <c r="D502" s="236"/>
      <c r="E502" s="236"/>
      <c r="F502" s="236"/>
      <c r="G502" s="236"/>
      <c r="H502" s="236"/>
      <c r="I502" s="236"/>
      <c r="J502" s="236"/>
    </row>
    <row r="503" spans="2:10" ht="15.75" customHeight="1" outlineLevel="3" x14ac:dyDescent="0.25">
      <c r="B503" s="541" t="s">
        <v>126</v>
      </c>
      <c r="C503" s="507"/>
      <c r="D503" s="270">
        <v>0</v>
      </c>
      <c r="E503" s="255">
        <v>0</v>
      </c>
      <c r="F503" s="255">
        <v>0</v>
      </c>
      <c r="G503" s="256">
        <v>0</v>
      </c>
      <c r="H503" s="256">
        <v>0</v>
      </c>
      <c r="I503" s="270">
        <v>0</v>
      </c>
      <c r="J503" s="256">
        <v>0</v>
      </c>
    </row>
    <row r="504" spans="2:10" ht="15.75" customHeight="1" outlineLevel="3" x14ac:dyDescent="0.25">
      <c r="B504" s="541" t="s">
        <v>127</v>
      </c>
      <c r="C504" s="508"/>
      <c r="D504" s="270"/>
      <c r="E504" s="255"/>
      <c r="F504" s="255"/>
      <c r="G504" s="256"/>
      <c r="H504" s="256"/>
      <c r="I504" s="270"/>
      <c r="J504" s="256"/>
    </row>
    <row r="505" spans="2:10" ht="15.75" customHeight="1" outlineLevel="3" x14ac:dyDescent="0.25">
      <c r="B505" s="541" t="s">
        <v>128</v>
      </c>
      <c r="C505" s="508"/>
      <c r="D505" s="270"/>
      <c r="E505" s="255"/>
      <c r="F505" s="255"/>
      <c r="G505" s="256"/>
      <c r="H505" s="256"/>
      <c r="I505" s="270"/>
      <c r="J505" s="256"/>
    </row>
    <row r="506" spans="2:10" ht="15.75" customHeight="1" outlineLevel="3" x14ac:dyDescent="0.25">
      <c r="B506" s="541" t="s">
        <v>129</v>
      </c>
      <c r="C506" s="508"/>
      <c r="D506" s="270"/>
      <c r="E506" s="255"/>
      <c r="F506" s="255"/>
      <c r="G506" s="256"/>
      <c r="H506" s="256"/>
      <c r="I506" s="270"/>
      <c r="J506" s="256"/>
    </row>
    <row r="507" spans="2:10" ht="15.75" customHeight="1" outlineLevel="3" x14ac:dyDescent="0.25">
      <c r="B507" s="541" t="s">
        <v>130</v>
      </c>
      <c r="C507" s="508"/>
      <c r="D507" s="270"/>
      <c r="E507" s="255"/>
      <c r="F507" s="255"/>
      <c r="G507" s="256"/>
      <c r="H507" s="256"/>
      <c r="I507" s="270"/>
      <c r="J507" s="256"/>
    </row>
    <row r="508" spans="2:10" ht="15.75" customHeight="1" outlineLevel="3" x14ac:dyDescent="0.25">
      <c r="B508" s="541" t="s">
        <v>131</v>
      </c>
      <c r="C508" s="508"/>
      <c r="D508" s="270"/>
      <c r="E508" s="255"/>
      <c r="F508" s="255"/>
      <c r="G508" s="256"/>
      <c r="H508" s="256"/>
      <c r="I508" s="270"/>
      <c r="J508" s="256"/>
    </row>
    <row r="509" spans="2:10" ht="15.75" customHeight="1" outlineLevel="3" x14ac:dyDescent="0.25">
      <c r="B509" s="541" t="s">
        <v>132</v>
      </c>
      <c r="C509" s="508"/>
      <c r="D509" s="270"/>
      <c r="E509" s="255"/>
      <c r="F509" s="255"/>
      <c r="G509" s="256"/>
      <c r="H509" s="256"/>
      <c r="I509" s="270"/>
      <c r="J509" s="256"/>
    </row>
    <row r="510" spans="2:10" ht="15.75" customHeight="1" outlineLevel="3" x14ac:dyDescent="0.25">
      <c r="B510" s="541"/>
      <c r="C510" s="508"/>
      <c r="D510" s="270"/>
      <c r="E510" s="255"/>
      <c r="F510" s="255"/>
      <c r="G510" s="256"/>
      <c r="H510" s="256"/>
      <c r="I510" s="270"/>
      <c r="J510" s="256"/>
    </row>
    <row r="511" spans="2:10" ht="15.75" customHeight="1" outlineLevel="3" x14ac:dyDescent="0.25">
      <c r="B511" s="541"/>
      <c r="C511" s="508"/>
      <c r="D511" s="270"/>
      <c r="E511" s="255"/>
      <c r="F511" s="255"/>
      <c r="G511" s="256"/>
      <c r="H511" s="256"/>
      <c r="I511" s="270"/>
      <c r="J511" s="256"/>
    </row>
    <row r="512" spans="2:10" ht="15.75" customHeight="1" outlineLevel="3" x14ac:dyDescent="0.25">
      <c r="B512" s="541"/>
      <c r="C512" s="508"/>
      <c r="D512" s="270"/>
      <c r="E512" s="255"/>
      <c r="F512" s="255"/>
      <c r="G512" s="256"/>
      <c r="H512" s="256"/>
      <c r="I512" s="270"/>
      <c r="J512" s="256"/>
    </row>
    <row r="513" spans="2:10" ht="15.75" customHeight="1" outlineLevel="3" x14ac:dyDescent="0.25">
      <c r="B513" s="541"/>
      <c r="C513" s="508"/>
      <c r="D513" s="270"/>
      <c r="E513" s="255"/>
      <c r="F513" s="255"/>
      <c r="G513" s="256"/>
      <c r="H513" s="256"/>
      <c r="I513" s="270"/>
      <c r="J513" s="256"/>
    </row>
    <row r="514" spans="2:10" ht="15.75" customHeight="1" outlineLevel="3" x14ac:dyDescent="0.25">
      <c r="B514" s="541"/>
      <c r="C514" s="508"/>
      <c r="D514" s="270"/>
      <c r="E514" s="255"/>
      <c r="F514" s="255"/>
      <c r="G514" s="256"/>
      <c r="H514" s="256"/>
      <c r="I514" s="270"/>
      <c r="J514" s="256"/>
    </row>
    <row r="515" spans="2:10" ht="15.75" customHeight="1" outlineLevel="3" x14ac:dyDescent="0.25">
      <c r="B515" s="541"/>
      <c r="C515" s="508"/>
      <c r="D515" s="270"/>
      <c r="E515" s="255"/>
      <c r="F515" s="255"/>
      <c r="G515" s="256"/>
      <c r="H515" s="256"/>
      <c r="I515" s="270"/>
      <c r="J515" s="256"/>
    </row>
    <row r="516" spans="2:10" ht="15.75" customHeight="1" outlineLevel="3" x14ac:dyDescent="0.25">
      <c r="B516" s="541"/>
      <c r="C516" s="508"/>
      <c r="D516" s="270"/>
      <c r="E516" s="255"/>
      <c r="F516" s="255"/>
      <c r="G516" s="256"/>
      <c r="H516" s="256"/>
      <c r="I516" s="270"/>
      <c r="J516" s="256"/>
    </row>
    <row r="517" spans="2:10" ht="15.75" customHeight="1" outlineLevel="3" x14ac:dyDescent="0.25">
      <c r="B517" s="541"/>
      <c r="C517" s="508"/>
      <c r="D517" s="270"/>
      <c r="E517" s="255"/>
      <c r="F517" s="255"/>
      <c r="G517" s="256"/>
      <c r="H517" s="256"/>
      <c r="I517" s="270"/>
      <c r="J517" s="256"/>
    </row>
    <row r="518" spans="2:10" ht="15.75" customHeight="1" outlineLevel="3" x14ac:dyDescent="0.25">
      <c r="B518" s="506"/>
      <c r="C518" s="542"/>
      <c r="D518" s="525"/>
      <c r="E518" s="307"/>
      <c r="F518" s="307"/>
      <c r="G518" s="526"/>
      <c r="H518" s="526"/>
      <c r="I518" s="525"/>
      <c r="J518" s="526"/>
    </row>
    <row r="519" spans="2:10" ht="15.75" customHeight="1" outlineLevel="3" x14ac:dyDescent="0.25">
      <c r="B519" s="506"/>
      <c r="C519" s="542"/>
      <c r="D519" s="525"/>
      <c r="E519" s="307"/>
      <c r="F519" s="307"/>
      <c r="G519" s="526"/>
      <c r="H519" s="526"/>
      <c r="I519" s="525"/>
      <c r="J519" s="526"/>
    </row>
    <row r="520" spans="2:10" ht="15.75" customHeight="1" outlineLevel="3" x14ac:dyDescent="0.25">
      <c r="B520" s="506"/>
      <c r="C520" s="542"/>
      <c r="D520" s="525"/>
      <c r="E520" s="307"/>
      <c r="F520" s="307"/>
      <c r="G520" s="526"/>
      <c r="H520" s="526"/>
      <c r="I520" s="525"/>
      <c r="J520" s="526"/>
    </row>
    <row r="521" spans="2:10" ht="15.75" customHeight="1" outlineLevel="3" x14ac:dyDescent="0.25">
      <c r="B521" s="506"/>
      <c r="C521" s="542"/>
      <c r="D521" s="525"/>
      <c r="E521" s="307"/>
      <c r="F521" s="307"/>
      <c r="G521" s="526"/>
      <c r="H521" s="526"/>
      <c r="I521" s="525"/>
      <c r="J521" s="526"/>
    </row>
    <row r="522" spans="2:10" ht="15.75" customHeight="1" outlineLevel="3" x14ac:dyDescent="0.25">
      <c r="B522" s="506"/>
      <c r="C522" s="542"/>
      <c r="D522" s="525"/>
      <c r="E522" s="307"/>
      <c r="F522" s="307"/>
      <c r="G522" s="526"/>
      <c r="H522" s="526"/>
      <c r="I522" s="525"/>
      <c r="J522" s="526"/>
    </row>
    <row r="523" spans="2:10" ht="15.75" customHeight="1" outlineLevel="3" x14ac:dyDescent="0.25">
      <c r="B523" s="506"/>
      <c r="C523" s="542"/>
      <c r="D523" s="525"/>
      <c r="E523" s="307"/>
      <c r="F523" s="307"/>
      <c r="G523" s="526"/>
      <c r="H523" s="526"/>
      <c r="I523" s="525"/>
      <c r="J523" s="526"/>
    </row>
    <row r="524" spans="2:10" ht="15.75" customHeight="1" outlineLevel="3" x14ac:dyDescent="0.25">
      <c r="B524" s="506"/>
      <c r="C524" s="542"/>
      <c r="D524" s="525"/>
      <c r="E524" s="307"/>
      <c r="F524" s="307"/>
      <c r="G524" s="526"/>
      <c r="H524" s="526"/>
      <c r="I524" s="525"/>
      <c r="J524" s="526"/>
    </row>
    <row r="525" spans="2:10" ht="15.75" customHeight="1" outlineLevel="3" x14ac:dyDescent="0.25">
      <c r="B525" s="506"/>
      <c r="C525" s="542"/>
      <c r="D525" s="525"/>
      <c r="E525" s="307"/>
      <c r="F525" s="307"/>
      <c r="G525" s="526"/>
      <c r="H525" s="526"/>
      <c r="I525" s="525"/>
      <c r="J525" s="526"/>
    </row>
    <row r="526" spans="2:10" ht="15.75" customHeight="1" outlineLevel="3" x14ac:dyDescent="0.25">
      <c r="B526" s="506"/>
      <c r="C526" s="542"/>
      <c r="D526" s="525"/>
      <c r="E526" s="307"/>
      <c r="F526" s="307"/>
      <c r="G526" s="526"/>
      <c r="H526" s="526"/>
      <c r="I526" s="525"/>
      <c r="J526" s="526"/>
    </row>
    <row r="527" spans="2:10" ht="15.75" customHeight="1" outlineLevel="3" x14ac:dyDescent="0.25">
      <c r="B527" s="506"/>
      <c r="C527" s="542"/>
      <c r="D527" s="525"/>
      <c r="E527" s="307"/>
      <c r="F527" s="307"/>
      <c r="G527" s="526"/>
      <c r="H527" s="526"/>
      <c r="I527" s="525"/>
      <c r="J527" s="526"/>
    </row>
    <row r="528" spans="2:10" ht="15.75" customHeight="1" outlineLevel="3" x14ac:dyDescent="0.25">
      <c r="B528" s="506"/>
      <c r="C528" s="542"/>
      <c r="D528" s="525"/>
      <c r="E528" s="307"/>
      <c r="F528" s="307"/>
      <c r="G528" s="526"/>
      <c r="H528" s="526"/>
      <c r="I528" s="525"/>
      <c r="J528" s="526"/>
    </row>
    <row r="529" spans="2:10" ht="15.75" customHeight="1" outlineLevel="3" x14ac:dyDescent="0.25">
      <c r="B529" s="506"/>
      <c r="C529" s="542"/>
      <c r="D529" s="525"/>
      <c r="E529" s="307"/>
      <c r="F529" s="307"/>
      <c r="G529" s="526"/>
      <c r="H529" s="526"/>
      <c r="I529" s="525"/>
      <c r="J529" s="526"/>
    </row>
    <row r="530" spans="2:10" ht="15.75" customHeight="1" outlineLevel="3" x14ac:dyDescent="0.25">
      <c r="B530" s="506"/>
      <c r="C530" s="542"/>
      <c r="D530" s="525"/>
      <c r="E530" s="307"/>
      <c r="F530" s="307"/>
      <c r="G530" s="526"/>
      <c r="H530" s="526"/>
      <c r="I530" s="525"/>
      <c r="J530" s="526"/>
    </row>
    <row r="531" spans="2:10" ht="15.75" customHeight="1" outlineLevel="3" x14ac:dyDescent="0.25">
      <c r="B531" s="506"/>
      <c r="C531" s="542"/>
      <c r="D531" s="525"/>
      <c r="E531" s="307"/>
      <c r="F531" s="307"/>
      <c r="G531" s="526"/>
      <c r="H531" s="526"/>
      <c r="I531" s="525"/>
      <c r="J531" s="526"/>
    </row>
    <row r="532" spans="2:10" ht="15.75" customHeight="1" outlineLevel="3" x14ac:dyDescent="0.25">
      <c r="B532" s="506"/>
      <c r="C532" s="542"/>
      <c r="D532" s="525"/>
      <c r="E532" s="307"/>
      <c r="F532" s="307"/>
      <c r="G532" s="526"/>
      <c r="H532" s="526"/>
      <c r="I532" s="525"/>
      <c r="J532" s="526"/>
    </row>
    <row r="533" spans="2:10" ht="15.75" customHeight="1" outlineLevel="3" x14ac:dyDescent="0.25">
      <c r="B533" s="506"/>
      <c r="C533" s="542"/>
      <c r="D533" s="525"/>
      <c r="E533" s="307"/>
      <c r="F533" s="307"/>
      <c r="G533" s="526"/>
      <c r="H533" s="526"/>
      <c r="I533" s="525"/>
      <c r="J533" s="526"/>
    </row>
    <row r="534" spans="2:10" ht="15.75" customHeight="1" outlineLevel="3" x14ac:dyDescent="0.25">
      <c r="B534" s="506"/>
      <c r="C534" s="542"/>
      <c r="D534" s="525"/>
      <c r="E534" s="307"/>
      <c r="F534" s="307"/>
      <c r="G534" s="526"/>
      <c r="H534" s="526"/>
      <c r="I534" s="525"/>
      <c r="J534" s="526"/>
    </row>
    <row r="535" spans="2:10" ht="15.75" customHeight="1" outlineLevel="3" x14ac:dyDescent="0.25">
      <c r="B535" s="506"/>
      <c r="C535" s="542"/>
      <c r="D535" s="525"/>
      <c r="E535" s="307"/>
      <c r="F535" s="307"/>
      <c r="G535" s="526"/>
      <c r="H535" s="526"/>
      <c r="I535" s="525"/>
      <c r="J535" s="526"/>
    </row>
    <row r="536" spans="2:10" ht="15.75" customHeight="1" outlineLevel="3" x14ac:dyDescent="0.25">
      <c r="B536" s="506"/>
      <c r="C536" s="542"/>
      <c r="D536" s="525"/>
      <c r="E536" s="307"/>
      <c r="F536" s="307"/>
      <c r="G536" s="526"/>
      <c r="H536" s="526"/>
      <c r="I536" s="525"/>
      <c r="J536" s="526"/>
    </row>
    <row r="537" spans="2:10" ht="15.75" customHeight="1" outlineLevel="3" x14ac:dyDescent="0.25">
      <c r="B537" s="506"/>
      <c r="C537" s="542"/>
      <c r="D537" s="525"/>
      <c r="E537" s="307"/>
      <c r="F537" s="307"/>
      <c r="G537" s="526"/>
      <c r="H537" s="526"/>
      <c r="I537" s="525"/>
      <c r="J537" s="526"/>
    </row>
    <row r="538" spans="2:10" ht="15.75" customHeight="1" outlineLevel="3" x14ac:dyDescent="0.25">
      <c r="B538" s="506"/>
      <c r="C538" s="542"/>
      <c r="D538" s="525"/>
      <c r="E538" s="307"/>
      <c r="F538" s="307"/>
      <c r="G538" s="526"/>
      <c r="H538" s="526"/>
      <c r="I538" s="525"/>
      <c r="J538" s="526"/>
    </row>
    <row r="539" spans="2:10" ht="15.75" customHeight="1" outlineLevel="3" x14ac:dyDescent="0.25">
      <c r="B539" s="506"/>
      <c r="C539" s="542"/>
      <c r="D539" s="525"/>
      <c r="E539" s="307"/>
      <c r="F539" s="307"/>
      <c r="G539" s="526"/>
      <c r="H539" s="526"/>
      <c r="I539" s="525"/>
      <c r="J539" s="526"/>
    </row>
    <row r="540" spans="2:10" ht="15.75" customHeight="1" outlineLevel="3" x14ac:dyDescent="0.25">
      <c r="B540" s="506"/>
      <c r="C540" s="542"/>
      <c r="D540" s="525"/>
      <c r="E540" s="307"/>
      <c r="F540" s="307"/>
      <c r="G540" s="526"/>
      <c r="H540" s="526"/>
      <c r="I540" s="525"/>
      <c r="J540" s="526"/>
    </row>
    <row r="541" spans="2:10" ht="15.75" customHeight="1" outlineLevel="3" x14ac:dyDescent="0.25">
      <c r="B541" s="506"/>
      <c r="C541" s="542"/>
      <c r="D541" s="525"/>
      <c r="E541" s="307"/>
      <c r="F541" s="307"/>
      <c r="G541" s="526"/>
      <c r="H541" s="526"/>
      <c r="I541" s="525"/>
      <c r="J541" s="526"/>
    </row>
    <row r="542" spans="2:10" ht="15.75" customHeight="1" outlineLevel="3" x14ac:dyDescent="0.25">
      <c r="B542" s="506"/>
      <c r="C542" s="542"/>
      <c r="D542" s="525"/>
      <c r="E542" s="307"/>
      <c r="F542" s="307"/>
      <c r="G542" s="526"/>
      <c r="H542" s="526"/>
      <c r="I542" s="525"/>
      <c r="J542" s="526"/>
    </row>
    <row r="543" spans="2:10" ht="15.75" customHeight="1" outlineLevel="3" x14ac:dyDescent="0.25">
      <c r="B543" s="506"/>
      <c r="C543" s="542"/>
      <c r="D543" s="525"/>
      <c r="E543" s="307"/>
      <c r="F543" s="307"/>
      <c r="G543" s="526"/>
      <c r="H543" s="526"/>
      <c r="I543" s="525"/>
      <c r="J543" s="526"/>
    </row>
    <row r="544" spans="2:10" ht="15.75" customHeight="1" outlineLevel="3" x14ac:dyDescent="0.25">
      <c r="B544" s="506"/>
      <c r="C544" s="542"/>
      <c r="D544" s="525"/>
      <c r="E544" s="307"/>
      <c r="F544" s="307"/>
      <c r="G544" s="526"/>
      <c r="H544" s="526"/>
      <c r="I544" s="525"/>
      <c r="J544" s="526"/>
    </row>
    <row r="545" spans="2:10" ht="15.75" customHeight="1" outlineLevel="3" x14ac:dyDescent="0.25">
      <c r="B545" s="506"/>
      <c r="C545" s="542"/>
      <c r="D545" s="525"/>
      <c r="E545" s="307"/>
      <c r="F545" s="307"/>
      <c r="G545" s="526"/>
      <c r="H545" s="526"/>
      <c r="I545" s="525"/>
      <c r="J545" s="526"/>
    </row>
    <row r="546" spans="2:10" ht="15.75" customHeight="1" outlineLevel="3" x14ac:dyDescent="0.25">
      <c r="B546" s="506"/>
      <c r="C546" s="542"/>
      <c r="D546" s="525"/>
      <c r="E546" s="307"/>
      <c r="F546" s="307"/>
      <c r="G546" s="526"/>
      <c r="H546" s="526"/>
      <c r="I546" s="525"/>
      <c r="J546" s="526"/>
    </row>
    <row r="547" spans="2:10" ht="15.75" customHeight="1" outlineLevel="3" x14ac:dyDescent="0.25">
      <c r="B547" s="506"/>
      <c r="C547" s="542"/>
      <c r="D547" s="525"/>
      <c r="E547" s="307"/>
      <c r="F547" s="307"/>
      <c r="G547" s="526"/>
      <c r="H547" s="526"/>
      <c r="I547" s="525"/>
      <c r="J547" s="526"/>
    </row>
    <row r="548" spans="2:10" ht="15.75" customHeight="1" outlineLevel="3" x14ac:dyDescent="0.25">
      <c r="B548" s="506"/>
      <c r="C548" s="542"/>
      <c r="D548" s="525"/>
      <c r="E548" s="307"/>
      <c r="F548" s="307"/>
      <c r="G548" s="526"/>
      <c r="H548" s="526"/>
      <c r="I548" s="525"/>
      <c r="J548" s="526"/>
    </row>
    <row r="549" spans="2:10" ht="15.75" customHeight="1" outlineLevel="3" x14ac:dyDescent="0.25">
      <c r="B549" s="506"/>
      <c r="C549" s="542"/>
      <c r="D549" s="525"/>
      <c r="E549" s="307"/>
      <c r="F549" s="307"/>
      <c r="G549" s="526"/>
      <c r="H549" s="526"/>
      <c r="I549" s="525"/>
      <c r="J549" s="526"/>
    </row>
    <row r="550" spans="2:10" ht="15.75" customHeight="1" outlineLevel="3" x14ac:dyDescent="0.25">
      <c r="B550" s="506"/>
      <c r="C550" s="542"/>
      <c r="D550" s="525"/>
      <c r="E550" s="307"/>
      <c r="F550" s="307"/>
      <c r="G550" s="526"/>
      <c r="H550" s="526"/>
      <c r="I550" s="525"/>
      <c r="J550" s="526"/>
    </row>
    <row r="551" spans="2:10" ht="15.75" customHeight="1" outlineLevel="3" x14ac:dyDescent="0.25">
      <c r="B551" s="506"/>
      <c r="C551" s="542"/>
      <c r="D551" s="525"/>
      <c r="E551" s="307"/>
      <c r="F551" s="307"/>
      <c r="G551" s="526"/>
      <c r="H551" s="526"/>
      <c r="I551" s="525"/>
      <c r="J551" s="526"/>
    </row>
    <row r="552" spans="2:10" ht="15.75" customHeight="1" outlineLevel="3" x14ac:dyDescent="0.25">
      <c r="B552" s="506"/>
      <c r="C552" s="542"/>
      <c r="D552" s="525"/>
      <c r="E552" s="307"/>
      <c r="F552" s="307"/>
      <c r="G552" s="526"/>
      <c r="H552" s="526"/>
      <c r="I552" s="525"/>
      <c r="J552" s="526"/>
    </row>
    <row r="553" spans="2:10" ht="15.75" customHeight="1" outlineLevel="3" x14ac:dyDescent="0.25">
      <c r="B553" s="543" t="s">
        <v>151</v>
      </c>
      <c r="C553" s="512"/>
      <c r="D553" s="272"/>
      <c r="E553" s="258"/>
      <c r="F553" s="258"/>
      <c r="G553" s="259"/>
      <c r="H553" s="259"/>
      <c r="I553" s="272"/>
      <c r="J553" s="259"/>
    </row>
    <row r="554" spans="2:10" ht="15.75" customHeight="1" outlineLevel="3" x14ac:dyDescent="0.25">
      <c r="B554" s="513"/>
      <c r="C554" s="514" t="s">
        <v>112</v>
      </c>
      <c r="D554" s="514">
        <f t="shared" ref="D554:J554" si="15">SUM(D503:D553)</f>
        <v>0</v>
      </c>
      <c r="E554" s="514">
        <f t="shared" si="15"/>
        <v>0</v>
      </c>
      <c r="F554" s="514">
        <f t="shared" si="15"/>
        <v>0</v>
      </c>
      <c r="G554" s="514">
        <f t="shared" si="15"/>
        <v>0</v>
      </c>
      <c r="H554" s="514">
        <f t="shared" si="15"/>
        <v>0</v>
      </c>
      <c r="I554" s="514">
        <f t="shared" si="15"/>
        <v>0</v>
      </c>
      <c r="J554" s="514">
        <f t="shared" si="15"/>
        <v>0</v>
      </c>
    </row>
    <row r="555" spans="2:10" ht="15" customHeight="1" outlineLevel="2" x14ac:dyDescent="0.25">
      <c r="B555" s="74"/>
    </row>
    <row r="556" spans="2:10" ht="20.25" customHeight="1" outlineLevel="2" x14ac:dyDescent="0.25">
      <c r="B556" s="235" t="s">
        <v>154</v>
      </c>
      <c r="C556" s="236"/>
      <c r="D556" s="236"/>
      <c r="E556" s="236"/>
      <c r="F556" s="236"/>
      <c r="G556" s="236"/>
      <c r="H556" s="236"/>
      <c r="I556" s="236"/>
      <c r="J556" s="236"/>
    </row>
    <row r="557" spans="2:10" ht="15.75" customHeight="1" outlineLevel="3" x14ac:dyDescent="0.25">
      <c r="B557" s="541" t="s">
        <v>126</v>
      </c>
      <c r="C557" s="507"/>
      <c r="D557" s="270">
        <v>0</v>
      </c>
      <c r="E557" s="255">
        <v>0</v>
      </c>
      <c r="F557" s="255">
        <v>0</v>
      </c>
      <c r="G557" s="256">
        <v>0</v>
      </c>
      <c r="H557" s="256">
        <v>0</v>
      </c>
      <c r="I557" s="270">
        <v>0</v>
      </c>
      <c r="J557" s="256">
        <v>0</v>
      </c>
    </row>
    <row r="558" spans="2:10" ht="15.75" customHeight="1" outlineLevel="3" x14ac:dyDescent="0.25">
      <c r="B558" s="541" t="s">
        <v>127</v>
      </c>
      <c r="C558" s="508"/>
      <c r="D558" s="270"/>
      <c r="E558" s="255"/>
      <c r="F558" s="255"/>
      <c r="G558" s="256"/>
      <c r="H558" s="256"/>
      <c r="I558" s="270"/>
      <c r="J558" s="256"/>
    </row>
    <row r="559" spans="2:10" ht="15.75" customHeight="1" outlineLevel="3" x14ac:dyDescent="0.25">
      <c r="B559" s="541" t="s">
        <v>128</v>
      </c>
      <c r="C559" s="508"/>
      <c r="D559" s="270"/>
      <c r="E559" s="255"/>
      <c r="F559" s="255"/>
      <c r="G559" s="256"/>
      <c r="H559" s="256"/>
      <c r="I559" s="270"/>
      <c r="J559" s="256"/>
    </row>
    <row r="560" spans="2:10" ht="15.75" customHeight="1" outlineLevel="3" x14ac:dyDescent="0.25">
      <c r="B560" s="541" t="s">
        <v>129</v>
      </c>
      <c r="C560" s="508"/>
      <c r="D560" s="270"/>
      <c r="E560" s="255"/>
      <c r="F560" s="255"/>
      <c r="G560" s="256"/>
      <c r="H560" s="256"/>
      <c r="I560" s="270"/>
      <c r="J560" s="256"/>
    </row>
    <row r="561" spans="2:10" ht="15.75" customHeight="1" outlineLevel="3" x14ac:dyDescent="0.25">
      <c r="B561" s="541" t="s">
        <v>130</v>
      </c>
      <c r="C561" s="508"/>
      <c r="D561" s="270"/>
      <c r="E561" s="255"/>
      <c r="F561" s="255"/>
      <c r="G561" s="256"/>
      <c r="H561" s="256"/>
      <c r="I561" s="270"/>
      <c r="J561" s="256"/>
    </row>
    <row r="562" spans="2:10" ht="15.75" customHeight="1" outlineLevel="3" x14ac:dyDescent="0.25">
      <c r="B562" s="541" t="s">
        <v>131</v>
      </c>
      <c r="C562" s="508"/>
      <c r="D562" s="270"/>
      <c r="E562" s="255"/>
      <c r="F562" s="255"/>
      <c r="G562" s="256"/>
      <c r="H562" s="256"/>
      <c r="I562" s="270"/>
      <c r="J562" s="256"/>
    </row>
    <row r="563" spans="2:10" ht="15.75" customHeight="1" outlineLevel="3" x14ac:dyDescent="0.25">
      <c r="B563" s="541" t="s">
        <v>132</v>
      </c>
      <c r="C563" s="508"/>
      <c r="D563" s="270"/>
      <c r="E563" s="255"/>
      <c r="F563" s="255"/>
      <c r="G563" s="256"/>
      <c r="H563" s="256"/>
      <c r="I563" s="270"/>
      <c r="J563" s="256"/>
    </row>
    <row r="564" spans="2:10" ht="15.75" customHeight="1" outlineLevel="3" x14ac:dyDescent="0.25">
      <c r="B564" s="541"/>
      <c r="C564" s="508"/>
      <c r="D564" s="270"/>
      <c r="E564" s="255"/>
      <c r="F564" s="255"/>
      <c r="G564" s="256"/>
      <c r="H564" s="256"/>
      <c r="I564" s="270"/>
      <c r="J564" s="256"/>
    </row>
    <row r="565" spans="2:10" ht="15.75" customHeight="1" outlineLevel="3" x14ac:dyDescent="0.25">
      <c r="B565" s="541"/>
      <c r="C565" s="508"/>
      <c r="D565" s="270"/>
      <c r="E565" s="255"/>
      <c r="F565" s="255"/>
      <c r="G565" s="256"/>
      <c r="H565" s="256"/>
      <c r="I565" s="270"/>
      <c r="J565" s="256"/>
    </row>
    <row r="566" spans="2:10" ht="15.75" customHeight="1" outlineLevel="3" x14ac:dyDescent="0.25">
      <c r="B566" s="541"/>
      <c r="C566" s="508"/>
      <c r="D566" s="270"/>
      <c r="E566" s="255"/>
      <c r="F566" s="255"/>
      <c r="G566" s="256"/>
      <c r="H566" s="256"/>
      <c r="I566" s="270"/>
      <c r="J566" s="256"/>
    </row>
    <row r="567" spans="2:10" ht="15.75" customHeight="1" outlineLevel="3" x14ac:dyDescent="0.25">
      <c r="B567" s="541"/>
      <c r="C567" s="508"/>
      <c r="D567" s="270"/>
      <c r="E567" s="255"/>
      <c r="F567" s="255"/>
      <c r="G567" s="256"/>
      <c r="H567" s="256"/>
      <c r="I567" s="270"/>
      <c r="J567" s="256"/>
    </row>
    <row r="568" spans="2:10" ht="15.75" customHeight="1" outlineLevel="3" x14ac:dyDescent="0.25">
      <c r="B568" s="541"/>
      <c r="C568" s="508"/>
      <c r="D568" s="270"/>
      <c r="E568" s="255"/>
      <c r="F568" s="255"/>
      <c r="G568" s="256"/>
      <c r="H568" s="256"/>
      <c r="I568" s="270"/>
      <c r="J568" s="256"/>
    </row>
    <row r="569" spans="2:10" ht="15.75" customHeight="1" outlineLevel="3" x14ac:dyDescent="0.25">
      <c r="B569" s="541"/>
      <c r="C569" s="508"/>
      <c r="D569" s="270"/>
      <c r="E569" s="255"/>
      <c r="F569" s="255"/>
      <c r="G569" s="256"/>
      <c r="H569" s="256"/>
      <c r="I569" s="270"/>
      <c r="J569" s="256"/>
    </row>
    <row r="570" spans="2:10" ht="15.75" customHeight="1" outlineLevel="3" x14ac:dyDescent="0.25">
      <c r="B570" s="541"/>
      <c r="C570" s="508"/>
      <c r="D570" s="270"/>
      <c r="E570" s="255"/>
      <c r="F570" s="255"/>
      <c r="G570" s="256"/>
      <c r="H570" s="256"/>
      <c r="I570" s="270"/>
      <c r="J570" s="256"/>
    </row>
    <row r="571" spans="2:10" ht="15.75" customHeight="1" outlineLevel="3" x14ac:dyDescent="0.25">
      <c r="B571" s="541"/>
      <c r="C571" s="508"/>
      <c r="D571" s="270"/>
      <c r="E571" s="255"/>
      <c r="F571" s="255"/>
      <c r="G571" s="256"/>
      <c r="H571" s="256"/>
      <c r="I571" s="270"/>
      <c r="J571" s="256"/>
    </row>
    <row r="572" spans="2:10" ht="15.75" customHeight="1" outlineLevel="3" x14ac:dyDescent="0.25">
      <c r="B572" s="506"/>
      <c r="C572" s="542"/>
      <c r="D572" s="525"/>
      <c r="E572" s="307"/>
      <c r="F572" s="307"/>
      <c r="G572" s="526"/>
      <c r="H572" s="526"/>
      <c r="I572" s="525"/>
      <c r="J572" s="526"/>
    </row>
    <row r="573" spans="2:10" ht="15.75" customHeight="1" outlineLevel="3" x14ac:dyDescent="0.25">
      <c r="B573" s="506"/>
      <c r="C573" s="542"/>
      <c r="D573" s="525"/>
      <c r="E573" s="307"/>
      <c r="F573" s="307"/>
      <c r="G573" s="526"/>
      <c r="H573" s="526"/>
      <c r="I573" s="525"/>
      <c r="J573" s="526"/>
    </row>
    <row r="574" spans="2:10" ht="15.75" customHeight="1" outlineLevel="3" x14ac:dyDescent="0.25">
      <c r="B574" s="506"/>
      <c r="C574" s="542"/>
      <c r="D574" s="525"/>
      <c r="E574" s="307"/>
      <c r="F574" s="307"/>
      <c r="G574" s="526"/>
      <c r="H574" s="526"/>
      <c r="I574" s="525"/>
      <c r="J574" s="526"/>
    </row>
    <row r="575" spans="2:10" ht="15.75" customHeight="1" outlineLevel="3" x14ac:dyDescent="0.25">
      <c r="B575" s="506"/>
      <c r="C575" s="542"/>
      <c r="D575" s="525"/>
      <c r="E575" s="307"/>
      <c r="F575" s="307"/>
      <c r="G575" s="526"/>
      <c r="H575" s="526"/>
      <c r="I575" s="525"/>
      <c r="J575" s="526"/>
    </row>
    <row r="576" spans="2:10" ht="15.75" customHeight="1" outlineLevel="3" x14ac:dyDescent="0.25">
      <c r="B576" s="506"/>
      <c r="C576" s="542"/>
      <c r="D576" s="525"/>
      <c r="E576" s="307"/>
      <c r="F576" s="307"/>
      <c r="G576" s="526"/>
      <c r="H576" s="526"/>
      <c r="I576" s="525"/>
      <c r="J576" s="526"/>
    </row>
    <row r="577" spans="2:10" ht="15.75" customHeight="1" outlineLevel="3" x14ac:dyDescent="0.25">
      <c r="B577" s="506"/>
      <c r="C577" s="542"/>
      <c r="D577" s="525"/>
      <c r="E577" s="307"/>
      <c r="F577" s="307"/>
      <c r="G577" s="526"/>
      <c r="H577" s="526"/>
      <c r="I577" s="525"/>
      <c r="J577" s="526"/>
    </row>
    <row r="578" spans="2:10" ht="15.75" customHeight="1" outlineLevel="3" x14ac:dyDescent="0.25">
      <c r="B578" s="506"/>
      <c r="C578" s="542"/>
      <c r="D578" s="525"/>
      <c r="E578" s="307"/>
      <c r="F578" s="307"/>
      <c r="G578" s="526"/>
      <c r="H578" s="526"/>
      <c r="I578" s="525"/>
      <c r="J578" s="526"/>
    </row>
    <row r="579" spans="2:10" ht="15.75" customHeight="1" outlineLevel="3" x14ac:dyDescent="0.25">
      <c r="B579" s="506"/>
      <c r="C579" s="542"/>
      <c r="D579" s="525"/>
      <c r="E579" s="307"/>
      <c r="F579" s="307"/>
      <c r="G579" s="526"/>
      <c r="H579" s="526"/>
      <c r="I579" s="525"/>
      <c r="J579" s="526"/>
    </row>
    <row r="580" spans="2:10" ht="15.75" customHeight="1" outlineLevel="3" x14ac:dyDescent="0.25">
      <c r="B580" s="506"/>
      <c r="C580" s="542"/>
      <c r="D580" s="525"/>
      <c r="E580" s="307"/>
      <c r="F580" s="307"/>
      <c r="G580" s="526"/>
      <c r="H580" s="526"/>
      <c r="I580" s="525"/>
      <c r="J580" s="526"/>
    </row>
    <row r="581" spans="2:10" ht="15.75" customHeight="1" outlineLevel="3" x14ac:dyDescent="0.25">
      <c r="B581" s="506"/>
      <c r="C581" s="542"/>
      <c r="D581" s="525"/>
      <c r="E581" s="307"/>
      <c r="F581" s="307"/>
      <c r="G581" s="526"/>
      <c r="H581" s="526"/>
      <c r="I581" s="525"/>
      <c r="J581" s="526"/>
    </row>
    <row r="582" spans="2:10" ht="15.75" customHeight="1" outlineLevel="3" x14ac:dyDescent="0.25">
      <c r="B582" s="506"/>
      <c r="C582" s="542"/>
      <c r="D582" s="525"/>
      <c r="E582" s="307"/>
      <c r="F582" s="307"/>
      <c r="G582" s="526"/>
      <c r="H582" s="526"/>
      <c r="I582" s="525"/>
      <c r="J582" s="526"/>
    </row>
    <row r="583" spans="2:10" ht="15.75" customHeight="1" outlineLevel="3" x14ac:dyDescent="0.25">
      <c r="B583" s="506"/>
      <c r="C583" s="542"/>
      <c r="D583" s="525"/>
      <c r="E583" s="307"/>
      <c r="F583" s="307"/>
      <c r="G583" s="526"/>
      <c r="H583" s="526"/>
      <c r="I583" s="525"/>
      <c r="J583" s="526"/>
    </row>
    <row r="584" spans="2:10" ht="15.75" customHeight="1" outlineLevel="3" x14ac:dyDescent="0.25">
      <c r="B584" s="506"/>
      <c r="C584" s="542"/>
      <c r="D584" s="525"/>
      <c r="E584" s="307"/>
      <c r="F584" s="307"/>
      <c r="G584" s="526"/>
      <c r="H584" s="526"/>
      <c r="I584" s="525"/>
      <c r="J584" s="526"/>
    </row>
    <row r="585" spans="2:10" ht="15.75" customHeight="1" outlineLevel="3" x14ac:dyDescent="0.25">
      <c r="B585" s="506"/>
      <c r="C585" s="542"/>
      <c r="D585" s="525"/>
      <c r="E585" s="307"/>
      <c r="F585" s="307"/>
      <c r="G585" s="526"/>
      <c r="H585" s="526"/>
      <c r="I585" s="525"/>
      <c r="J585" s="526"/>
    </row>
    <row r="586" spans="2:10" ht="15.75" customHeight="1" outlineLevel="3" x14ac:dyDescent="0.25">
      <c r="B586" s="506"/>
      <c r="C586" s="542"/>
      <c r="D586" s="525"/>
      <c r="E586" s="307"/>
      <c r="F586" s="307"/>
      <c r="G586" s="526"/>
      <c r="H586" s="526"/>
      <c r="I586" s="525"/>
      <c r="J586" s="526"/>
    </row>
    <row r="587" spans="2:10" ht="15.75" customHeight="1" outlineLevel="3" x14ac:dyDescent="0.25">
      <c r="B587" s="506"/>
      <c r="C587" s="542"/>
      <c r="D587" s="525"/>
      <c r="E587" s="307"/>
      <c r="F587" s="307"/>
      <c r="G587" s="526"/>
      <c r="H587" s="526"/>
      <c r="I587" s="525"/>
      <c r="J587" s="526"/>
    </row>
    <row r="588" spans="2:10" ht="15.75" customHeight="1" outlineLevel="3" x14ac:dyDescent="0.25">
      <c r="B588" s="506"/>
      <c r="C588" s="542"/>
      <c r="D588" s="525"/>
      <c r="E588" s="307"/>
      <c r="F588" s="307"/>
      <c r="G588" s="526"/>
      <c r="H588" s="526"/>
      <c r="I588" s="525"/>
      <c r="J588" s="526"/>
    </row>
    <row r="589" spans="2:10" ht="15.75" customHeight="1" outlineLevel="3" x14ac:dyDescent="0.25">
      <c r="B589" s="506"/>
      <c r="C589" s="542"/>
      <c r="D589" s="525"/>
      <c r="E589" s="307"/>
      <c r="F589" s="307"/>
      <c r="G589" s="526"/>
      <c r="H589" s="526"/>
      <c r="I589" s="525"/>
      <c r="J589" s="526"/>
    </row>
    <row r="590" spans="2:10" ht="15.75" customHeight="1" outlineLevel="3" x14ac:dyDescent="0.25">
      <c r="B590" s="506"/>
      <c r="C590" s="542"/>
      <c r="D590" s="525"/>
      <c r="E590" s="307"/>
      <c r="F590" s="307"/>
      <c r="G590" s="526"/>
      <c r="H590" s="526"/>
      <c r="I590" s="525"/>
      <c r="J590" s="526"/>
    </row>
    <row r="591" spans="2:10" ht="15.75" customHeight="1" outlineLevel="3" x14ac:dyDescent="0.25">
      <c r="B591" s="506"/>
      <c r="C591" s="542"/>
      <c r="D591" s="525"/>
      <c r="E591" s="307"/>
      <c r="F591" s="307"/>
      <c r="G591" s="526"/>
      <c r="H591" s="526"/>
      <c r="I591" s="525"/>
      <c r="J591" s="526"/>
    </row>
    <row r="592" spans="2:10" ht="15.75" customHeight="1" outlineLevel="3" x14ac:dyDescent="0.25">
      <c r="B592" s="506"/>
      <c r="C592" s="542"/>
      <c r="D592" s="525"/>
      <c r="E592" s="307"/>
      <c r="F592" s="307"/>
      <c r="G592" s="526"/>
      <c r="H592" s="526"/>
      <c r="I592" s="525"/>
      <c r="J592" s="526"/>
    </row>
    <row r="593" spans="2:10" ht="15.75" customHeight="1" outlineLevel="3" x14ac:dyDescent="0.25">
      <c r="B593" s="506"/>
      <c r="C593" s="542"/>
      <c r="D593" s="525"/>
      <c r="E593" s="307"/>
      <c r="F593" s="307"/>
      <c r="G593" s="526"/>
      <c r="H593" s="526"/>
      <c r="I593" s="525"/>
      <c r="J593" s="526"/>
    </row>
    <row r="594" spans="2:10" ht="15.75" customHeight="1" outlineLevel="3" x14ac:dyDescent="0.25">
      <c r="B594" s="506"/>
      <c r="C594" s="542"/>
      <c r="D594" s="525"/>
      <c r="E594" s="307"/>
      <c r="F594" s="307"/>
      <c r="G594" s="526"/>
      <c r="H594" s="526"/>
      <c r="I594" s="525"/>
      <c r="J594" s="526"/>
    </row>
    <row r="595" spans="2:10" ht="15.75" customHeight="1" outlineLevel="3" x14ac:dyDescent="0.25">
      <c r="B595" s="506"/>
      <c r="C595" s="542"/>
      <c r="D595" s="525"/>
      <c r="E595" s="307"/>
      <c r="F595" s="307"/>
      <c r="G595" s="526"/>
      <c r="H595" s="526"/>
      <c r="I595" s="525"/>
      <c r="J595" s="526"/>
    </row>
    <row r="596" spans="2:10" ht="15.75" customHeight="1" outlineLevel="3" x14ac:dyDescent="0.25">
      <c r="B596" s="506"/>
      <c r="C596" s="542"/>
      <c r="D596" s="525"/>
      <c r="E596" s="307"/>
      <c r="F596" s="307"/>
      <c r="G596" s="526"/>
      <c r="H596" s="526"/>
      <c r="I596" s="525"/>
      <c r="J596" s="526"/>
    </row>
    <row r="597" spans="2:10" ht="15.75" customHeight="1" outlineLevel="3" x14ac:dyDescent="0.25">
      <c r="B597" s="506"/>
      <c r="C597" s="542"/>
      <c r="D597" s="525"/>
      <c r="E597" s="307"/>
      <c r="F597" s="307"/>
      <c r="G597" s="526"/>
      <c r="H597" s="526"/>
      <c r="I597" s="525"/>
      <c r="J597" s="526"/>
    </row>
    <row r="598" spans="2:10" ht="15.75" customHeight="1" outlineLevel="3" x14ac:dyDescent="0.25">
      <c r="B598" s="506"/>
      <c r="C598" s="542"/>
      <c r="D598" s="525"/>
      <c r="E598" s="307"/>
      <c r="F598" s="307"/>
      <c r="G598" s="526"/>
      <c r="H598" s="526"/>
      <c r="I598" s="525"/>
      <c r="J598" s="526"/>
    </row>
    <row r="599" spans="2:10" ht="15.75" customHeight="1" outlineLevel="3" x14ac:dyDescent="0.25">
      <c r="B599" s="506"/>
      <c r="C599" s="542"/>
      <c r="D599" s="525"/>
      <c r="E599" s="307"/>
      <c r="F599" s="307"/>
      <c r="G599" s="526"/>
      <c r="H599" s="526"/>
      <c r="I599" s="525"/>
      <c r="J599" s="526"/>
    </row>
    <row r="600" spans="2:10" ht="15.75" customHeight="1" outlineLevel="3" x14ac:dyDescent="0.25">
      <c r="B600" s="506"/>
      <c r="C600" s="542"/>
      <c r="D600" s="525"/>
      <c r="E600" s="307"/>
      <c r="F600" s="307"/>
      <c r="G600" s="526"/>
      <c r="H600" s="526"/>
      <c r="I600" s="525"/>
      <c r="J600" s="526"/>
    </row>
    <row r="601" spans="2:10" ht="15.75" customHeight="1" outlineLevel="3" x14ac:dyDescent="0.25">
      <c r="B601" s="506"/>
      <c r="C601" s="542"/>
      <c r="D601" s="525"/>
      <c r="E601" s="307"/>
      <c r="F601" s="307"/>
      <c r="G601" s="526"/>
      <c r="H601" s="526"/>
      <c r="I601" s="525"/>
      <c r="J601" s="526"/>
    </row>
    <row r="602" spans="2:10" ht="15.75" customHeight="1" outlineLevel="3" x14ac:dyDescent="0.25">
      <c r="B602" s="506"/>
      <c r="C602" s="542"/>
      <c r="D602" s="525"/>
      <c r="E602" s="307"/>
      <c r="F602" s="307"/>
      <c r="G602" s="526"/>
      <c r="H602" s="526"/>
      <c r="I602" s="525"/>
      <c r="J602" s="526"/>
    </row>
    <row r="603" spans="2:10" ht="15.75" customHeight="1" outlineLevel="3" x14ac:dyDescent="0.25">
      <c r="B603" s="506"/>
      <c r="C603" s="542"/>
      <c r="D603" s="525"/>
      <c r="E603" s="307"/>
      <c r="F603" s="307"/>
      <c r="G603" s="526"/>
      <c r="H603" s="526"/>
      <c r="I603" s="525"/>
      <c r="J603" s="526"/>
    </row>
    <row r="604" spans="2:10" ht="15.75" customHeight="1" outlineLevel="3" x14ac:dyDescent="0.25">
      <c r="B604" s="506"/>
      <c r="C604" s="542"/>
      <c r="D604" s="525"/>
      <c r="E604" s="307"/>
      <c r="F604" s="307"/>
      <c r="G604" s="526"/>
      <c r="H604" s="526"/>
      <c r="I604" s="525"/>
      <c r="J604" s="526"/>
    </row>
    <row r="605" spans="2:10" ht="15.75" customHeight="1" outlineLevel="3" x14ac:dyDescent="0.25">
      <c r="B605" s="506"/>
      <c r="C605" s="542"/>
      <c r="D605" s="525"/>
      <c r="E605" s="307"/>
      <c r="F605" s="307"/>
      <c r="G605" s="526"/>
      <c r="H605" s="526"/>
      <c r="I605" s="525"/>
      <c r="J605" s="526"/>
    </row>
    <row r="606" spans="2:10" ht="15.75" customHeight="1" outlineLevel="3" x14ac:dyDescent="0.25">
      <c r="B606" s="506"/>
      <c r="C606" s="542"/>
      <c r="D606" s="525"/>
      <c r="E606" s="307"/>
      <c r="F606" s="307"/>
      <c r="G606" s="526"/>
      <c r="H606" s="526"/>
      <c r="I606" s="525"/>
      <c r="J606" s="526"/>
    </row>
    <row r="607" spans="2:10" ht="15.75" customHeight="1" outlineLevel="3" x14ac:dyDescent="0.25">
      <c r="B607" s="543" t="s">
        <v>151</v>
      </c>
      <c r="C607" s="512"/>
      <c r="D607" s="272"/>
      <c r="E607" s="258"/>
      <c r="F607" s="258"/>
      <c r="G607" s="259"/>
      <c r="H607" s="259"/>
      <c r="I607" s="272"/>
      <c r="J607" s="259"/>
    </row>
    <row r="608" spans="2:10" ht="15.75" customHeight="1" outlineLevel="3" x14ac:dyDescent="0.25">
      <c r="B608" s="513"/>
      <c r="C608" s="514" t="s">
        <v>112</v>
      </c>
      <c r="D608" s="514">
        <f t="shared" ref="D608:J608" si="16">SUM(D557:D607)</f>
        <v>0</v>
      </c>
      <c r="E608" s="514">
        <f t="shared" si="16"/>
        <v>0</v>
      </c>
      <c r="F608" s="514">
        <f t="shared" si="16"/>
        <v>0</v>
      </c>
      <c r="G608" s="514">
        <f t="shared" si="16"/>
        <v>0</v>
      </c>
      <c r="H608" s="514">
        <f t="shared" si="16"/>
        <v>0</v>
      </c>
      <c r="I608" s="514">
        <f t="shared" si="16"/>
        <v>0</v>
      </c>
      <c r="J608" s="514">
        <f t="shared" si="16"/>
        <v>0</v>
      </c>
    </row>
    <row r="609" spans="2:10" ht="15" customHeight="1" outlineLevel="2" x14ac:dyDescent="0.25">
      <c r="B609" s="74"/>
    </row>
    <row r="610" spans="2:10" ht="20.25" customHeight="1" outlineLevel="2" x14ac:dyDescent="0.25">
      <c r="B610" s="235" t="s">
        <v>155</v>
      </c>
      <c r="C610" s="236"/>
      <c r="D610" s="236"/>
      <c r="E610" s="236"/>
      <c r="F610" s="236"/>
      <c r="G610" s="236"/>
      <c r="H610" s="236"/>
      <c r="I610" s="236"/>
      <c r="J610" s="236"/>
    </row>
    <row r="611" spans="2:10" ht="15.75" customHeight="1" outlineLevel="3" x14ac:dyDescent="0.25">
      <c r="B611" s="541" t="s">
        <v>126</v>
      </c>
      <c r="C611" s="507"/>
      <c r="D611" s="270">
        <v>0</v>
      </c>
      <c r="E611" s="255">
        <v>0</v>
      </c>
      <c r="F611" s="255">
        <v>0</v>
      </c>
      <c r="G611" s="256">
        <v>0</v>
      </c>
      <c r="H611" s="256">
        <v>0</v>
      </c>
      <c r="I611" s="270">
        <v>0</v>
      </c>
      <c r="J611" s="256">
        <v>0</v>
      </c>
    </row>
    <row r="612" spans="2:10" ht="15.75" customHeight="1" outlineLevel="3" x14ac:dyDescent="0.25">
      <c r="B612" s="541" t="s">
        <v>127</v>
      </c>
      <c r="C612" s="508"/>
      <c r="D612" s="270"/>
      <c r="E612" s="255"/>
      <c r="F612" s="255"/>
      <c r="G612" s="256"/>
      <c r="H612" s="256"/>
      <c r="I612" s="270"/>
      <c r="J612" s="256"/>
    </row>
    <row r="613" spans="2:10" ht="15.75" customHeight="1" outlineLevel="3" x14ac:dyDescent="0.25">
      <c r="B613" s="541" t="s">
        <v>128</v>
      </c>
      <c r="C613" s="508"/>
      <c r="D613" s="270"/>
      <c r="E613" s="255"/>
      <c r="F613" s="255"/>
      <c r="G613" s="256"/>
      <c r="H613" s="256"/>
      <c r="I613" s="270"/>
      <c r="J613" s="256"/>
    </row>
    <row r="614" spans="2:10" ht="15.75" customHeight="1" outlineLevel="3" x14ac:dyDescent="0.25">
      <c r="B614" s="541" t="s">
        <v>129</v>
      </c>
      <c r="C614" s="508"/>
      <c r="D614" s="270"/>
      <c r="E614" s="255"/>
      <c r="F614" s="255"/>
      <c r="G614" s="256"/>
      <c r="H614" s="256"/>
      <c r="I614" s="270"/>
      <c r="J614" s="256"/>
    </row>
    <row r="615" spans="2:10" ht="15.75" customHeight="1" outlineLevel="3" x14ac:dyDescent="0.25">
      <c r="B615" s="541" t="s">
        <v>130</v>
      </c>
      <c r="C615" s="508"/>
      <c r="D615" s="270"/>
      <c r="E615" s="255"/>
      <c r="F615" s="255"/>
      <c r="G615" s="256"/>
      <c r="H615" s="256"/>
      <c r="I615" s="270"/>
      <c r="J615" s="256"/>
    </row>
    <row r="616" spans="2:10" ht="15.75" customHeight="1" outlineLevel="3" x14ac:dyDescent="0.25">
      <c r="B616" s="541" t="s">
        <v>131</v>
      </c>
      <c r="C616" s="508"/>
      <c r="D616" s="270"/>
      <c r="E616" s="255"/>
      <c r="F616" s="255"/>
      <c r="G616" s="256"/>
      <c r="H616" s="256"/>
      <c r="I616" s="270"/>
      <c r="J616" s="256"/>
    </row>
    <row r="617" spans="2:10" ht="15.75" customHeight="1" outlineLevel="3" x14ac:dyDescent="0.25">
      <c r="B617" s="541" t="s">
        <v>132</v>
      </c>
      <c r="C617" s="508"/>
      <c r="D617" s="270"/>
      <c r="E617" s="255"/>
      <c r="F617" s="255"/>
      <c r="G617" s="256"/>
      <c r="H617" s="256"/>
      <c r="I617" s="270"/>
      <c r="J617" s="256"/>
    </row>
    <row r="618" spans="2:10" ht="15.75" customHeight="1" outlineLevel="3" x14ac:dyDescent="0.25">
      <c r="B618" s="541"/>
      <c r="C618" s="508"/>
      <c r="D618" s="270"/>
      <c r="E618" s="255"/>
      <c r="F618" s="255"/>
      <c r="G618" s="256"/>
      <c r="H618" s="256"/>
      <c r="I618" s="270"/>
      <c r="J618" s="256"/>
    </row>
    <row r="619" spans="2:10" ht="15.75" customHeight="1" outlineLevel="3" x14ac:dyDescent="0.25">
      <c r="B619" s="541"/>
      <c r="C619" s="508"/>
      <c r="D619" s="270"/>
      <c r="E619" s="255"/>
      <c r="F619" s="255"/>
      <c r="G619" s="256"/>
      <c r="H619" s="256"/>
      <c r="I619" s="270"/>
      <c r="J619" s="256"/>
    </row>
    <row r="620" spans="2:10" ht="15.75" customHeight="1" outlineLevel="3" x14ac:dyDescent="0.25">
      <c r="B620" s="541"/>
      <c r="C620" s="508"/>
      <c r="D620" s="270"/>
      <c r="E620" s="255"/>
      <c r="F620" s="255"/>
      <c r="G620" s="256"/>
      <c r="H620" s="256"/>
      <c r="I620" s="270"/>
      <c r="J620" s="256"/>
    </row>
    <row r="621" spans="2:10" ht="15.75" customHeight="1" outlineLevel="3" x14ac:dyDescent="0.25">
      <c r="B621" s="541"/>
      <c r="C621" s="508"/>
      <c r="D621" s="270"/>
      <c r="E621" s="255"/>
      <c r="F621" s="255"/>
      <c r="G621" s="256"/>
      <c r="H621" s="256"/>
      <c r="I621" s="270"/>
      <c r="J621" s="256"/>
    </row>
    <row r="622" spans="2:10" ht="15.75" customHeight="1" outlineLevel="3" x14ac:dyDescent="0.25">
      <c r="B622" s="541"/>
      <c r="C622" s="508"/>
      <c r="D622" s="270"/>
      <c r="E622" s="255"/>
      <c r="F622" s="255"/>
      <c r="G622" s="256"/>
      <c r="H622" s="256"/>
      <c r="I622" s="270"/>
      <c r="J622" s="256"/>
    </row>
    <row r="623" spans="2:10" ht="15.75" customHeight="1" outlineLevel="3" x14ac:dyDescent="0.25">
      <c r="B623" s="541"/>
      <c r="C623" s="508"/>
      <c r="D623" s="270"/>
      <c r="E623" s="255"/>
      <c r="F623" s="255"/>
      <c r="G623" s="256"/>
      <c r="H623" s="256"/>
      <c r="I623" s="270"/>
      <c r="J623" s="256"/>
    </row>
    <row r="624" spans="2:10" ht="15.75" customHeight="1" outlineLevel="3" x14ac:dyDescent="0.25">
      <c r="B624" s="541"/>
      <c r="C624" s="508"/>
      <c r="D624" s="270"/>
      <c r="E624" s="255"/>
      <c r="F624" s="255"/>
      <c r="G624" s="256"/>
      <c r="H624" s="256"/>
      <c r="I624" s="270"/>
      <c r="J624" s="256"/>
    </row>
    <row r="625" spans="2:10" ht="15.75" customHeight="1" outlineLevel="3" x14ac:dyDescent="0.25">
      <c r="B625" s="541"/>
      <c r="C625" s="508"/>
      <c r="D625" s="270"/>
      <c r="E625" s="255"/>
      <c r="F625" s="255"/>
      <c r="G625" s="256"/>
      <c r="H625" s="256"/>
      <c r="I625" s="270"/>
      <c r="J625" s="256"/>
    </row>
    <row r="626" spans="2:10" ht="15.75" customHeight="1" outlineLevel="3" x14ac:dyDescent="0.25">
      <c r="B626" s="506"/>
      <c r="C626" s="542"/>
      <c r="D626" s="525"/>
      <c r="E626" s="307"/>
      <c r="F626" s="307"/>
      <c r="G626" s="526"/>
      <c r="H626" s="526"/>
      <c r="I626" s="525"/>
      <c r="J626" s="526"/>
    </row>
    <row r="627" spans="2:10" ht="15.75" customHeight="1" outlineLevel="3" x14ac:dyDescent="0.25">
      <c r="B627" s="506"/>
      <c r="C627" s="542"/>
      <c r="D627" s="525"/>
      <c r="E627" s="307"/>
      <c r="F627" s="307"/>
      <c r="G627" s="526"/>
      <c r="H627" s="526"/>
      <c r="I627" s="525"/>
      <c r="J627" s="526"/>
    </row>
    <row r="628" spans="2:10" ht="15.75" customHeight="1" outlineLevel="3" x14ac:dyDescent="0.25">
      <c r="B628" s="506"/>
      <c r="C628" s="542"/>
      <c r="D628" s="525"/>
      <c r="E628" s="307"/>
      <c r="F628" s="307"/>
      <c r="G628" s="526"/>
      <c r="H628" s="526"/>
      <c r="I628" s="525"/>
      <c r="J628" s="526"/>
    </row>
    <row r="629" spans="2:10" ht="15.75" customHeight="1" outlineLevel="3" x14ac:dyDescent="0.25">
      <c r="B629" s="506"/>
      <c r="C629" s="542"/>
      <c r="D629" s="525"/>
      <c r="E629" s="307"/>
      <c r="F629" s="307"/>
      <c r="G629" s="526"/>
      <c r="H629" s="526"/>
      <c r="I629" s="525"/>
      <c r="J629" s="526"/>
    </row>
    <row r="630" spans="2:10" ht="15.75" customHeight="1" outlineLevel="3" x14ac:dyDescent="0.25">
      <c r="B630" s="506"/>
      <c r="C630" s="542"/>
      <c r="D630" s="525"/>
      <c r="E630" s="307"/>
      <c r="F630" s="307"/>
      <c r="G630" s="526"/>
      <c r="H630" s="526"/>
      <c r="I630" s="525"/>
      <c r="J630" s="526"/>
    </row>
    <row r="631" spans="2:10" ht="15.75" customHeight="1" outlineLevel="3" x14ac:dyDescent="0.25">
      <c r="B631" s="506"/>
      <c r="C631" s="542"/>
      <c r="D631" s="525"/>
      <c r="E631" s="307"/>
      <c r="F631" s="307"/>
      <c r="G631" s="526"/>
      <c r="H631" s="526"/>
      <c r="I631" s="525"/>
      <c r="J631" s="526"/>
    </row>
    <row r="632" spans="2:10" ht="15.75" customHeight="1" outlineLevel="3" x14ac:dyDescent="0.25">
      <c r="B632" s="506"/>
      <c r="C632" s="542"/>
      <c r="D632" s="525"/>
      <c r="E632" s="307"/>
      <c r="F632" s="307"/>
      <c r="G632" s="526"/>
      <c r="H632" s="526"/>
      <c r="I632" s="525"/>
      <c r="J632" s="526"/>
    </row>
    <row r="633" spans="2:10" ht="15.75" customHeight="1" outlineLevel="3" x14ac:dyDescent="0.25">
      <c r="B633" s="506"/>
      <c r="C633" s="542"/>
      <c r="D633" s="525"/>
      <c r="E633" s="307"/>
      <c r="F633" s="307"/>
      <c r="G633" s="526"/>
      <c r="H633" s="526"/>
      <c r="I633" s="525"/>
      <c r="J633" s="526"/>
    </row>
    <row r="634" spans="2:10" ht="15.75" customHeight="1" outlineLevel="3" x14ac:dyDescent="0.25">
      <c r="B634" s="506"/>
      <c r="C634" s="542"/>
      <c r="D634" s="525"/>
      <c r="E634" s="307"/>
      <c r="F634" s="307"/>
      <c r="G634" s="526"/>
      <c r="H634" s="526"/>
      <c r="I634" s="525"/>
      <c r="J634" s="526"/>
    </row>
    <row r="635" spans="2:10" ht="15.75" customHeight="1" outlineLevel="3" x14ac:dyDescent="0.25">
      <c r="B635" s="506"/>
      <c r="C635" s="542"/>
      <c r="D635" s="525"/>
      <c r="E635" s="307"/>
      <c r="F635" s="307"/>
      <c r="G635" s="526"/>
      <c r="H635" s="526"/>
      <c r="I635" s="525"/>
      <c r="J635" s="526"/>
    </row>
    <row r="636" spans="2:10" ht="15.75" customHeight="1" outlineLevel="3" x14ac:dyDescent="0.25">
      <c r="B636" s="506"/>
      <c r="C636" s="542"/>
      <c r="D636" s="525"/>
      <c r="E636" s="307"/>
      <c r="F636" s="307"/>
      <c r="G636" s="526"/>
      <c r="H636" s="526"/>
      <c r="I636" s="525"/>
      <c r="J636" s="526"/>
    </row>
    <row r="637" spans="2:10" ht="15.75" customHeight="1" outlineLevel="3" x14ac:dyDescent="0.25">
      <c r="B637" s="506"/>
      <c r="C637" s="542"/>
      <c r="D637" s="525"/>
      <c r="E637" s="307"/>
      <c r="F637" s="307"/>
      <c r="G637" s="526"/>
      <c r="H637" s="526"/>
      <c r="I637" s="525"/>
      <c r="J637" s="526"/>
    </row>
    <row r="638" spans="2:10" ht="15.75" customHeight="1" outlineLevel="3" x14ac:dyDescent="0.25">
      <c r="B638" s="506"/>
      <c r="C638" s="542"/>
      <c r="D638" s="525"/>
      <c r="E638" s="307"/>
      <c r="F638" s="307"/>
      <c r="G638" s="526"/>
      <c r="H638" s="526"/>
      <c r="I638" s="525"/>
      <c r="J638" s="526"/>
    </row>
    <row r="639" spans="2:10" ht="15.75" customHeight="1" outlineLevel="3" x14ac:dyDescent="0.25">
      <c r="B639" s="506"/>
      <c r="C639" s="542"/>
      <c r="D639" s="525"/>
      <c r="E639" s="307"/>
      <c r="F639" s="307"/>
      <c r="G639" s="526"/>
      <c r="H639" s="526"/>
      <c r="I639" s="525"/>
      <c r="J639" s="526"/>
    </row>
    <row r="640" spans="2:10" ht="15.75" customHeight="1" outlineLevel="3" x14ac:dyDescent="0.25">
      <c r="B640" s="506"/>
      <c r="C640" s="542"/>
      <c r="D640" s="525"/>
      <c r="E640" s="307"/>
      <c r="F640" s="307"/>
      <c r="G640" s="526"/>
      <c r="H640" s="526"/>
      <c r="I640" s="525"/>
      <c r="J640" s="526"/>
    </row>
    <row r="641" spans="2:10" ht="15.75" customHeight="1" outlineLevel="3" x14ac:dyDescent="0.25">
      <c r="B641" s="506"/>
      <c r="C641" s="542"/>
      <c r="D641" s="525"/>
      <c r="E641" s="307"/>
      <c r="F641" s="307"/>
      <c r="G641" s="526"/>
      <c r="H641" s="526"/>
      <c r="I641" s="525"/>
      <c r="J641" s="526"/>
    </row>
    <row r="642" spans="2:10" ht="15.75" customHeight="1" outlineLevel="3" x14ac:dyDescent="0.25">
      <c r="B642" s="506"/>
      <c r="C642" s="542"/>
      <c r="D642" s="525"/>
      <c r="E642" s="307"/>
      <c r="F642" s="307"/>
      <c r="G642" s="526"/>
      <c r="H642" s="526"/>
      <c r="I642" s="525"/>
      <c r="J642" s="526"/>
    </row>
    <row r="643" spans="2:10" ht="15.75" customHeight="1" outlineLevel="3" x14ac:dyDescent="0.25">
      <c r="B643" s="506"/>
      <c r="C643" s="542"/>
      <c r="D643" s="525"/>
      <c r="E643" s="307"/>
      <c r="F643" s="307"/>
      <c r="G643" s="526"/>
      <c r="H643" s="526"/>
      <c r="I643" s="525"/>
      <c r="J643" s="526"/>
    </row>
    <row r="644" spans="2:10" ht="15.75" customHeight="1" outlineLevel="3" x14ac:dyDescent="0.25">
      <c r="B644" s="506"/>
      <c r="C644" s="542"/>
      <c r="D644" s="525"/>
      <c r="E644" s="307"/>
      <c r="F644" s="307"/>
      <c r="G644" s="526"/>
      <c r="H644" s="526"/>
      <c r="I644" s="525"/>
      <c r="J644" s="526"/>
    </row>
    <row r="645" spans="2:10" ht="15.75" customHeight="1" outlineLevel="3" x14ac:dyDescent="0.25">
      <c r="B645" s="506"/>
      <c r="C645" s="542"/>
      <c r="D645" s="525"/>
      <c r="E645" s="307"/>
      <c r="F645" s="307"/>
      <c r="G645" s="526"/>
      <c r="H645" s="526"/>
      <c r="I645" s="525"/>
      <c r="J645" s="526"/>
    </row>
    <row r="646" spans="2:10" ht="15.75" customHeight="1" outlineLevel="3" x14ac:dyDescent="0.25">
      <c r="B646" s="506"/>
      <c r="C646" s="542"/>
      <c r="D646" s="525"/>
      <c r="E646" s="307"/>
      <c r="F646" s="307"/>
      <c r="G646" s="526"/>
      <c r="H646" s="526"/>
      <c r="I646" s="525"/>
      <c r="J646" s="526"/>
    </row>
    <row r="647" spans="2:10" ht="15.75" customHeight="1" outlineLevel="3" x14ac:dyDescent="0.25">
      <c r="B647" s="506"/>
      <c r="C647" s="542"/>
      <c r="D647" s="525"/>
      <c r="E647" s="307"/>
      <c r="F647" s="307"/>
      <c r="G647" s="526"/>
      <c r="H647" s="526"/>
      <c r="I647" s="525"/>
      <c r="J647" s="526"/>
    </row>
    <row r="648" spans="2:10" ht="15.75" customHeight="1" outlineLevel="3" x14ac:dyDescent="0.25">
      <c r="B648" s="506"/>
      <c r="C648" s="542"/>
      <c r="D648" s="525"/>
      <c r="E648" s="307"/>
      <c r="F648" s="307"/>
      <c r="G648" s="526"/>
      <c r="H648" s="526"/>
      <c r="I648" s="525"/>
      <c r="J648" s="526"/>
    </row>
    <row r="649" spans="2:10" ht="15.75" customHeight="1" outlineLevel="3" x14ac:dyDescent="0.25">
      <c r="B649" s="506"/>
      <c r="C649" s="542"/>
      <c r="D649" s="525"/>
      <c r="E649" s="307"/>
      <c r="F649" s="307"/>
      <c r="G649" s="526"/>
      <c r="H649" s="526"/>
      <c r="I649" s="525"/>
      <c r="J649" s="526"/>
    </row>
    <row r="650" spans="2:10" ht="15.75" customHeight="1" outlineLevel="3" x14ac:dyDescent="0.25">
      <c r="B650" s="506"/>
      <c r="C650" s="542"/>
      <c r="D650" s="525"/>
      <c r="E650" s="307"/>
      <c r="F650" s="307"/>
      <c r="G650" s="526"/>
      <c r="H650" s="526"/>
      <c r="I650" s="525"/>
      <c r="J650" s="526"/>
    </row>
    <row r="651" spans="2:10" ht="15.75" customHeight="1" outlineLevel="3" x14ac:dyDescent="0.25">
      <c r="B651" s="506"/>
      <c r="C651" s="542"/>
      <c r="D651" s="525"/>
      <c r="E651" s="307"/>
      <c r="F651" s="307"/>
      <c r="G651" s="526"/>
      <c r="H651" s="526"/>
      <c r="I651" s="525"/>
      <c r="J651" s="526"/>
    </row>
    <row r="652" spans="2:10" ht="15.75" customHeight="1" outlineLevel="3" x14ac:dyDescent="0.25">
      <c r="B652" s="506"/>
      <c r="C652" s="542"/>
      <c r="D652" s="525"/>
      <c r="E652" s="307"/>
      <c r="F652" s="307"/>
      <c r="G652" s="526"/>
      <c r="H652" s="526"/>
      <c r="I652" s="525"/>
      <c r="J652" s="526"/>
    </row>
    <row r="653" spans="2:10" ht="15.75" customHeight="1" outlineLevel="3" x14ac:dyDescent="0.25">
      <c r="B653" s="506"/>
      <c r="C653" s="542"/>
      <c r="D653" s="525"/>
      <c r="E653" s="307"/>
      <c r="F653" s="307"/>
      <c r="G653" s="526"/>
      <c r="H653" s="526"/>
      <c r="I653" s="525"/>
      <c r="J653" s="526"/>
    </row>
    <row r="654" spans="2:10" ht="15.75" customHeight="1" outlineLevel="3" x14ac:dyDescent="0.25">
      <c r="B654" s="506"/>
      <c r="C654" s="542"/>
      <c r="D654" s="525"/>
      <c r="E654" s="307"/>
      <c r="F654" s="307"/>
      <c r="G654" s="526"/>
      <c r="H654" s="526"/>
      <c r="I654" s="525"/>
      <c r="J654" s="526"/>
    </row>
    <row r="655" spans="2:10" ht="15.75" customHeight="1" outlineLevel="3" x14ac:dyDescent="0.25">
      <c r="B655" s="506"/>
      <c r="C655" s="542"/>
      <c r="D655" s="525"/>
      <c r="E655" s="307"/>
      <c r="F655" s="307"/>
      <c r="G655" s="526"/>
      <c r="H655" s="526"/>
      <c r="I655" s="525"/>
      <c r="J655" s="526"/>
    </row>
    <row r="656" spans="2:10" ht="15.75" customHeight="1" outlineLevel="3" x14ac:dyDescent="0.25">
      <c r="B656" s="506"/>
      <c r="C656" s="542"/>
      <c r="D656" s="525"/>
      <c r="E656" s="307"/>
      <c r="F656" s="307"/>
      <c r="G656" s="526"/>
      <c r="H656" s="526"/>
      <c r="I656" s="525"/>
      <c r="J656" s="526"/>
    </row>
    <row r="657" spans="2:10" ht="15.75" customHeight="1" outlineLevel="3" x14ac:dyDescent="0.25">
      <c r="B657" s="506"/>
      <c r="C657" s="542"/>
      <c r="D657" s="525"/>
      <c r="E657" s="307"/>
      <c r="F657" s="307"/>
      <c r="G657" s="526"/>
      <c r="H657" s="526"/>
      <c r="I657" s="525"/>
      <c r="J657" s="526"/>
    </row>
    <row r="658" spans="2:10" ht="15.75" customHeight="1" outlineLevel="3" x14ac:dyDescent="0.25">
      <c r="B658" s="506"/>
      <c r="C658" s="542"/>
      <c r="D658" s="525"/>
      <c r="E658" s="307"/>
      <c r="F658" s="307"/>
      <c r="G658" s="526"/>
      <c r="H658" s="526"/>
      <c r="I658" s="525"/>
      <c r="J658" s="526"/>
    </row>
    <row r="659" spans="2:10" ht="15.75" customHeight="1" outlineLevel="3" x14ac:dyDescent="0.25">
      <c r="B659" s="506"/>
      <c r="C659" s="542"/>
      <c r="D659" s="525"/>
      <c r="E659" s="307"/>
      <c r="F659" s="307"/>
      <c r="G659" s="526"/>
      <c r="H659" s="526"/>
      <c r="I659" s="525"/>
      <c r="J659" s="526"/>
    </row>
    <row r="660" spans="2:10" ht="15.75" customHeight="1" outlineLevel="3" x14ac:dyDescent="0.25">
      <c r="B660" s="506"/>
      <c r="C660" s="542"/>
      <c r="D660" s="525"/>
      <c r="E660" s="307"/>
      <c r="F660" s="307"/>
      <c r="G660" s="526"/>
      <c r="H660" s="526"/>
      <c r="I660" s="525"/>
      <c r="J660" s="526"/>
    </row>
    <row r="661" spans="2:10" ht="15.75" customHeight="1" outlineLevel="3" x14ac:dyDescent="0.25">
      <c r="B661" s="543" t="s">
        <v>151</v>
      </c>
      <c r="C661" s="512"/>
      <c r="D661" s="272"/>
      <c r="E661" s="258"/>
      <c r="F661" s="258"/>
      <c r="G661" s="259"/>
      <c r="H661" s="259"/>
      <c r="I661" s="272"/>
      <c r="J661" s="259"/>
    </row>
    <row r="662" spans="2:10" ht="15.75" customHeight="1" outlineLevel="3" x14ac:dyDescent="0.25">
      <c r="B662" s="513"/>
      <c r="C662" s="514" t="s">
        <v>112</v>
      </c>
      <c r="D662" s="514">
        <f t="shared" ref="D662:J662" si="17">SUM(D611:D661)</f>
        <v>0</v>
      </c>
      <c r="E662" s="514">
        <f t="shared" si="17"/>
        <v>0</v>
      </c>
      <c r="F662" s="514">
        <f t="shared" si="17"/>
        <v>0</v>
      </c>
      <c r="G662" s="514">
        <f t="shared" si="17"/>
        <v>0</v>
      </c>
      <c r="H662" s="514">
        <f t="shared" si="17"/>
        <v>0</v>
      </c>
      <c r="I662" s="514">
        <f t="shared" si="17"/>
        <v>0</v>
      </c>
      <c r="J662" s="514">
        <f t="shared" si="17"/>
        <v>0</v>
      </c>
    </row>
    <row r="663" spans="2:10" s="41" customFormat="1" ht="13.5" customHeight="1" outlineLevel="2" x14ac:dyDescent="0.2"/>
    <row r="664" spans="2:10" ht="20.25" customHeight="1" outlineLevel="2" x14ac:dyDescent="0.25">
      <c r="B664" s="235" t="s">
        <v>156</v>
      </c>
      <c r="C664" s="236"/>
      <c r="D664" s="236"/>
      <c r="E664" s="236"/>
      <c r="F664" s="236"/>
      <c r="G664" s="236"/>
      <c r="H664" s="236"/>
      <c r="I664" s="236"/>
      <c r="J664" s="236"/>
    </row>
    <row r="665" spans="2:10" ht="15.75" customHeight="1" outlineLevel="3" x14ac:dyDescent="0.25">
      <c r="B665" s="541" t="s">
        <v>126</v>
      </c>
      <c r="C665" s="507"/>
      <c r="D665" s="270">
        <v>0</v>
      </c>
      <c r="E665" s="255">
        <v>0</v>
      </c>
      <c r="F665" s="255">
        <v>0</v>
      </c>
      <c r="G665" s="256">
        <v>0</v>
      </c>
      <c r="H665" s="256">
        <v>0</v>
      </c>
      <c r="I665" s="270">
        <v>0</v>
      </c>
      <c r="J665" s="256">
        <v>0</v>
      </c>
    </row>
    <row r="666" spans="2:10" ht="15.75" customHeight="1" outlineLevel="3" x14ac:dyDescent="0.25">
      <c r="B666" s="541" t="s">
        <v>127</v>
      </c>
      <c r="C666" s="508"/>
      <c r="D666" s="270"/>
      <c r="E666" s="255"/>
      <c r="F666" s="255"/>
      <c r="G666" s="256"/>
      <c r="H666" s="256"/>
      <c r="I666" s="270"/>
      <c r="J666" s="256"/>
    </row>
    <row r="667" spans="2:10" ht="15.75" customHeight="1" outlineLevel="3" x14ac:dyDescent="0.25">
      <c r="B667" s="541" t="s">
        <v>128</v>
      </c>
      <c r="C667" s="508"/>
      <c r="D667" s="270"/>
      <c r="E667" s="255"/>
      <c r="F667" s="255"/>
      <c r="G667" s="256"/>
      <c r="H667" s="256"/>
      <c r="I667" s="270"/>
      <c r="J667" s="256"/>
    </row>
    <row r="668" spans="2:10" ht="15.75" customHeight="1" outlineLevel="3" x14ac:dyDescent="0.25">
      <c r="B668" s="541" t="s">
        <v>129</v>
      </c>
      <c r="C668" s="508"/>
      <c r="D668" s="270"/>
      <c r="E668" s="255"/>
      <c r="F668" s="255"/>
      <c r="G668" s="256"/>
      <c r="H668" s="256"/>
      <c r="I668" s="270"/>
      <c r="J668" s="256"/>
    </row>
    <row r="669" spans="2:10" ht="15.75" customHeight="1" outlineLevel="3" x14ac:dyDescent="0.25">
      <c r="B669" s="541" t="s">
        <v>130</v>
      </c>
      <c r="C669" s="508"/>
      <c r="D669" s="270"/>
      <c r="E669" s="255"/>
      <c r="F669" s="255"/>
      <c r="G669" s="256"/>
      <c r="H669" s="256"/>
      <c r="I669" s="270"/>
      <c r="J669" s="256"/>
    </row>
    <row r="670" spans="2:10" ht="15.75" customHeight="1" outlineLevel="3" x14ac:dyDescent="0.25">
      <c r="B670" s="541" t="s">
        <v>131</v>
      </c>
      <c r="C670" s="508"/>
      <c r="D670" s="270"/>
      <c r="E670" s="255"/>
      <c r="F670" s="255"/>
      <c r="G670" s="256"/>
      <c r="H670" s="256"/>
      <c r="I670" s="270"/>
      <c r="J670" s="256"/>
    </row>
    <row r="671" spans="2:10" ht="15.75" customHeight="1" outlineLevel="3" x14ac:dyDescent="0.25">
      <c r="B671" s="541" t="s">
        <v>132</v>
      </c>
      <c r="C671" s="508"/>
      <c r="D671" s="270"/>
      <c r="E671" s="255"/>
      <c r="F671" s="255"/>
      <c r="G671" s="256"/>
      <c r="H671" s="256"/>
      <c r="I671" s="270"/>
      <c r="J671" s="256"/>
    </row>
    <row r="672" spans="2:10" ht="15.75" customHeight="1" outlineLevel="3" x14ac:dyDescent="0.25">
      <c r="B672" s="541"/>
      <c r="C672" s="508"/>
      <c r="D672" s="270"/>
      <c r="E672" s="255"/>
      <c r="F672" s="255"/>
      <c r="G672" s="256"/>
      <c r="H672" s="256"/>
      <c r="I672" s="270"/>
      <c r="J672" s="256"/>
    </row>
    <row r="673" spans="2:10" ht="15.75" customHeight="1" outlineLevel="3" x14ac:dyDescent="0.25">
      <c r="B673" s="541"/>
      <c r="C673" s="508"/>
      <c r="D673" s="270"/>
      <c r="E673" s="255"/>
      <c r="F673" s="255"/>
      <c r="G673" s="256"/>
      <c r="H673" s="256"/>
      <c r="I673" s="270"/>
      <c r="J673" s="256"/>
    </row>
    <row r="674" spans="2:10" ht="15.75" customHeight="1" outlineLevel="3" x14ac:dyDescent="0.25">
      <c r="B674" s="541"/>
      <c r="C674" s="508"/>
      <c r="D674" s="270"/>
      <c r="E674" s="255"/>
      <c r="F674" s="255"/>
      <c r="G674" s="256"/>
      <c r="H674" s="256"/>
      <c r="I674" s="270"/>
      <c r="J674" s="256"/>
    </row>
    <row r="675" spans="2:10" ht="15.75" customHeight="1" outlineLevel="3" x14ac:dyDescent="0.25">
      <c r="B675" s="541"/>
      <c r="C675" s="508"/>
      <c r="D675" s="270"/>
      <c r="E675" s="255"/>
      <c r="F675" s="255"/>
      <c r="G675" s="256"/>
      <c r="H675" s="256"/>
      <c r="I675" s="270"/>
      <c r="J675" s="256"/>
    </row>
    <row r="676" spans="2:10" ht="15.75" customHeight="1" outlineLevel="3" x14ac:dyDescent="0.25">
      <c r="B676" s="541"/>
      <c r="C676" s="508"/>
      <c r="D676" s="270"/>
      <c r="E676" s="255"/>
      <c r="F676" s="255"/>
      <c r="G676" s="256"/>
      <c r="H676" s="256"/>
      <c r="I676" s="270"/>
      <c r="J676" s="256"/>
    </row>
    <row r="677" spans="2:10" ht="15.75" customHeight="1" outlineLevel="3" x14ac:dyDescent="0.25">
      <c r="B677" s="541"/>
      <c r="C677" s="508"/>
      <c r="D677" s="270"/>
      <c r="E677" s="255"/>
      <c r="F677" s="255"/>
      <c r="G677" s="256"/>
      <c r="H677" s="256"/>
      <c r="I677" s="270"/>
      <c r="J677" s="256"/>
    </row>
    <row r="678" spans="2:10" ht="15.75" customHeight="1" outlineLevel="3" x14ac:dyDescent="0.25">
      <c r="B678" s="541"/>
      <c r="C678" s="508"/>
      <c r="D678" s="270"/>
      <c r="E678" s="255"/>
      <c r="F678" s="255"/>
      <c r="G678" s="256"/>
      <c r="H678" s="256"/>
      <c r="I678" s="270"/>
      <c r="J678" s="256"/>
    </row>
    <row r="679" spans="2:10" ht="15.75" customHeight="1" outlineLevel="3" x14ac:dyDescent="0.25">
      <c r="B679" s="541"/>
      <c r="C679" s="508"/>
      <c r="D679" s="270"/>
      <c r="E679" s="255"/>
      <c r="F679" s="255"/>
      <c r="G679" s="256"/>
      <c r="H679" s="256"/>
      <c r="I679" s="270"/>
      <c r="J679" s="256"/>
    </row>
    <row r="680" spans="2:10" ht="15.75" customHeight="1" outlineLevel="3" x14ac:dyDescent="0.25">
      <c r="B680" s="506"/>
      <c r="C680" s="542"/>
      <c r="D680" s="525"/>
      <c r="E680" s="307"/>
      <c r="F680" s="307"/>
      <c r="G680" s="526"/>
      <c r="H680" s="526"/>
      <c r="I680" s="525"/>
      <c r="J680" s="526"/>
    </row>
    <row r="681" spans="2:10" ht="15.75" customHeight="1" outlineLevel="3" x14ac:dyDescent="0.25">
      <c r="B681" s="506"/>
      <c r="C681" s="542"/>
      <c r="D681" s="525"/>
      <c r="E681" s="307"/>
      <c r="F681" s="307"/>
      <c r="G681" s="526"/>
      <c r="H681" s="526"/>
      <c r="I681" s="525"/>
      <c r="J681" s="526"/>
    </row>
    <row r="682" spans="2:10" ht="15.75" customHeight="1" outlineLevel="3" x14ac:dyDescent="0.25">
      <c r="B682" s="506"/>
      <c r="C682" s="542"/>
      <c r="D682" s="525"/>
      <c r="E682" s="307"/>
      <c r="F682" s="307"/>
      <c r="G682" s="526"/>
      <c r="H682" s="526"/>
      <c r="I682" s="525"/>
      <c r="J682" s="526"/>
    </row>
    <row r="683" spans="2:10" ht="15.75" customHeight="1" outlineLevel="3" x14ac:dyDescent="0.25">
      <c r="B683" s="506"/>
      <c r="C683" s="542"/>
      <c r="D683" s="525"/>
      <c r="E683" s="307"/>
      <c r="F683" s="307"/>
      <c r="G683" s="526"/>
      <c r="H683" s="526"/>
      <c r="I683" s="525"/>
      <c r="J683" s="526"/>
    </row>
    <row r="684" spans="2:10" ht="15.75" customHeight="1" outlineLevel="3" x14ac:dyDescent="0.25">
      <c r="B684" s="506"/>
      <c r="C684" s="542"/>
      <c r="D684" s="525"/>
      <c r="E684" s="307"/>
      <c r="F684" s="307"/>
      <c r="G684" s="526"/>
      <c r="H684" s="526"/>
      <c r="I684" s="525"/>
      <c r="J684" s="526"/>
    </row>
    <row r="685" spans="2:10" ht="15.75" customHeight="1" outlineLevel="3" x14ac:dyDescent="0.25">
      <c r="B685" s="506"/>
      <c r="C685" s="542"/>
      <c r="D685" s="525"/>
      <c r="E685" s="307"/>
      <c r="F685" s="307"/>
      <c r="G685" s="526"/>
      <c r="H685" s="526"/>
      <c r="I685" s="525"/>
      <c r="J685" s="526"/>
    </row>
    <row r="686" spans="2:10" ht="15.75" customHeight="1" outlineLevel="3" x14ac:dyDescent="0.25">
      <c r="B686" s="506"/>
      <c r="C686" s="542"/>
      <c r="D686" s="525"/>
      <c r="E686" s="307"/>
      <c r="F686" s="307"/>
      <c r="G686" s="526"/>
      <c r="H686" s="526"/>
      <c r="I686" s="525"/>
      <c r="J686" s="526"/>
    </row>
    <row r="687" spans="2:10" ht="15.75" customHeight="1" outlineLevel="3" x14ac:dyDescent="0.25">
      <c r="B687" s="506"/>
      <c r="C687" s="542"/>
      <c r="D687" s="525"/>
      <c r="E687" s="307"/>
      <c r="F687" s="307"/>
      <c r="G687" s="526"/>
      <c r="H687" s="526"/>
      <c r="I687" s="525"/>
      <c r="J687" s="526"/>
    </row>
    <row r="688" spans="2:10" ht="15.75" customHeight="1" outlineLevel="3" x14ac:dyDescent="0.25">
      <c r="B688" s="506"/>
      <c r="C688" s="542"/>
      <c r="D688" s="525"/>
      <c r="E688" s="307"/>
      <c r="F688" s="307"/>
      <c r="G688" s="526"/>
      <c r="H688" s="526"/>
      <c r="I688" s="525"/>
      <c r="J688" s="526"/>
    </row>
    <row r="689" spans="2:10" ht="15.75" customHeight="1" outlineLevel="3" x14ac:dyDescent="0.25">
      <c r="B689" s="506"/>
      <c r="C689" s="542"/>
      <c r="D689" s="525"/>
      <c r="E689" s="307"/>
      <c r="F689" s="307"/>
      <c r="G689" s="526"/>
      <c r="H689" s="526"/>
      <c r="I689" s="525"/>
      <c r="J689" s="526"/>
    </row>
    <row r="690" spans="2:10" ht="15.75" customHeight="1" outlineLevel="3" x14ac:dyDescent="0.25">
      <c r="B690" s="506"/>
      <c r="C690" s="542"/>
      <c r="D690" s="525"/>
      <c r="E690" s="307"/>
      <c r="F690" s="307"/>
      <c r="G690" s="526"/>
      <c r="H690" s="526"/>
      <c r="I690" s="525"/>
      <c r="J690" s="526"/>
    </row>
    <row r="691" spans="2:10" ht="15.75" customHeight="1" outlineLevel="3" x14ac:dyDescent="0.25">
      <c r="B691" s="506"/>
      <c r="C691" s="542"/>
      <c r="D691" s="525"/>
      <c r="E691" s="307"/>
      <c r="F691" s="307"/>
      <c r="G691" s="526"/>
      <c r="H691" s="526"/>
      <c r="I691" s="525"/>
      <c r="J691" s="526"/>
    </row>
    <row r="692" spans="2:10" ht="15.75" customHeight="1" outlineLevel="3" x14ac:dyDescent="0.25">
      <c r="B692" s="506"/>
      <c r="C692" s="542"/>
      <c r="D692" s="525"/>
      <c r="E692" s="307"/>
      <c r="F692" s="307"/>
      <c r="G692" s="526"/>
      <c r="H692" s="526"/>
      <c r="I692" s="525"/>
      <c r="J692" s="526"/>
    </row>
    <row r="693" spans="2:10" ht="15.75" customHeight="1" outlineLevel="3" x14ac:dyDescent="0.25">
      <c r="B693" s="506"/>
      <c r="C693" s="542"/>
      <c r="D693" s="525"/>
      <c r="E693" s="307"/>
      <c r="F693" s="307"/>
      <c r="G693" s="526"/>
      <c r="H693" s="526"/>
      <c r="I693" s="525"/>
      <c r="J693" s="526"/>
    </row>
    <row r="694" spans="2:10" ht="15.75" customHeight="1" outlineLevel="3" x14ac:dyDescent="0.25">
      <c r="B694" s="506"/>
      <c r="C694" s="542"/>
      <c r="D694" s="525"/>
      <c r="E694" s="307"/>
      <c r="F694" s="307"/>
      <c r="G694" s="526"/>
      <c r="H694" s="526"/>
      <c r="I694" s="525"/>
      <c r="J694" s="526"/>
    </row>
    <row r="695" spans="2:10" ht="15.75" customHeight="1" outlineLevel="3" x14ac:dyDescent="0.25">
      <c r="B695" s="506"/>
      <c r="C695" s="542"/>
      <c r="D695" s="525"/>
      <c r="E695" s="307"/>
      <c r="F695" s="307"/>
      <c r="G695" s="526"/>
      <c r="H695" s="526"/>
      <c r="I695" s="525"/>
      <c r="J695" s="526"/>
    </row>
    <row r="696" spans="2:10" ht="15.75" customHeight="1" outlineLevel="3" x14ac:dyDescent="0.25">
      <c r="B696" s="506"/>
      <c r="C696" s="542"/>
      <c r="D696" s="525"/>
      <c r="E696" s="307"/>
      <c r="F696" s="307"/>
      <c r="G696" s="526"/>
      <c r="H696" s="526"/>
      <c r="I696" s="525"/>
      <c r="J696" s="526"/>
    </row>
    <row r="697" spans="2:10" ht="15.75" customHeight="1" outlineLevel="3" x14ac:dyDescent="0.25">
      <c r="B697" s="506"/>
      <c r="C697" s="542"/>
      <c r="D697" s="525"/>
      <c r="E697" s="307"/>
      <c r="F697" s="307"/>
      <c r="G697" s="526"/>
      <c r="H697" s="526"/>
      <c r="I697" s="525"/>
      <c r="J697" s="526"/>
    </row>
    <row r="698" spans="2:10" ht="15.75" customHeight="1" outlineLevel="3" x14ac:dyDescent="0.25">
      <c r="B698" s="506"/>
      <c r="C698" s="542"/>
      <c r="D698" s="525"/>
      <c r="E698" s="307"/>
      <c r="F698" s="307"/>
      <c r="G698" s="526"/>
      <c r="H698" s="526"/>
      <c r="I698" s="525"/>
      <c r="J698" s="526"/>
    </row>
    <row r="699" spans="2:10" ht="15.75" customHeight="1" outlineLevel="3" x14ac:dyDescent="0.25">
      <c r="B699" s="506"/>
      <c r="C699" s="542"/>
      <c r="D699" s="525"/>
      <c r="E699" s="307"/>
      <c r="F699" s="307"/>
      <c r="G699" s="526"/>
      <c r="H699" s="526"/>
      <c r="I699" s="525"/>
      <c r="J699" s="526"/>
    </row>
    <row r="700" spans="2:10" ht="15.75" customHeight="1" outlineLevel="3" x14ac:dyDescent="0.25">
      <c r="B700" s="506"/>
      <c r="C700" s="542"/>
      <c r="D700" s="525"/>
      <c r="E700" s="307"/>
      <c r="F700" s="307"/>
      <c r="G700" s="526"/>
      <c r="H700" s="526"/>
      <c r="I700" s="525"/>
      <c r="J700" s="526"/>
    </row>
    <row r="701" spans="2:10" ht="15.75" customHeight="1" outlineLevel="3" x14ac:dyDescent="0.25">
      <c r="B701" s="506"/>
      <c r="C701" s="542"/>
      <c r="D701" s="525"/>
      <c r="E701" s="307"/>
      <c r="F701" s="307"/>
      <c r="G701" s="526"/>
      <c r="H701" s="526"/>
      <c r="I701" s="525"/>
      <c r="J701" s="526"/>
    </row>
    <row r="702" spans="2:10" ht="15.75" customHeight="1" outlineLevel="3" x14ac:dyDescent="0.25">
      <c r="B702" s="506"/>
      <c r="C702" s="542"/>
      <c r="D702" s="525"/>
      <c r="E702" s="307"/>
      <c r="F702" s="307"/>
      <c r="G702" s="526"/>
      <c r="H702" s="526"/>
      <c r="I702" s="525"/>
      <c r="J702" s="526"/>
    </row>
    <row r="703" spans="2:10" ht="15.75" customHeight="1" outlineLevel="3" x14ac:dyDescent="0.25">
      <c r="B703" s="506"/>
      <c r="C703" s="542"/>
      <c r="D703" s="525"/>
      <c r="E703" s="307"/>
      <c r="F703" s="307"/>
      <c r="G703" s="526"/>
      <c r="H703" s="526"/>
      <c r="I703" s="525"/>
      <c r="J703" s="526"/>
    </row>
    <row r="704" spans="2:10" ht="15.75" customHeight="1" outlineLevel="3" x14ac:dyDescent="0.25">
      <c r="B704" s="506"/>
      <c r="C704" s="542"/>
      <c r="D704" s="525"/>
      <c r="E704" s="307"/>
      <c r="F704" s="307"/>
      <c r="G704" s="526"/>
      <c r="H704" s="526"/>
      <c r="I704" s="525"/>
      <c r="J704" s="526"/>
    </row>
    <row r="705" spans="1:10" ht="15.75" customHeight="1" outlineLevel="3" x14ac:dyDescent="0.25">
      <c r="B705" s="506"/>
      <c r="C705" s="542"/>
      <c r="D705" s="525"/>
      <c r="E705" s="307"/>
      <c r="F705" s="307"/>
      <c r="G705" s="526"/>
      <c r="H705" s="526"/>
      <c r="I705" s="525"/>
      <c r="J705" s="526"/>
    </row>
    <row r="706" spans="1:10" ht="15.75" customHeight="1" outlineLevel="3" x14ac:dyDescent="0.25">
      <c r="B706" s="506"/>
      <c r="C706" s="542"/>
      <c r="D706" s="525"/>
      <c r="E706" s="307"/>
      <c r="F706" s="307"/>
      <c r="G706" s="526"/>
      <c r="H706" s="526"/>
      <c r="I706" s="525"/>
      <c r="J706" s="526"/>
    </row>
    <row r="707" spans="1:10" ht="15.75" customHeight="1" outlineLevel="3" x14ac:dyDescent="0.25">
      <c r="B707" s="506"/>
      <c r="C707" s="542"/>
      <c r="D707" s="525"/>
      <c r="E707" s="307"/>
      <c r="F707" s="307"/>
      <c r="G707" s="526"/>
      <c r="H707" s="526"/>
      <c r="I707" s="525"/>
      <c r="J707" s="526"/>
    </row>
    <row r="708" spans="1:10" ht="15.75" customHeight="1" outlineLevel="3" x14ac:dyDescent="0.25">
      <c r="B708" s="506"/>
      <c r="C708" s="542"/>
      <c r="D708" s="525"/>
      <c r="E708" s="307"/>
      <c r="F708" s="307"/>
      <c r="G708" s="526"/>
      <c r="H708" s="526"/>
      <c r="I708" s="525"/>
      <c r="J708" s="526"/>
    </row>
    <row r="709" spans="1:10" ht="15.75" customHeight="1" outlineLevel="3" x14ac:dyDescent="0.25">
      <c r="B709" s="506"/>
      <c r="C709" s="542"/>
      <c r="D709" s="525"/>
      <c r="E709" s="307"/>
      <c r="F709" s="307"/>
      <c r="G709" s="526"/>
      <c r="H709" s="526"/>
      <c r="I709" s="525"/>
      <c r="J709" s="526"/>
    </row>
    <row r="710" spans="1:10" ht="15.75" customHeight="1" outlineLevel="3" x14ac:dyDescent="0.25">
      <c r="B710" s="506"/>
      <c r="C710" s="542"/>
      <c r="D710" s="525"/>
      <c r="E710" s="307"/>
      <c r="F710" s="307"/>
      <c r="G710" s="526"/>
      <c r="H710" s="526"/>
      <c r="I710" s="525"/>
      <c r="J710" s="526"/>
    </row>
    <row r="711" spans="1:10" ht="15.75" customHeight="1" outlineLevel="3" x14ac:dyDescent="0.25">
      <c r="B711" s="506"/>
      <c r="C711" s="542"/>
      <c r="D711" s="525"/>
      <c r="E711" s="307"/>
      <c r="F711" s="307"/>
      <c r="G711" s="526"/>
      <c r="H711" s="526"/>
      <c r="I711" s="525"/>
      <c r="J711" s="526"/>
    </row>
    <row r="712" spans="1:10" ht="15.75" customHeight="1" outlineLevel="3" x14ac:dyDescent="0.25">
      <c r="B712" s="506"/>
      <c r="C712" s="542"/>
      <c r="D712" s="525"/>
      <c r="E712" s="307"/>
      <c r="F712" s="307"/>
      <c r="G712" s="526"/>
      <c r="H712" s="526"/>
      <c r="I712" s="525"/>
      <c r="J712" s="526"/>
    </row>
    <row r="713" spans="1:10" ht="15.75" customHeight="1" outlineLevel="3" x14ac:dyDescent="0.25">
      <c r="B713" s="506"/>
      <c r="C713" s="542"/>
      <c r="D713" s="525"/>
      <c r="E713" s="307"/>
      <c r="F713" s="307"/>
      <c r="G713" s="526"/>
      <c r="H713" s="526"/>
      <c r="I713" s="525"/>
      <c r="J713" s="526"/>
    </row>
    <row r="714" spans="1:10" ht="15.75" customHeight="1" outlineLevel="3" x14ac:dyDescent="0.25">
      <c r="B714" s="506"/>
      <c r="C714" s="542"/>
      <c r="D714" s="525"/>
      <c r="E714" s="307"/>
      <c r="F714" s="307"/>
      <c r="G714" s="526"/>
      <c r="H714" s="526"/>
      <c r="I714" s="525"/>
      <c r="J714" s="526"/>
    </row>
    <row r="715" spans="1:10" ht="15.75" customHeight="1" outlineLevel="3" x14ac:dyDescent="0.25">
      <c r="B715" s="543" t="s">
        <v>151</v>
      </c>
      <c r="C715" s="512"/>
      <c r="D715" s="272"/>
      <c r="E715" s="258"/>
      <c r="F715" s="258"/>
      <c r="G715" s="259"/>
      <c r="H715" s="259"/>
      <c r="I715" s="272"/>
      <c r="J715" s="259"/>
    </row>
    <row r="716" spans="1:10" ht="15.75" customHeight="1" outlineLevel="3" x14ac:dyDescent="0.25">
      <c r="B716" s="513"/>
      <c r="C716" s="514" t="s">
        <v>112</v>
      </c>
      <c r="D716" s="514">
        <f t="shared" ref="D716:J716" si="18">SUM(D665:D715)</f>
        <v>0</v>
      </c>
      <c r="E716" s="514">
        <f t="shared" si="18"/>
        <v>0</v>
      </c>
      <c r="F716" s="514">
        <f t="shared" si="18"/>
        <v>0</v>
      </c>
      <c r="G716" s="514">
        <f t="shared" si="18"/>
        <v>0</v>
      </c>
      <c r="H716" s="514">
        <f t="shared" si="18"/>
        <v>0</v>
      </c>
      <c r="I716" s="514">
        <f t="shared" si="18"/>
        <v>0</v>
      </c>
      <c r="J716" s="514">
        <f t="shared" si="18"/>
        <v>0</v>
      </c>
    </row>
    <row r="717" spans="1:10" s="41" customFormat="1" ht="13.5" customHeight="1" outlineLevel="2" x14ac:dyDescent="0.2"/>
    <row r="718" spans="1:10" ht="23.25" customHeight="1" outlineLevel="1" x14ac:dyDescent="0.25">
      <c r="B718" s="74"/>
    </row>
    <row r="719" spans="1:10" s="301" customFormat="1" ht="24" customHeight="1" outlineLevel="1" x14ac:dyDescent="0.25">
      <c r="B719" s="232" t="s">
        <v>157</v>
      </c>
      <c r="C719" s="233"/>
      <c r="D719" s="233"/>
      <c r="E719" s="233"/>
      <c r="F719" s="233"/>
      <c r="G719" s="233"/>
      <c r="H719" s="233"/>
      <c r="I719" s="233"/>
      <c r="J719" s="233"/>
    </row>
    <row r="720" spans="1:10" s="41" customFormat="1" outlineLevel="2" x14ac:dyDescent="0.25">
      <c r="A720" s="276"/>
      <c r="B720" s="74"/>
      <c r="D720" s="1545" t="s">
        <v>158</v>
      </c>
      <c r="E720" s="1546"/>
      <c r="F720" s="1546"/>
      <c r="G720" s="1546"/>
      <c r="H720" s="1546"/>
      <c r="I720" s="1546"/>
      <c r="J720" s="1546"/>
    </row>
    <row r="721" spans="1:10" s="41" customFormat="1" ht="15" customHeight="1" outlineLevel="2" x14ac:dyDescent="0.25">
      <c r="A721" s="276"/>
      <c r="B721" s="74"/>
      <c r="D721" s="1547" t="s">
        <v>159</v>
      </c>
      <c r="E721" s="1548"/>
      <c r="F721" s="1548"/>
      <c r="G721" s="1548"/>
      <c r="H721" s="1548"/>
      <c r="I721" s="1548"/>
      <c r="J721" s="1548"/>
    </row>
    <row r="722" spans="1:10" s="41" customFormat="1" ht="15" customHeight="1" outlineLevel="2" x14ac:dyDescent="0.25">
      <c r="A722" s="276"/>
      <c r="B722" s="74"/>
      <c r="C722" s="62"/>
      <c r="D722" s="386" t="str">
        <f ca="1">dms_y1</f>
        <v>2024-25</v>
      </c>
      <c r="E722" s="291" t="str">
        <f ca="1">dms_y2</f>
        <v>2025-26</v>
      </c>
      <c r="F722" s="290" t="str">
        <f ca="1">dms_y3</f>
        <v>2026-27</v>
      </c>
      <c r="G722" s="290" t="str">
        <f ca="1">dms_y4</f>
        <v>2027-28</v>
      </c>
      <c r="H722" s="290" t="str">
        <f ca="1">dms_y5</f>
        <v>2028-29</v>
      </c>
      <c r="I722" s="290" t="str">
        <f ca="1">dms_y6</f>
        <v>2029-30</v>
      </c>
      <c r="J722" s="387" t="str">
        <f ca="1">dms_y7</f>
        <v>2030-31</v>
      </c>
    </row>
    <row r="723" spans="1:10" ht="21.75" customHeight="1" outlineLevel="2" x14ac:dyDescent="0.25">
      <c r="B723" s="235" t="s">
        <v>150</v>
      </c>
      <c r="C723" s="236"/>
      <c r="D723" s="236"/>
      <c r="E723" s="236"/>
      <c r="F723" s="236"/>
      <c r="G723" s="236"/>
      <c r="H723" s="236"/>
      <c r="I723" s="236"/>
      <c r="J723" s="236"/>
    </row>
    <row r="724" spans="1:10" ht="15.75" customHeight="1" outlineLevel="3" x14ac:dyDescent="0.25">
      <c r="B724" s="548" t="s">
        <v>143</v>
      </c>
      <c r="C724" s="35" t="s">
        <v>160</v>
      </c>
      <c r="D724" s="270">
        <v>0</v>
      </c>
      <c r="E724" s="255">
        <v>0</v>
      </c>
      <c r="F724" s="255">
        <v>0</v>
      </c>
      <c r="G724" s="256">
        <v>0</v>
      </c>
      <c r="H724" s="256">
        <v>0</v>
      </c>
      <c r="I724" s="270">
        <v>0</v>
      </c>
      <c r="J724" s="256">
        <v>0</v>
      </c>
    </row>
    <row r="725" spans="1:10" ht="15.75" customHeight="1" outlineLevel="3" x14ac:dyDescent="0.25">
      <c r="B725" s="549" t="s">
        <v>144</v>
      </c>
      <c r="C725" s="561" t="s">
        <v>161</v>
      </c>
      <c r="D725" s="283">
        <v>0</v>
      </c>
      <c r="E725" s="285">
        <v>0</v>
      </c>
      <c r="F725" s="285">
        <v>0</v>
      </c>
      <c r="G725" s="286">
        <v>0</v>
      </c>
      <c r="H725" s="286">
        <v>0</v>
      </c>
      <c r="I725" s="283">
        <v>0</v>
      </c>
      <c r="J725" s="286">
        <v>0</v>
      </c>
    </row>
    <row r="726" spans="1:10" ht="15.75" customHeight="1" outlineLevel="3" x14ac:dyDescent="0.25">
      <c r="B726" s="521"/>
      <c r="C726" s="522" t="s">
        <v>112</v>
      </c>
      <c r="D726" s="519">
        <f t="shared" ref="D726:J726" si="19">SUM(D724:D725)</f>
        <v>0</v>
      </c>
      <c r="E726" s="519">
        <f t="shared" si="19"/>
        <v>0</v>
      </c>
      <c r="F726" s="519">
        <f t="shared" si="19"/>
        <v>0</v>
      </c>
      <c r="G726" s="519">
        <f t="shared" si="19"/>
        <v>0</v>
      </c>
      <c r="H726" s="519">
        <f t="shared" si="19"/>
        <v>0</v>
      </c>
      <c r="I726" s="519">
        <f t="shared" si="19"/>
        <v>0</v>
      </c>
      <c r="J726" s="519">
        <f t="shared" si="19"/>
        <v>0</v>
      </c>
    </row>
    <row r="727" spans="1:10" ht="21.75" customHeight="1" outlineLevel="2" x14ac:dyDescent="0.25">
      <c r="B727" s="235" t="s">
        <v>152</v>
      </c>
      <c r="C727" s="236"/>
      <c r="D727" s="236"/>
      <c r="E727" s="236"/>
      <c r="F727" s="236"/>
      <c r="G727" s="236"/>
      <c r="H727" s="236"/>
      <c r="I727" s="236"/>
      <c r="J727" s="236"/>
    </row>
    <row r="728" spans="1:10" ht="15.75" customHeight="1" outlineLevel="3" x14ac:dyDescent="0.25">
      <c r="B728" s="548" t="s">
        <v>143</v>
      </c>
      <c r="C728" s="35" t="s">
        <v>160</v>
      </c>
      <c r="D728" s="270">
        <v>0</v>
      </c>
      <c r="E728" s="255">
        <v>0</v>
      </c>
      <c r="F728" s="255">
        <v>0</v>
      </c>
      <c r="G728" s="256">
        <v>0</v>
      </c>
      <c r="H728" s="256">
        <v>0</v>
      </c>
      <c r="I728" s="270">
        <v>0</v>
      </c>
      <c r="J728" s="256">
        <v>0</v>
      </c>
    </row>
    <row r="729" spans="1:10" ht="15.75" customHeight="1" outlineLevel="3" x14ac:dyDescent="0.25">
      <c r="B729" s="549" t="s">
        <v>144</v>
      </c>
      <c r="C729" s="35" t="s">
        <v>161</v>
      </c>
      <c r="D729" s="283">
        <v>0</v>
      </c>
      <c r="E729" s="285">
        <v>0</v>
      </c>
      <c r="F729" s="285">
        <v>0</v>
      </c>
      <c r="G729" s="286">
        <v>0</v>
      </c>
      <c r="H729" s="286">
        <v>0</v>
      </c>
      <c r="I729" s="283">
        <v>0</v>
      </c>
      <c r="J729" s="286">
        <v>0</v>
      </c>
    </row>
    <row r="730" spans="1:10" ht="15.75" customHeight="1" outlineLevel="3" x14ac:dyDescent="0.25">
      <c r="B730" s="518"/>
      <c r="C730" s="519" t="s">
        <v>112</v>
      </c>
      <c r="D730" s="519">
        <f t="shared" ref="D730:J730" si="20">SUM(D728:D729)</f>
        <v>0</v>
      </c>
      <c r="E730" s="519">
        <f t="shared" si="20"/>
        <v>0</v>
      </c>
      <c r="F730" s="519">
        <f t="shared" si="20"/>
        <v>0</v>
      </c>
      <c r="G730" s="519">
        <f t="shared" si="20"/>
        <v>0</v>
      </c>
      <c r="H730" s="519">
        <f t="shared" si="20"/>
        <v>0</v>
      </c>
      <c r="I730" s="519">
        <f t="shared" si="20"/>
        <v>0</v>
      </c>
      <c r="J730" s="519">
        <f t="shared" si="20"/>
        <v>0</v>
      </c>
    </row>
    <row r="731" spans="1:10" ht="21.75" customHeight="1" outlineLevel="2" x14ac:dyDescent="0.25">
      <c r="B731" s="235" t="s">
        <v>153</v>
      </c>
      <c r="C731" s="236"/>
      <c r="D731" s="236"/>
      <c r="E731" s="236"/>
      <c r="F731" s="236"/>
      <c r="G731" s="236"/>
      <c r="H731" s="236"/>
      <c r="I731" s="236"/>
      <c r="J731" s="236"/>
    </row>
    <row r="732" spans="1:10" ht="15.75" customHeight="1" outlineLevel="3" x14ac:dyDescent="0.25">
      <c r="B732" s="548" t="s">
        <v>143</v>
      </c>
      <c r="C732" s="35" t="s">
        <v>160</v>
      </c>
      <c r="D732" s="270">
        <v>0</v>
      </c>
      <c r="E732" s="255">
        <v>0</v>
      </c>
      <c r="F732" s="255">
        <v>0</v>
      </c>
      <c r="G732" s="256">
        <v>0</v>
      </c>
      <c r="H732" s="256">
        <v>0</v>
      </c>
      <c r="I732" s="270">
        <v>0</v>
      </c>
      <c r="J732" s="256">
        <v>0</v>
      </c>
    </row>
    <row r="733" spans="1:10" ht="15.75" customHeight="1" outlineLevel="3" x14ac:dyDescent="0.25">
      <c r="B733" s="549" t="s">
        <v>144</v>
      </c>
      <c r="C733" s="35" t="s">
        <v>161</v>
      </c>
      <c r="D733" s="283">
        <v>0</v>
      </c>
      <c r="E733" s="285">
        <v>0</v>
      </c>
      <c r="F733" s="285">
        <v>0</v>
      </c>
      <c r="G733" s="286">
        <v>0</v>
      </c>
      <c r="H733" s="286">
        <v>0</v>
      </c>
      <c r="I733" s="283">
        <v>0</v>
      </c>
      <c r="J733" s="286">
        <v>0</v>
      </c>
    </row>
    <row r="734" spans="1:10" ht="15.75" customHeight="1" outlineLevel="3" x14ac:dyDescent="0.25">
      <c r="B734" s="518"/>
      <c r="C734" s="519" t="s">
        <v>112</v>
      </c>
      <c r="D734" s="519">
        <f t="shared" ref="D734:J734" si="21">SUM(D732:D733)</f>
        <v>0</v>
      </c>
      <c r="E734" s="519">
        <f t="shared" si="21"/>
        <v>0</v>
      </c>
      <c r="F734" s="519">
        <f t="shared" si="21"/>
        <v>0</v>
      </c>
      <c r="G734" s="519">
        <f t="shared" si="21"/>
        <v>0</v>
      </c>
      <c r="H734" s="519">
        <f t="shared" si="21"/>
        <v>0</v>
      </c>
      <c r="I734" s="519">
        <f t="shared" si="21"/>
        <v>0</v>
      </c>
      <c r="J734" s="519">
        <f t="shared" si="21"/>
        <v>0</v>
      </c>
    </row>
    <row r="735" spans="1:10" ht="21.75" customHeight="1" outlineLevel="2" x14ac:dyDescent="0.25">
      <c r="B735" s="235" t="s">
        <v>154</v>
      </c>
      <c r="C735" s="236"/>
      <c r="D735" s="236"/>
      <c r="E735" s="236"/>
      <c r="F735" s="236"/>
      <c r="G735" s="236"/>
      <c r="H735" s="236"/>
      <c r="I735" s="236"/>
      <c r="J735" s="236"/>
    </row>
    <row r="736" spans="1:10" ht="15.75" customHeight="1" outlineLevel="3" x14ac:dyDescent="0.25">
      <c r="B736" s="548" t="s">
        <v>143</v>
      </c>
      <c r="C736" s="35" t="s">
        <v>160</v>
      </c>
      <c r="D736" s="270"/>
      <c r="E736" s="255"/>
      <c r="F736" s="255"/>
      <c r="G736" s="256"/>
      <c r="H736" s="256"/>
      <c r="I736" s="270"/>
      <c r="J736" s="256"/>
    </row>
    <row r="737" spans="2:10" ht="15.75" customHeight="1" outlineLevel="3" x14ac:dyDescent="0.25">
      <c r="B737" s="549" t="s">
        <v>144</v>
      </c>
      <c r="C737" s="35" t="s">
        <v>161</v>
      </c>
      <c r="D737" s="283"/>
      <c r="E737" s="285"/>
      <c r="F737" s="285"/>
      <c r="G737" s="286"/>
      <c r="H737" s="286"/>
      <c r="I737" s="283"/>
      <c r="J737" s="286"/>
    </row>
    <row r="738" spans="2:10" ht="15.75" customHeight="1" outlineLevel="3" x14ac:dyDescent="0.25">
      <c r="B738" s="518"/>
      <c r="C738" s="519" t="s">
        <v>112</v>
      </c>
      <c r="D738" s="519">
        <f t="shared" ref="D738:J738" si="22">SUM(D736:D737)</f>
        <v>0</v>
      </c>
      <c r="E738" s="519">
        <f t="shared" si="22"/>
        <v>0</v>
      </c>
      <c r="F738" s="519">
        <f t="shared" si="22"/>
        <v>0</v>
      </c>
      <c r="G738" s="519">
        <f t="shared" si="22"/>
        <v>0</v>
      </c>
      <c r="H738" s="519">
        <f t="shared" si="22"/>
        <v>0</v>
      </c>
      <c r="I738" s="519">
        <f t="shared" si="22"/>
        <v>0</v>
      </c>
      <c r="J738" s="519">
        <f t="shared" si="22"/>
        <v>0</v>
      </c>
    </row>
    <row r="739" spans="2:10" ht="21.75" customHeight="1" outlineLevel="2" x14ac:dyDescent="0.25">
      <c r="B739" s="235" t="s">
        <v>155</v>
      </c>
      <c r="C739" s="236"/>
      <c r="D739" s="236"/>
      <c r="E739" s="236"/>
      <c r="F739" s="236"/>
      <c r="G739" s="236"/>
      <c r="H739" s="236"/>
      <c r="I739" s="236"/>
      <c r="J739" s="236"/>
    </row>
    <row r="740" spans="2:10" ht="15.75" customHeight="1" outlineLevel="3" x14ac:dyDescent="0.25">
      <c r="B740" s="548" t="s">
        <v>143</v>
      </c>
      <c r="C740" s="35" t="s">
        <v>160</v>
      </c>
      <c r="D740" s="270">
        <v>0</v>
      </c>
      <c r="E740" s="255">
        <v>0</v>
      </c>
      <c r="F740" s="255">
        <v>0</v>
      </c>
      <c r="G740" s="256">
        <v>0</v>
      </c>
      <c r="H740" s="256">
        <v>0</v>
      </c>
      <c r="I740" s="270">
        <v>0</v>
      </c>
      <c r="J740" s="256">
        <v>0</v>
      </c>
    </row>
    <row r="741" spans="2:10" ht="15.75" customHeight="1" outlineLevel="3" x14ac:dyDescent="0.25">
      <c r="B741" s="549" t="s">
        <v>144</v>
      </c>
      <c r="C741" s="35" t="s">
        <v>161</v>
      </c>
      <c r="D741" s="283">
        <v>0</v>
      </c>
      <c r="E741" s="285">
        <v>0</v>
      </c>
      <c r="F741" s="285">
        <v>0</v>
      </c>
      <c r="G741" s="286">
        <v>0</v>
      </c>
      <c r="H741" s="286">
        <v>0</v>
      </c>
      <c r="I741" s="283">
        <v>0</v>
      </c>
      <c r="J741" s="286">
        <v>0</v>
      </c>
    </row>
    <row r="742" spans="2:10" ht="15.75" customHeight="1" outlineLevel="3" x14ac:dyDescent="0.25">
      <c r="B742" s="518"/>
      <c r="C742" s="519" t="s">
        <v>112</v>
      </c>
      <c r="D742" s="519">
        <f t="shared" ref="D742:J742" si="23">SUM(D740:D741)</f>
        <v>0</v>
      </c>
      <c r="E742" s="519">
        <f t="shared" si="23"/>
        <v>0</v>
      </c>
      <c r="F742" s="519">
        <f t="shared" si="23"/>
        <v>0</v>
      </c>
      <c r="G742" s="519">
        <f t="shared" si="23"/>
        <v>0</v>
      </c>
      <c r="H742" s="519">
        <f t="shared" si="23"/>
        <v>0</v>
      </c>
      <c r="I742" s="519">
        <f t="shared" si="23"/>
        <v>0</v>
      </c>
      <c r="J742" s="519">
        <f t="shared" si="23"/>
        <v>0</v>
      </c>
    </row>
    <row r="743" spans="2:10" ht="21.75" customHeight="1" outlineLevel="2" x14ac:dyDescent="0.25">
      <c r="B743" s="235" t="s">
        <v>156</v>
      </c>
      <c r="C743" s="236"/>
      <c r="D743" s="236"/>
      <c r="E743" s="236"/>
      <c r="F743" s="236"/>
      <c r="G743" s="236"/>
      <c r="H743" s="236"/>
      <c r="I743" s="236"/>
      <c r="J743" s="236"/>
    </row>
    <row r="744" spans="2:10" ht="15.75" customHeight="1" outlineLevel="3" x14ac:dyDescent="0.25">
      <c r="B744" s="548" t="s">
        <v>143</v>
      </c>
      <c r="C744" s="35" t="s">
        <v>160</v>
      </c>
      <c r="D744" s="270"/>
      <c r="E744" s="255"/>
      <c r="F744" s="255"/>
      <c r="G744" s="256"/>
      <c r="H744" s="256"/>
      <c r="I744" s="270"/>
      <c r="J744" s="256"/>
    </row>
    <row r="745" spans="2:10" ht="15.75" customHeight="1" outlineLevel="3" x14ac:dyDescent="0.25">
      <c r="B745" s="549" t="s">
        <v>144</v>
      </c>
      <c r="C745" s="35" t="s">
        <v>161</v>
      </c>
      <c r="D745" s="283"/>
      <c r="E745" s="285"/>
      <c r="F745" s="285"/>
      <c r="G745" s="286"/>
      <c r="H745" s="286"/>
      <c r="I745" s="283"/>
      <c r="J745" s="286"/>
    </row>
    <row r="746" spans="2:10" ht="15.75" customHeight="1" outlineLevel="3" x14ac:dyDescent="0.25">
      <c r="B746" s="518"/>
      <c r="C746" s="519" t="s">
        <v>112</v>
      </c>
      <c r="D746" s="519">
        <f t="shared" ref="D746:J746" si="24">SUM(D744:D745)</f>
        <v>0</v>
      </c>
      <c r="E746" s="519">
        <f t="shared" si="24"/>
        <v>0</v>
      </c>
      <c r="F746" s="519">
        <f t="shared" si="24"/>
        <v>0</v>
      </c>
      <c r="G746" s="519">
        <f t="shared" si="24"/>
        <v>0</v>
      </c>
      <c r="H746" s="519">
        <f t="shared" si="24"/>
        <v>0</v>
      </c>
      <c r="I746" s="519">
        <f t="shared" si="24"/>
        <v>0</v>
      </c>
      <c r="J746" s="519">
        <f t="shared" si="24"/>
        <v>0</v>
      </c>
    </row>
    <row r="747" spans="2:10" ht="21.75" customHeight="1" outlineLevel="2" x14ac:dyDescent="0.25"/>
    <row r="748" spans="2:10" ht="15.75" customHeight="1" outlineLevel="1" x14ac:dyDescent="0.25"/>
    <row r="749" spans="2:10" ht="15.75" customHeight="1" x14ac:dyDescent="0.25"/>
  </sheetData>
  <sheetProtection algorithmName="SHA-512" hashValue="H2JGoMv6a3PljA0gXcAhWL907KqXghhx5KW7En0oWXB70wCv1vzx82Xu6BCSg9YfzUps4Cx3Kejnh7XA0Uq5Dw==" saltValue="f5eLbt3KB0eOG9EuSWZQqw==" spinCount="100000" sheet="1" objects="1" scenarios="1"/>
  <mergeCells count="2">
    <mergeCell ref="D720:J720"/>
    <mergeCell ref="D721:J721"/>
  </mergeCells>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7375E"/>
  </sheetPr>
  <dimension ref="A1:I698"/>
  <sheetViews>
    <sheetView showGridLines="0" topLeftCell="A7" zoomScale="70" zoomScaleNormal="70" workbookViewId="0">
      <selection activeCell="B66" sqref="B66"/>
    </sheetView>
  </sheetViews>
  <sheetFormatPr defaultRowHeight="15" outlineLevelRow="2" x14ac:dyDescent="0.25"/>
  <cols>
    <col min="1" max="1" width="21.42578125" customWidth="1"/>
    <col min="2" max="2" width="103.140625" customWidth="1"/>
    <col min="3" max="9" width="20.7109375" customWidth="1"/>
    <col min="208" max="209" width="16.28515625" customWidth="1"/>
    <col min="210" max="210" width="93.28515625" customWidth="1"/>
    <col min="211" max="211" width="26.140625" customWidth="1"/>
    <col min="212" max="214" width="11.7109375" customWidth="1"/>
    <col min="215" max="216" width="17.42578125" customWidth="1"/>
    <col min="217" max="218" width="14" customWidth="1"/>
    <col min="219" max="219" width="20" customWidth="1"/>
    <col min="220" max="220" width="17.42578125" customWidth="1"/>
    <col min="221" max="221" width="10.7109375" customWidth="1"/>
    <col min="222" max="222" width="11" customWidth="1"/>
    <col min="223" max="223" width="10.5703125" customWidth="1"/>
    <col min="224" max="224" width="15.85546875" customWidth="1"/>
    <col min="225" max="225" width="17.42578125" customWidth="1"/>
    <col min="464" max="465" width="16.28515625" customWidth="1"/>
    <col min="466" max="466" width="93.28515625" customWidth="1"/>
    <col min="467" max="467" width="26.140625" customWidth="1"/>
    <col min="468" max="470" width="11.7109375" customWidth="1"/>
    <col min="471" max="472" width="17.42578125" customWidth="1"/>
    <col min="473" max="474" width="14" customWidth="1"/>
    <col min="475" max="475" width="20" customWidth="1"/>
    <col min="476" max="476" width="17.42578125" customWidth="1"/>
    <col min="477" max="477" width="10.7109375" customWidth="1"/>
    <col min="478" max="478" width="11" customWidth="1"/>
    <col min="479" max="479" width="10.5703125" customWidth="1"/>
    <col min="480" max="480" width="15.85546875" customWidth="1"/>
    <col min="481" max="481" width="17.42578125" customWidth="1"/>
    <col min="720" max="721" width="16.28515625" customWidth="1"/>
    <col min="722" max="722" width="93.28515625" customWidth="1"/>
    <col min="723" max="723" width="26.140625" customWidth="1"/>
    <col min="724" max="726" width="11.7109375" customWidth="1"/>
    <col min="727" max="728" width="17.42578125" customWidth="1"/>
    <col min="729" max="730" width="14" customWidth="1"/>
    <col min="731" max="731" width="20" customWidth="1"/>
    <col min="732" max="732" width="17.42578125" customWidth="1"/>
    <col min="733" max="733" width="10.7109375" customWidth="1"/>
    <col min="734" max="734" width="11" customWidth="1"/>
    <col min="735" max="735" width="10.5703125" customWidth="1"/>
    <col min="736" max="736" width="15.85546875" customWidth="1"/>
    <col min="737" max="737" width="17.42578125" customWidth="1"/>
    <col min="976" max="977" width="16.28515625" customWidth="1"/>
    <col min="978" max="978" width="93.28515625" customWidth="1"/>
    <col min="979" max="979" width="26.140625" customWidth="1"/>
    <col min="980" max="982" width="11.7109375" customWidth="1"/>
    <col min="983" max="984" width="17.42578125" customWidth="1"/>
    <col min="985" max="986" width="14" customWidth="1"/>
    <col min="987" max="987" width="20" customWidth="1"/>
    <col min="988" max="988" width="17.42578125" customWidth="1"/>
    <col min="989" max="989" width="10.7109375" customWidth="1"/>
    <col min="990" max="990" width="11" customWidth="1"/>
    <col min="991" max="991" width="10.5703125" customWidth="1"/>
    <col min="992" max="992" width="15.85546875" customWidth="1"/>
    <col min="993" max="993" width="17.42578125" customWidth="1"/>
    <col min="1232" max="1233" width="16.28515625" customWidth="1"/>
    <col min="1234" max="1234" width="93.28515625" customWidth="1"/>
    <col min="1235" max="1235" width="26.140625" customWidth="1"/>
    <col min="1236" max="1238" width="11.7109375" customWidth="1"/>
    <col min="1239" max="1240" width="17.42578125" customWidth="1"/>
    <col min="1241" max="1242" width="14" customWidth="1"/>
    <col min="1243" max="1243" width="20" customWidth="1"/>
    <col min="1244" max="1244" width="17.42578125" customWidth="1"/>
    <col min="1245" max="1245" width="10.7109375" customWidth="1"/>
    <col min="1246" max="1246" width="11" customWidth="1"/>
    <col min="1247" max="1247" width="10.5703125" customWidth="1"/>
    <col min="1248" max="1248" width="15.85546875" customWidth="1"/>
    <col min="1249" max="1249" width="17.42578125" customWidth="1"/>
    <col min="1488" max="1489" width="16.28515625" customWidth="1"/>
    <col min="1490" max="1490" width="93.28515625" customWidth="1"/>
    <col min="1491" max="1491" width="26.140625" customWidth="1"/>
    <col min="1492" max="1494" width="11.7109375" customWidth="1"/>
    <col min="1495" max="1496" width="17.42578125" customWidth="1"/>
    <col min="1497" max="1498" width="14" customWidth="1"/>
    <col min="1499" max="1499" width="20" customWidth="1"/>
    <col min="1500" max="1500" width="17.42578125" customWidth="1"/>
    <col min="1501" max="1501" width="10.7109375" customWidth="1"/>
    <col min="1502" max="1502" width="11" customWidth="1"/>
    <col min="1503" max="1503" width="10.5703125" customWidth="1"/>
    <col min="1504" max="1504" width="15.85546875" customWidth="1"/>
    <col min="1505" max="1505" width="17.42578125" customWidth="1"/>
    <col min="1744" max="1745" width="16.28515625" customWidth="1"/>
    <col min="1746" max="1746" width="93.28515625" customWidth="1"/>
    <col min="1747" max="1747" width="26.140625" customWidth="1"/>
    <col min="1748" max="1750" width="11.7109375" customWidth="1"/>
    <col min="1751" max="1752" width="17.42578125" customWidth="1"/>
    <col min="1753" max="1754" width="14" customWidth="1"/>
    <col min="1755" max="1755" width="20" customWidth="1"/>
    <col min="1756" max="1756" width="17.42578125" customWidth="1"/>
    <col min="1757" max="1757" width="10.7109375" customWidth="1"/>
    <col min="1758" max="1758" width="11" customWidth="1"/>
    <col min="1759" max="1759" width="10.5703125" customWidth="1"/>
    <col min="1760" max="1760" width="15.85546875" customWidth="1"/>
    <col min="1761" max="1761" width="17.42578125" customWidth="1"/>
    <col min="2000" max="2001" width="16.28515625" customWidth="1"/>
    <col min="2002" max="2002" width="93.28515625" customWidth="1"/>
    <col min="2003" max="2003" width="26.140625" customWidth="1"/>
    <col min="2004" max="2006" width="11.7109375" customWidth="1"/>
    <col min="2007" max="2008" width="17.42578125" customWidth="1"/>
    <col min="2009" max="2010" width="14" customWidth="1"/>
    <col min="2011" max="2011" width="20" customWidth="1"/>
    <col min="2012" max="2012" width="17.42578125" customWidth="1"/>
    <col min="2013" max="2013" width="10.7109375" customWidth="1"/>
    <col min="2014" max="2014" width="11" customWidth="1"/>
    <col min="2015" max="2015" width="10.5703125" customWidth="1"/>
    <col min="2016" max="2016" width="15.85546875" customWidth="1"/>
    <col min="2017" max="2017" width="17.42578125" customWidth="1"/>
    <col min="2256" max="2257" width="16.28515625" customWidth="1"/>
    <col min="2258" max="2258" width="93.28515625" customWidth="1"/>
    <col min="2259" max="2259" width="26.140625" customWidth="1"/>
    <col min="2260" max="2262" width="11.7109375" customWidth="1"/>
    <col min="2263" max="2264" width="17.42578125" customWidth="1"/>
    <col min="2265" max="2266" width="14" customWidth="1"/>
    <col min="2267" max="2267" width="20" customWidth="1"/>
    <col min="2268" max="2268" width="17.42578125" customWidth="1"/>
    <col min="2269" max="2269" width="10.7109375" customWidth="1"/>
    <col min="2270" max="2270" width="11" customWidth="1"/>
    <col min="2271" max="2271" width="10.5703125" customWidth="1"/>
    <col min="2272" max="2272" width="15.85546875" customWidth="1"/>
    <col min="2273" max="2273" width="17.42578125" customWidth="1"/>
    <col min="2512" max="2513" width="16.28515625" customWidth="1"/>
    <col min="2514" max="2514" width="93.28515625" customWidth="1"/>
    <col min="2515" max="2515" width="26.140625" customWidth="1"/>
    <col min="2516" max="2518" width="11.7109375" customWidth="1"/>
    <col min="2519" max="2520" width="17.42578125" customWidth="1"/>
    <col min="2521" max="2522" width="14" customWidth="1"/>
    <col min="2523" max="2523" width="20" customWidth="1"/>
    <col min="2524" max="2524" width="17.42578125" customWidth="1"/>
    <col min="2525" max="2525" width="10.7109375" customWidth="1"/>
    <col min="2526" max="2526" width="11" customWidth="1"/>
    <col min="2527" max="2527" width="10.5703125" customWidth="1"/>
    <col min="2528" max="2528" width="15.85546875" customWidth="1"/>
    <col min="2529" max="2529" width="17.42578125" customWidth="1"/>
    <col min="2768" max="2769" width="16.28515625" customWidth="1"/>
    <col min="2770" max="2770" width="93.28515625" customWidth="1"/>
    <col min="2771" max="2771" width="26.140625" customWidth="1"/>
    <col min="2772" max="2774" width="11.7109375" customWidth="1"/>
    <col min="2775" max="2776" width="17.42578125" customWidth="1"/>
    <col min="2777" max="2778" width="14" customWidth="1"/>
    <col min="2779" max="2779" width="20" customWidth="1"/>
    <col min="2780" max="2780" width="17.42578125" customWidth="1"/>
    <col min="2781" max="2781" width="10.7109375" customWidth="1"/>
    <col min="2782" max="2782" width="11" customWidth="1"/>
    <col min="2783" max="2783" width="10.5703125" customWidth="1"/>
    <col min="2784" max="2784" width="15.85546875" customWidth="1"/>
    <col min="2785" max="2785" width="17.42578125" customWidth="1"/>
    <col min="3024" max="3025" width="16.28515625" customWidth="1"/>
    <col min="3026" max="3026" width="93.28515625" customWidth="1"/>
    <col min="3027" max="3027" width="26.140625" customWidth="1"/>
    <col min="3028" max="3030" width="11.7109375" customWidth="1"/>
    <col min="3031" max="3032" width="17.42578125" customWidth="1"/>
    <col min="3033" max="3034" width="14" customWidth="1"/>
    <col min="3035" max="3035" width="20" customWidth="1"/>
    <col min="3036" max="3036" width="17.42578125" customWidth="1"/>
    <col min="3037" max="3037" width="10.7109375" customWidth="1"/>
    <col min="3038" max="3038" width="11" customWidth="1"/>
    <col min="3039" max="3039" width="10.5703125" customWidth="1"/>
    <col min="3040" max="3040" width="15.85546875" customWidth="1"/>
    <col min="3041" max="3041" width="17.42578125" customWidth="1"/>
    <col min="3280" max="3281" width="16.28515625" customWidth="1"/>
    <col min="3282" max="3282" width="93.28515625" customWidth="1"/>
    <col min="3283" max="3283" width="26.140625" customWidth="1"/>
    <col min="3284" max="3286" width="11.7109375" customWidth="1"/>
    <col min="3287" max="3288" width="17.42578125" customWidth="1"/>
    <col min="3289" max="3290" width="14" customWidth="1"/>
    <col min="3291" max="3291" width="20" customWidth="1"/>
    <col min="3292" max="3292" width="17.42578125" customWidth="1"/>
    <col min="3293" max="3293" width="10.7109375" customWidth="1"/>
    <col min="3294" max="3294" width="11" customWidth="1"/>
    <col min="3295" max="3295" width="10.5703125" customWidth="1"/>
    <col min="3296" max="3296" width="15.85546875" customWidth="1"/>
    <col min="3297" max="3297" width="17.42578125" customWidth="1"/>
    <col min="3536" max="3537" width="16.28515625" customWidth="1"/>
    <col min="3538" max="3538" width="93.28515625" customWidth="1"/>
    <col min="3539" max="3539" width="26.140625" customWidth="1"/>
    <col min="3540" max="3542" width="11.7109375" customWidth="1"/>
    <col min="3543" max="3544" width="17.42578125" customWidth="1"/>
    <col min="3545" max="3546" width="14" customWidth="1"/>
    <col min="3547" max="3547" width="20" customWidth="1"/>
    <col min="3548" max="3548" width="17.42578125" customWidth="1"/>
    <col min="3549" max="3549" width="10.7109375" customWidth="1"/>
    <col min="3550" max="3550" width="11" customWidth="1"/>
    <col min="3551" max="3551" width="10.5703125" customWidth="1"/>
    <col min="3552" max="3552" width="15.85546875" customWidth="1"/>
    <col min="3553" max="3553" width="17.42578125" customWidth="1"/>
    <col min="3792" max="3793" width="16.28515625" customWidth="1"/>
    <col min="3794" max="3794" width="93.28515625" customWidth="1"/>
    <col min="3795" max="3795" width="26.140625" customWidth="1"/>
    <col min="3796" max="3798" width="11.7109375" customWidth="1"/>
    <col min="3799" max="3800" width="17.42578125" customWidth="1"/>
    <col min="3801" max="3802" width="14" customWidth="1"/>
    <col min="3803" max="3803" width="20" customWidth="1"/>
    <col min="3804" max="3804" width="17.42578125" customWidth="1"/>
    <col min="3805" max="3805" width="10.7109375" customWidth="1"/>
    <col min="3806" max="3806" width="11" customWidth="1"/>
    <col min="3807" max="3807" width="10.5703125" customWidth="1"/>
    <col min="3808" max="3808" width="15.85546875" customWidth="1"/>
    <col min="3809" max="3809" width="17.42578125" customWidth="1"/>
    <col min="4048" max="4049" width="16.28515625" customWidth="1"/>
    <col min="4050" max="4050" width="93.28515625" customWidth="1"/>
    <col min="4051" max="4051" width="26.140625" customWidth="1"/>
    <col min="4052" max="4054" width="11.7109375" customWidth="1"/>
    <col min="4055" max="4056" width="17.42578125" customWidth="1"/>
    <col min="4057" max="4058" width="14" customWidth="1"/>
    <col min="4059" max="4059" width="20" customWidth="1"/>
    <col min="4060" max="4060" width="17.42578125" customWidth="1"/>
    <col min="4061" max="4061" width="10.7109375" customWidth="1"/>
    <col min="4062" max="4062" width="11" customWidth="1"/>
    <col min="4063" max="4063" width="10.5703125" customWidth="1"/>
    <col min="4064" max="4064" width="15.85546875" customWidth="1"/>
    <col min="4065" max="4065" width="17.42578125" customWidth="1"/>
    <col min="4304" max="4305" width="16.28515625" customWidth="1"/>
    <col min="4306" max="4306" width="93.28515625" customWidth="1"/>
    <col min="4307" max="4307" width="26.140625" customWidth="1"/>
    <col min="4308" max="4310" width="11.7109375" customWidth="1"/>
    <col min="4311" max="4312" width="17.42578125" customWidth="1"/>
    <col min="4313" max="4314" width="14" customWidth="1"/>
    <col min="4315" max="4315" width="20" customWidth="1"/>
    <col min="4316" max="4316" width="17.42578125" customWidth="1"/>
    <col min="4317" max="4317" width="10.7109375" customWidth="1"/>
    <col min="4318" max="4318" width="11" customWidth="1"/>
    <col min="4319" max="4319" width="10.5703125" customWidth="1"/>
    <col min="4320" max="4320" width="15.85546875" customWidth="1"/>
    <col min="4321" max="4321" width="17.42578125" customWidth="1"/>
    <col min="4560" max="4561" width="16.28515625" customWidth="1"/>
    <col min="4562" max="4562" width="93.28515625" customWidth="1"/>
    <col min="4563" max="4563" width="26.140625" customWidth="1"/>
    <col min="4564" max="4566" width="11.7109375" customWidth="1"/>
    <col min="4567" max="4568" width="17.42578125" customWidth="1"/>
    <col min="4569" max="4570" width="14" customWidth="1"/>
    <col min="4571" max="4571" width="20" customWidth="1"/>
    <col min="4572" max="4572" width="17.42578125" customWidth="1"/>
    <col min="4573" max="4573" width="10.7109375" customWidth="1"/>
    <col min="4574" max="4574" width="11" customWidth="1"/>
    <col min="4575" max="4575" width="10.5703125" customWidth="1"/>
    <col min="4576" max="4576" width="15.85546875" customWidth="1"/>
    <col min="4577" max="4577" width="17.42578125" customWidth="1"/>
    <col min="4816" max="4817" width="16.28515625" customWidth="1"/>
    <col min="4818" max="4818" width="93.28515625" customWidth="1"/>
    <col min="4819" max="4819" width="26.140625" customWidth="1"/>
    <col min="4820" max="4822" width="11.7109375" customWidth="1"/>
    <col min="4823" max="4824" width="17.42578125" customWidth="1"/>
    <col min="4825" max="4826" width="14" customWidth="1"/>
    <col min="4827" max="4827" width="20" customWidth="1"/>
    <col min="4828" max="4828" width="17.42578125" customWidth="1"/>
    <col min="4829" max="4829" width="10.7109375" customWidth="1"/>
    <col min="4830" max="4830" width="11" customWidth="1"/>
    <col min="4831" max="4831" width="10.5703125" customWidth="1"/>
    <col min="4832" max="4832" width="15.85546875" customWidth="1"/>
    <col min="4833" max="4833" width="17.42578125" customWidth="1"/>
    <col min="5072" max="5073" width="16.28515625" customWidth="1"/>
    <col min="5074" max="5074" width="93.28515625" customWidth="1"/>
    <col min="5075" max="5075" width="26.140625" customWidth="1"/>
    <col min="5076" max="5078" width="11.7109375" customWidth="1"/>
    <col min="5079" max="5080" width="17.42578125" customWidth="1"/>
    <col min="5081" max="5082" width="14" customWidth="1"/>
    <col min="5083" max="5083" width="20" customWidth="1"/>
    <col min="5084" max="5084" width="17.42578125" customWidth="1"/>
    <col min="5085" max="5085" width="10.7109375" customWidth="1"/>
    <col min="5086" max="5086" width="11" customWidth="1"/>
    <col min="5087" max="5087" width="10.5703125" customWidth="1"/>
    <col min="5088" max="5088" width="15.85546875" customWidth="1"/>
    <col min="5089" max="5089" width="17.42578125" customWidth="1"/>
    <col min="5328" max="5329" width="16.28515625" customWidth="1"/>
    <col min="5330" max="5330" width="93.28515625" customWidth="1"/>
    <col min="5331" max="5331" width="26.140625" customWidth="1"/>
    <col min="5332" max="5334" width="11.7109375" customWidth="1"/>
    <col min="5335" max="5336" width="17.42578125" customWidth="1"/>
    <col min="5337" max="5338" width="14" customWidth="1"/>
    <col min="5339" max="5339" width="20" customWidth="1"/>
    <col min="5340" max="5340" width="17.42578125" customWidth="1"/>
    <col min="5341" max="5341" width="10.7109375" customWidth="1"/>
    <col min="5342" max="5342" width="11" customWidth="1"/>
    <col min="5343" max="5343" width="10.5703125" customWidth="1"/>
    <col min="5344" max="5344" width="15.85546875" customWidth="1"/>
    <col min="5345" max="5345" width="17.42578125" customWidth="1"/>
    <col min="5584" max="5585" width="16.28515625" customWidth="1"/>
    <col min="5586" max="5586" width="93.28515625" customWidth="1"/>
    <col min="5587" max="5587" width="26.140625" customWidth="1"/>
    <col min="5588" max="5590" width="11.7109375" customWidth="1"/>
    <col min="5591" max="5592" width="17.42578125" customWidth="1"/>
    <col min="5593" max="5594" width="14" customWidth="1"/>
    <col min="5595" max="5595" width="20" customWidth="1"/>
    <col min="5596" max="5596" width="17.42578125" customWidth="1"/>
    <col min="5597" max="5597" width="10.7109375" customWidth="1"/>
    <col min="5598" max="5598" width="11" customWidth="1"/>
    <col min="5599" max="5599" width="10.5703125" customWidth="1"/>
    <col min="5600" max="5600" width="15.85546875" customWidth="1"/>
    <col min="5601" max="5601" width="17.42578125" customWidth="1"/>
    <col min="5840" max="5841" width="16.28515625" customWidth="1"/>
    <col min="5842" max="5842" width="93.28515625" customWidth="1"/>
    <col min="5843" max="5843" width="26.140625" customWidth="1"/>
    <col min="5844" max="5846" width="11.7109375" customWidth="1"/>
    <col min="5847" max="5848" width="17.42578125" customWidth="1"/>
    <col min="5849" max="5850" width="14" customWidth="1"/>
    <col min="5851" max="5851" width="20" customWidth="1"/>
    <col min="5852" max="5852" width="17.42578125" customWidth="1"/>
    <col min="5853" max="5853" width="10.7109375" customWidth="1"/>
    <col min="5854" max="5854" width="11" customWidth="1"/>
    <col min="5855" max="5855" width="10.5703125" customWidth="1"/>
    <col min="5856" max="5856" width="15.85546875" customWidth="1"/>
    <col min="5857" max="5857" width="17.42578125" customWidth="1"/>
    <col min="6096" max="6097" width="16.28515625" customWidth="1"/>
    <col min="6098" max="6098" width="93.28515625" customWidth="1"/>
    <col min="6099" max="6099" width="26.140625" customWidth="1"/>
    <col min="6100" max="6102" width="11.7109375" customWidth="1"/>
    <col min="6103" max="6104" width="17.42578125" customWidth="1"/>
    <col min="6105" max="6106" width="14" customWidth="1"/>
    <col min="6107" max="6107" width="20" customWidth="1"/>
    <col min="6108" max="6108" width="17.42578125" customWidth="1"/>
    <col min="6109" max="6109" width="10.7109375" customWidth="1"/>
    <col min="6110" max="6110" width="11" customWidth="1"/>
    <col min="6111" max="6111" width="10.5703125" customWidth="1"/>
    <col min="6112" max="6112" width="15.85546875" customWidth="1"/>
    <col min="6113" max="6113" width="17.42578125" customWidth="1"/>
    <col min="6352" max="6353" width="16.28515625" customWidth="1"/>
    <col min="6354" max="6354" width="93.28515625" customWidth="1"/>
    <col min="6355" max="6355" width="26.140625" customWidth="1"/>
    <col min="6356" max="6358" width="11.7109375" customWidth="1"/>
    <col min="6359" max="6360" width="17.42578125" customWidth="1"/>
    <col min="6361" max="6362" width="14" customWidth="1"/>
    <col min="6363" max="6363" width="20" customWidth="1"/>
    <col min="6364" max="6364" width="17.42578125" customWidth="1"/>
    <col min="6365" max="6365" width="10.7109375" customWidth="1"/>
    <col min="6366" max="6366" width="11" customWidth="1"/>
    <col min="6367" max="6367" width="10.5703125" customWidth="1"/>
    <col min="6368" max="6368" width="15.85546875" customWidth="1"/>
    <col min="6369" max="6369" width="17.42578125" customWidth="1"/>
    <col min="6608" max="6609" width="16.28515625" customWidth="1"/>
    <col min="6610" max="6610" width="93.28515625" customWidth="1"/>
    <col min="6611" max="6611" width="26.140625" customWidth="1"/>
    <col min="6612" max="6614" width="11.7109375" customWidth="1"/>
    <col min="6615" max="6616" width="17.42578125" customWidth="1"/>
    <col min="6617" max="6618" width="14" customWidth="1"/>
    <col min="6619" max="6619" width="20" customWidth="1"/>
    <col min="6620" max="6620" width="17.42578125" customWidth="1"/>
    <col min="6621" max="6621" width="10.7109375" customWidth="1"/>
    <col min="6622" max="6622" width="11" customWidth="1"/>
    <col min="6623" max="6623" width="10.5703125" customWidth="1"/>
    <col min="6624" max="6624" width="15.85546875" customWidth="1"/>
    <col min="6625" max="6625" width="17.42578125" customWidth="1"/>
    <col min="6864" max="6865" width="16.28515625" customWidth="1"/>
    <col min="6866" max="6866" width="93.28515625" customWidth="1"/>
    <col min="6867" max="6867" width="26.140625" customWidth="1"/>
    <col min="6868" max="6870" width="11.7109375" customWidth="1"/>
    <col min="6871" max="6872" width="17.42578125" customWidth="1"/>
    <col min="6873" max="6874" width="14" customWidth="1"/>
    <col min="6875" max="6875" width="20" customWidth="1"/>
    <col min="6876" max="6876" width="17.42578125" customWidth="1"/>
    <col min="6877" max="6877" width="10.7109375" customWidth="1"/>
    <col min="6878" max="6878" width="11" customWidth="1"/>
    <col min="6879" max="6879" width="10.5703125" customWidth="1"/>
    <col min="6880" max="6880" width="15.85546875" customWidth="1"/>
    <col min="6881" max="6881" width="17.42578125" customWidth="1"/>
    <col min="7120" max="7121" width="16.28515625" customWidth="1"/>
    <col min="7122" max="7122" width="93.28515625" customWidth="1"/>
    <col min="7123" max="7123" width="26.140625" customWidth="1"/>
    <col min="7124" max="7126" width="11.7109375" customWidth="1"/>
    <col min="7127" max="7128" width="17.42578125" customWidth="1"/>
    <col min="7129" max="7130" width="14" customWidth="1"/>
    <col min="7131" max="7131" width="20" customWidth="1"/>
    <col min="7132" max="7132" width="17.42578125" customWidth="1"/>
    <col min="7133" max="7133" width="10.7109375" customWidth="1"/>
    <col min="7134" max="7134" width="11" customWidth="1"/>
    <col min="7135" max="7135" width="10.5703125" customWidth="1"/>
    <col min="7136" max="7136" width="15.85546875" customWidth="1"/>
    <col min="7137" max="7137" width="17.42578125" customWidth="1"/>
    <col min="7376" max="7377" width="16.28515625" customWidth="1"/>
    <col min="7378" max="7378" width="93.28515625" customWidth="1"/>
    <col min="7379" max="7379" width="26.140625" customWidth="1"/>
    <col min="7380" max="7382" width="11.7109375" customWidth="1"/>
    <col min="7383" max="7384" width="17.42578125" customWidth="1"/>
    <col min="7385" max="7386" width="14" customWidth="1"/>
    <col min="7387" max="7387" width="20" customWidth="1"/>
    <col min="7388" max="7388" width="17.42578125" customWidth="1"/>
    <col min="7389" max="7389" width="10.7109375" customWidth="1"/>
    <col min="7390" max="7390" width="11" customWidth="1"/>
    <col min="7391" max="7391" width="10.5703125" customWidth="1"/>
    <col min="7392" max="7392" width="15.85546875" customWidth="1"/>
    <col min="7393" max="7393" width="17.42578125" customWidth="1"/>
    <col min="7632" max="7633" width="16.28515625" customWidth="1"/>
    <col min="7634" max="7634" width="93.28515625" customWidth="1"/>
    <col min="7635" max="7635" width="26.140625" customWidth="1"/>
    <col min="7636" max="7638" width="11.7109375" customWidth="1"/>
    <col min="7639" max="7640" width="17.42578125" customWidth="1"/>
    <col min="7641" max="7642" width="14" customWidth="1"/>
    <col min="7643" max="7643" width="20" customWidth="1"/>
    <col min="7644" max="7644" width="17.42578125" customWidth="1"/>
    <col min="7645" max="7645" width="10.7109375" customWidth="1"/>
    <col min="7646" max="7646" width="11" customWidth="1"/>
    <col min="7647" max="7647" width="10.5703125" customWidth="1"/>
    <col min="7648" max="7648" width="15.85546875" customWidth="1"/>
    <col min="7649" max="7649" width="17.42578125" customWidth="1"/>
    <col min="7888" max="7889" width="16.28515625" customWidth="1"/>
    <col min="7890" max="7890" width="93.28515625" customWidth="1"/>
    <col min="7891" max="7891" width="26.140625" customWidth="1"/>
    <col min="7892" max="7894" width="11.7109375" customWidth="1"/>
    <col min="7895" max="7896" width="17.42578125" customWidth="1"/>
    <col min="7897" max="7898" width="14" customWidth="1"/>
    <col min="7899" max="7899" width="20" customWidth="1"/>
    <col min="7900" max="7900" width="17.42578125" customWidth="1"/>
    <col min="7901" max="7901" width="10.7109375" customWidth="1"/>
    <col min="7902" max="7902" width="11" customWidth="1"/>
    <col min="7903" max="7903" width="10.5703125" customWidth="1"/>
    <col min="7904" max="7904" width="15.85546875" customWidth="1"/>
    <col min="7905" max="7905" width="17.42578125" customWidth="1"/>
    <col min="8144" max="8145" width="16.28515625" customWidth="1"/>
    <col min="8146" max="8146" width="93.28515625" customWidth="1"/>
    <col min="8147" max="8147" width="26.140625" customWidth="1"/>
    <col min="8148" max="8150" width="11.7109375" customWidth="1"/>
    <col min="8151" max="8152" width="17.42578125" customWidth="1"/>
    <col min="8153" max="8154" width="14" customWidth="1"/>
    <col min="8155" max="8155" width="20" customWidth="1"/>
    <col min="8156" max="8156" width="17.42578125" customWidth="1"/>
    <col min="8157" max="8157" width="10.7109375" customWidth="1"/>
    <col min="8158" max="8158" width="11" customWidth="1"/>
    <col min="8159" max="8159" width="10.5703125" customWidth="1"/>
    <col min="8160" max="8160" width="15.85546875" customWidth="1"/>
    <col min="8161" max="8161" width="17.42578125" customWidth="1"/>
    <col min="8400" max="8401" width="16.28515625" customWidth="1"/>
    <col min="8402" max="8402" width="93.28515625" customWidth="1"/>
    <col min="8403" max="8403" width="26.140625" customWidth="1"/>
    <col min="8404" max="8406" width="11.7109375" customWidth="1"/>
    <col min="8407" max="8408" width="17.42578125" customWidth="1"/>
    <col min="8409" max="8410" width="14" customWidth="1"/>
    <col min="8411" max="8411" width="20" customWidth="1"/>
    <col min="8412" max="8412" width="17.42578125" customWidth="1"/>
    <col min="8413" max="8413" width="10.7109375" customWidth="1"/>
    <col min="8414" max="8414" width="11" customWidth="1"/>
    <col min="8415" max="8415" width="10.5703125" customWidth="1"/>
    <col min="8416" max="8416" width="15.85546875" customWidth="1"/>
    <col min="8417" max="8417" width="17.42578125" customWidth="1"/>
    <col min="8656" max="8657" width="16.28515625" customWidth="1"/>
    <col min="8658" max="8658" width="93.28515625" customWidth="1"/>
    <col min="8659" max="8659" width="26.140625" customWidth="1"/>
    <col min="8660" max="8662" width="11.7109375" customWidth="1"/>
    <col min="8663" max="8664" width="17.42578125" customWidth="1"/>
    <col min="8665" max="8666" width="14" customWidth="1"/>
    <col min="8667" max="8667" width="20" customWidth="1"/>
    <col min="8668" max="8668" width="17.42578125" customWidth="1"/>
    <col min="8669" max="8669" width="10.7109375" customWidth="1"/>
    <col min="8670" max="8670" width="11" customWidth="1"/>
    <col min="8671" max="8671" width="10.5703125" customWidth="1"/>
    <col min="8672" max="8672" width="15.85546875" customWidth="1"/>
    <col min="8673" max="8673" width="17.42578125" customWidth="1"/>
    <col min="8912" max="8913" width="16.28515625" customWidth="1"/>
    <col min="8914" max="8914" width="93.28515625" customWidth="1"/>
    <col min="8915" max="8915" width="26.140625" customWidth="1"/>
    <col min="8916" max="8918" width="11.7109375" customWidth="1"/>
    <col min="8919" max="8920" width="17.42578125" customWidth="1"/>
    <col min="8921" max="8922" width="14" customWidth="1"/>
    <col min="8923" max="8923" width="20" customWidth="1"/>
    <col min="8924" max="8924" width="17.42578125" customWidth="1"/>
    <col min="8925" max="8925" width="10.7109375" customWidth="1"/>
    <col min="8926" max="8926" width="11" customWidth="1"/>
    <col min="8927" max="8927" width="10.5703125" customWidth="1"/>
    <col min="8928" max="8928" width="15.85546875" customWidth="1"/>
    <col min="8929" max="8929" width="17.42578125" customWidth="1"/>
    <col min="9168" max="9169" width="16.28515625" customWidth="1"/>
    <col min="9170" max="9170" width="93.28515625" customWidth="1"/>
    <col min="9171" max="9171" width="26.140625" customWidth="1"/>
    <col min="9172" max="9174" width="11.7109375" customWidth="1"/>
    <col min="9175" max="9176" width="17.42578125" customWidth="1"/>
    <col min="9177" max="9178" width="14" customWidth="1"/>
    <col min="9179" max="9179" width="20" customWidth="1"/>
    <col min="9180" max="9180" width="17.42578125" customWidth="1"/>
    <col min="9181" max="9181" width="10.7109375" customWidth="1"/>
    <col min="9182" max="9182" width="11" customWidth="1"/>
    <col min="9183" max="9183" width="10.5703125" customWidth="1"/>
    <col min="9184" max="9184" width="15.85546875" customWidth="1"/>
    <col min="9185" max="9185" width="17.42578125" customWidth="1"/>
    <col min="9424" max="9425" width="16.28515625" customWidth="1"/>
    <col min="9426" max="9426" width="93.28515625" customWidth="1"/>
    <col min="9427" max="9427" width="26.140625" customWidth="1"/>
    <col min="9428" max="9430" width="11.7109375" customWidth="1"/>
    <col min="9431" max="9432" width="17.42578125" customWidth="1"/>
    <col min="9433" max="9434" width="14" customWidth="1"/>
    <col min="9435" max="9435" width="20" customWidth="1"/>
    <col min="9436" max="9436" width="17.42578125" customWidth="1"/>
    <col min="9437" max="9437" width="10.7109375" customWidth="1"/>
    <col min="9438" max="9438" width="11" customWidth="1"/>
    <col min="9439" max="9439" width="10.5703125" customWidth="1"/>
    <col min="9440" max="9440" width="15.85546875" customWidth="1"/>
    <col min="9441" max="9441" width="17.42578125" customWidth="1"/>
    <col min="9680" max="9681" width="16.28515625" customWidth="1"/>
    <col min="9682" max="9682" width="93.28515625" customWidth="1"/>
    <col min="9683" max="9683" width="26.140625" customWidth="1"/>
    <col min="9684" max="9686" width="11.7109375" customWidth="1"/>
    <col min="9687" max="9688" width="17.42578125" customWidth="1"/>
    <col min="9689" max="9690" width="14" customWidth="1"/>
    <col min="9691" max="9691" width="20" customWidth="1"/>
    <col min="9692" max="9692" width="17.42578125" customWidth="1"/>
    <col min="9693" max="9693" width="10.7109375" customWidth="1"/>
    <col min="9694" max="9694" width="11" customWidth="1"/>
    <col min="9695" max="9695" width="10.5703125" customWidth="1"/>
    <col min="9696" max="9696" width="15.85546875" customWidth="1"/>
    <col min="9697" max="9697" width="17.42578125" customWidth="1"/>
    <col min="9936" max="9937" width="16.28515625" customWidth="1"/>
    <col min="9938" max="9938" width="93.28515625" customWidth="1"/>
    <col min="9939" max="9939" width="26.140625" customWidth="1"/>
    <col min="9940" max="9942" width="11.7109375" customWidth="1"/>
    <col min="9943" max="9944" width="17.42578125" customWidth="1"/>
    <col min="9945" max="9946" width="14" customWidth="1"/>
    <col min="9947" max="9947" width="20" customWidth="1"/>
    <col min="9948" max="9948" width="17.42578125" customWidth="1"/>
    <col min="9949" max="9949" width="10.7109375" customWidth="1"/>
    <col min="9950" max="9950" width="11" customWidth="1"/>
    <col min="9951" max="9951" width="10.5703125" customWidth="1"/>
    <col min="9952" max="9952" width="15.85546875" customWidth="1"/>
    <col min="9953" max="9953" width="17.42578125" customWidth="1"/>
    <col min="10192" max="10193" width="16.28515625" customWidth="1"/>
    <col min="10194" max="10194" width="93.28515625" customWidth="1"/>
    <col min="10195" max="10195" width="26.140625" customWidth="1"/>
    <col min="10196" max="10198" width="11.7109375" customWidth="1"/>
    <col min="10199" max="10200" width="17.42578125" customWidth="1"/>
    <col min="10201" max="10202" width="14" customWidth="1"/>
    <col min="10203" max="10203" width="20" customWidth="1"/>
    <col min="10204" max="10204" width="17.42578125" customWidth="1"/>
    <col min="10205" max="10205" width="10.7109375" customWidth="1"/>
    <col min="10206" max="10206" width="11" customWidth="1"/>
    <col min="10207" max="10207" width="10.5703125" customWidth="1"/>
    <col min="10208" max="10208" width="15.85546875" customWidth="1"/>
    <col min="10209" max="10209" width="17.42578125" customWidth="1"/>
    <col min="10448" max="10449" width="16.28515625" customWidth="1"/>
    <col min="10450" max="10450" width="93.28515625" customWidth="1"/>
    <col min="10451" max="10451" width="26.140625" customWidth="1"/>
    <col min="10452" max="10454" width="11.7109375" customWidth="1"/>
    <col min="10455" max="10456" width="17.42578125" customWidth="1"/>
    <col min="10457" max="10458" width="14" customWidth="1"/>
    <col min="10459" max="10459" width="20" customWidth="1"/>
    <col min="10460" max="10460" width="17.42578125" customWidth="1"/>
    <col min="10461" max="10461" width="10.7109375" customWidth="1"/>
    <col min="10462" max="10462" width="11" customWidth="1"/>
    <col min="10463" max="10463" width="10.5703125" customWidth="1"/>
    <col min="10464" max="10464" width="15.85546875" customWidth="1"/>
    <col min="10465" max="10465" width="17.42578125" customWidth="1"/>
    <col min="10704" max="10705" width="16.28515625" customWidth="1"/>
    <col min="10706" max="10706" width="93.28515625" customWidth="1"/>
    <col min="10707" max="10707" width="26.140625" customWidth="1"/>
    <col min="10708" max="10710" width="11.7109375" customWidth="1"/>
    <col min="10711" max="10712" width="17.42578125" customWidth="1"/>
    <col min="10713" max="10714" width="14" customWidth="1"/>
    <col min="10715" max="10715" width="20" customWidth="1"/>
    <col min="10716" max="10716" width="17.42578125" customWidth="1"/>
    <col min="10717" max="10717" width="10.7109375" customWidth="1"/>
    <col min="10718" max="10718" width="11" customWidth="1"/>
    <col min="10719" max="10719" width="10.5703125" customWidth="1"/>
    <col min="10720" max="10720" width="15.85546875" customWidth="1"/>
    <col min="10721" max="10721" width="17.42578125" customWidth="1"/>
    <col min="10960" max="10961" width="16.28515625" customWidth="1"/>
    <col min="10962" max="10962" width="93.28515625" customWidth="1"/>
    <col min="10963" max="10963" width="26.140625" customWidth="1"/>
    <col min="10964" max="10966" width="11.7109375" customWidth="1"/>
    <col min="10967" max="10968" width="17.42578125" customWidth="1"/>
    <col min="10969" max="10970" width="14" customWidth="1"/>
    <col min="10971" max="10971" width="20" customWidth="1"/>
    <col min="10972" max="10972" width="17.42578125" customWidth="1"/>
    <col min="10973" max="10973" width="10.7109375" customWidth="1"/>
    <col min="10974" max="10974" width="11" customWidth="1"/>
    <col min="10975" max="10975" width="10.5703125" customWidth="1"/>
    <col min="10976" max="10976" width="15.85546875" customWidth="1"/>
    <col min="10977" max="10977" width="17.42578125" customWidth="1"/>
    <col min="11216" max="11217" width="16.28515625" customWidth="1"/>
    <col min="11218" max="11218" width="93.28515625" customWidth="1"/>
    <col min="11219" max="11219" width="26.140625" customWidth="1"/>
    <col min="11220" max="11222" width="11.7109375" customWidth="1"/>
    <col min="11223" max="11224" width="17.42578125" customWidth="1"/>
    <col min="11225" max="11226" width="14" customWidth="1"/>
    <col min="11227" max="11227" width="20" customWidth="1"/>
    <col min="11228" max="11228" width="17.42578125" customWidth="1"/>
    <col min="11229" max="11229" width="10.7109375" customWidth="1"/>
    <col min="11230" max="11230" width="11" customWidth="1"/>
    <col min="11231" max="11231" width="10.5703125" customWidth="1"/>
    <col min="11232" max="11232" width="15.85546875" customWidth="1"/>
    <col min="11233" max="11233" width="17.42578125" customWidth="1"/>
    <col min="11472" max="11473" width="16.28515625" customWidth="1"/>
    <col min="11474" max="11474" width="93.28515625" customWidth="1"/>
    <col min="11475" max="11475" width="26.140625" customWidth="1"/>
    <col min="11476" max="11478" width="11.7109375" customWidth="1"/>
    <col min="11479" max="11480" width="17.42578125" customWidth="1"/>
    <col min="11481" max="11482" width="14" customWidth="1"/>
    <col min="11483" max="11483" width="20" customWidth="1"/>
    <col min="11484" max="11484" width="17.42578125" customWidth="1"/>
    <col min="11485" max="11485" width="10.7109375" customWidth="1"/>
    <col min="11486" max="11486" width="11" customWidth="1"/>
    <col min="11487" max="11487" width="10.5703125" customWidth="1"/>
    <col min="11488" max="11488" width="15.85546875" customWidth="1"/>
    <col min="11489" max="11489" width="17.42578125" customWidth="1"/>
    <col min="11728" max="11729" width="16.28515625" customWidth="1"/>
    <col min="11730" max="11730" width="93.28515625" customWidth="1"/>
    <col min="11731" max="11731" width="26.140625" customWidth="1"/>
    <col min="11732" max="11734" width="11.7109375" customWidth="1"/>
    <col min="11735" max="11736" width="17.42578125" customWidth="1"/>
    <col min="11737" max="11738" width="14" customWidth="1"/>
    <col min="11739" max="11739" width="20" customWidth="1"/>
    <col min="11740" max="11740" width="17.42578125" customWidth="1"/>
    <col min="11741" max="11741" width="10.7109375" customWidth="1"/>
    <col min="11742" max="11742" width="11" customWidth="1"/>
    <col min="11743" max="11743" width="10.5703125" customWidth="1"/>
    <col min="11744" max="11744" width="15.85546875" customWidth="1"/>
    <col min="11745" max="11745" width="17.42578125" customWidth="1"/>
    <col min="11984" max="11985" width="16.28515625" customWidth="1"/>
    <col min="11986" max="11986" width="93.28515625" customWidth="1"/>
    <col min="11987" max="11987" width="26.140625" customWidth="1"/>
    <col min="11988" max="11990" width="11.7109375" customWidth="1"/>
    <col min="11991" max="11992" width="17.42578125" customWidth="1"/>
    <col min="11993" max="11994" width="14" customWidth="1"/>
    <col min="11995" max="11995" width="20" customWidth="1"/>
    <col min="11996" max="11996" width="17.42578125" customWidth="1"/>
    <col min="11997" max="11997" width="10.7109375" customWidth="1"/>
    <col min="11998" max="11998" width="11" customWidth="1"/>
    <col min="11999" max="11999" width="10.5703125" customWidth="1"/>
    <col min="12000" max="12000" width="15.85546875" customWidth="1"/>
    <col min="12001" max="12001" width="17.42578125" customWidth="1"/>
    <col min="12240" max="12241" width="16.28515625" customWidth="1"/>
    <col min="12242" max="12242" width="93.28515625" customWidth="1"/>
    <col min="12243" max="12243" width="26.140625" customWidth="1"/>
    <col min="12244" max="12246" width="11.7109375" customWidth="1"/>
    <col min="12247" max="12248" width="17.42578125" customWidth="1"/>
    <col min="12249" max="12250" width="14" customWidth="1"/>
    <col min="12251" max="12251" width="20" customWidth="1"/>
    <col min="12252" max="12252" width="17.42578125" customWidth="1"/>
    <col min="12253" max="12253" width="10.7109375" customWidth="1"/>
    <col min="12254" max="12254" width="11" customWidth="1"/>
    <col min="12255" max="12255" width="10.5703125" customWidth="1"/>
    <col min="12256" max="12256" width="15.85546875" customWidth="1"/>
    <col min="12257" max="12257" width="17.42578125" customWidth="1"/>
    <col min="12496" max="12497" width="16.28515625" customWidth="1"/>
    <col min="12498" max="12498" width="93.28515625" customWidth="1"/>
    <col min="12499" max="12499" width="26.140625" customWidth="1"/>
    <col min="12500" max="12502" width="11.7109375" customWidth="1"/>
    <col min="12503" max="12504" width="17.42578125" customWidth="1"/>
    <col min="12505" max="12506" width="14" customWidth="1"/>
    <col min="12507" max="12507" width="20" customWidth="1"/>
    <col min="12508" max="12508" width="17.42578125" customWidth="1"/>
    <col min="12509" max="12509" width="10.7109375" customWidth="1"/>
    <col min="12510" max="12510" width="11" customWidth="1"/>
    <col min="12511" max="12511" width="10.5703125" customWidth="1"/>
    <col min="12512" max="12512" width="15.85546875" customWidth="1"/>
    <col min="12513" max="12513" width="17.42578125" customWidth="1"/>
    <col min="12752" max="12753" width="16.28515625" customWidth="1"/>
    <col min="12754" max="12754" width="93.28515625" customWidth="1"/>
    <col min="12755" max="12755" width="26.140625" customWidth="1"/>
    <col min="12756" max="12758" width="11.7109375" customWidth="1"/>
    <col min="12759" max="12760" width="17.42578125" customWidth="1"/>
    <col min="12761" max="12762" width="14" customWidth="1"/>
    <col min="12763" max="12763" width="20" customWidth="1"/>
    <col min="12764" max="12764" width="17.42578125" customWidth="1"/>
    <col min="12765" max="12765" width="10.7109375" customWidth="1"/>
    <col min="12766" max="12766" width="11" customWidth="1"/>
    <col min="12767" max="12767" width="10.5703125" customWidth="1"/>
    <col min="12768" max="12768" width="15.85546875" customWidth="1"/>
    <col min="12769" max="12769" width="17.42578125" customWidth="1"/>
    <col min="13008" max="13009" width="16.28515625" customWidth="1"/>
    <col min="13010" max="13010" width="93.28515625" customWidth="1"/>
    <col min="13011" max="13011" width="26.140625" customWidth="1"/>
    <col min="13012" max="13014" width="11.7109375" customWidth="1"/>
    <col min="13015" max="13016" width="17.42578125" customWidth="1"/>
    <col min="13017" max="13018" width="14" customWidth="1"/>
    <col min="13019" max="13019" width="20" customWidth="1"/>
    <col min="13020" max="13020" width="17.42578125" customWidth="1"/>
    <col min="13021" max="13021" width="10.7109375" customWidth="1"/>
    <col min="13022" max="13022" width="11" customWidth="1"/>
    <col min="13023" max="13023" width="10.5703125" customWidth="1"/>
    <col min="13024" max="13024" width="15.85546875" customWidth="1"/>
    <col min="13025" max="13025" width="17.42578125" customWidth="1"/>
    <col min="13264" max="13265" width="16.28515625" customWidth="1"/>
    <col min="13266" max="13266" width="93.28515625" customWidth="1"/>
    <col min="13267" max="13267" width="26.140625" customWidth="1"/>
    <col min="13268" max="13270" width="11.7109375" customWidth="1"/>
    <col min="13271" max="13272" width="17.42578125" customWidth="1"/>
    <col min="13273" max="13274" width="14" customWidth="1"/>
    <col min="13275" max="13275" width="20" customWidth="1"/>
    <col min="13276" max="13276" width="17.42578125" customWidth="1"/>
    <col min="13277" max="13277" width="10.7109375" customWidth="1"/>
    <col min="13278" max="13278" width="11" customWidth="1"/>
    <col min="13279" max="13279" width="10.5703125" customWidth="1"/>
    <col min="13280" max="13280" width="15.85546875" customWidth="1"/>
    <col min="13281" max="13281" width="17.42578125" customWidth="1"/>
    <col min="13520" max="13521" width="16.28515625" customWidth="1"/>
    <col min="13522" max="13522" width="93.28515625" customWidth="1"/>
    <col min="13523" max="13523" width="26.140625" customWidth="1"/>
    <col min="13524" max="13526" width="11.7109375" customWidth="1"/>
    <col min="13527" max="13528" width="17.42578125" customWidth="1"/>
    <col min="13529" max="13530" width="14" customWidth="1"/>
    <col min="13531" max="13531" width="20" customWidth="1"/>
    <col min="13532" max="13532" width="17.42578125" customWidth="1"/>
    <col min="13533" max="13533" width="10.7109375" customWidth="1"/>
    <col min="13534" max="13534" width="11" customWidth="1"/>
    <col min="13535" max="13535" width="10.5703125" customWidth="1"/>
    <col min="13536" max="13536" width="15.85546875" customWidth="1"/>
    <col min="13537" max="13537" width="17.42578125" customWidth="1"/>
    <col min="13776" max="13777" width="16.28515625" customWidth="1"/>
    <col min="13778" max="13778" width="93.28515625" customWidth="1"/>
    <col min="13779" max="13779" width="26.140625" customWidth="1"/>
    <col min="13780" max="13782" width="11.7109375" customWidth="1"/>
    <col min="13783" max="13784" width="17.42578125" customWidth="1"/>
    <col min="13785" max="13786" width="14" customWidth="1"/>
    <col min="13787" max="13787" width="20" customWidth="1"/>
    <col min="13788" max="13788" width="17.42578125" customWidth="1"/>
    <col min="13789" max="13789" width="10.7109375" customWidth="1"/>
    <col min="13790" max="13790" width="11" customWidth="1"/>
    <col min="13791" max="13791" width="10.5703125" customWidth="1"/>
    <col min="13792" max="13792" width="15.85546875" customWidth="1"/>
    <col min="13793" max="13793" width="17.42578125" customWidth="1"/>
    <col min="14032" max="14033" width="16.28515625" customWidth="1"/>
    <col min="14034" max="14034" width="93.28515625" customWidth="1"/>
    <col min="14035" max="14035" width="26.140625" customWidth="1"/>
    <col min="14036" max="14038" width="11.7109375" customWidth="1"/>
    <col min="14039" max="14040" width="17.42578125" customWidth="1"/>
    <col min="14041" max="14042" width="14" customWidth="1"/>
    <col min="14043" max="14043" width="20" customWidth="1"/>
    <col min="14044" max="14044" width="17.42578125" customWidth="1"/>
    <col min="14045" max="14045" width="10.7109375" customWidth="1"/>
    <col min="14046" max="14046" width="11" customWidth="1"/>
    <col min="14047" max="14047" width="10.5703125" customWidth="1"/>
    <col min="14048" max="14048" width="15.85546875" customWidth="1"/>
    <col min="14049" max="14049" width="17.42578125" customWidth="1"/>
    <col min="14288" max="14289" width="16.28515625" customWidth="1"/>
    <col min="14290" max="14290" width="93.28515625" customWidth="1"/>
    <col min="14291" max="14291" width="26.140625" customWidth="1"/>
    <col min="14292" max="14294" width="11.7109375" customWidth="1"/>
    <col min="14295" max="14296" width="17.42578125" customWidth="1"/>
    <col min="14297" max="14298" width="14" customWidth="1"/>
    <col min="14299" max="14299" width="20" customWidth="1"/>
    <col min="14300" max="14300" width="17.42578125" customWidth="1"/>
    <col min="14301" max="14301" width="10.7109375" customWidth="1"/>
    <col min="14302" max="14302" width="11" customWidth="1"/>
    <col min="14303" max="14303" width="10.5703125" customWidth="1"/>
    <col min="14304" max="14304" width="15.85546875" customWidth="1"/>
    <col min="14305" max="14305" width="17.42578125" customWidth="1"/>
    <col min="14544" max="14545" width="16.28515625" customWidth="1"/>
    <col min="14546" max="14546" width="93.28515625" customWidth="1"/>
    <col min="14547" max="14547" width="26.140625" customWidth="1"/>
    <col min="14548" max="14550" width="11.7109375" customWidth="1"/>
    <col min="14551" max="14552" width="17.42578125" customWidth="1"/>
    <col min="14553" max="14554" width="14" customWidth="1"/>
    <col min="14555" max="14555" width="20" customWidth="1"/>
    <col min="14556" max="14556" width="17.42578125" customWidth="1"/>
    <col min="14557" max="14557" width="10.7109375" customWidth="1"/>
    <col min="14558" max="14558" width="11" customWidth="1"/>
    <col min="14559" max="14559" width="10.5703125" customWidth="1"/>
    <col min="14560" max="14560" width="15.85546875" customWidth="1"/>
    <col min="14561" max="14561" width="17.42578125" customWidth="1"/>
    <col min="14800" max="14801" width="16.28515625" customWidth="1"/>
    <col min="14802" max="14802" width="93.28515625" customWidth="1"/>
    <col min="14803" max="14803" width="26.140625" customWidth="1"/>
    <col min="14804" max="14806" width="11.7109375" customWidth="1"/>
    <col min="14807" max="14808" width="17.42578125" customWidth="1"/>
    <col min="14809" max="14810" width="14" customWidth="1"/>
    <col min="14811" max="14811" width="20" customWidth="1"/>
    <col min="14812" max="14812" width="17.42578125" customWidth="1"/>
    <col min="14813" max="14813" width="10.7109375" customWidth="1"/>
    <col min="14814" max="14814" width="11" customWidth="1"/>
    <col min="14815" max="14815" width="10.5703125" customWidth="1"/>
    <col min="14816" max="14816" width="15.85546875" customWidth="1"/>
    <col min="14817" max="14817" width="17.42578125" customWidth="1"/>
    <col min="15056" max="15057" width="16.28515625" customWidth="1"/>
    <col min="15058" max="15058" width="93.28515625" customWidth="1"/>
    <col min="15059" max="15059" width="26.140625" customWidth="1"/>
    <col min="15060" max="15062" width="11.7109375" customWidth="1"/>
    <col min="15063" max="15064" width="17.42578125" customWidth="1"/>
    <col min="15065" max="15066" width="14" customWidth="1"/>
    <col min="15067" max="15067" width="20" customWidth="1"/>
    <col min="15068" max="15068" width="17.42578125" customWidth="1"/>
    <col min="15069" max="15069" width="10.7109375" customWidth="1"/>
    <col min="15070" max="15070" width="11" customWidth="1"/>
    <col min="15071" max="15071" width="10.5703125" customWidth="1"/>
    <col min="15072" max="15072" width="15.85546875" customWidth="1"/>
    <col min="15073" max="15073" width="17.42578125" customWidth="1"/>
    <col min="15312" max="15313" width="16.28515625" customWidth="1"/>
    <col min="15314" max="15314" width="93.28515625" customWidth="1"/>
    <col min="15315" max="15315" width="26.140625" customWidth="1"/>
    <col min="15316" max="15318" width="11.7109375" customWidth="1"/>
    <col min="15319" max="15320" width="17.42578125" customWidth="1"/>
    <col min="15321" max="15322" width="14" customWidth="1"/>
    <col min="15323" max="15323" width="20" customWidth="1"/>
    <col min="15324" max="15324" width="17.42578125" customWidth="1"/>
    <col min="15325" max="15325" width="10.7109375" customWidth="1"/>
    <col min="15326" max="15326" width="11" customWidth="1"/>
    <col min="15327" max="15327" width="10.5703125" customWidth="1"/>
    <col min="15328" max="15328" width="15.85546875" customWidth="1"/>
    <col min="15329" max="15329" width="17.42578125" customWidth="1"/>
    <col min="15568" max="15569" width="16.28515625" customWidth="1"/>
    <col min="15570" max="15570" width="93.28515625" customWidth="1"/>
    <col min="15571" max="15571" width="26.140625" customWidth="1"/>
    <col min="15572" max="15574" width="11.7109375" customWidth="1"/>
    <col min="15575" max="15576" width="17.42578125" customWidth="1"/>
    <col min="15577" max="15578" width="14" customWidth="1"/>
    <col min="15579" max="15579" width="20" customWidth="1"/>
    <col min="15580" max="15580" width="17.42578125" customWidth="1"/>
    <col min="15581" max="15581" width="10.7109375" customWidth="1"/>
    <col min="15582" max="15582" width="11" customWidth="1"/>
    <col min="15583" max="15583" width="10.5703125" customWidth="1"/>
    <col min="15584" max="15584" width="15.85546875" customWidth="1"/>
    <col min="15585" max="15585" width="17.42578125" customWidth="1"/>
    <col min="15824" max="15825" width="16.28515625" customWidth="1"/>
    <col min="15826" max="15826" width="93.28515625" customWidth="1"/>
    <col min="15827" max="15827" width="26.140625" customWidth="1"/>
    <col min="15828" max="15830" width="11.7109375" customWidth="1"/>
    <col min="15831" max="15832" width="17.42578125" customWidth="1"/>
    <col min="15833" max="15834" width="14" customWidth="1"/>
    <col min="15835" max="15835" width="20" customWidth="1"/>
    <col min="15836" max="15836" width="17.42578125" customWidth="1"/>
    <col min="15837" max="15837" width="10.7109375" customWidth="1"/>
    <col min="15838" max="15838" width="11" customWidth="1"/>
    <col min="15839" max="15839" width="10.5703125" customWidth="1"/>
    <col min="15840" max="15840" width="15.85546875" customWidth="1"/>
    <col min="15841" max="15841" width="17.42578125" customWidth="1"/>
    <col min="16080" max="16081" width="16.28515625" customWidth="1"/>
    <col min="16082" max="16082" width="93.28515625" customWidth="1"/>
    <col min="16083" max="16083" width="26.140625" customWidth="1"/>
    <col min="16084" max="16086" width="11.7109375" customWidth="1"/>
    <col min="16087" max="16088" width="17.42578125" customWidth="1"/>
    <col min="16089" max="16090" width="14" customWidth="1"/>
    <col min="16091" max="16091" width="20" customWidth="1"/>
    <col min="16092" max="16092" width="17.42578125" customWidth="1"/>
    <col min="16093" max="16093" width="10.7109375" customWidth="1"/>
    <col min="16094" max="16094" width="11" customWidth="1"/>
    <col min="16095" max="16095" width="10.5703125" customWidth="1"/>
    <col min="16096" max="16096" width="15.85546875" customWidth="1"/>
    <col min="16097" max="16097" width="17.4257812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162</v>
      </c>
      <c r="C4" s="383"/>
      <c r="D4" s="383"/>
      <c r="E4" s="383"/>
      <c r="F4" s="383"/>
      <c r="G4" s="383"/>
      <c r="H4" s="383"/>
      <c r="I4" s="383"/>
    </row>
    <row r="5" spans="1:9" ht="30" customHeight="1" x14ac:dyDescent="0.25">
      <c r="B5" s="1440" t="s">
        <v>96</v>
      </c>
      <c r="C5" s="1440"/>
      <c r="D5" s="1440"/>
      <c r="E5" s="1440"/>
      <c r="F5" s="1440"/>
      <c r="G5" s="1440"/>
      <c r="H5" s="1440"/>
      <c r="I5" s="1440"/>
    </row>
    <row r="7" spans="1:9" s="41" customFormat="1" ht="12.75" x14ac:dyDescent="0.2">
      <c r="C7" s="276"/>
      <c r="D7" s="276"/>
      <c r="E7" s="276"/>
      <c r="F7" s="276"/>
      <c r="G7" s="276"/>
      <c r="H7" s="276"/>
      <c r="I7" s="276"/>
    </row>
    <row r="8" spans="1:9" ht="18.600000000000001" customHeight="1" x14ac:dyDescent="0.3">
      <c r="B8" s="493" t="s">
        <v>125</v>
      </c>
    </row>
    <row r="9" spans="1:9" x14ac:dyDescent="0.25">
      <c r="B9" s="1118" t="s">
        <v>163</v>
      </c>
    </row>
    <row r="10" spans="1:9" x14ac:dyDescent="0.25">
      <c r="B10" s="1119"/>
    </row>
    <row r="11" spans="1:9" x14ac:dyDescent="0.25">
      <c r="B11" s="1120"/>
    </row>
    <row r="12" spans="1:9" x14ac:dyDescent="0.25">
      <c r="B12" s="1119"/>
    </row>
    <row r="13" spans="1:9" x14ac:dyDescent="0.25">
      <c r="B13" s="1120"/>
    </row>
    <row r="14" spans="1:9" x14ac:dyDescent="0.25">
      <c r="B14" s="1119"/>
    </row>
    <row r="15" spans="1:9" x14ac:dyDescent="0.25">
      <c r="B15" s="1120"/>
    </row>
    <row r="16" spans="1:9" x14ac:dyDescent="0.25">
      <c r="B16" s="1119"/>
    </row>
    <row r="17" spans="2:2" x14ac:dyDescent="0.25">
      <c r="B17" s="1120"/>
    </row>
    <row r="18" spans="2:2" x14ac:dyDescent="0.25">
      <c r="B18" s="1119"/>
    </row>
    <row r="19" spans="2:2" x14ac:dyDescent="0.25">
      <c r="B19" s="1120"/>
    </row>
    <row r="20" spans="2:2" x14ac:dyDescent="0.25">
      <c r="B20" s="1119"/>
    </row>
    <row r="21" spans="2:2" x14ac:dyDescent="0.25">
      <c r="B21" s="1120"/>
    </row>
    <row r="22" spans="2:2" x14ac:dyDescent="0.25">
      <c r="B22" s="1119"/>
    </row>
    <row r="23" spans="2:2" x14ac:dyDescent="0.25">
      <c r="B23" s="1120"/>
    </row>
    <row r="24" spans="2:2" x14ac:dyDescent="0.25">
      <c r="B24" s="1119"/>
    </row>
    <row r="25" spans="2:2" x14ac:dyDescent="0.25">
      <c r="B25" s="1120"/>
    </row>
    <row r="26" spans="2:2" x14ac:dyDescent="0.25">
      <c r="B26" s="1119"/>
    </row>
    <row r="27" spans="2:2" hidden="1" outlineLevel="2" x14ac:dyDescent="0.25">
      <c r="B27" s="1120"/>
    </row>
    <row r="28" spans="2:2" hidden="1" outlineLevel="2" x14ac:dyDescent="0.25">
      <c r="B28" s="1119"/>
    </row>
    <row r="29" spans="2:2" hidden="1" outlineLevel="2" x14ac:dyDescent="0.25">
      <c r="B29" s="1120"/>
    </row>
    <row r="30" spans="2:2" hidden="1" outlineLevel="2" x14ac:dyDescent="0.25">
      <c r="B30" s="1119"/>
    </row>
    <row r="31" spans="2:2" hidden="1" outlineLevel="2" x14ac:dyDescent="0.25">
      <c r="B31" s="1120"/>
    </row>
    <row r="32" spans="2:2" hidden="1" outlineLevel="2" x14ac:dyDescent="0.25">
      <c r="B32" s="1119"/>
    </row>
    <row r="33" spans="2:2" hidden="1" outlineLevel="2" x14ac:dyDescent="0.25">
      <c r="B33" s="1120"/>
    </row>
    <row r="34" spans="2:2" hidden="1" outlineLevel="2" x14ac:dyDescent="0.25">
      <c r="B34" s="1119"/>
    </row>
    <row r="35" spans="2:2" hidden="1" outlineLevel="2" x14ac:dyDescent="0.25">
      <c r="B35" s="1120"/>
    </row>
    <row r="36" spans="2:2" hidden="1" outlineLevel="2" x14ac:dyDescent="0.25">
      <c r="B36" s="1119"/>
    </row>
    <row r="37" spans="2:2" hidden="1" outlineLevel="2" x14ac:dyDescent="0.25">
      <c r="B37" s="1120"/>
    </row>
    <row r="38" spans="2:2" hidden="1" outlineLevel="2" x14ac:dyDescent="0.25">
      <c r="B38" s="1119"/>
    </row>
    <row r="39" spans="2:2" hidden="1" outlineLevel="2" x14ac:dyDescent="0.25">
      <c r="B39" s="1120"/>
    </row>
    <row r="40" spans="2:2" hidden="1" outlineLevel="2" x14ac:dyDescent="0.25">
      <c r="B40" s="1119"/>
    </row>
    <row r="41" spans="2:2" hidden="1" outlineLevel="2" x14ac:dyDescent="0.25">
      <c r="B41" s="1120"/>
    </row>
    <row r="42" spans="2:2" hidden="1" outlineLevel="2" x14ac:dyDescent="0.25">
      <c r="B42" s="1119"/>
    </row>
    <row r="43" spans="2:2" hidden="1" outlineLevel="2" x14ac:dyDescent="0.25">
      <c r="B43" s="1120"/>
    </row>
    <row r="44" spans="2:2" hidden="1" outlineLevel="2" x14ac:dyDescent="0.25">
      <c r="B44" s="1119"/>
    </row>
    <row r="45" spans="2:2" hidden="1" outlineLevel="2" x14ac:dyDescent="0.25">
      <c r="B45" s="1120"/>
    </row>
    <row r="46" spans="2:2" hidden="1" outlineLevel="2" x14ac:dyDescent="0.25">
      <c r="B46" s="1119"/>
    </row>
    <row r="47" spans="2:2" hidden="1" outlineLevel="2" x14ac:dyDescent="0.25">
      <c r="B47" s="1120"/>
    </row>
    <row r="48" spans="2:2" hidden="1" outlineLevel="2" x14ac:dyDescent="0.25">
      <c r="B48" s="1119"/>
    </row>
    <row r="49" spans="1:9" hidden="1" outlineLevel="2" x14ac:dyDescent="0.25">
      <c r="B49" s="1120"/>
    </row>
    <row r="50" spans="1:9" hidden="1" outlineLevel="2" x14ac:dyDescent="0.25">
      <c r="B50" s="1119"/>
    </row>
    <row r="51" spans="1:9" hidden="1" outlineLevel="2" x14ac:dyDescent="0.25">
      <c r="B51" s="1121"/>
    </row>
    <row r="52" spans="1:9" hidden="1" outlineLevel="2" x14ac:dyDescent="0.25">
      <c r="B52" s="1122"/>
    </row>
    <row r="53" spans="1:9" hidden="1" outlineLevel="2" x14ac:dyDescent="0.25">
      <c r="B53" s="1121"/>
    </row>
    <row r="54" spans="1:9" hidden="1" outlineLevel="2" x14ac:dyDescent="0.25">
      <c r="B54" s="1122"/>
    </row>
    <row r="55" spans="1:9" hidden="1" outlineLevel="2" x14ac:dyDescent="0.25">
      <c r="B55" s="1121"/>
    </row>
    <row r="56" spans="1:9" hidden="1" outlineLevel="2" x14ac:dyDescent="0.25">
      <c r="B56" s="1122"/>
    </row>
    <row r="57" spans="1:9" hidden="1" outlineLevel="2" x14ac:dyDescent="0.25">
      <c r="B57" s="1121"/>
    </row>
    <row r="58" spans="1:9" ht="15" hidden="1" customHeight="1" outlineLevel="2" x14ac:dyDescent="0.25">
      <c r="B58" s="1123"/>
    </row>
    <row r="59" spans="1:9" collapsed="1" x14ac:dyDescent="0.25">
      <c r="B59" s="74"/>
    </row>
    <row r="60" spans="1:9" ht="15" customHeight="1" x14ac:dyDescent="0.25"/>
    <row r="61" spans="1:9" s="41" customFormat="1" ht="24" customHeight="1" x14ac:dyDescent="0.2">
      <c r="B61" s="31" t="s">
        <v>164</v>
      </c>
      <c r="C61" s="31"/>
      <c r="D61" s="31"/>
      <c r="E61" s="31"/>
      <c r="F61" s="31"/>
      <c r="G61" s="31"/>
      <c r="H61" s="31"/>
      <c r="I61" s="31"/>
    </row>
    <row r="62" spans="1:9" ht="21.75" customHeight="1" outlineLevel="1" x14ac:dyDescent="0.25">
      <c r="B62" s="235" t="s">
        <v>135</v>
      </c>
      <c r="C62" s="236"/>
      <c r="D62" s="236"/>
      <c r="E62" s="236"/>
      <c r="F62" s="236"/>
      <c r="G62" s="236"/>
      <c r="H62" s="236"/>
      <c r="I62" s="236"/>
    </row>
    <row r="63" spans="1:9" s="41" customFormat="1" ht="15" customHeight="1" outlineLevel="2" x14ac:dyDescent="0.2">
      <c r="A63" s="276"/>
      <c r="C63" s="1331" t="s">
        <v>24</v>
      </c>
      <c r="D63" s="1331"/>
      <c r="E63" s="1331"/>
      <c r="F63" s="1331"/>
      <c r="G63" s="1331"/>
      <c r="H63" s="1331"/>
      <c r="I63" s="1331"/>
    </row>
    <row r="64" spans="1:9" s="41" customFormat="1" ht="15" customHeight="1" outlineLevel="2" x14ac:dyDescent="0.2">
      <c r="A64" s="276"/>
      <c r="C64" s="1331" t="str">
        <f ca="1">CONCATENATE("$, real ",dms_DollarReal)</f>
        <v>$, real June 2026</v>
      </c>
      <c r="D64" s="1331"/>
      <c r="E64" s="1331"/>
      <c r="F64" s="1331"/>
      <c r="G64" s="1331"/>
      <c r="H64" s="1331"/>
      <c r="I64" s="1331"/>
    </row>
    <row r="65" spans="1:9" s="41" customFormat="1" ht="15.75" customHeight="1" outlineLevel="2" x14ac:dyDescent="0.25">
      <c r="A65" s="276"/>
      <c r="B65" s="302"/>
      <c r="C65" s="298" t="str">
        <f ca="1">dms_y1</f>
        <v>2024-25</v>
      </c>
      <c r="D65" s="298" t="str">
        <f ca="1">dms_y2</f>
        <v>2025-26</v>
      </c>
      <c r="E65" s="298" t="str">
        <f ca="1">dms_y3</f>
        <v>2026-27</v>
      </c>
      <c r="F65" s="298" t="str">
        <f ca="1">dms_y4</f>
        <v>2027-28</v>
      </c>
      <c r="G65" s="298" t="str">
        <f ca="1">dms_y5</f>
        <v>2028-29</v>
      </c>
      <c r="H65" s="298" t="str">
        <f ca="1">dms_y6</f>
        <v>2029-30</v>
      </c>
      <c r="I65" s="298" t="str">
        <f ca="1">dms_y7</f>
        <v>2030-31</v>
      </c>
    </row>
    <row r="66" spans="1:9" ht="15.75" customHeight="1" outlineLevel="2" x14ac:dyDescent="0.25">
      <c r="B66" s="506" t="s">
        <v>163</v>
      </c>
      <c r="C66" s="348">
        <v>0</v>
      </c>
      <c r="D66" s="250">
        <v>0</v>
      </c>
      <c r="E66" s="249">
        <v>0</v>
      </c>
      <c r="F66" s="242">
        <v>0</v>
      </c>
      <c r="G66" s="242">
        <v>0</v>
      </c>
      <c r="H66" s="242">
        <v>0</v>
      </c>
      <c r="I66" s="243">
        <v>0</v>
      </c>
    </row>
    <row r="67" spans="1:9" ht="15.75" customHeight="1" outlineLevel="2" x14ac:dyDescent="0.25">
      <c r="B67" s="506"/>
      <c r="C67" s="606"/>
      <c r="D67" s="607"/>
      <c r="E67" s="608"/>
      <c r="F67" s="609"/>
      <c r="G67" s="609"/>
      <c r="H67" s="609"/>
      <c r="I67" s="610"/>
    </row>
    <row r="68" spans="1:9" ht="15.75" customHeight="1" outlineLevel="2" x14ac:dyDescent="0.25">
      <c r="B68" s="506"/>
      <c r="C68" s="362"/>
      <c r="D68" s="252"/>
      <c r="E68" s="251"/>
      <c r="F68" s="245"/>
      <c r="G68" s="245"/>
      <c r="H68" s="245"/>
      <c r="I68" s="230"/>
    </row>
    <row r="69" spans="1:9" ht="15.75" customHeight="1" outlineLevel="2" x14ac:dyDescent="0.25">
      <c r="B69" s="506"/>
      <c r="C69" s="606"/>
      <c r="D69" s="607"/>
      <c r="E69" s="608"/>
      <c r="F69" s="609"/>
      <c r="G69" s="609"/>
      <c r="H69" s="609"/>
      <c r="I69" s="610"/>
    </row>
    <row r="70" spans="1:9" ht="15.75" customHeight="1" outlineLevel="2" x14ac:dyDescent="0.25">
      <c r="B70" s="506"/>
      <c r="C70" s="362"/>
      <c r="D70" s="252"/>
      <c r="E70" s="251"/>
      <c r="F70" s="245"/>
      <c r="G70" s="245"/>
      <c r="H70" s="245"/>
      <c r="I70" s="230"/>
    </row>
    <row r="71" spans="1:9" ht="15.75" customHeight="1" outlineLevel="2" x14ac:dyDescent="0.25">
      <c r="B71" s="506"/>
      <c r="C71" s="606"/>
      <c r="D71" s="607"/>
      <c r="E71" s="608"/>
      <c r="F71" s="609"/>
      <c r="G71" s="609"/>
      <c r="H71" s="609"/>
      <c r="I71" s="610"/>
    </row>
    <row r="72" spans="1:9" ht="15.75" customHeight="1" outlineLevel="2" x14ac:dyDescent="0.25">
      <c r="B72" s="506"/>
      <c r="C72" s="362"/>
      <c r="D72" s="252"/>
      <c r="E72" s="251"/>
      <c r="F72" s="245"/>
      <c r="G72" s="245"/>
      <c r="H72" s="245"/>
      <c r="I72" s="230"/>
    </row>
    <row r="73" spans="1:9" ht="15.75" customHeight="1" outlineLevel="2" x14ac:dyDescent="0.25">
      <c r="B73" s="506"/>
      <c r="C73" s="606"/>
      <c r="D73" s="607"/>
      <c r="E73" s="608"/>
      <c r="F73" s="609"/>
      <c r="G73" s="609"/>
      <c r="H73" s="609"/>
      <c r="I73" s="610"/>
    </row>
    <row r="74" spans="1:9" ht="15.75" customHeight="1" outlineLevel="2" x14ac:dyDescent="0.25">
      <c r="B74" s="506"/>
      <c r="C74" s="362"/>
      <c r="D74" s="252"/>
      <c r="E74" s="251"/>
      <c r="F74" s="245"/>
      <c r="G74" s="245"/>
      <c r="H74" s="245"/>
      <c r="I74" s="230"/>
    </row>
    <row r="75" spans="1:9" ht="15.75" customHeight="1" outlineLevel="2" x14ac:dyDescent="0.25">
      <c r="B75" s="506"/>
      <c r="C75" s="606"/>
      <c r="D75" s="607"/>
      <c r="E75" s="608"/>
      <c r="F75" s="609"/>
      <c r="G75" s="609"/>
      <c r="H75" s="609"/>
      <c r="I75" s="610"/>
    </row>
    <row r="76" spans="1:9" ht="15.75" customHeight="1" outlineLevel="2" x14ac:dyDescent="0.25">
      <c r="B76" s="506"/>
      <c r="C76" s="362"/>
      <c r="D76" s="252"/>
      <c r="E76" s="251"/>
      <c r="F76" s="245"/>
      <c r="G76" s="245"/>
      <c r="H76" s="245"/>
      <c r="I76" s="230"/>
    </row>
    <row r="77" spans="1:9" ht="15.75" customHeight="1" outlineLevel="2" x14ac:dyDescent="0.25">
      <c r="B77" s="506"/>
      <c r="C77" s="606"/>
      <c r="D77" s="607"/>
      <c r="E77" s="608"/>
      <c r="F77" s="609"/>
      <c r="G77" s="609"/>
      <c r="H77" s="609"/>
      <c r="I77" s="610"/>
    </row>
    <row r="78" spans="1:9" ht="15.75" customHeight="1" outlineLevel="2" x14ac:dyDescent="0.25">
      <c r="B78" s="506"/>
      <c r="C78" s="362"/>
      <c r="D78" s="252"/>
      <c r="E78" s="251"/>
      <c r="F78" s="245"/>
      <c r="G78" s="245"/>
      <c r="H78" s="245"/>
      <c r="I78" s="230"/>
    </row>
    <row r="79" spans="1:9" ht="15.75" customHeight="1" outlineLevel="2" x14ac:dyDescent="0.25">
      <c r="B79" s="506"/>
      <c r="C79" s="606"/>
      <c r="D79" s="607"/>
      <c r="E79" s="608"/>
      <c r="F79" s="609"/>
      <c r="G79" s="609"/>
      <c r="H79" s="609"/>
      <c r="I79" s="610"/>
    </row>
    <row r="80" spans="1:9" ht="15.75" customHeight="1" outlineLevel="2" x14ac:dyDescent="0.25">
      <c r="B80" s="506"/>
      <c r="C80" s="362"/>
      <c r="D80" s="252"/>
      <c r="E80" s="251"/>
      <c r="F80" s="245"/>
      <c r="G80" s="245"/>
      <c r="H80" s="245"/>
      <c r="I80" s="230"/>
    </row>
    <row r="81" spans="2:9" ht="15.75" customHeight="1" outlineLevel="2" x14ac:dyDescent="0.25">
      <c r="B81" s="506"/>
      <c r="C81" s="606"/>
      <c r="D81" s="607"/>
      <c r="E81" s="608"/>
      <c r="F81" s="609"/>
      <c r="G81" s="609"/>
      <c r="H81" s="609"/>
      <c r="I81" s="610"/>
    </row>
    <row r="82" spans="2:9" ht="15.75" customHeight="1" outlineLevel="2" x14ac:dyDescent="0.25">
      <c r="B82" s="506"/>
      <c r="C82" s="362"/>
      <c r="D82" s="252"/>
      <c r="E82" s="251"/>
      <c r="F82" s="245"/>
      <c r="G82" s="245"/>
      <c r="H82" s="245"/>
      <c r="I82" s="230"/>
    </row>
    <row r="83" spans="2:9" ht="15.75" customHeight="1" outlineLevel="2" x14ac:dyDescent="0.25">
      <c r="B83" s="506"/>
      <c r="C83" s="606"/>
      <c r="D83" s="607"/>
      <c r="E83" s="608"/>
      <c r="F83" s="609"/>
      <c r="G83" s="609"/>
      <c r="H83" s="609"/>
      <c r="I83" s="610"/>
    </row>
    <row r="84" spans="2:9" ht="15.75" customHeight="1" outlineLevel="2" x14ac:dyDescent="0.25">
      <c r="B84" s="506"/>
      <c r="C84" s="362"/>
      <c r="D84" s="252"/>
      <c r="E84" s="251"/>
      <c r="F84" s="245"/>
      <c r="G84" s="245"/>
      <c r="H84" s="245"/>
      <c r="I84" s="230"/>
    </row>
    <row r="85" spans="2:9" ht="15.75" customHeight="1" outlineLevel="2" x14ac:dyDescent="0.25">
      <c r="B85" s="506"/>
      <c r="C85" s="606"/>
      <c r="D85" s="607"/>
      <c r="E85" s="608"/>
      <c r="F85" s="609"/>
      <c r="G85" s="609"/>
      <c r="H85" s="609"/>
      <c r="I85" s="610"/>
    </row>
    <row r="86" spans="2:9" ht="15.75" customHeight="1" outlineLevel="2" x14ac:dyDescent="0.25">
      <c r="B86" s="506"/>
      <c r="C86" s="362"/>
      <c r="D86" s="252"/>
      <c r="E86" s="251"/>
      <c r="F86" s="245"/>
      <c r="G86" s="245"/>
      <c r="H86" s="245"/>
      <c r="I86" s="230"/>
    </row>
    <row r="87" spans="2:9" ht="15.75" customHeight="1" outlineLevel="2" x14ac:dyDescent="0.25">
      <c r="B87" s="506"/>
      <c r="C87" s="606"/>
      <c r="D87" s="607"/>
      <c r="E87" s="608"/>
      <c r="F87" s="609"/>
      <c r="G87" s="609"/>
      <c r="H87" s="609"/>
      <c r="I87" s="610"/>
    </row>
    <row r="88" spans="2:9" ht="15.75" customHeight="1" outlineLevel="2" x14ac:dyDescent="0.25">
      <c r="B88" s="506"/>
      <c r="C88" s="362"/>
      <c r="D88" s="252"/>
      <c r="E88" s="251"/>
      <c r="F88" s="245"/>
      <c r="G88" s="245"/>
      <c r="H88" s="245"/>
      <c r="I88" s="230"/>
    </row>
    <row r="89" spans="2:9" ht="15.75" customHeight="1" outlineLevel="2" x14ac:dyDescent="0.25">
      <c r="B89" s="506"/>
      <c r="C89" s="606"/>
      <c r="D89" s="607"/>
      <c r="E89" s="608"/>
      <c r="F89" s="609"/>
      <c r="G89" s="609"/>
      <c r="H89" s="609"/>
      <c r="I89" s="610"/>
    </row>
    <row r="90" spans="2:9" ht="15.75" customHeight="1" outlineLevel="2" x14ac:dyDescent="0.25">
      <c r="B90" s="506"/>
      <c r="C90" s="362"/>
      <c r="D90" s="252"/>
      <c r="E90" s="251"/>
      <c r="F90" s="245"/>
      <c r="G90" s="245"/>
      <c r="H90" s="245"/>
      <c r="I90" s="230"/>
    </row>
    <row r="91" spans="2:9" ht="15.75" customHeight="1" outlineLevel="2" x14ac:dyDescent="0.25">
      <c r="B91" s="506"/>
      <c r="C91" s="606"/>
      <c r="D91" s="607"/>
      <c r="E91" s="608"/>
      <c r="F91" s="609"/>
      <c r="G91" s="609"/>
      <c r="H91" s="609"/>
      <c r="I91" s="610"/>
    </row>
    <row r="92" spans="2:9" ht="15.75" customHeight="1" outlineLevel="2" x14ac:dyDescent="0.25">
      <c r="B92" s="506"/>
      <c r="C92" s="362"/>
      <c r="D92" s="252"/>
      <c r="E92" s="251"/>
      <c r="F92" s="245"/>
      <c r="G92" s="245"/>
      <c r="H92" s="245"/>
      <c r="I92" s="230"/>
    </row>
    <row r="93" spans="2:9" ht="15.75" customHeight="1" outlineLevel="2" x14ac:dyDescent="0.25">
      <c r="B93" s="506"/>
      <c r="C93" s="606"/>
      <c r="D93" s="607"/>
      <c r="E93" s="608"/>
      <c r="F93" s="609"/>
      <c r="G93" s="609"/>
      <c r="H93" s="609"/>
      <c r="I93" s="610"/>
    </row>
    <row r="94" spans="2:9" ht="15.75" customHeight="1" outlineLevel="2" x14ac:dyDescent="0.25">
      <c r="B94" s="506"/>
      <c r="C94" s="362"/>
      <c r="D94" s="252"/>
      <c r="E94" s="251"/>
      <c r="F94" s="245"/>
      <c r="G94" s="245"/>
      <c r="H94" s="245"/>
      <c r="I94" s="230"/>
    </row>
    <row r="95" spans="2:9" ht="15.75" customHeight="1" outlineLevel="2" x14ac:dyDescent="0.25">
      <c r="B95" s="506"/>
      <c r="C95" s="606"/>
      <c r="D95" s="607"/>
      <c r="E95" s="608"/>
      <c r="F95" s="609"/>
      <c r="G95" s="609"/>
      <c r="H95" s="609"/>
      <c r="I95" s="610"/>
    </row>
    <row r="96" spans="2:9" ht="15.75" customHeight="1" outlineLevel="2" x14ac:dyDescent="0.25">
      <c r="B96" s="506"/>
      <c r="C96" s="362"/>
      <c r="D96" s="252"/>
      <c r="E96" s="251"/>
      <c r="F96" s="245"/>
      <c r="G96" s="245"/>
      <c r="H96" s="245"/>
      <c r="I96" s="230"/>
    </row>
    <row r="97" spans="2:9" ht="15.75" customHeight="1" outlineLevel="2" x14ac:dyDescent="0.25">
      <c r="B97" s="506"/>
      <c r="C97" s="606"/>
      <c r="D97" s="607"/>
      <c r="E97" s="608"/>
      <c r="F97" s="609"/>
      <c r="G97" s="609"/>
      <c r="H97" s="609"/>
      <c r="I97" s="610"/>
    </row>
    <row r="98" spans="2:9" ht="15.75" customHeight="1" outlineLevel="2" x14ac:dyDescent="0.25">
      <c r="B98" s="506"/>
      <c r="C98" s="362"/>
      <c r="D98" s="252"/>
      <c r="E98" s="251"/>
      <c r="F98" s="245"/>
      <c r="G98" s="245"/>
      <c r="H98" s="245"/>
      <c r="I98" s="230"/>
    </row>
    <row r="99" spans="2:9" ht="15.75" customHeight="1" outlineLevel="2" x14ac:dyDescent="0.25">
      <c r="B99" s="506"/>
      <c r="C99" s="606"/>
      <c r="D99" s="607"/>
      <c r="E99" s="608"/>
      <c r="F99" s="609"/>
      <c r="G99" s="609"/>
      <c r="H99" s="609"/>
      <c r="I99" s="610"/>
    </row>
    <row r="100" spans="2:9" ht="15.75" customHeight="1" outlineLevel="2" x14ac:dyDescent="0.25">
      <c r="B100" s="506"/>
      <c r="C100" s="362"/>
      <c r="D100" s="252"/>
      <c r="E100" s="251"/>
      <c r="F100" s="245"/>
      <c r="G100" s="245"/>
      <c r="H100" s="245"/>
      <c r="I100" s="230"/>
    </row>
    <row r="101" spans="2:9" ht="15.75" customHeight="1" outlineLevel="2" x14ac:dyDescent="0.25">
      <c r="B101" s="506"/>
      <c r="C101" s="606"/>
      <c r="D101" s="607"/>
      <c r="E101" s="608"/>
      <c r="F101" s="609"/>
      <c r="G101" s="609"/>
      <c r="H101" s="609"/>
      <c r="I101" s="610"/>
    </row>
    <row r="102" spans="2:9" ht="15.75" customHeight="1" outlineLevel="2" x14ac:dyDescent="0.25">
      <c r="B102" s="506"/>
      <c r="C102" s="362"/>
      <c r="D102" s="252"/>
      <c r="E102" s="251"/>
      <c r="F102" s="245"/>
      <c r="G102" s="245"/>
      <c r="H102" s="245"/>
      <c r="I102" s="230"/>
    </row>
    <row r="103" spans="2:9" ht="15.75" customHeight="1" outlineLevel="2" x14ac:dyDescent="0.25">
      <c r="B103" s="506"/>
      <c r="C103" s="606"/>
      <c r="D103" s="607"/>
      <c r="E103" s="608"/>
      <c r="F103" s="609"/>
      <c r="G103" s="609"/>
      <c r="H103" s="609"/>
      <c r="I103" s="610"/>
    </row>
    <row r="104" spans="2:9" ht="15.75" customHeight="1" outlineLevel="2" x14ac:dyDescent="0.25">
      <c r="B104" s="506"/>
      <c r="C104" s="362"/>
      <c r="D104" s="252"/>
      <c r="E104" s="251"/>
      <c r="F104" s="245"/>
      <c r="G104" s="245"/>
      <c r="H104" s="245"/>
      <c r="I104" s="230"/>
    </row>
    <row r="105" spans="2:9" ht="15.75" customHeight="1" outlineLevel="2" x14ac:dyDescent="0.25">
      <c r="B105" s="506"/>
      <c r="C105" s="606"/>
      <c r="D105" s="607"/>
      <c r="E105" s="608"/>
      <c r="F105" s="609"/>
      <c r="G105" s="609"/>
      <c r="H105" s="609"/>
      <c r="I105" s="610"/>
    </row>
    <row r="106" spans="2:9" ht="15.75" customHeight="1" outlineLevel="2" x14ac:dyDescent="0.25">
      <c r="B106" s="506"/>
      <c r="C106" s="362"/>
      <c r="D106" s="252"/>
      <c r="E106" s="251"/>
      <c r="F106" s="245"/>
      <c r="G106" s="245"/>
      <c r="H106" s="245"/>
      <c r="I106" s="230"/>
    </row>
    <row r="107" spans="2:9" ht="15.75" customHeight="1" outlineLevel="2" x14ac:dyDescent="0.25">
      <c r="B107" s="506"/>
      <c r="C107" s="606"/>
      <c r="D107" s="607"/>
      <c r="E107" s="608"/>
      <c r="F107" s="609"/>
      <c r="G107" s="609"/>
      <c r="H107" s="609"/>
      <c r="I107" s="610"/>
    </row>
    <row r="108" spans="2:9" ht="15.75" customHeight="1" outlineLevel="2" x14ac:dyDescent="0.25">
      <c r="B108" s="506"/>
      <c r="C108" s="362"/>
      <c r="D108" s="252"/>
      <c r="E108" s="251"/>
      <c r="F108" s="245"/>
      <c r="G108" s="245"/>
      <c r="H108" s="245"/>
      <c r="I108" s="230"/>
    </row>
    <row r="109" spans="2:9" ht="15.75" customHeight="1" outlineLevel="2" x14ac:dyDescent="0.25">
      <c r="B109" s="506"/>
      <c r="C109" s="606"/>
      <c r="D109" s="607"/>
      <c r="E109" s="608"/>
      <c r="F109" s="609"/>
      <c r="G109" s="609"/>
      <c r="H109" s="609"/>
      <c r="I109" s="610"/>
    </row>
    <row r="110" spans="2:9" ht="15.75" customHeight="1" outlineLevel="2" x14ac:dyDescent="0.25">
      <c r="B110" s="506"/>
      <c r="C110" s="362"/>
      <c r="D110" s="252"/>
      <c r="E110" s="251"/>
      <c r="F110" s="245"/>
      <c r="G110" s="245"/>
      <c r="H110" s="245"/>
      <c r="I110" s="230"/>
    </row>
    <row r="111" spans="2:9" ht="15.75" customHeight="1" outlineLevel="2" x14ac:dyDescent="0.25">
      <c r="B111" s="506"/>
      <c r="C111" s="606"/>
      <c r="D111" s="607"/>
      <c r="E111" s="608"/>
      <c r="F111" s="609"/>
      <c r="G111" s="609"/>
      <c r="H111" s="609"/>
      <c r="I111" s="610"/>
    </row>
    <row r="112" spans="2:9" ht="15.75" customHeight="1" outlineLevel="2" x14ac:dyDescent="0.25">
      <c r="B112" s="506"/>
      <c r="C112" s="362"/>
      <c r="D112" s="252"/>
      <c r="E112" s="251"/>
      <c r="F112" s="245"/>
      <c r="G112" s="245"/>
      <c r="H112" s="245"/>
      <c r="I112" s="230"/>
    </row>
    <row r="113" spans="1:9" ht="15.75" customHeight="1" outlineLevel="2" x14ac:dyDescent="0.25">
      <c r="B113" s="506"/>
      <c r="C113" s="606"/>
      <c r="D113" s="607"/>
      <c r="E113" s="608"/>
      <c r="F113" s="609"/>
      <c r="G113" s="609"/>
      <c r="H113" s="609"/>
      <c r="I113" s="610"/>
    </row>
    <row r="114" spans="1:9" ht="15.75" customHeight="1" outlineLevel="2" x14ac:dyDescent="0.25">
      <c r="B114" s="506"/>
      <c r="C114" s="362"/>
      <c r="D114" s="252"/>
      <c r="E114" s="251"/>
      <c r="F114" s="245"/>
      <c r="G114" s="245"/>
      <c r="H114" s="245"/>
      <c r="I114" s="230"/>
    </row>
    <row r="115" spans="1:9" ht="15.75" customHeight="1" outlineLevel="2" x14ac:dyDescent="0.25">
      <c r="B115" s="506"/>
      <c r="C115" s="606"/>
      <c r="D115" s="607"/>
      <c r="E115" s="608"/>
      <c r="F115" s="609"/>
      <c r="G115" s="609"/>
      <c r="H115" s="609"/>
      <c r="I115" s="610"/>
    </row>
    <row r="116" spans="1:9" ht="15.75" customHeight="1" outlineLevel="2" x14ac:dyDescent="0.25">
      <c r="B116" s="612" t="s">
        <v>151</v>
      </c>
      <c r="C116" s="363"/>
      <c r="D116" s="254"/>
      <c r="E116" s="253"/>
      <c r="F116" s="247"/>
      <c r="G116" s="247"/>
      <c r="H116" s="247"/>
      <c r="I116" s="465"/>
    </row>
    <row r="117" spans="1:9" ht="15.75" customHeight="1" outlineLevel="2" x14ac:dyDescent="0.25">
      <c r="B117" s="513" t="s">
        <v>112</v>
      </c>
      <c r="C117" s="514">
        <f t="shared" ref="C117:I117" si="0">SUM(C66:C116)</f>
        <v>0</v>
      </c>
      <c r="D117" s="514">
        <f t="shared" si="0"/>
        <v>0</v>
      </c>
      <c r="E117" s="514">
        <f t="shared" si="0"/>
        <v>0</v>
      </c>
      <c r="F117" s="514">
        <f t="shared" si="0"/>
        <v>0</v>
      </c>
      <c r="G117" s="514">
        <f t="shared" si="0"/>
        <v>0</v>
      </c>
      <c r="H117" s="514">
        <f t="shared" si="0"/>
        <v>0</v>
      </c>
      <c r="I117" s="515">
        <f t="shared" si="0"/>
        <v>0</v>
      </c>
    </row>
    <row r="118" spans="1:9" ht="15.75" customHeight="1" outlineLevel="1" x14ac:dyDescent="0.25">
      <c r="B118" s="74"/>
    </row>
    <row r="119" spans="1:9" ht="21.75" customHeight="1" outlineLevel="1" x14ac:dyDescent="0.25">
      <c r="B119" s="235" t="s">
        <v>137</v>
      </c>
      <c r="C119" s="236"/>
      <c r="D119" s="236"/>
      <c r="E119" s="236"/>
      <c r="F119" s="236"/>
      <c r="G119" s="236"/>
      <c r="H119" s="236"/>
      <c r="I119" s="236"/>
    </row>
    <row r="120" spans="1:9" s="41" customFormat="1" ht="15" customHeight="1" outlineLevel="2" x14ac:dyDescent="0.2">
      <c r="A120" s="276"/>
      <c r="C120" s="1331" t="s">
        <v>24</v>
      </c>
      <c r="D120" s="1331"/>
      <c r="E120" s="1331"/>
      <c r="F120" s="1331"/>
      <c r="G120" s="1331"/>
      <c r="H120" s="1331"/>
      <c r="I120" s="1331"/>
    </row>
    <row r="121" spans="1:9" s="41" customFormat="1" ht="15" customHeight="1" outlineLevel="2" x14ac:dyDescent="0.2">
      <c r="A121" s="276"/>
      <c r="C121" s="1331" t="str">
        <f ca="1">CONCATENATE("$, real ",dms_DollarReal)</f>
        <v>$, real June 2026</v>
      </c>
      <c r="D121" s="1331"/>
      <c r="E121" s="1331"/>
      <c r="F121" s="1331"/>
      <c r="G121" s="1331"/>
      <c r="H121" s="1331"/>
      <c r="I121" s="1331"/>
    </row>
    <row r="122" spans="1:9" s="41" customFormat="1" ht="15.75" customHeight="1" outlineLevel="2" x14ac:dyDescent="0.25">
      <c r="A122" s="276"/>
      <c r="B122" s="77"/>
      <c r="C122" s="298" t="str">
        <f ca="1">dms_y1</f>
        <v>2024-25</v>
      </c>
      <c r="D122" s="298" t="str">
        <f ca="1">dms_y2</f>
        <v>2025-26</v>
      </c>
      <c r="E122" s="298" t="str">
        <f ca="1">dms_y3</f>
        <v>2026-27</v>
      </c>
      <c r="F122" s="298" t="str">
        <f ca="1">dms_y4</f>
        <v>2027-28</v>
      </c>
      <c r="G122" s="298" t="str">
        <f ca="1">dms_y5</f>
        <v>2028-29</v>
      </c>
      <c r="H122" s="298" t="str">
        <f ca="1">dms_y6</f>
        <v>2029-30</v>
      </c>
      <c r="I122" s="298" t="str">
        <f ca="1">dms_y7</f>
        <v>2030-31</v>
      </c>
    </row>
    <row r="123" spans="1:9" ht="15.75" customHeight="1" outlineLevel="2" x14ac:dyDescent="0.25">
      <c r="B123" s="506" t="s">
        <v>163</v>
      </c>
      <c r="C123" s="348">
        <v>0</v>
      </c>
      <c r="D123" s="250">
        <v>0</v>
      </c>
      <c r="E123" s="249">
        <v>0</v>
      </c>
      <c r="F123" s="242">
        <v>0</v>
      </c>
      <c r="G123" s="242">
        <v>0</v>
      </c>
      <c r="H123" s="242">
        <v>0</v>
      </c>
      <c r="I123" s="243">
        <v>0</v>
      </c>
    </row>
    <row r="124" spans="1:9" ht="15.75" customHeight="1" outlineLevel="2" x14ac:dyDescent="0.25">
      <c r="B124" s="506"/>
      <c r="C124" s="606"/>
      <c r="D124" s="607"/>
      <c r="E124" s="608"/>
      <c r="F124" s="609"/>
      <c r="G124" s="609"/>
      <c r="H124" s="609"/>
      <c r="I124" s="610"/>
    </row>
    <row r="125" spans="1:9" ht="15.75" customHeight="1" outlineLevel="2" x14ac:dyDescent="0.25">
      <c r="B125" s="506"/>
      <c r="C125" s="362"/>
      <c r="D125" s="252"/>
      <c r="E125" s="251"/>
      <c r="F125" s="245"/>
      <c r="G125" s="245"/>
      <c r="H125" s="245"/>
      <c r="I125" s="230"/>
    </row>
    <row r="126" spans="1:9" ht="15.75" customHeight="1" outlineLevel="2" x14ac:dyDescent="0.25">
      <c r="B126" s="506"/>
      <c r="C126" s="606"/>
      <c r="D126" s="607"/>
      <c r="E126" s="608"/>
      <c r="F126" s="609"/>
      <c r="G126" s="609"/>
      <c r="H126" s="609"/>
      <c r="I126" s="610"/>
    </row>
    <row r="127" spans="1:9" ht="15.75" customHeight="1" outlineLevel="2" x14ac:dyDescent="0.25">
      <c r="B127" s="506"/>
      <c r="C127" s="362"/>
      <c r="D127" s="252"/>
      <c r="E127" s="251"/>
      <c r="F127" s="245"/>
      <c r="G127" s="245"/>
      <c r="H127" s="245"/>
      <c r="I127" s="230"/>
    </row>
    <row r="128" spans="1:9" ht="15.75" customHeight="1" outlineLevel="2" x14ac:dyDescent="0.25">
      <c r="B128" s="506"/>
      <c r="C128" s="606"/>
      <c r="D128" s="607"/>
      <c r="E128" s="608"/>
      <c r="F128" s="609"/>
      <c r="G128" s="609"/>
      <c r="H128" s="609"/>
      <c r="I128" s="610"/>
    </row>
    <row r="129" spans="2:9" ht="15.75" customHeight="1" outlineLevel="2" x14ac:dyDescent="0.25">
      <c r="B129" s="506"/>
      <c r="C129" s="362"/>
      <c r="D129" s="252"/>
      <c r="E129" s="251"/>
      <c r="F129" s="245"/>
      <c r="G129" s="245"/>
      <c r="H129" s="245"/>
      <c r="I129" s="230"/>
    </row>
    <row r="130" spans="2:9" ht="15.75" customHeight="1" outlineLevel="2" x14ac:dyDescent="0.25">
      <c r="B130" s="506"/>
      <c r="C130" s="606"/>
      <c r="D130" s="607"/>
      <c r="E130" s="608"/>
      <c r="F130" s="609"/>
      <c r="G130" s="609"/>
      <c r="H130" s="609"/>
      <c r="I130" s="610"/>
    </row>
    <row r="131" spans="2:9" ht="15.75" customHeight="1" outlineLevel="2" x14ac:dyDescent="0.25">
      <c r="B131" s="506"/>
      <c r="C131" s="362"/>
      <c r="D131" s="252"/>
      <c r="E131" s="251"/>
      <c r="F131" s="245"/>
      <c r="G131" s="245"/>
      <c r="H131" s="245"/>
      <c r="I131" s="230"/>
    </row>
    <row r="132" spans="2:9" ht="15.75" customHeight="1" outlineLevel="2" x14ac:dyDescent="0.25">
      <c r="B132" s="506"/>
      <c r="C132" s="606"/>
      <c r="D132" s="607"/>
      <c r="E132" s="608"/>
      <c r="F132" s="609"/>
      <c r="G132" s="609"/>
      <c r="H132" s="609"/>
      <c r="I132" s="610"/>
    </row>
    <row r="133" spans="2:9" ht="15.75" customHeight="1" outlineLevel="2" x14ac:dyDescent="0.25">
      <c r="B133" s="506"/>
      <c r="C133" s="362"/>
      <c r="D133" s="252"/>
      <c r="E133" s="251"/>
      <c r="F133" s="245"/>
      <c r="G133" s="245"/>
      <c r="H133" s="245"/>
      <c r="I133" s="230"/>
    </row>
    <row r="134" spans="2:9" ht="15.75" customHeight="1" outlineLevel="2" x14ac:dyDescent="0.25">
      <c r="B134" s="506"/>
      <c r="C134" s="606"/>
      <c r="D134" s="607"/>
      <c r="E134" s="608"/>
      <c r="F134" s="609"/>
      <c r="G134" s="609"/>
      <c r="H134" s="609"/>
      <c r="I134" s="610"/>
    </row>
    <row r="135" spans="2:9" ht="15.75" customHeight="1" outlineLevel="2" x14ac:dyDescent="0.25">
      <c r="B135" s="506"/>
      <c r="C135" s="362"/>
      <c r="D135" s="252"/>
      <c r="E135" s="251"/>
      <c r="F135" s="245"/>
      <c r="G135" s="245"/>
      <c r="H135" s="245"/>
      <c r="I135" s="230"/>
    </row>
    <row r="136" spans="2:9" ht="15.75" customHeight="1" outlineLevel="2" x14ac:dyDescent="0.25">
      <c r="B136" s="506"/>
      <c r="C136" s="606"/>
      <c r="D136" s="607"/>
      <c r="E136" s="608"/>
      <c r="F136" s="609"/>
      <c r="G136" s="609"/>
      <c r="H136" s="609"/>
      <c r="I136" s="610"/>
    </row>
    <row r="137" spans="2:9" ht="15.75" customHeight="1" outlineLevel="2" x14ac:dyDescent="0.25">
      <c r="B137" s="506"/>
      <c r="C137" s="362"/>
      <c r="D137" s="252"/>
      <c r="E137" s="251"/>
      <c r="F137" s="245"/>
      <c r="G137" s="245"/>
      <c r="H137" s="245"/>
      <c r="I137" s="230"/>
    </row>
    <row r="138" spans="2:9" ht="15.75" customHeight="1" outlineLevel="2" x14ac:dyDescent="0.25">
      <c r="B138" s="506"/>
      <c r="C138" s="606"/>
      <c r="D138" s="607"/>
      <c r="E138" s="608"/>
      <c r="F138" s="609"/>
      <c r="G138" s="609"/>
      <c r="H138" s="609"/>
      <c r="I138" s="610"/>
    </row>
    <row r="139" spans="2:9" ht="15.75" customHeight="1" outlineLevel="2" x14ac:dyDescent="0.25">
      <c r="B139" s="506"/>
      <c r="C139" s="362"/>
      <c r="D139" s="252"/>
      <c r="E139" s="251"/>
      <c r="F139" s="245"/>
      <c r="G139" s="245"/>
      <c r="H139" s="245"/>
      <c r="I139" s="230"/>
    </row>
    <row r="140" spans="2:9" ht="15.75" customHeight="1" outlineLevel="2" x14ac:dyDescent="0.25">
      <c r="B140" s="506"/>
      <c r="C140" s="606"/>
      <c r="D140" s="607"/>
      <c r="E140" s="608"/>
      <c r="F140" s="609"/>
      <c r="G140" s="609"/>
      <c r="H140" s="609"/>
      <c r="I140" s="610"/>
    </row>
    <row r="141" spans="2:9" ht="15.75" customHeight="1" outlineLevel="2" x14ac:dyDescent="0.25">
      <c r="B141" s="506"/>
      <c r="C141" s="362"/>
      <c r="D141" s="252"/>
      <c r="E141" s="251"/>
      <c r="F141" s="245"/>
      <c r="G141" s="245"/>
      <c r="H141" s="245"/>
      <c r="I141" s="230"/>
    </row>
    <row r="142" spans="2:9" ht="15.75" customHeight="1" outlineLevel="2" x14ac:dyDescent="0.25">
      <c r="B142" s="506"/>
      <c r="C142" s="606"/>
      <c r="D142" s="607"/>
      <c r="E142" s="608"/>
      <c r="F142" s="609"/>
      <c r="G142" s="609"/>
      <c r="H142" s="609"/>
      <c r="I142" s="610"/>
    </row>
    <row r="143" spans="2:9" ht="15.75" customHeight="1" outlineLevel="2" x14ac:dyDescent="0.25">
      <c r="B143" s="506"/>
      <c r="C143" s="362"/>
      <c r="D143" s="252"/>
      <c r="E143" s="251"/>
      <c r="F143" s="245"/>
      <c r="G143" s="245"/>
      <c r="H143" s="245"/>
      <c r="I143" s="230"/>
    </row>
    <row r="144" spans="2:9" ht="15.75" customHeight="1" outlineLevel="2" x14ac:dyDescent="0.25">
      <c r="B144" s="506"/>
      <c r="C144" s="606"/>
      <c r="D144" s="607"/>
      <c r="E144" s="608"/>
      <c r="F144" s="609"/>
      <c r="G144" s="609"/>
      <c r="H144" s="609"/>
      <c r="I144" s="610"/>
    </row>
    <row r="145" spans="2:9" ht="15.75" customHeight="1" outlineLevel="2" x14ac:dyDescent="0.25">
      <c r="B145" s="506"/>
      <c r="C145" s="362"/>
      <c r="D145" s="252"/>
      <c r="E145" s="251"/>
      <c r="F145" s="245"/>
      <c r="G145" s="245"/>
      <c r="H145" s="245"/>
      <c r="I145" s="230"/>
    </row>
    <row r="146" spans="2:9" ht="15.75" customHeight="1" outlineLevel="2" x14ac:dyDescent="0.25">
      <c r="B146" s="506"/>
      <c r="C146" s="606"/>
      <c r="D146" s="607"/>
      <c r="E146" s="608"/>
      <c r="F146" s="609"/>
      <c r="G146" s="609"/>
      <c r="H146" s="609"/>
      <c r="I146" s="610"/>
    </row>
    <row r="147" spans="2:9" ht="15.75" customHeight="1" outlineLevel="2" x14ac:dyDescent="0.25">
      <c r="B147" s="506"/>
      <c r="C147" s="362"/>
      <c r="D147" s="252"/>
      <c r="E147" s="251"/>
      <c r="F147" s="245"/>
      <c r="G147" s="245"/>
      <c r="H147" s="245"/>
      <c r="I147" s="230"/>
    </row>
    <row r="148" spans="2:9" ht="15.75" customHeight="1" outlineLevel="2" x14ac:dyDescent="0.25">
      <c r="B148" s="506"/>
      <c r="C148" s="606"/>
      <c r="D148" s="607"/>
      <c r="E148" s="608"/>
      <c r="F148" s="609"/>
      <c r="G148" s="609"/>
      <c r="H148" s="609"/>
      <c r="I148" s="610"/>
    </row>
    <row r="149" spans="2:9" ht="15.75" customHeight="1" outlineLevel="2" x14ac:dyDescent="0.25">
      <c r="B149" s="506"/>
      <c r="C149" s="362"/>
      <c r="D149" s="252"/>
      <c r="E149" s="251"/>
      <c r="F149" s="245"/>
      <c r="G149" s="245"/>
      <c r="H149" s="245"/>
      <c r="I149" s="230"/>
    </row>
    <row r="150" spans="2:9" ht="15.75" customHeight="1" outlineLevel="2" x14ac:dyDescent="0.25">
      <c r="B150" s="506"/>
      <c r="C150" s="606"/>
      <c r="D150" s="607"/>
      <c r="E150" s="608"/>
      <c r="F150" s="609"/>
      <c r="G150" s="609"/>
      <c r="H150" s="609"/>
      <c r="I150" s="610"/>
    </row>
    <row r="151" spans="2:9" ht="15.75" customHeight="1" outlineLevel="2" x14ac:dyDescent="0.25">
      <c r="B151" s="506"/>
      <c r="C151" s="362"/>
      <c r="D151" s="252"/>
      <c r="E151" s="251"/>
      <c r="F151" s="245"/>
      <c r="G151" s="245"/>
      <c r="H151" s="245"/>
      <c r="I151" s="230"/>
    </row>
    <row r="152" spans="2:9" ht="15.75" customHeight="1" outlineLevel="2" x14ac:dyDescent="0.25">
      <c r="B152" s="506"/>
      <c r="C152" s="606"/>
      <c r="D152" s="607"/>
      <c r="E152" s="608"/>
      <c r="F152" s="609"/>
      <c r="G152" s="609"/>
      <c r="H152" s="609"/>
      <c r="I152" s="610"/>
    </row>
    <row r="153" spans="2:9" ht="15.75" customHeight="1" outlineLevel="2" x14ac:dyDescent="0.25">
      <c r="B153" s="506"/>
      <c r="C153" s="362"/>
      <c r="D153" s="252"/>
      <c r="E153" s="251"/>
      <c r="F153" s="245"/>
      <c r="G153" s="245"/>
      <c r="H153" s="245"/>
      <c r="I153" s="230"/>
    </row>
    <row r="154" spans="2:9" ht="15.75" customHeight="1" outlineLevel="2" x14ac:dyDescent="0.25">
      <c r="B154" s="506"/>
      <c r="C154" s="606"/>
      <c r="D154" s="607"/>
      <c r="E154" s="608"/>
      <c r="F154" s="609"/>
      <c r="G154" s="609"/>
      <c r="H154" s="609"/>
      <c r="I154" s="610"/>
    </row>
    <row r="155" spans="2:9" ht="15.75" customHeight="1" outlineLevel="2" x14ac:dyDescent="0.25">
      <c r="B155" s="506"/>
      <c r="C155" s="362"/>
      <c r="D155" s="252"/>
      <c r="E155" s="251"/>
      <c r="F155" s="245"/>
      <c r="G155" s="245"/>
      <c r="H155" s="245"/>
      <c r="I155" s="230"/>
    </row>
    <row r="156" spans="2:9" ht="15.75" customHeight="1" outlineLevel="2" x14ac:dyDescent="0.25">
      <c r="B156" s="506"/>
      <c r="C156" s="606"/>
      <c r="D156" s="607"/>
      <c r="E156" s="608"/>
      <c r="F156" s="609"/>
      <c r="G156" s="609"/>
      <c r="H156" s="609"/>
      <c r="I156" s="610"/>
    </row>
    <row r="157" spans="2:9" ht="15.75" customHeight="1" outlineLevel="2" x14ac:dyDescent="0.25">
      <c r="B157" s="506"/>
      <c r="C157" s="362"/>
      <c r="D157" s="252"/>
      <c r="E157" s="251"/>
      <c r="F157" s="245"/>
      <c r="G157" s="245"/>
      <c r="H157" s="245"/>
      <c r="I157" s="230"/>
    </row>
    <row r="158" spans="2:9" ht="15.75" customHeight="1" outlineLevel="2" x14ac:dyDescent="0.25">
      <c r="B158" s="506"/>
      <c r="C158" s="606"/>
      <c r="D158" s="607"/>
      <c r="E158" s="608"/>
      <c r="F158" s="609"/>
      <c r="G158" s="609"/>
      <c r="H158" s="609"/>
      <c r="I158" s="610"/>
    </row>
    <row r="159" spans="2:9" ht="15.75" customHeight="1" outlineLevel="2" x14ac:dyDescent="0.25">
      <c r="B159" s="506"/>
      <c r="C159" s="362"/>
      <c r="D159" s="252"/>
      <c r="E159" s="251"/>
      <c r="F159" s="245"/>
      <c r="G159" s="245"/>
      <c r="H159" s="245"/>
      <c r="I159" s="230"/>
    </row>
    <row r="160" spans="2:9" ht="15.75" customHeight="1" outlineLevel="2" x14ac:dyDescent="0.25">
      <c r="B160" s="506"/>
      <c r="C160" s="606"/>
      <c r="D160" s="607"/>
      <c r="E160" s="608"/>
      <c r="F160" s="609"/>
      <c r="G160" s="609"/>
      <c r="H160" s="609"/>
      <c r="I160" s="610"/>
    </row>
    <row r="161" spans="2:9" ht="15.75" customHeight="1" outlineLevel="2" x14ac:dyDescent="0.25">
      <c r="B161" s="506"/>
      <c r="C161" s="362"/>
      <c r="D161" s="252"/>
      <c r="E161" s="251"/>
      <c r="F161" s="245"/>
      <c r="G161" s="245"/>
      <c r="H161" s="245"/>
      <c r="I161" s="230"/>
    </row>
    <row r="162" spans="2:9" ht="15.75" customHeight="1" outlineLevel="2" x14ac:dyDescent="0.25">
      <c r="B162" s="506"/>
      <c r="C162" s="606"/>
      <c r="D162" s="607"/>
      <c r="E162" s="608"/>
      <c r="F162" s="609"/>
      <c r="G162" s="609"/>
      <c r="H162" s="609"/>
      <c r="I162" s="610"/>
    </row>
    <row r="163" spans="2:9" ht="15.75" customHeight="1" outlineLevel="2" x14ac:dyDescent="0.25">
      <c r="B163" s="506"/>
      <c r="C163" s="362"/>
      <c r="D163" s="252"/>
      <c r="E163" s="251"/>
      <c r="F163" s="245"/>
      <c r="G163" s="245"/>
      <c r="H163" s="245"/>
      <c r="I163" s="230"/>
    </row>
    <row r="164" spans="2:9" ht="15.75" customHeight="1" outlineLevel="2" x14ac:dyDescent="0.25">
      <c r="B164" s="506"/>
      <c r="C164" s="606"/>
      <c r="D164" s="607"/>
      <c r="E164" s="608"/>
      <c r="F164" s="609"/>
      <c r="G164" s="609"/>
      <c r="H164" s="609"/>
      <c r="I164" s="610"/>
    </row>
    <row r="165" spans="2:9" ht="15.75" customHeight="1" outlineLevel="2" x14ac:dyDescent="0.25">
      <c r="B165" s="506"/>
      <c r="C165" s="362"/>
      <c r="D165" s="252"/>
      <c r="E165" s="251"/>
      <c r="F165" s="245"/>
      <c r="G165" s="245"/>
      <c r="H165" s="245"/>
      <c r="I165" s="230"/>
    </row>
    <row r="166" spans="2:9" ht="15.75" customHeight="1" outlineLevel="2" x14ac:dyDescent="0.25">
      <c r="B166" s="506"/>
      <c r="C166" s="606"/>
      <c r="D166" s="607"/>
      <c r="E166" s="608"/>
      <c r="F166" s="609"/>
      <c r="G166" s="609"/>
      <c r="H166" s="609"/>
      <c r="I166" s="610"/>
    </row>
    <row r="167" spans="2:9" ht="15.75" customHeight="1" outlineLevel="2" x14ac:dyDescent="0.25">
      <c r="B167" s="506"/>
      <c r="C167" s="362"/>
      <c r="D167" s="252"/>
      <c r="E167" s="251"/>
      <c r="F167" s="245"/>
      <c r="G167" s="245"/>
      <c r="H167" s="245"/>
      <c r="I167" s="230"/>
    </row>
    <row r="168" spans="2:9" ht="15.75" customHeight="1" outlineLevel="2" x14ac:dyDescent="0.25">
      <c r="B168" s="506"/>
      <c r="C168" s="606"/>
      <c r="D168" s="607"/>
      <c r="E168" s="608"/>
      <c r="F168" s="609"/>
      <c r="G168" s="609"/>
      <c r="H168" s="609"/>
      <c r="I168" s="610"/>
    </row>
    <row r="169" spans="2:9" ht="15.75" customHeight="1" outlineLevel="2" x14ac:dyDescent="0.25">
      <c r="B169" s="506"/>
      <c r="C169" s="362"/>
      <c r="D169" s="252"/>
      <c r="E169" s="251"/>
      <c r="F169" s="245"/>
      <c r="G169" s="245"/>
      <c r="H169" s="245"/>
      <c r="I169" s="230"/>
    </row>
    <row r="170" spans="2:9" ht="15.75" customHeight="1" outlineLevel="2" x14ac:dyDescent="0.25">
      <c r="B170" s="506"/>
      <c r="C170" s="606"/>
      <c r="D170" s="607"/>
      <c r="E170" s="608"/>
      <c r="F170" s="609"/>
      <c r="G170" s="609"/>
      <c r="H170" s="609"/>
      <c r="I170" s="610"/>
    </row>
    <row r="171" spans="2:9" ht="15.75" customHeight="1" outlineLevel="2" x14ac:dyDescent="0.25">
      <c r="B171" s="506"/>
      <c r="C171" s="362"/>
      <c r="D171" s="252"/>
      <c r="E171" s="251"/>
      <c r="F171" s="245"/>
      <c r="G171" s="245"/>
      <c r="H171" s="245"/>
      <c r="I171" s="230"/>
    </row>
    <row r="172" spans="2:9" ht="15.75" customHeight="1" outlineLevel="2" x14ac:dyDescent="0.25">
      <c r="B172" s="506"/>
      <c r="C172" s="606"/>
      <c r="D172" s="607"/>
      <c r="E172" s="608"/>
      <c r="F172" s="609"/>
      <c r="G172" s="609"/>
      <c r="H172" s="609"/>
      <c r="I172" s="610"/>
    </row>
    <row r="173" spans="2:9" ht="15.75" customHeight="1" outlineLevel="2" x14ac:dyDescent="0.25">
      <c r="B173" s="612" t="s">
        <v>151</v>
      </c>
      <c r="C173" s="363">
        <v>-5189</v>
      </c>
      <c r="D173" s="254"/>
      <c r="E173" s="253"/>
      <c r="F173" s="247"/>
      <c r="G173" s="247"/>
      <c r="H173" s="247"/>
      <c r="I173" s="465"/>
    </row>
    <row r="174" spans="2:9" ht="15.75" customHeight="1" outlineLevel="2" x14ac:dyDescent="0.25">
      <c r="B174" s="513" t="s">
        <v>112</v>
      </c>
      <c r="C174" s="514">
        <f t="shared" ref="C174:I174" si="1">SUM(C123:C173)</f>
        <v>-5189</v>
      </c>
      <c r="D174" s="514">
        <f t="shared" si="1"/>
        <v>0</v>
      </c>
      <c r="E174" s="514">
        <f t="shared" si="1"/>
        <v>0</v>
      </c>
      <c r="F174" s="514">
        <f t="shared" si="1"/>
        <v>0</v>
      </c>
      <c r="G174" s="514">
        <f t="shared" si="1"/>
        <v>0</v>
      </c>
      <c r="H174" s="514">
        <f t="shared" si="1"/>
        <v>0</v>
      </c>
      <c r="I174" s="515">
        <f t="shared" si="1"/>
        <v>0</v>
      </c>
    </row>
    <row r="175" spans="2:9" ht="15.75" customHeight="1" outlineLevel="1" x14ac:dyDescent="0.25"/>
    <row r="176" spans="2:9" ht="21.75" customHeight="1" outlineLevel="1" x14ac:dyDescent="0.25">
      <c r="B176" s="235" t="s">
        <v>138</v>
      </c>
      <c r="C176" s="236"/>
      <c r="D176" s="236"/>
      <c r="E176" s="236"/>
      <c r="F176" s="236"/>
      <c r="G176" s="236"/>
      <c r="H176" s="236"/>
      <c r="I176" s="236"/>
    </row>
    <row r="177" spans="1:9" s="41" customFormat="1" ht="15" customHeight="1" outlineLevel="2" x14ac:dyDescent="0.2">
      <c r="A177" s="276"/>
      <c r="C177" s="1331" t="s">
        <v>24</v>
      </c>
      <c r="D177" s="1331"/>
      <c r="E177" s="1331"/>
      <c r="F177" s="1331"/>
      <c r="G177" s="1331"/>
      <c r="H177" s="1331"/>
      <c r="I177" s="1331"/>
    </row>
    <row r="178" spans="1:9" s="41" customFormat="1" ht="15" customHeight="1" outlineLevel="2" x14ac:dyDescent="0.2">
      <c r="A178" s="276"/>
      <c r="C178" s="1331" t="str">
        <f ca="1">CONCATENATE("$, real ",dms_DollarReal)</f>
        <v>$, real June 2026</v>
      </c>
      <c r="D178" s="1331"/>
      <c r="E178" s="1331"/>
      <c r="F178" s="1331"/>
      <c r="G178" s="1331"/>
      <c r="H178" s="1331"/>
      <c r="I178" s="1331"/>
    </row>
    <row r="179" spans="1:9" s="41" customFormat="1" ht="15.75" customHeight="1" outlineLevel="2" x14ac:dyDescent="0.25">
      <c r="A179" s="276"/>
      <c r="B179" s="77"/>
      <c r="C179" s="298" t="str">
        <f ca="1">dms_y1</f>
        <v>2024-25</v>
      </c>
      <c r="D179" s="298" t="str">
        <f ca="1">dms_y2</f>
        <v>2025-26</v>
      </c>
      <c r="E179" s="298" t="str">
        <f ca="1">dms_y3</f>
        <v>2026-27</v>
      </c>
      <c r="F179" s="298" t="str">
        <f ca="1">dms_y4</f>
        <v>2027-28</v>
      </c>
      <c r="G179" s="298" t="str">
        <f ca="1">dms_y5</f>
        <v>2028-29</v>
      </c>
      <c r="H179" s="298" t="str">
        <f ca="1">dms_y6</f>
        <v>2029-30</v>
      </c>
      <c r="I179" s="298" t="str">
        <f ca="1">dms_y7</f>
        <v>2030-31</v>
      </c>
    </row>
    <row r="180" spans="1:9" ht="15.75" customHeight="1" outlineLevel="2" x14ac:dyDescent="0.25">
      <c r="B180" s="506" t="s">
        <v>163</v>
      </c>
      <c r="C180" s="348">
        <v>0</v>
      </c>
      <c r="D180" s="250">
        <v>0</v>
      </c>
      <c r="E180" s="249">
        <v>0</v>
      </c>
      <c r="F180" s="242">
        <v>0</v>
      </c>
      <c r="G180" s="242">
        <v>0</v>
      </c>
      <c r="H180" s="242">
        <v>0</v>
      </c>
      <c r="I180" s="243">
        <v>0</v>
      </c>
    </row>
    <row r="181" spans="1:9" ht="15.75" customHeight="1" outlineLevel="2" x14ac:dyDescent="0.25">
      <c r="B181" s="506"/>
      <c r="C181" s="606"/>
      <c r="D181" s="607"/>
      <c r="E181" s="608"/>
      <c r="F181" s="609"/>
      <c r="G181" s="609"/>
      <c r="H181" s="609"/>
      <c r="I181" s="610"/>
    </row>
    <row r="182" spans="1:9" ht="15.75" customHeight="1" outlineLevel="2" x14ac:dyDescent="0.25">
      <c r="B182" s="506"/>
      <c r="C182" s="362"/>
      <c r="D182" s="252"/>
      <c r="E182" s="251"/>
      <c r="F182" s="245"/>
      <c r="G182" s="245"/>
      <c r="H182" s="245"/>
      <c r="I182" s="230"/>
    </row>
    <row r="183" spans="1:9" ht="15.75" customHeight="1" outlineLevel="2" x14ac:dyDescent="0.25">
      <c r="B183" s="506"/>
      <c r="C183" s="606"/>
      <c r="D183" s="607"/>
      <c r="E183" s="608"/>
      <c r="F183" s="609"/>
      <c r="G183" s="609"/>
      <c r="H183" s="609"/>
      <c r="I183" s="610"/>
    </row>
    <row r="184" spans="1:9" ht="15.75" customHeight="1" outlineLevel="2" x14ac:dyDescent="0.25">
      <c r="B184" s="506"/>
      <c r="C184" s="362"/>
      <c r="D184" s="252"/>
      <c r="E184" s="251"/>
      <c r="F184" s="245"/>
      <c r="G184" s="245"/>
      <c r="H184" s="245"/>
      <c r="I184" s="230"/>
    </row>
    <row r="185" spans="1:9" ht="15.75" customHeight="1" outlineLevel="2" x14ac:dyDescent="0.25">
      <c r="B185" s="506"/>
      <c r="C185" s="606"/>
      <c r="D185" s="607"/>
      <c r="E185" s="608"/>
      <c r="F185" s="609"/>
      <c r="G185" s="609"/>
      <c r="H185" s="609"/>
      <c r="I185" s="610"/>
    </row>
    <row r="186" spans="1:9" ht="15.75" customHeight="1" outlineLevel="2" x14ac:dyDescent="0.25">
      <c r="B186" s="506"/>
      <c r="C186" s="362"/>
      <c r="D186" s="252"/>
      <c r="E186" s="251"/>
      <c r="F186" s="245"/>
      <c r="G186" s="245"/>
      <c r="H186" s="245"/>
      <c r="I186" s="230"/>
    </row>
    <row r="187" spans="1:9" ht="15.75" customHeight="1" outlineLevel="2" x14ac:dyDescent="0.25">
      <c r="B187" s="506"/>
      <c r="C187" s="606"/>
      <c r="D187" s="607"/>
      <c r="E187" s="608"/>
      <c r="F187" s="609"/>
      <c r="G187" s="609"/>
      <c r="H187" s="609"/>
      <c r="I187" s="610"/>
    </row>
    <row r="188" spans="1:9" ht="15.75" customHeight="1" outlineLevel="2" x14ac:dyDescent="0.25">
      <c r="B188" s="506"/>
      <c r="C188" s="362"/>
      <c r="D188" s="252"/>
      <c r="E188" s="251"/>
      <c r="F188" s="245"/>
      <c r="G188" s="245"/>
      <c r="H188" s="245"/>
      <c r="I188" s="230"/>
    </row>
    <row r="189" spans="1:9" ht="15.75" customHeight="1" outlineLevel="2" x14ac:dyDescent="0.25">
      <c r="B189" s="506"/>
      <c r="C189" s="606"/>
      <c r="D189" s="607"/>
      <c r="E189" s="608"/>
      <c r="F189" s="609"/>
      <c r="G189" s="609"/>
      <c r="H189" s="609"/>
      <c r="I189" s="610"/>
    </row>
    <row r="190" spans="1:9" ht="15.75" customHeight="1" outlineLevel="2" x14ac:dyDescent="0.25">
      <c r="B190" s="506"/>
      <c r="C190" s="362"/>
      <c r="D190" s="252"/>
      <c r="E190" s="251"/>
      <c r="F190" s="245"/>
      <c r="G190" s="245"/>
      <c r="H190" s="245"/>
      <c r="I190" s="230"/>
    </row>
    <row r="191" spans="1:9" ht="15.75" customHeight="1" outlineLevel="2" x14ac:dyDescent="0.25">
      <c r="B191" s="506"/>
      <c r="C191" s="606"/>
      <c r="D191" s="607"/>
      <c r="E191" s="608"/>
      <c r="F191" s="609"/>
      <c r="G191" s="609"/>
      <c r="H191" s="609"/>
      <c r="I191" s="610"/>
    </row>
    <row r="192" spans="1:9" ht="15.75" customHeight="1" outlineLevel="2" x14ac:dyDescent="0.25">
      <c r="B192" s="506"/>
      <c r="C192" s="362"/>
      <c r="D192" s="252"/>
      <c r="E192" s="251"/>
      <c r="F192" s="245"/>
      <c r="G192" s="245"/>
      <c r="H192" s="245"/>
      <c r="I192" s="230"/>
    </row>
    <row r="193" spans="2:9" ht="15.75" customHeight="1" outlineLevel="2" x14ac:dyDescent="0.25">
      <c r="B193" s="506"/>
      <c r="C193" s="606"/>
      <c r="D193" s="607"/>
      <c r="E193" s="608"/>
      <c r="F193" s="609"/>
      <c r="G193" s="609"/>
      <c r="H193" s="609"/>
      <c r="I193" s="610"/>
    </row>
    <row r="194" spans="2:9" ht="15.75" customHeight="1" outlineLevel="2" x14ac:dyDescent="0.25">
      <c r="B194" s="506"/>
      <c r="C194" s="362"/>
      <c r="D194" s="252"/>
      <c r="E194" s="251"/>
      <c r="F194" s="245"/>
      <c r="G194" s="245"/>
      <c r="H194" s="245"/>
      <c r="I194" s="230"/>
    </row>
    <row r="195" spans="2:9" ht="15.75" customHeight="1" outlineLevel="2" x14ac:dyDescent="0.25">
      <c r="B195" s="506"/>
      <c r="C195" s="606"/>
      <c r="D195" s="607"/>
      <c r="E195" s="608"/>
      <c r="F195" s="609"/>
      <c r="G195" s="609"/>
      <c r="H195" s="609"/>
      <c r="I195" s="610"/>
    </row>
    <row r="196" spans="2:9" ht="15.75" customHeight="1" outlineLevel="2" x14ac:dyDescent="0.25">
      <c r="B196" s="506"/>
      <c r="C196" s="362"/>
      <c r="D196" s="252"/>
      <c r="E196" s="251"/>
      <c r="F196" s="245"/>
      <c r="G196" s="245"/>
      <c r="H196" s="245"/>
      <c r="I196" s="230"/>
    </row>
    <row r="197" spans="2:9" ht="15.75" customHeight="1" outlineLevel="2" x14ac:dyDescent="0.25">
      <c r="B197" s="506"/>
      <c r="C197" s="606"/>
      <c r="D197" s="607"/>
      <c r="E197" s="608"/>
      <c r="F197" s="609"/>
      <c r="G197" s="609"/>
      <c r="H197" s="609"/>
      <c r="I197" s="610"/>
    </row>
    <row r="198" spans="2:9" ht="15.75" customHeight="1" outlineLevel="2" x14ac:dyDescent="0.25">
      <c r="B198" s="506"/>
      <c r="C198" s="362"/>
      <c r="D198" s="252"/>
      <c r="E198" s="251"/>
      <c r="F198" s="245"/>
      <c r="G198" s="245"/>
      <c r="H198" s="245"/>
      <c r="I198" s="230"/>
    </row>
    <row r="199" spans="2:9" ht="15.75" customHeight="1" outlineLevel="2" x14ac:dyDescent="0.25">
      <c r="B199" s="506"/>
      <c r="C199" s="606"/>
      <c r="D199" s="607"/>
      <c r="E199" s="608"/>
      <c r="F199" s="609"/>
      <c r="G199" s="609"/>
      <c r="H199" s="609"/>
      <c r="I199" s="610"/>
    </row>
    <row r="200" spans="2:9" ht="15.75" customHeight="1" outlineLevel="2" x14ac:dyDescent="0.25">
      <c r="B200" s="506"/>
      <c r="C200" s="362"/>
      <c r="D200" s="252"/>
      <c r="E200" s="251"/>
      <c r="F200" s="245"/>
      <c r="G200" s="245"/>
      <c r="H200" s="245"/>
      <c r="I200" s="230"/>
    </row>
    <row r="201" spans="2:9" ht="15.75" customHeight="1" outlineLevel="2" x14ac:dyDescent="0.25">
      <c r="B201" s="506"/>
      <c r="C201" s="606"/>
      <c r="D201" s="607"/>
      <c r="E201" s="608"/>
      <c r="F201" s="609"/>
      <c r="G201" s="609"/>
      <c r="H201" s="609"/>
      <c r="I201" s="610"/>
    </row>
    <row r="202" spans="2:9" ht="15.75" customHeight="1" outlineLevel="2" x14ac:dyDescent="0.25">
      <c r="B202" s="506"/>
      <c r="C202" s="362"/>
      <c r="D202" s="252"/>
      <c r="E202" s="251"/>
      <c r="F202" s="245"/>
      <c r="G202" s="245"/>
      <c r="H202" s="245"/>
      <c r="I202" s="230"/>
    </row>
    <row r="203" spans="2:9" ht="15.75" customHeight="1" outlineLevel="2" x14ac:dyDescent="0.25">
      <c r="B203" s="506"/>
      <c r="C203" s="606"/>
      <c r="D203" s="607"/>
      <c r="E203" s="608"/>
      <c r="F203" s="609"/>
      <c r="G203" s="609"/>
      <c r="H203" s="609"/>
      <c r="I203" s="610"/>
    </row>
    <row r="204" spans="2:9" ht="15.75" customHeight="1" outlineLevel="2" x14ac:dyDescent="0.25">
      <c r="B204" s="506"/>
      <c r="C204" s="362"/>
      <c r="D204" s="252"/>
      <c r="E204" s="251"/>
      <c r="F204" s="245"/>
      <c r="G204" s="245"/>
      <c r="H204" s="245"/>
      <c r="I204" s="230"/>
    </row>
    <row r="205" spans="2:9" ht="15.75" customHeight="1" outlineLevel="2" x14ac:dyDescent="0.25">
      <c r="B205" s="506"/>
      <c r="C205" s="606"/>
      <c r="D205" s="607"/>
      <c r="E205" s="608"/>
      <c r="F205" s="609"/>
      <c r="G205" s="609"/>
      <c r="H205" s="609"/>
      <c r="I205" s="610"/>
    </row>
    <row r="206" spans="2:9" ht="15.75" customHeight="1" outlineLevel="2" x14ac:dyDescent="0.25">
      <c r="B206" s="506"/>
      <c r="C206" s="362"/>
      <c r="D206" s="252"/>
      <c r="E206" s="251"/>
      <c r="F206" s="245"/>
      <c r="G206" s="245"/>
      <c r="H206" s="245"/>
      <c r="I206" s="230"/>
    </row>
    <row r="207" spans="2:9" ht="15.75" customHeight="1" outlineLevel="2" x14ac:dyDescent="0.25">
      <c r="B207" s="506"/>
      <c r="C207" s="606"/>
      <c r="D207" s="607"/>
      <c r="E207" s="608"/>
      <c r="F207" s="609"/>
      <c r="G207" s="609"/>
      <c r="H207" s="609"/>
      <c r="I207" s="610"/>
    </row>
    <row r="208" spans="2:9" ht="15.75" customHeight="1" outlineLevel="2" x14ac:dyDescent="0.25">
      <c r="B208" s="506"/>
      <c r="C208" s="362"/>
      <c r="D208" s="252"/>
      <c r="E208" s="251"/>
      <c r="F208" s="245"/>
      <c r="G208" s="245"/>
      <c r="H208" s="245"/>
      <c r="I208" s="230"/>
    </row>
    <row r="209" spans="2:9" ht="15.75" customHeight="1" outlineLevel="2" x14ac:dyDescent="0.25">
      <c r="B209" s="506"/>
      <c r="C209" s="606"/>
      <c r="D209" s="607"/>
      <c r="E209" s="608"/>
      <c r="F209" s="609"/>
      <c r="G209" s="609"/>
      <c r="H209" s="609"/>
      <c r="I209" s="610"/>
    </row>
    <row r="210" spans="2:9" ht="15.75" customHeight="1" outlineLevel="2" x14ac:dyDescent="0.25">
      <c r="B210" s="506"/>
      <c r="C210" s="362"/>
      <c r="D210" s="252"/>
      <c r="E210" s="251"/>
      <c r="F210" s="245"/>
      <c r="G210" s="245"/>
      <c r="H210" s="245"/>
      <c r="I210" s="230"/>
    </row>
    <row r="211" spans="2:9" ht="15.75" customHeight="1" outlineLevel="2" x14ac:dyDescent="0.25">
      <c r="B211" s="506"/>
      <c r="C211" s="606"/>
      <c r="D211" s="607"/>
      <c r="E211" s="608"/>
      <c r="F211" s="609"/>
      <c r="G211" s="609"/>
      <c r="H211" s="609"/>
      <c r="I211" s="610"/>
    </row>
    <row r="212" spans="2:9" ht="15.75" customHeight="1" outlineLevel="2" x14ac:dyDescent="0.25">
      <c r="B212" s="506"/>
      <c r="C212" s="362"/>
      <c r="D212" s="252"/>
      <c r="E212" s="251"/>
      <c r="F212" s="245"/>
      <c r="G212" s="245"/>
      <c r="H212" s="245"/>
      <c r="I212" s="230"/>
    </row>
    <row r="213" spans="2:9" ht="15.75" customHeight="1" outlineLevel="2" x14ac:dyDescent="0.25">
      <c r="B213" s="506"/>
      <c r="C213" s="606"/>
      <c r="D213" s="607"/>
      <c r="E213" s="608"/>
      <c r="F213" s="609"/>
      <c r="G213" s="609"/>
      <c r="H213" s="609"/>
      <c r="I213" s="610"/>
    </row>
    <row r="214" spans="2:9" ht="15.75" customHeight="1" outlineLevel="2" x14ac:dyDescent="0.25">
      <c r="B214" s="506"/>
      <c r="C214" s="362"/>
      <c r="D214" s="252"/>
      <c r="E214" s="251"/>
      <c r="F214" s="245"/>
      <c r="G214" s="245"/>
      <c r="H214" s="245"/>
      <c r="I214" s="230"/>
    </row>
    <row r="215" spans="2:9" ht="15.75" customHeight="1" outlineLevel="2" x14ac:dyDescent="0.25">
      <c r="B215" s="506"/>
      <c r="C215" s="606"/>
      <c r="D215" s="607"/>
      <c r="E215" s="608"/>
      <c r="F215" s="609"/>
      <c r="G215" s="609"/>
      <c r="H215" s="609"/>
      <c r="I215" s="610"/>
    </row>
    <row r="216" spans="2:9" ht="15.75" customHeight="1" outlineLevel="2" x14ac:dyDescent="0.25">
      <c r="B216" s="506"/>
      <c r="C216" s="362"/>
      <c r="D216" s="252"/>
      <c r="E216" s="251"/>
      <c r="F216" s="245"/>
      <c r="G216" s="245"/>
      <c r="H216" s="245"/>
      <c r="I216" s="230"/>
    </row>
    <row r="217" spans="2:9" ht="15.75" customHeight="1" outlineLevel="2" x14ac:dyDescent="0.25">
      <c r="B217" s="506"/>
      <c r="C217" s="606"/>
      <c r="D217" s="607"/>
      <c r="E217" s="608"/>
      <c r="F217" s="609"/>
      <c r="G217" s="609"/>
      <c r="H217" s="609"/>
      <c r="I217" s="610"/>
    </row>
    <row r="218" spans="2:9" ht="15.75" customHeight="1" outlineLevel="2" x14ac:dyDescent="0.25">
      <c r="B218" s="506"/>
      <c r="C218" s="362"/>
      <c r="D218" s="252"/>
      <c r="E218" s="251"/>
      <c r="F218" s="245"/>
      <c r="G218" s="245"/>
      <c r="H218" s="245"/>
      <c r="I218" s="230"/>
    </row>
    <row r="219" spans="2:9" ht="15.75" customHeight="1" outlineLevel="2" x14ac:dyDescent="0.25">
      <c r="B219" s="506"/>
      <c r="C219" s="606"/>
      <c r="D219" s="607"/>
      <c r="E219" s="608"/>
      <c r="F219" s="609"/>
      <c r="G219" s="609"/>
      <c r="H219" s="609"/>
      <c r="I219" s="610"/>
    </row>
    <row r="220" spans="2:9" ht="15.75" customHeight="1" outlineLevel="2" x14ac:dyDescent="0.25">
      <c r="B220" s="506"/>
      <c r="C220" s="362"/>
      <c r="D220" s="252"/>
      <c r="E220" s="251"/>
      <c r="F220" s="245"/>
      <c r="G220" s="245"/>
      <c r="H220" s="245"/>
      <c r="I220" s="230"/>
    </row>
    <row r="221" spans="2:9" ht="15.75" customHeight="1" outlineLevel="2" x14ac:dyDescent="0.25">
      <c r="B221" s="506"/>
      <c r="C221" s="606"/>
      <c r="D221" s="607"/>
      <c r="E221" s="608"/>
      <c r="F221" s="609"/>
      <c r="G221" s="609"/>
      <c r="H221" s="609"/>
      <c r="I221" s="610"/>
    </row>
    <row r="222" spans="2:9" ht="15.75" customHeight="1" outlineLevel="2" x14ac:dyDescent="0.25">
      <c r="B222" s="506"/>
      <c r="C222" s="362"/>
      <c r="D222" s="252"/>
      <c r="E222" s="251"/>
      <c r="F222" s="245"/>
      <c r="G222" s="245"/>
      <c r="H222" s="245"/>
      <c r="I222" s="230"/>
    </row>
    <row r="223" spans="2:9" ht="15.75" customHeight="1" outlineLevel="2" x14ac:dyDescent="0.25">
      <c r="B223" s="506"/>
      <c r="C223" s="606"/>
      <c r="D223" s="607"/>
      <c r="E223" s="608"/>
      <c r="F223" s="609"/>
      <c r="G223" s="609"/>
      <c r="H223" s="609"/>
      <c r="I223" s="610"/>
    </row>
    <row r="224" spans="2:9" ht="15.75" customHeight="1" outlineLevel="2" x14ac:dyDescent="0.25">
      <c r="B224" s="506"/>
      <c r="C224" s="362"/>
      <c r="D224" s="252"/>
      <c r="E224" s="251"/>
      <c r="F224" s="245"/>
      <c r="G224" s="245"/>
      <c r="H224" s="245"/>
      <c r="I224" s="230"/>
    </row>
    <row r="225" spans="1:9" ht="15.75" customHeight="1" outlineLevel="2" x14ac:dyDescent="0.25">
      <c r="B225" s="506"/>
      <c r="C225" s="606"/>
      <c r="D225" s="607"/>
      <c r="E225" s="608"/>
      <c r="F225" s="609"/>
      <c r="G225" s="609"/>
      <c r="H225" s="609"/>
      <c r="I225" s="610"/>
    </row>
    <row r="226" spans="1:9" ht="15.75" customHeight="1" outlineLevel="2" x14ac:dyDescent="0.25">
      <c r="B226" s="506"/>
      <c r="C226" s="362"/>
      <c r="D226" s="252"/>
      <c r="E226" s="251"/>
      <c r="F226" s="245"/>
      <c r="G226" s="245"/>
      <c r="H226" s="245"/>
      <c r="I226" s="230"/>
    </row>
    <row r="227" spans="1:9" ht="15.75" customHeight="1" outlineLevel="2" x14ac:dyDescent="0.25">
      <c r="B227" s="506"/>
      <c r="C227" s="606"/>
      <c r="D227" s="607"/>
      <c r="E227" s="608"/>
      <c r="F227" s="609"/>
      <c r="G227" s="609"/>
      <c r="H227" s="609"/>
      <c r="I227" s="610"/>
    </row>
    <row r="228" spans="1:9" ht="15.75" customHeight="1" outlineLevel="2" x14ac:dyDescent="0.25">
      <c r="B228" s="506"/>
      <c r="C228" s="362"/>
      <c r="D228" s="252"/>
      <c r="E228" s="251"/>
      <c r="F228" s="245"/>
      <c r="G228" s="245"/>
      <c r="H228" s="245"/>
      <c r="I228" s="230"/>
    </row>
    <row r="229" spans="1:9" ht="15.75" customHeight="1" outlineLevel="2" x14ac:dyDescent="0.25">
      <c r="B229" s="506"/>
      <c r="C229" s="606"/>
      <c r="D229" s="607"/>
      <c r="E229" s="608"/>
      <c r="F229" s="609"/>
      <c r="G229" s="609"/>
      <c r="H229" s="609"/>
      <c r="I229" s="610"/>
    </row>
    <row r="230" spans="1:9" ht="15.75" customHeight="1" outlineLevel="2" x14ac:dyDescent="0.25">
      <c r="B230" s="612" t="s">
        <v>151</v>
      </c>
      <c r="C230" s="363"/>
      <c r="D230" s="254"/>
      <c r="E230" s="253"/>
      <c r="F230" s="247"/>
      <c r="G230" s="247"/>
      <c r="H230" s="247"/>
      <c r="I230" s="465"/>
    </row>
    <row r="231" spans="1:9" ht="15.75" customHeight="1" outlineLevel="2" x14ac:dyDescent="0.25">
      <c r="B231" s="513" t="s">
        <v>112</v>
      </c>
      <c r="C231" s="514">
        <f t="shared" ref="C231:I231" si="2">SUM(C180:C230)</f>
        <v>0</v>
      </c>
      <c r="D231" s="514">
        <f t="shared" si="2"/>
        <v>0</v>
      </c>
      <c r="E231" s="514">
        <f t="shared" si="2"/>
        <v>0</v>
      </c>
      <c r="F231" s="514">
        <f t="shared" si="2"/>
        <v>0</v>
      </c>
      <c r="G231" s="514">
        <f t="shared" si="2"/>
        <v>0</v>
      </c>
      <c r="H231" s="514">
        <f t="shared" si="2"/>
        <v>0</v>
      </c>
      <c r="I231" s="515">
        <f t="shared" si="2"/>
        <v>0</v>
      </c>
    </row>
    <row r="232" spans="1:9" ht="15.75" customHeight="1" outlineLevel="1" x14ac:dyDescent="0.25">
      <c r="B232" s="74"/>
    </row>
    <row r="233" spans="1:9" ht="21.75" customHeight="1" outlineLevel="1" x14ac:dyDescent="0.25">
      <c r="B233" s="235" t="s">
        <v>139</v>
      </c>
      <c r="C233" s="236"/>
      <c r="D233" s="236"/>
      <c r="E233" s="236"/>
      <c r="F233" s="236"/>
      <c r="G233" s="236"/>
      <c r="H233" s="236"/>
      <c r="I233" s="236"/>
    </row>
    <row r="234" spans="1:9" s="41" customFormat="1" ht="15" customHeight="1" outlineLevel="2" x14ac:dyDescent="0.2">
      <c r="A234" s="276"/>
      <c r="C234" s="1331" t="s">
        <v>24</v>
      </c>
      <c r="D234" s="1331"/>
      <c r="E234" s="1331"/>
      <c r="F234" s="1331"/>
      <c r="G234" s="1331"/>
      <c r="H234" s="1331"/>
      <c r="I234" s="1331"/>
    </row>
    <row r="235" spans="1:9" s="41" customFormat="1" ht="15" customHeight="1" outlineLevel="2" x14ac:dyDescent="0.2">
      <c r="A235" s="276"/>
      <c r="C235" s="1331" t="str">
        <f ca="1">CONCATENATE("$, real ",dms_DollarReal)</f>
        <v>$, real June 2026</v>
      </c>
      <c r="D235" s="1331"/>
      <c r="E235" s="1331"/>
      <c r="F235" s="1331"/>
      <c r="G235" s="1331"/>
      <c r="H235" s="1331"/>
      <c r="I235" s="1331"/>
    </row>
    <row r="236" spans="1:9" s="41" customFormat="1" ht="15.75" customHeight="1" outlineLevel="2" x14ac:dyDescent="0.25">
      <c r="A236" s="276"/>
      <c r="B236" s="77"/>
      <c r="C236" s="298" t="str">
        <f ca="1">dms_y1</f>
        <v>2024-25</v>
      </c>
      <c r="D236" s="298" t="str">
        <f ca="1">dms_y2</f>
        <v>2025-26</v>
      </c>
      <c r="E236" s="298" t="str">
        <f ca="1">dms_y3</f>
        <v>2026-27</v>
      </c>
      <c r="F236" s="298" t="str">
        <f ca="1">dms_y4</f>
        <v>2027-28</v>
      </c>
      <c r="G236" s="298" t="str">
        <f ca="1">dms_y5</f>
        <v>2028-29</v>
      </c>
      <c r="H236" s="298" t="str">
        <f ca="1">dms_y6</f>
        <v>2029-30</v>
      </c>
      <c r="I236" s="298" t="str">
        <f ca="1">dms_y7</f>
        <v>2030-31</v>
      </c>
    </row>
    <row r="237" spans="1:9" ht="15.75" customHeight="1" outlineLevel="2" x14ac:dyDescent="0.25">
      <c r="B237" s="506" t="s">
        <v>163</v>
      </c>
      <c r="C237" s="348">
        <v>0</v>
      </c>
      <c r="D237" s="250">
        <v>0</v>
      </c>
      <c r="E237" s="249">
        <v>0</v>
      </c>
      <c r="F237" s="242">
        <v>0</v>
      </c>
      <c r="G237" s="242">
        <v>0</v>
      </c>
      <c r="H237" s="242">
        <v>0</v>
      </c>
      <c r="I237" s="243">
        <v>0</v>
      </c>
    </row>
    <row r="238" spans="1:9" ht="15.75" customHeight="1" outlineLevel="2" x14ac:dyDescent="0.25">
      <c r="B238" s="506"/>
      <c r="C238" s="606"/>
      <c r="D238" s="607"/>
      <c r="E238" s="608"/>
      <c r="F238" s="609"/>
      <c r="G238" s="609"/>
      <c r="H238" s="609"/>
      <c r="I238" s="610"/>
    </row>
    <row r="239" spans="1:9" ht="15.75" customHeight="1" outlineLevel="2" x14ac:dyDescent="0.25">
      <c r="B239" s="506"/>
      <c r="C239" s="362"/>
      <c r="D239" s="252"/>
      <c r="E239" s="251"/>
      <c r="F239" s="245"/>
      <c r="G239" s="245"/>
      <c r="H239" s="245"/>
      <c r="I239" s="230"/>
    </row>
    <row r="240" spans="1:9" ht="15.75" customHeight="1" outlineLevel="2" x14ac:dyDescent="0.25">
      <c r="B240" s="506"/>
      <c r="C240" s="606"/>
      <c r="D240" s="607"/>
      <c r="E240" s="608"/>
      <c r="F240" s="609"/>
      <c r="G240" s="609"/>
      <c r="H240" s="609"/>
      <c r="I240" s="610"/>
    </row>
    <row r="241" spans="2:9" ht="15.75" customHeight="1" outlineLevel="2" x14ac:dyDescent="0.25">
      <c r="B241" s="506"/>
      <c r="C241" s="362"/>
      <c r="D241" s="252"/>
      <c r="E241" s="251"/>
      <c r="F241" s="245"/>
      <c r="G241" s="245"/>
      <c r="H241" s="245"/>
      <c r="I241" s="230"/>
    </row>
    <row r="242" spans="2:9" ht="15.75" customHeight="1" outlineLevel="2" x14ac:dyDescent="0.25">
      <c r="B242" s="506"/>
      <c r="C242" s="606"/>
      <c r="D242" s="607"/>
      <c r="E242" s="608"/>
      <c r="F242" s="609"/>
      <c r="G242" s="609"/>
      <c r="H242" s="609"/>
      <c r="I242" s="610"/>
    </row>
    <row r="243" spans="2:9" ht="15.75" customHeight="1" outlineLevel="2" x14ac:dyDescent="0.25">
      <c r="B243" s="506"/>
      <c r="C243" s="362"/>
      <c r="D243" s="252"/>
      <c r="E243" s="251"/>
      <c r="F243" s="245"/>
      <c r="G243" s="245"/>
      <c r="H243" s="245"/>
      <c r="I243" s="230"/>
    </row>
    <row r="244" spans="2:9" ht="15.75" customHeight="1" outlineLevel="2" x14ac:dyDescent="0.25">
      <c r="B244" s="506"/>
      <c r="C244" s="606"/>
      <c r="D244" s="607"/>
      <c r="E244" s="608"/>
      <c r="F244" s="609"/>
      <c r="G244" s="609"/>
      <c r="H244" s="609"/>
      <c r="I244" s="610"/>
    </row>
    <row r="245" spans="2:9" ht="15.75" customHeight="1" outlineLevel="2" x14ac:dyDescent="0.25">
      <c r="B245" s="506"/>
      <c r="C245" s="362"/>
      <c r="D245" s="252"/>
      <c r="E245" s="251"/>
      <c r="F245" s="245"/>
      <c r="G245" s="245"/>
      <c r="H245" s="245"/>
      <c r="I245" s="230"/>
    </row>
    <row r="246" spans="2:9" ht="15.75" customHeight="1" outlineLevel="2" x14ac:dyDescent="0.25">
      <c r="B246" s="506"/>
      <c r="C246" s="606"/>
      <c r="D246" s="607"/>
      <c r="E246" s="608"/>
      <c r="F246" s="609"/>
      <c r="G246" s="609"/>
      <c r="H246" s="609"/>
      <c r="I246" s="610"/>
    </row>
    <row r="247" spans="2:9" ht="15.75" customHeight="1" outlineLevel="2" x14ac:dyDescent="0.25">
      <c r="B247" s="506"/>
      <c r="C247" s="362"/>
      <c r="D247" s="252"/>
      <c r="E247" s="251"/>
      <c r="F247" s="245"/>
      <c r="G247" s="245"/>
      <c r="H247" s="245"/>
      <c r="I247" s="230"/>
    </row>
    <row r="248" spans="2:9" ht="15.75" customHeight="1" outlineLevel="2" x14ac:dyDescent="0.25">
      <c r="B248" s="506"/>
      <c r="C248" s="606"/>
      <c r="D248" s="607"/>
      <c r="E248" s="608"/>
      <c r="F248" s="609"/>
      <c r="G248" s="609"/>
      <c r="H248" s="609"/>
      <c r="I248" s="610"/>
    </row>
    <row r="249" spans="2:9" ht="15.75" customHeight="1" outlineLevel="2" x14ac:dyDescent="0.25">
      <c r="B249" s="506"/>
      <c r="C249" s="362"/>
      <c r="D249" s="252"/>
      <c r="E249" s="251"/>
      <c r="F249" s="245"/>
      <c r="G249" s="245"/>
      <c r="H249" s="245"/>
      <c r="I249" s="230"/>
    </row>
    <row r="250" spans="2:9" ht="15.75" customHeight="1" outlineLevel="2" x14ac:dyDescent="0.25">
      <c r="B250" s="506"/>
      <c r="C250" s="606"/>
      <c r="D250" s="607"/>
      <c r="E250" s="608"/>
      <c r="F250" s="609"/>
      <c r="G250" s="609"/>
      <c r="H250" s="609"/>
      <c r="I250" s="610"/>
    </row>
    <row r="251" spans="2:9" ht="15.75" customHeight="1" outlineLevel="2" x14ac:dyDescent="0.25">
      <c r="B251" s="506"/>
      <c r="C251" s="362"/>
      <c r="D251" s="252"/>
      <c r="E251" s="251"/>
      <c r="F251" s="245"/>
      <c r="G251" s="245"/>
      <c r="H251" s="245"/>
      <c r="I251" s="230"/>
    </row>
    <row r="252" spans="2:9" ht="15.75" customHeight="1" outlineLevel="2" x14ac:dyDescent="0.25">
      <c r="B252" s="506"/>
      <c r="C252" s="606"/>
      <c r="D252" s="607"/>
      <c r="E252" s="608"/>
      <c r="F252" s="609"/>
      <c r="G252" s="609"/>
      <c r="H252" s="609"/>
      <c r="I252" s="610"/>
    </row>
    <row r="253" spans="2:9" ht="15.75" customHeight="1" outlineLevel="2" x14ac:dyDescent="0.25">
      <c r="B253" s="506"/>
      <c r="C253" s="362"/>
      <c r="D253" s="252"/>
      <c r="E253" s="251"/>
      <c r="F253" s="245"/>
      <c r="G253" s="245"/>
      <c r="H253" s="245"/>
      <c r="I253" s="230"/>
    </row>
    <row r="254" spans="2:9" ht="15.75" customHeight="1" outlineLevel="2" x14ac:dyDescent="0.25">
      <c r="B254" s="506"/>
      <c r="C254" s="606"/>
      <c r="D254" s="607"/>
      <c r="E254" s="608"/>
      <c r="F254" s="609"/>
      <c r="G254" s="609"/>
      <c r="H254" s="609"/>
      <c r="I254" s="610"/>
    </row>
    <row r="255" spans="2:9" ht="15.75" customHeight="1" outlineLevel="2" x14ac:dyDescent="0.25">
      <c r="B255" s="506"/>
      <c r="C255" s="362"/>
      <c r="D255" s="252"/>
      <c r="E255" s="251"/>
      <c r="F255" s="245"/>
      <c r="G255" s="245"/>
      <c r="H255" s="245"/>
      <c r="I255" s="230"/>
    </row>
    <row r="256" spans="2:9" ht="15.75" customHeight="1" outlineLevel="2" x14ac:dyDescent="0.25">
      <c r="B256" s="506"/>
      <c r="C256" s="606"/>
      <c r="D256" s="607"/>
      <c r="E256" s="608"/>
      <c r="F256" s="609"/>
      <c r="G256" s="609"/>
      <c r="H256" s="609"/>
      <c r="I256" s="610"/>
    </row>
    <row r="257" spans="2:9" ht="15.75" customHeight="1" outlineLevel="2" x14ac:dyDescent="0.25">
      <c r="B257" s="506"/>
      <c r="C257" s="362"/>
      <c r="D257" s="252"/>
      <c r="E257" s="251"/>
      <c r="F257" s="245"/>
      <c r="G257" s="245"/>
      <c r="H257" s="245"/>
      <c r="I257" s="230"/>
    </row>
    <row r="258" spans="2:9" ht="15.75" customHeight="1" outlineLevel="2" x14ac:dyDescent="0.25">
      <c r="B258" s="506"/>
      <c r="C258" s="606"/>
      <c r="D258" s="607"/>
      <c r="E258" s="608"/>
      <c r="F258" s="609"/>
      <c r="G258" s="609"/>
      <c r="H258" s="609"/>
      <c r="I258" s="610"/>
    </row>
    <row r="259" spans="2:9" ht="15.75" customHeight="1" outlineLevel="2" x14ac:dyDescent="0.25">
      <c r="B259" s="506"/>
      <c r="C259" s="362"/>
      <c r="D259" s="252"/>
      <c r="E259" s="251"/>
      <c r="F259" s="245"/>
      <c r="G259" s="245"/>
      <c r="H259" s="245"/>
      <c r="I259" s="230"/>
    </row>
    <row r="260" spans="2:9" ht="15.75" customHeight="1" outlineLevel="2" x14ac:dyDescent="0.25">
      <c r="B260" s="506"/>
      <c r="C260" s="606"/>
      <c r="D260" s="607"/>
      <c r="E260" s="608"/>
      <c r="F260" s="609"/>
      <c r="G260" s="609"/>
      <c r="H260" s="609"/>
      <c r="I260" s="610"/>
    </row>
    <row r="261" spans="2:9" ht="15.75" customHeight="1" outlineLevel="2" x14ac:dyDescent="0.25">
      <c r="B261" s="506"/>
      <c r="C261" s="362"/>
      <c r="D261" s="252"/>
      <c r="E261" s="251"/>
      <c r="F261" s="245"/>
      <c r="G261" s="245"/>
      <c r="H261" s="245"/>
      <c r="I261" s="230"/>
    </row>
    <row r="262" spans="2:9" ht="15.75" customHeight="1" outlineLevel="2" x14ac:dyDescent="0.25">
      <c r="B262" s="506"/>
      <c r="C262" s="606"/>
      <c r="D262" s="607"/>
      <c r="E262" s="608"/>
      <c r="F262" s="609"/>
      <c r="G262" s="609"/>
      <c r="H262" s="609"/>
      <c r="I262" s="610"/>
    </row>
    <row r="263" spans="2:9" ht="15.75" customHeight="1" outlineLevel="2" x14ac:dyDescent="0.25">
      <c r="B263" s="506"/>
      <c r="C263" s="362"/>
      <c r="D263" s="252"/>
      <c r="E263" s="251"/>
      <c r="F263" s="245"/>
      <c r="G263" s="245"/>
      <c r="H263" s="245"/>
      <c r="I263" s="230"/>
    </row>
    <row r="264" spans="2:9" ht="15.75" customHeight="1" outlineLevel="2" x14ac:dyDescent="0.25">
      <c r="B264" s="506"/>
      <c r="C264" s="606"/>
      <c r="D264" s="607"/>
      <c r="E264" s="608"/>
      <c r="F264" s="609"/>
      <c r="G264" s="609"/>
      <c r="H264" s="609"/>
      <c r="I264" s="610"/>
    </row>
    <row r="265" spans="2:9" ht="15.75" customHeight="1" outlineLevel="2" x14ac:dyDescent="0.25">
      <c r="B265" s="506"/>
      <c r="C265" s="362"/>
      <c r="D265" s="252"/>
      <c r="E265" s="251"/>
      <c r="F265" s="245"/>
      <c r="G265" s="245"/>
      <c r="H265" s="245"/>
      <c r="I265" s="230"/>
    </row>
    <row r="266" spans="2:9" ht="15.75" customHeight="1" outlineLevel="2" x14ac:dyDescent="0.25">
      <c r="B266" s="506"/>
      <c r="C266" s="606"/>
      <c r="D266" s="607"/>
      <c r="E266" s="608"/>
      <c r="F266" s="609"/>
      <c r="G266" s="609"/>
      <c r="H266" s="609"/>
      <c r="I266" s="610"/>
    </row>
    <row r="267" spans="2:9" ht="15.75" customHeight="1" outlineLevel="2" x14ac:dyDescent="0.25">
      <c r="B267" s="506"/>
      <c r="C267" s="362"/>
      <c r="D267" s="252"/>
      <c r="E267" s="251"/>
      <c r="F267" s="245"/>
      <c r="G267" s="245"/>
      <c r="H267" s="245"/>
      <c r="I267" s="230"/>
    </row>
    <row r="268" spans="2:9" ht="15.75" customHeight="1" outlineLevel="2" x14ac:dyDescent="0.25">
      <c r="B268" s="506"/>
      <c r="C268" s="606"/>
      <c r="D268" s="607"/>
      <c r="E268" s="608"/>
      <c r="F268" s="609"/>
      <c r="G268" s="609"/>
      <c r="H268" s="609"/>
      <c r="I268" s="610"/>
    </row>
    <row r="269" spans="2:9" ht="15.75" customHeight="1" outlineLevel="2" x14ac:dyDescent="0.25">
      <c r="B269" s="506"/>
      <c r="C269" s="362"/>
      <c r="D269" s="252"/>
      <c r="E269" s="251"/>
      <c r="F269" s="245"/>
      <c r="G269" s="245"/>
      <c r="H269" s="245"/>
      <c r="I269" s="230"/>
    </row>
    <row r="270" spans="2:9" ht="15.75" customHeight="1" outlineLevel="2" x14ac:dyDescent="0.25">
      <c r="B270" s="506"/>
      <c r="C270" s="606"/>
      <c r="D270" s="607"/>
      <c r="E270" s="608"/>
      <c r="F270" s="609"/>
      <c r="G270" s="609"/>
      <c r="H270" s="609"/>
      <c r="I270" s="610"/>
    </row>
    <row r="271" spans="2:9" ht="15.75" customHeight="1" outlineLevel="2" x14ac:dyDescent="0.25">
      <c r="B271" s="506"/>
      <c r="C271" s="362"/>
      <c r="D271" s="252"/>
      <c r="E271" s="251"/>
      <c r="F271" s="245"/>
      <c r="G271" s="245"/>
      <c r="H271" s="245"/>
      <c r="I271" s="230"/>
    </row>
    <row r="272" spans="2:9" ht="15.75" customHeight="1" outlineLevel="2" x14ac:dyDescent="0.25">
      <c r="B272" s="506"/>
      <c r="C272" s="606"/>
      <c r="D272" s="607"/>
      <c r="E272" s="608"/>
      <c r="F272" s="609"/>
      <c r="G272" s="609"/>
      <c r="H272" s="609"/>
      <c r="I272" s="610"/>
    </row>
    <row r="273" spans="2:9" ht="15.75" customHeight="1" outlineLevel="2" x14ac:dyDescent="0.25">
      <c r="B273" s="506"/>
      <c r="C273" s="362"/>
      <c r="D273" s="252"/>
      <c r="E273" s="251"/>
      <c r="F273" s="245"/>
      <c r="G273" s="245"/>
      <c r="H273" s="245"/>
      <c r="I273" s="230"/>
    </row>
    <row r="274" spans="2:9" ht="15.75" customHeight="1" outlineLevel="2" x14ac:dyDescent="0.25">
      <c r="B274" s="506"/>
      <c r="C274" s="606"/>
      <c r="D274" s="607"/>
      <c r="E274" s="608"/>
      <c r="F274" s="609"/>
      <c r="G274" s="609"/>
      <c r="H274" s="609"/>
      <c r="I274" s="610"/>
    </row>
    <row r="275" spans="2:9" ht="15.75" customHeight="1" outlineLevel="2" x14ac:dyDescent="0.25">
      <c r="B275" s="506"/>
      <c r="C275" s="362"/>
      <c r="D275" s="252"/>
      <c r="E275" s="251"/>
      <c r="F275" s="245"/>
      <c r="G275" s="245"/>
      <c r="H275" s="245"/>
      <c r="I275" s="230"/>
    </row>
    <row r="276" spans="2:9" ht="15.75" customHeight="1" outlineLevel="2" x14ac:dyDescent="0.25">
      <c r="B276" s="506"/>
      <c r="C276" s="606"/>
      <c r="D276" s="607"/>
      <c r="E276" s="608"/>
      <c r="F276" s="609"/>
      <c r="G276" s="609"/>
      <c r="H276" s="609"/>
      <c r="I276" s="610"/>
    </row>
    <row r="277" spans="2:9" ht="15.75" customHeight="1" outlineLevel="2" x14ac:dyDescent="0.25">
      <c r="B277" s="506"/>
      <c r="C277" s="362"/>
      <c r="D277" s="252"/>
      <c r="E277" s="251"/>
      <c r="F277" s="245"/>
      <c r="G277" s="245"/>
      <c r="H277" s="245"/>
      <c r="I277" s="230"/>
    </row>
    <row r="278" spans="2:9" ht="15.75" customHeight="1" outlineLevel="2" x14ac:dyDescent="0.25">
      <c r="B278" s="506"/>
      <c r="C278" s="606"/>
      <c r="D278" s="607"/>
      <c r="E278" s="608"/>
      <c r="F278" s="609"/>
      <c r="G278" s="609"/>
      <c r="H278" s="609"/>
      <c r="I278" s="610"/>
    </row>
    <row r="279" spans="2:9" ht="15.75" customHeight="1" outlineLevel="2" x14ac:dyDescent="0.25">
      <c r="B279" s="506"/>
      <c r="C279" s="362"/>
      <c r="D279" s="252"/>
      <c r="E279" s="251"/>
      <c r="F279" s="245"/>
      <c r="G279" s="245"/>
      <c r="H279" s="245"/>
      <c r="I279" s="230"/>
    </row>
    <row r="280" spans="2:9" ht="15.75" customHeight="1" outlineLevel="2" x14ac:dyDescent="0.25">
      <c r="B280" s="506"/>
      <c r="C280" s="606"/>
      <c r="D280" s="607"/>
      <c r="E280" s="608"/>
      <c r="F280" s="609"/>
      <c r="G280" s="609"/>
      <c r="H280" s="609"/>
      <c r="I280" s="610"/>
    </row>
    <row r="281" spans="2:9" ht="15.75" customHeight="1" outlineLevel="2" x14ac:dyDescent="0.25">
      <c r="B281" s="506"/>
      <c r="C281" s="362"/>
      <c r="D281" s="252"/>
      <c r="E281" s="251"/>
      <c r="F281" s="245"/>
      <c r="G281" s="245"/>
      <c r="H281" s="245"/>
      <c r="I281" s="230"/>
    </row>
    <row r="282" spans="2:9" ht="15.75" customHeight="1" outlineLevel="2" x14ac:dyDescent="0.25">
      <c r="B282" s="506"/>
      <c r="C282" s="606"/>
      <c r="D282" s="607"/>
      <c r="E282" s="608"/>
      <c r="F282" s="609"/>
      <c r="G282" s="609"/>
      <c r="H282" s="609"/>
      <c r="I282" s="610"/>
    </row>
    <row r="283" spans="2:9" ht="15.75" customHeight="1" outlineLevel="2" x14ac:dyDescent="0.25">
      <c r="B283" s="506"/>
      <c r="C283" s="362"/>
      <c r="D283" s="252"/>
      <c r="E283" s="251"/>
      <c r="F283" s="245"/>
      <c r="G283" s="245"/>
      <c r="H283" s="245"/>
      <c r="I283" s="230"/>
    </row>
    <row r="284" spans="2:9" ht="15.75" customHeight="1" outlineLevel="2" x14ac:dyDescent="0.25">
      <c r="B284" s="506"/>
      <c r="C284" s="606"/>
      <c r="D284" s="607"/>
      <c r="E284" s="608"/>
      <c r="F284" s="609"/>
      <c r="G284" s="609"/>
      <c r="H284" s="609"/>
      <c r="I284" s="610"/>
    </row>
    <row r="285" spans="2:9" ht="15.75" customHeight="1" outlineLevel="2" x14ac:dyDescent="0.25">
      <c r="B285" s="506"/>
      <c r="C285" s="362"/>
      <c r="D285" s="252"/>
      <c r="E285" s="251"/>
      <c r="F285" s="245"/>
      <c r="G285" s="245"/>
      <c r="H285" s="245"/>
      <c r="I285" s="230"/>
    </row>
    <row r="286" spans="2:9" ht="15.75" customHeight="1" outlineLevel="2" x14ac:dyDescent="0.25">
      <c r="B286" s="506"/>
      <c r="C286" s="606"/>
      <c r="D286" s="607"/>
      <c r="E286" s="608"/>
      <c r="F286" s="609"/>
      <c r="G286" s="609"/>
      <c r="H286" s="609"/>
      <c r="I286" s="610"/>
    </row>
    <row r="287" spans="2:9" ht="15.75" customHeight="1" outlineLevel="2" x14ac:dyDescent="0.25">
      <c r="B287" s="612" t="s">
        <v>151</v>
      </c>
      <c r="C287" s="363"/>
      <c r="D287" s="254"/>
      <c r="E287" s="253"/>
      <c r="F287" s="247"/>
      <c r="G287" s="247"/>
      <c r="H287" s="247"/>
      <c r="I287" s="465"/>
    </row>
    <row r="288" spans="2:9" ht="15.75" customHeight="1" outlineLevel="2" x14ac:dyDescent="0.25">
      <c r="B288" s="513" t="s">
        <v>112</v>
      </c>
      <c r="C288" s="514">
        <f t="shared" ref="C288:I288" si="3">SUM(C237:C287)</f>
        <v>0</v>
      </c>
      <c r="D288" s="514">
        <f t="shared" si="3"/>
        <v>0</v>
      </c>
      <c r="E288" s="514">
        <f t="shared" si="3"/>
        <v>0</v>
      </c>
      <c r="F288" s="514">
        <f t="shared" si="3"/>
        <v>0</v>
      </c>
      <c r="G288" s="514">
        <f t="shared" si="3"/>
        <v>0</v>
      </c>
      <c r="H288" s="514">
        <f t="shared" si="3"/>
        <v>0</v>
      </c>
      <c r="I288" s="515">
        <f t="shared" si="3"/>
        <v>0</v>
      </c>
    </row>
    <row r="289" spans="1:9" ht="15.75" customHeight="1" outlineLevel="1" x14ac:dyDescent="0.25">
      <c r="B289" s="74"/>
    </row>
    <row r="290" spans="1:9" ht="21.75" customHeight="1" outlineLevel="1" x14ac:dyDescent="0.25">
      <c r="B290" s="235" t="s">
        <v>140</v>
      </c>
      <c r="C290" s="236"/>
      <c r="D290" s="236"/>
      <c r="E290" s="236"/>
      <c r="F290" s="236"/>
      <c r="G290" s="236"/>
      <c r="H290" s="236"/>
      <c r="I290" s="236"/>
    </row>
    <row r="291" spans="1:9" s="41" customFormat="1" ht="15" customHeight="1" outlineLevel="2" x14ac:dyDescent="0.2">
      <c r="A291" s="276"/>
      <c r="C291" s="1331" t="s">
        <v>24</v>
      </c>
      <c r="D291" s="1331"/>
      <c r="E291" s="1331"/>
      <c r="F291" s="1331"/>
      <c r="G291" s="1331"/>
      <c r="H291" s="1331"/>
      <c r="I291" s="1331"/>
    </row>
    <row r="292" spans="1:9" s="41" customFormat="1" ht="15" customHeight="1" outlineLevel="2" x14ac:dyDescent="0.2">
      <c r="A292" s="276"/>
      <c r="C292" s="1331" t="str">
        <f ca="1">CONCATENATE("$, real ",dms_DollarReal)</f>
        <v>$, real June 2026</v>
      </c>
      <c r="D292" s="1331"/>
      <c r="E292" s="1331"/>
      <c r="F292" s="1331"/>
      <c r="G292" s="1331"/>
      <c r="H292" s="1331"/>
      <c r="I292" s="1331"/>
    </row>
    <row r="293" spans="1:9" s="41" customFormat="1" ht="15.75" customHeight="1" outlineLevel="2" x14ac:dyDescent="0.25">
      <c r="A293" s="276"/>
      <c r="B293" s="77"/>
      <c r="C293" s="298" t="str">
        <f ca="1">dms_y1</f>
        <v>2024-25</v>
      </c>
      <c r="D293" s="298" t="str">
        <f ca="1">dms_y2</f>
        <v>2025-26</v>
      </c>
      <c r="E293" s="298" t="str">
        <f ca="1">dms_y3</f>
        <v>2026-27</v>
      </c>
      <c r="F293" s="298" t="str">
        <f ca="1">dms_y4</f>
        <v>2027-28</v>
      </c>
      <c r="G293" s="298" t="str">
        <f ca="1">dms_y5</f>
        <v>2028-29</v>
      </c>
      <c r="H293" s="298" t="str">
        <f ca="1">dms_y6</f>
        <v>2029-30</v>
      </c>
      <c r="I293" s="298" t="str">
        <f ca="1">dms_y7</f>
        <v>2030-31</v>
      </c>
    </row>
    <row r="294" spans="1:9" ht="15.75" customHeight="1" outlineLevel="2" x14ac:dyDescent="0.25">
      <c r="B294" s="612" t="s">
        <v>112</v>
      </c>
      <c r="C294" s="363">
        <v>0</v>
      </c>
      <c r="D294" s="254">
        <v>0</v>
      </c>
      <c r="E294" s="253">
        <v>0</v>
      </c>
      <c r="F294" s="247">
        <v>0</v>
      </c>
      <c r="G294" s="247">
        <v>0</v>
      </c>
      <c r="H294" s="247">
        <v>0</v>
      </c>
      <c r="I294" s="465">
        <v>0</v>
      </c>
    </row>
    <row r="295" spans="1:9" ht="15.75" customHeight="1" outlineLevel="2" x14ac:dyDescent="0.25">
      <c r="B295" s="513" t="s">
        <v>112</v>
      </c>
      <c r="C295" s="514">
        <f t="shared" ref="C295:I295" si="4">SUM(C294:C294)</f>
        <v>0</v>
      </c>
      <c r="D295" s="514">
        <f t="shared" si="4"/>
        <v>0</v>
      </c>
      <c r="E295" s="514">
        <f t="shared" si="4"/>
        <v>0</v>
      </c>
      <c r="F295" s="514">
        <f t="shared" si="4"/>
        <v>0</v>
      </c>
      <c r="G295" s="514">
        <f t="shared" si="4"/>
        <v>0</v>
      </c>
      <c r="H295" s="514">
        <f t="shared" si="4"/>
        <v>0</v>
      </c>
      <c r="I295" s="515">
        <f t="shared" si="4"/>
        <v>0</v>
      </c>
    </row>
    <row r="296" spans="1:9" ht="15.75" customHeight="1" outlineLevel="1" x14ac:dyDescent="0.25">
      <c r="B296" s="74"/>
    </row>
    <row r="297" spans="1:9" ht="21.75" customHeight="1" outlineLevel="1" x14ac:dyDescent="0.25">
      <c r="B297" s="235" t="s">
        <v>141</v>
      </c>
      <c r="C297" s="236"/>
      <c r="D297" s="236"/>
      <c r="E297" s="236"/>
      <c r="F297" s="236"/>
      <c r="G297" s="236"/>
      <c r="H297" s="236"/>
      <c r="I297" s="236"/>
    </row>
    <row r="298" spans="1:9" s="41" customFormat="1" ht="15" customHeight="1" outlineLevel="2" x14ac:dyDescent="0.2">
      <c r="A298" s="276"/>
      <c r="C298" s="1331" t="s">
        <v>24</v>
      </c>
      <c r="D298" s="1331"/>
      <c r="E298" s="1331"/>
      <c r="F298" s="1331"/>
      <c r="G298" s="1331"/>
      <c r="H298" s="1331"/>
      <c r="I298" s="1331"/>
    </row>
    <row r="299" spans="1:9" s="41" customFormat="1" ht="15" customHeight="1" outlineLevel="2" x14ac:dyDescent="0.2">
      <c r="A299" s="276"/>
      <c r="C299" s="1331" t="str">
        <f ca="1">CONCATENATE("$, real ",dms_DollarReal)</f>
        <v>$, real June 2026</v>
      </c>
      <c r="D299" s="1331"/>
      <c r="E299" s="1331"/>
      <c r="F299" s="1331"/>
      <c r="G299" s="1331"/>
      <c r="H299" s="1331"/>
      <c r="I299" s="1331"/>
    </row>
    <row r="300" spans="1:9" s="41" customFormat="1" ht="15.75" customHeight="1" outlineLevel="2" x14ac:dyDescent="0.25">
      <c r="A300" s="276"/>
      <c r="B300" s="77"/>
      <c r="C300" s="298" t="str">
        <f ca="1">dms_y1</f>
        <v>2024-25</v>
      </c>
      <c r="D300" s="298" t="str">
        <f ca="1">dms_y2</f>
        <v>2025-26</v>
      </c>
      <c r="E300" s="298" t="str">
        <f ca="1">dms_y3</f>
        <v>2026-27</v>
      </c>
      <c r="F300" s="298" t="str">
        <f ca="1">dms_y4</f>
        <v>2027-28</v>
      </c>
      <c r="G300" s="298" t="str">
        <f ca="1">dms_y5</f>
        <v>2028-29</v>
      </c>
      <c r="H300" s="298" t="str">
        <f ca="1">dms_y6</f>
        <v>2029-30</v>
      </c>
      <c r="I300" s="298" t="str">
        <f ca="1">dms_y7</f>
        <v>2030-31</v>
      </c>
    </row>
    <row r="301" spans="1:9" ht="15.75" customHeight="1" outlineLevel="2" x14ac:dyDescent="0.25">
      <c r="B301" s="506" t="s">
        <v>163</v>
      </c>
      <c r="C301" s="348">
        <v>0</v>
      </c>
      <c r="D301" s="250">
        <v>0</v>
      </c>
      <c r="E301" s="249">
        <v>0</v>
      </c>
      <c r="F301" s="242">
        <v>0</v>
      </c>
      <c r="G301" s="242">
        <v>0</v>
      </c>
      <c r="H301" s="242">
        <v>0</v>
      </c>
      <c r="I301" s="243">
        <v>0</v>
      </c>
    </row>
    <row r="302" spans="1:9" ht="15.75" customHeight="1" outlineLevel="2" x14ac:dyDescent="0.25">
      <c r="B302" s="506"/>
      <c r="C302" s="606"/>
      <c r="D302" s="607"/>
      <c r="E302" s="608"/>
      <c r="F302" s="609"/>
      <c r="G302" s="609"/>
      <c r="H302" s="609"/>
      <c r="I302" s="610"/>
    </row>
    <row r="303" spans="1:9" ht="15.75" customHeight="1" outlineLevel="2" x14ac:dyDescent="0.25">
      <c r="B303" s="506"/>
      <c r="C303" s="362"/>
      <c r="D303" s="252"/>
      <c r="E303" s="251"/>
      <c r="F303" s="245"/>
      <c r="G303" s="245"/>
      <c r="H303" s="245"/>
      <c r="I303" s="230"/>
    </row>
    <row r="304" spans="1:9" ht="15.75" customHeight="1" outlineLevel="2" x14ac:dyDescent="0.25">
      <c r="B304" s="506"/>
      <c r="C304" s="606"/>
      <c r="D304" s="607"/>
      <c r="E304" s="608"/>
      <c r="F304" s="609"/>
      <c r="G304" s="609"/>
      <c r="H304" s="609"/>
      <c r="I304" s="610"/>
    </row>
    <row r="305" spans="2:9" ht="15.75" customHeight="1" outlineLevel="2" x14ac:dyDescent="0.25">
      <c r="B305" s="506"/>
      <c r="C305" s="362"/>
      <c r="D305" s="252"/>
      <c r="E305" s="251"/>
      <c r="F305" s="245"/>
      <c r="G305" s="245"/>
      <c r="H305" s="245"/>
      <c r="I305" s="230"/>
    </row>
    <row r="306" spans="2:9" ht="15.75" customHeight="1" outlineLevel="2" x14ac:dyDescent="0.25">
      <c r="B306" s="506"/>
      <c r="C306" s="606"/>
      <c r="D306" s="607"/>
      <c r="E306" s="608"/>
      <c r="F306" s="609"/>
      <c r="G306" s="609"/>
      <c r="H306" s="609"/>
      <c r="I306" s="610"/>
    </row>
    <row r="307" spans="2:9" ht="15.75" customHeight="1" outlineLevel="2" x14ac:dyDescent="0.25">
      <c r="B307" s="506"/>
      <c r="C307" s="362"/>
      <c r="D307" s="252"/>
      <c r="E307" s="251"/>
      <c r="F307" s="245"/>
      <c r="G307" s="245"/>
      <c r="H307" s="245"/>
      <c r="I307" s="230"/>
    </row>
    <row r="308" spans="2:9" ht="15.75" customHeight="1" outlineLevel="2" x14ac:dyDescent="0.25">
      <c r="B308" s="506"/>
      <c r="C308" s="606"/>
      <c r="D308" s="607"/>
      <c r="E308" s="608"/>
      <c r="F308" s="609"/>
      <c r="G308" s="609"/>
      <c r="H308" s="609"/>
      <c r="I308" s="610"/>
    </row>
    <row r="309" spans="2:9" ht="15.75" customHeight="1" outlineLevel="2" x14ac:dyDescent="0.25">
      <c r="B309" s="506"/>
      <c r="C309" s="362"/>
      <c r="D309" s="252"/>
      <c r="E309" s="251"/>
      <c r="F309" s="245"/>
      <c r="G309" s="245"/>
      <c r="H309" s="245"/>
      <c r="I309" s="230"/>
    </row>
    <row r="310" spans="2:9" ht="15.75" customHeight="1" outlineLevel="2" x14ac:dyDescent="0.25">
      <c r="B310" s="506"/>
      <c r="C310" s="606"/>
      <c r="D310" s="607"/>
      <c r="E310" s="608"/>
      <c r="F310" s="609"/>
      <c r="G310" s="609"/>
      <c r="H310" s="609"/>
      <c r="I310" s="610"/>
    </row>
    <row r="311" spans="2:9" ht="15.75" customHeight="1" outlineLevel="2" x14ac:dyDescent="0.25">
      <c r="B311" s="506"/>
      <c r="C311" s="362"/>
      <c r="D311" s="252"/>
      <c r="E311" s="251"/>
      <c r="F311" s="245"/>
      <c r="G311" s="245"/>
      <c r="H311" s="245"/>
      <c r="I311" s="230"/>
    </row>
    <row r="312" spans="2:9" ht="15.75" customHeight="1" outlineLevel="2" x14ac:dyDescent="0.25">
      <c r="B312" s="506"/>
      <c r="C312" s="606"/>
      <c r="D312" s="607"/>
      <c r="E312" s="608"/>
      <c r="F312" s="609"/>
      <c r="G312" s="609"/>
      <c r="H312" s="609"/>
      <c r="I312" s="610"/>
    </row>
    <row r="313" spans="2:9" ht="15.75" customHeight="1" outlineLevel="2" x14ac:dyDescent="0.25">
      <c r="B313" s="506"/>
      <c r="C313" s="362"/>
      <c r="D313" s="252"/>
      <c r="E313" s="251"/>
      <c r="F313" s="245"/>
      <c r="G313" s="245"/>
      <c r="H313" s="245"/>
      <c r="I313" s="230"/>
    </row>
    <row r="314" spans="2:9" ht="15.75" customHeight="1" outlineLevel="2" x14ac:dyDescent="0.25">
      <c r="B314" s="506"/>
      <c r="C314" s="606"/>
      <c r="D314" s="607"/>
      <c r="E314" s="608"/>
      <c r="F314" s="609"/>
      <c r="G314" s="609"/>
      <c r="H314" s="609"/>
      <c r="I314" s="610"/>
    </row>
    <row r="315" spans="2:9" ht="15.75" customHeight="1" outlineLevel="2" x14ac:dyDescent="0.25">
      <c r="B315" s="506"/>
      <c r="C315" s="362"/>
      <c r="D315" s="252"/>
      <c r="E315" s="251"/>
      <c r="F315" s="245"/>
      <c r="G315" s="245"/>
      <c r="H315" s="245"/>
      <c r="I315" s="230"/>
    </row>
    <row r="316" spans="2:9" ht="15.75" customHeight="1" outlineLevel="2" x14ac:dyDescent="0.25">
      <c r="B316" s="506"/>
      <c r="C316" s="606"/>
      <c r="D316" s="607"/>
      <c r="E316" s="608"/>
      <c r="F316" s="609"/>
      <c r="G316" s="609"/>
      <c r="H316" s="609"/>
      <c r="I316" s="610"/>
    </row>
    <row r="317" spans="2:9" ht="15.75" customHeight="1" outlineLevel="2" x14ac:dyDescent="0.25">
      <c r="B317" s="506"/>
      <c r="C317" s="362"/>
      <c r="D317" s="252"/>
      <c r="E317" s="251"/>
      <c r="F317" s="245"/>
      <c r="G317" s="245"/>
      <c r="H317" s="245"/>
      <c r="I317" s="230"/>
    </row>
    <row r="318" spans="2:9" ht="15.75" customHeight="1" outlineLevel="2" x14ac:dyDescent="0.25">
      <c r="B318" s="506"/>
      <c r="C318" s="606"/>
      <c r="D318" s="607"/>
      <c r="E318" s="608"/>
      <c r="F318" s="609"/>
      <c r="G318" s="609"/>
      <c r="H318" s="609"/>
      <c r="I318" s="610"/>
    </row>
    <row r="319" spans="2:9" ht="15.75" customHeight="1" outlineLevel="2" x14ac:dyDescent="0.25">
      <c r="B319" s="506"/>
      <c r="C319" s="362"/>
      <c r="D319" s="252"/>
      <c r="E319" s="251"/>
      <c r="F319" s="245"/>
      <c r="G319" s="245"/>
      <c r="H319" s="245"/>
      <c r="I319" s="230"/>
    </row>
    <row r="320" spans="2:9" ht="15.75" customHeight="1" outlineLevel="2" x14ac:dyDescent="0.25">
      <c r="B320" s="506"/>
      <c r="C320" s="606"/>
      <c r="D320" s="607"/>
      <c r="E320" s="608"/>
      <c r="F320" s="609"/>
      <c r="G320" s="609"/>
      <c r="H320" s="609"/>
      <c r="I320" s="610"/>
    </row>
    <row r="321" spans="2:9" ht="15.75" customHeight="1" outlineLevel="2" x14ac:dyDescent="0.25">
      <c r="B321" s="506"/>
      <c r="C321" s="362"/>
      <c r="D321" s="252"/>
      <c r="E321" s="251"/>
      <c r="F321" s="245"/>
      <c r="G321" s="245"/>
      <c r="H321" s="245"/>
      <c r="I321" s="230"/>
    </row>
    <row r="322" spans="2:9" ht="15.75" customHeight="1" outlineLevel="2" x14ac:dyDescent="0.25">
      <c r="B322" s="506"/>
      <c r="C322" s="606"/>
      <c r="D322" s="607"/>
      <c r="E322" s="608"/>
      <c r="F322" s="609"/>
      <c r="G322" s="609"/>
      <c r="H322" s="609"/>
      <c r="I322" s="610"/>
    </row>
    <row r="323" spans="2:9" ht="15.75" customHeight="1" outlineLevel="2" x14ac:dyDescent="0.25">
      <c r="B323" s="506"/>
      <c r="C323" s="362"/>
      <c r="D323" s="252"/>
      <c r="E323" s="251"/>
      <c r="F323" s="245"/>
      <c r="G323" s="245"/>
      <c r="H323" s="245"/>
      <c r="I323" s="230"/>
    </row>
    <row r="324" spans="2:9" ht="15.75" customHeight="1" outlineLevel="2" x14ac:dyDescent="0.25">
      <c r="B324" s="506"/>
      <c r="C324" s="606"/>
      <c r="D324" s="607"/>
      <c r="E324" s="608"/>
      <c r="F324" s="609"/>
      <c r="G324" s="609"/>
      <c r="H324" s="609"/>
      <c r="I324" s="610"/>
    </row>
    <row r="325" spans="2:9" ht="15.75" customHeight="1" outlineLevel="2" x14ac:dyDescent="0.25">
      <c r="B325" s="506"/>
      <c r="C325" s="362"/>
      <c r="D325" s="252"/>
      <c r="E325" s="251"/>
      <c r="F325" s="245"/>
      <c r="G325" s="245"/>
      <c r="H325" s="245"/>
      <c r="I325" s="230"/>
    </row>
    <row r="326" spans="2:9" ht="15.75" customHeight="1" outlineLevel="2" x14ac:dyDescent="0.25">
      <c r="B326" s="506"/>
      <c r="C326" s="606"/>
      <c r="D326" s="607"/>
      <c r="E326" s="608"/>
      <c r="F326" s="609"/>
      <c r="G326" s="609"/>
      <c r="H326" s="609"/>
      <c r="I326" s="610"/>
    </row>
    <row r="327" spans="2:9" ht="15.75" customHeight="1" outlineLevel="2" x14ac:dyDescent="0.25">
      <c r="B327" s="506"/>
      <c r="C327" s="362"/>
      <c r="D327" s="252"/>
      <c r="E327" s="251"/>
      <c r="F327" s="245"/>
      <c r="G327" s="245"/>
      <c r="H327" s="245"/>
      <c r="I327" s="230"/>
    </row>
    <row r="328" spans="2:9" ht="15.75" customHeight="1" outlineLevel="2" x14ac:dyDescent="0.25">
      <c r="B328" s="506"/>
      <c r="C328" s="606"/>
      <c r="D328" s="607"/>
      <c r="E328" s="608"/>
      <c r="F328" s="609"/>
      <c r="G328" s="609"/>
      <c r="H328" s="609"/>
      <c r="I328" s="610"/>
    </row>
    <row r="329" spans="2:9" ht="15.75" customHeight="1" outlineLevel="2" x14ac:dyDescent="0.25">
      <c r="B329" s="506"/>
      <c r="C329" s="362"/>
      <c r="D329" s="252"/>
      <c r="E329" s="251"/>
      <c r="F329" s="245"/>
      <c r="G329" s="245"/>
      <c r="H329" s="245"/>
      <c r="I329" s="230"/>
    </row>
    <row r="330" spans="2:9" ht="15.75" customHeight="1" outlineLevel="2" x14ac:dyDescent="0.25">
      <c r="B330" s="506"/>
      <c r="C330" s="606"/>
      <c r="D330" s="607"/>
      <c r="E330" s="608"/>
      <c r="F330" s="609"/>
      <c r="G330" s="609"/>
      <c r="H330" s="609"/>
      <c r="I330" s="610"/>
    </row>
    <row r="331" spans="2:9" ht="15.75" customHeight="1" outlineLevel="2" x14ac:dyDescent="0.25">
      <c r="B331" s="506"/>
      <c r="C331" s="362"/>
      <c r="D331" s="252"/>
      <c r="E331" s="251"/>
      <c r="F331" s="245"/>
      <c r="G331" s="245"/>
      <c r="H331" s="245"/>
      <c r="I331" s="230"/>
    </row>
    <row r="332" spans="2:9" ht="15.75" customHeight="1" outlineLevel="2" x14ac:dyDescent="0.25">
      <c r="B332" s="506"/>
      <c r="C332" s="606"/>
      <c r="D332" s="607"/>
      <c r="E332" s="608"/>
      <c r="F332" s="609"/>
      <c r="G332" s="609"/>
      <c r="H332" s="609"/>
      <c r="I332" s="610"/>
    </row>
    <row r="333" spans="2:9" ht="15.75" customHeight="1" outlineLevel="2" x14ac:dyDescent="0.25">
      <c r="B333" s="506"/>
      <c r="C333" s="362"/>
      <c r="D333" s="252"/>
      <c r="E333" s="251"/>
      <c r="F333" s="245"/>
      <c r="G333" s="245"/>
      <c r="H333" s="245"/>
      <c r="I333" s="230"/>
    </row>
    <row r="334" spans="2:9" ht="15.75" customHeight="1" outlineLevel="2" x14ac:dyDescent="0.25">
      <c r="B334" s="506"/>
      <c r="C334" s="606"/>
      <c r="D334" s="607"/>
      <c r="E334" s="608"/>
      <c r="F334" s="609"/>
      <c r="G334" s="609"/>
      <c r="H334" s="609"/>
      <c r="I334" s="610"/>
    </row>
    <row r="335" spans="2:9" ht="15.75" customHeight="1" outlineLevel="2" x14ac:dyDescent="0.25">
      <c r="B335" s="506"/>
      <c r="C335" s="362"/>
      <c r="D335" s="252"/>
      <c r="E335" s="251"/>
      <c r="F335" s="245"/>
      <c r="G335" s="245"/>
      <c r="H335" s="245"/>
      <c r="I335" s="230"/>
    </row>
    <row r="336" spans="2:9" ht="15.75" customHeight="1" outlineLevel="2" x14ac:dyDescent="0.25">
      <c r="B336" s="506"/>
      <c r="C336" s="606"/>
      <c r="D336" s="607"/>
      <c r="E336" s="608"/>
      <c r="F336" s="609"/>
      <c r="G336" s="609"/>
      <c r="H336" s="609"/>
      <c r="I336" s="610"/>
    </row>
    <row r="337" spans="2:9" ht="15.75" customHeight="1" outlineLevel="2" x14ac:dyDescent="0.25">
      <c r="B337" s="506"/>
      <c r="C337" s="362"/>
      <c r="D337" s="252"/>
      <c r="E337" s="251"/>
      <c r="F337" s="245"/>
      <c r="G337" s="245"/>
      <c r="H337" s="245"/>
      <c r="I337" s="230"/>
    </row>
    <row r="338" spans="2:9" ht="15.75" customHeight="1" outlineLevel="2" x14ac:dyDescent="0.25">
      <c r="B338" s="506"/>
      <c r="C338" s="606"/>
      <c r="D338" s="607"/>
      <c r="E338" s="608"/>
      <c r="F338" s="609"/>
      <c r="G338" s="609"/>
      <c r="H338" s="609"/>
      <c r="I338" s="610"/>
    </row>
    <row r="339" spans="2:9" ht="15.75" customHeight="1" outlineLevel="2" x14ac:dyDescent="0.25">
      <c r="B339" s="506"/>
      <c r="C339" s="362"/>
      <c r="D339" s="252"/>
      <c r="E339" s="251"/>
      <c r="F339" s="245"/>
      <c r="G339" s="245"/>
      <c r="H339" s="245"/>
      <c r="I339" s="230"/>
    </row>
    <row r="340" spans="2:9" ht="15.75" customHeight="1" outlineLevel="2" x14ac:dyDescent="0.25">
      <c r="B340" s="506"/>
      <c r="C340" s="606"/>
      <c r="D340" s="607"/>
      <c r="E340" s="608"/>
      <c r="F340" s="609"/>
      <c r="G340" s="609"/>
      <c r="H340" s="609"/>
      <c r="I340" s="610"/>
    </row>
    <row r="341" spans="2:9" ht="15.75" customHeight="1" outlineLevel="2" x14ac:dyDescent="0.25">
      <c r="B341" s="506"/>
      <c r="C341" s="362"/>
      <c r="D341" s="252"/>
      <c r="E341" s="251"/>
      <c r="F341" s="245"/>
      <c r="G341" s="245"/>
      <c r="H341" s="245"/>
      <c r="I341" s="230"/>
    </row>
    <row r="342" spans="2:9" ht="15.75" customHeight="1" outlineLevel="2" x14ac:dyDescent="0.25">
      <c r="B342" s="506"/>
      <c r="C342" s="606"/>
      <c r="D342" s="607"/>
      <c r="E342" s="608"/>
      <c r="F342" s="609"/>
      <c r="G342" s="609"/>
      <c r="H342" s="609"/>
      <c r="I342" s="610"/>
    </row>
    <row r="343" spans="2:9" ht="15.75" customHeight="1" outlineLevel="2" x14ac:dyDescent="0.25">
      <c r="B343" s="506"/>
      <c r="C343" s="362"/>
      <c r="D343" s="252"/>
      <c r="E343" s="251"/>
      <c r="F343" s="245"/>
      <c r="G343" s="245"/>
      <c r="H343" s="245"/>
      <c r="I343" s="230"/>
    </row>
    <row r="344" spans="2:9" ht="15.75" customHeight="1" outlineLevel="2" x14ac:dyDescent="0.25">
      <c r="B344" s="506"/>
      <c r="C344" s="606"/>
      <c r="D344" s="607"/>
      <c r="E344" s="608"/>
      <c r="F344" s="609"/>
      <c r="G344" s="609"/>
      <c r="H344" s="609"/>
      <c r="I344" s="610"/>
    </row>
    <row r="345" spans="2:9" ht="15.75" customHeight="1" outlineLevel="2" x14ac:dyDescent="0.25">
      <c r="B345" s="506"/>
      <c r="C345" s="362"/>
      <c r="D345" s="252"/>
      <c r="E345" s="251"/>
      <c r="F345" s="245"/>
      <c r="G345" s="245"/>
      <c r="H345" s="245"/>
      <c r="I345" s="230"/>
    </row>
    <row r="346" spans="2:9" ht="15.75" customHeight="1" outlineLevel="2" x14ac:dyDescent="0.25">
      <c r="B346" s="506"/>
      <c r="C346" s="606"/>
      <c r="D346" s="607"/>
      <c r="E346" s="608"/>
      <c r="F346" s="609"/>
      <c r="G346" s="609"/>
      <c r="H346" s="609"/>
      <c r="I346" s="610"/>
    </row>
    <row r="347" spans="2:9" ht="15.75" customHeight="1" outlineLevel="2" x14ac:dyDescent="0.25">
      <c r="B347" s="506"/>
      <c r="C347" s="362"/>
      <c r="D347" s="252"/>
      <c r="E347" s="251"/>
      <c r="F347" s="245"/>
      <c r="G347" s="245"/>
      <c r="H347" s="245"/>
      <c r="I347" s="230"/>
    </row>
    <row r="348" spans="2:9" ht="15.75" customHeight="1" outlineLevel="2" x14ac:dyDescent="0.25">
      <c r="B348" s="506"/>
      <c r="C348" s="606"/>
      <c r="D348" s="607"/>
      <c r="E348" s="608"/>
      <c r="F348" s="609"/>
      <c r="G348" s="609"/>
      <c r="H348" s="609"/>
      <c r="I348" s="610"/>
    </row>
    <row r="349" spans="2:9" ht="15.75" customHeight="1" outlineLevel="2" x14ac:dyDescent="0.25">
      <c r="B349" s="506"/>
      <c r="C349" s="362"/>
      <c r="D349" s="252"/>
      <c r="E349" s="251"/>
      <c r="F349" s="245"/>
      <c r="G349" s="245"/>
      <c r="H349" s="245"/>
      <c r="I349" s="230"/>
    </row>
    <row r="350" spans="2:9" ht="15.75" customHeight="1" outlineLevel="2" x14ac:dyDescent="0.25">
      <c r="B350" s="506"/>
      <c r="C350" s="606"/>
      <c r="D350" s="607"/>
      <c r="E350" s="608"/>
      <c r="F350" s="609"/>
      <c r="G350" s="609"/>
      <c r="H350" s="609"/>
      <c r="I350" s="610"/>
    </row>
    <row r="351" spans="2:9" ht="15.75" customHeight="1" outlineLevel="2" x14ac:dyDescent="0.25">
      <c r="B351" s="612" t="s">
        <v>151</v>
      </c>
      <c r="C351" s="363"/>
      <c r="D351" s="254"/>
      <c r="E351" s="253"/>
      <c r="F351" s="247"/>
      <c r="G351" s="247"/>
      <c r="H351" s="247"/>
      <c r="I351" s="465"/>
    </row>
    <row r="352" spans="2:9" ht="15.75" customHeight="1" outlineLevel="2" x14ac:dyDescent="0.25">
      <c r="B352" s="513" t="s">
        <v>112</v>
      </c>
      <c r="C352" s="514">
        <f t="shared" ref="C352:I352" si="5">SUM(C301:C351)</f>
        <v>0</v>
      </c>
      <c r="D352" s="514">
        <f t="shared" si="5"/>
        <v>0</v>
      </c>
      <c r="E352" s="514">
        <f t="shared" si="5"/>
        <v>0</v>
      </c>
      <c r="F352" s="514">
        <f t="shared" si="5"/>
        <v>0</v>
      </c>
      <c r="G352" s="514">
        <f t="shared" si="5"/>
        <v>0</v>
      </c>
      <c r="H352" s="514">
        <f t="shared" si="5"/>
        <v>0</v>
      </c>
      <c r="I352" s="515">
        <f t="shared" si="5"/>
        <v>0</v>
      </c>
    </row>
    <row r="353" spans="1:9" ht="15.75" customHeight="1" outlineLevel="1" x14ac:dyDescent="0.25">
      <c r="B353" s="74"/>
    </row>
    <row r="354" spans="1:9" ht="15.75" customHeight="1" x14ac:dyDescent="0.25">
      <c r="B354" s="74"/>
    </row>
    <row r="355" spans="1:9" ht="15" customHeight="1" x14ac:dyDescent="0.25">
      <c r="B355" s="74"/>
    </row>
    <row r="356" spans="1:9" s="41" customFormat="1" ht="24" customHeight="1" x14ac:dyDescent="0.2">
      <c r="B356" s="31" t="s">
        <v>165</v>
      </c>
      <c r="C356" s="31"/>
      <c r="D356" s="31"/>
      <c r="E356" s="31"/>
      <c r="F356" s="31"/>
      <c r="G356" s="31"/>
      <c r="H356" s="31"/>
      <c r="I356" s="31"/>
    </row>
    <row r="357" spans="1:9" ht="27" customHeight="1" outlineLevel="1" x14ac:dyDescent="0.25">
      <c r="B357" s="235" t="s">
        <v>166</v>
      </c>
      <c r="C357" s="236"/>
      <c r="D357" s="236"/>
      <c r="E357" s="236"/>
      <c r="F357" s="236"/>
      <c r="G357" s="236"/>
      <c r="H357" s="236"/>
      <c r="I357" s="236"/>
    </row>
    <row r="358" spans="1:9" s="41" customFormat="1" outlineLevel="2" x14ac:dyDescent="0.2">
      <c r="A358" s="276"/>
      <c r="C358" s="1335" t="s">
        <v>148</v>
      </c>
      <c r="D358" s="1336"/>
      <c r="E358" s="1336"/>
      <c r="F358" s="1336"/>
      <c r="G358" s="1336"/>
      <c r="H358" s="1336"/>
      <c r="I358" s="1337"/>
    </row>
    <row r="359" spans="1:9" s="41" customFormat="1" outlineLevel="2" x14ac:dyDescent="0.2">
      <c r="A359" s="276"/>
      <c r="C359" s="1328" t="s">
        <v>149</v>
      </c>
      <c r="D359" s="1329"/>
      <c r="E359" s="1329"/>
      <c r="F359" s="1329"/>
      <c r="G359" s="1329"/>
      <c r="H359" s="1329"/>
      <c r="I359" s="1330"/>
    </row>
    <row r="360" spans="1:9" s="41" customFormat="1" ht="15" customHeight="1" outlineLevel="2" x14ac:dyDescent="0.25">
      <c r="A360" s="276"/>
      <c r="B360" s="77"/>
      <c r="C360" s="386" t="str">
        <f ca="1">dms_y1</f>
        <v>2024-25</v>
      </c>
      <c r="D360" s="291" t="str">
        <f ca="1">dms_y2</f>
        <v>2025-26</v>
      </c>
      <c r="E360" s="290" t="str">
        <f ca="1">dms_y3</f>
        <v>2026-27</v>
      </c>
      <c r="F360" s="290" t="str">
        <f ca="1">dms_y4</f>
        <v>2027-28</v>
      </c>
      <c r="G360" s="290" t="str">
        <f ca="1">dms_y5</f>
        <v>2028-29</v>
      </c>
      <c r="H360" s="290" t="str">
        <f ca="1">dms_y6</f>
        <v>2029-30</v>
      </c>
      <c r="I360" s="387" t="str">
        <f ca="1">dms_y7</f>
        <v>2030-31</v>
      </c>
    </row>
    <row r="361" spans="1:9" ht="15.75" customHeight="1" outlineLevel="2" x14ac:dyDescent="0.25">
      <c r="B361" s="506" t="s">
        <v>163</v>
      </c>
      <c r="C361" s="348">
        <v>0</v>
      </c>
      <c r="D361" s="250">
        <v>0</v>
      </c>
      <c r="E361" s="249">
        <v>0</v>
      </c>
      <c r="F361" s="242">
        <v>0</v>
      </c>
      <c r="G361" s="242">
        <v>0</v>
      </c>
      <c r="H361" s="242">
        <v>0</v>
      </c>
      <c r="I361" s="243">
        <v>0</v>
      </c>
    </row>
    <row r="362" spans="1:9" ht="15.75" customHeight="1" outlineLevel="2" x14ac:dyDescent="0.25">
      <c r="B362" s="506"/>
      <c r="C362" s="606"/>
      <c r="D362" s="607"/>
      <c r="E362" s="608"/>
      <c r="F362" s="609"/>
      <c r="G362" s="609"/>
      <c r="H362" s="609"/>
      <c r="I362" s="610"/>
    </row>
    <row r="363" spans="1:9" ht="15.75" customHeight="1" outlineLevel="2" x14ac:dyDescent="0.25">
      <c r="B363" s="506"/>
      <c r="C363" s="362"/>
      <c r="D363" s="252"/>
      <c r="E363" s="251"/>
      <c r="F363" s="245"/>
      <c r="G363" s="245"/>
      <c r="H363" s="245"/>
      <c r="I363" s="230"/>
    </row>
    <row r="364" spans="1:9" ht="15.75" customHeight="1" outlineLevel="2" x14ac:dyDescent="0.25">
      <c r="B364" s="506"/>
      <c r="C364" s="606"/>
      <c r="D364" s="607"/>
      <c r="E364" s="608"/>
      <c r="F364" s="609"/>
      <c r="G364" s="609"/>
      <c r="H364" s="609"/>
      <c r="I364" s="610"/>
    </row>
    <row r="365" spans="1:9" ht="15.75" customHeight="1" outlineLevel="2" x14ac:dyDescent="0.25">
      <c r="B365" s="506"/>
      <c r="C365" s="362"/>
      <c r="D365" s="252"/>
      <c r="E365" s="251"/>
      <c r="F365" s="245"/>
      <c r="G365" s="245"/>
      <c r="H365" s="245"/>
      <c r="I365" s="230"/>
    </row>
    <row r="366" spans="1:9" ht="15.75" customHeight="1" outlineLevel="2" x14ac:dyDescent="0.25">
      <c r="B366" s="506"/>
      <c r="C366" s="606"/>
      <c r="D366" s="607"/>
      <c r="E366" s="608"/>
      <c r="F366" s="609"/>
      <c r="G366" s="609"/>
      <c r="H366" s="609"/>
      <c r="I366" s="610"/>
    </row>
    <row r="367" spans="1:9" ht="15.75" customHeight="1" outlineLevel="2" x14ac:dyDescent="0.25">
      <c r="B367" s="506"/>
      <c r="C367" s="362"/>
      <c r="D367" s="252"/>
      <c r="E367" s="251"/>
      <c r="F367" s="245"/>
      <c r="G367" s="245"/>
      <c r="H367" s="245"/>
      <c r="I367" s="230"/>
    </row>
    <row r="368" spans="1:9" ht="15.75" customHeight="1" outlineLevel="2" x14ac:dyDescent="0.25">
      <c r="B368" s="506"/>
      <c r="C368" s="606"/>
      <c r="D368" s="607"/>
      <c r="E368" s="608"/>
      <c r="F368" s="609"/>
      <c r="G368" s="609"/>
      <c r="H368" s="609"/>
      <c r="I368" s="610"/>
    </row>
    <row r="369" spans="2:9" ht="15.75" customHeight="1" outlineLevel="2" x14ac:dyDescent="0.25">
      <c r="B369" s="506"/>
      <c r="C369" s="362"/>
      <c r="D369" s="252"/>
      <c r="E369" s="251"/>
      <c r="F369" s="245"/>
      <c r="G369" s="245"/>
      <c r="H369" s="245"/>
      <c r="I369" s="230"/>
    </row>
    <row r="370" spans="2:9" ht="15.75" customHeight="1" outlineLevel="2" x14ac:dyDescent="0.25">
      <c r="B370" s="506"/>
      <c r="C370" s="606"/>
      <c r="D370" s="607"/>
      <c r="E370" s="608"/>
      <c r="F370" s="609"/>
      <c r="G370" s="609"/>
      <c r="H370" s="609"/>
      <c r="I370" s="610"/>
    </row>
    <row r="371" spans="2:9" ht="15.75" customHeight="1" outlineLevel="2" x14ac:dyDescent="0.25">
      <c r="B371" s="506"/>
      <c r="C371" s="362"/>
      <c r="D371" s="252"/>
      <c r="E371" s="251"/>
      <c r="F371" s="245"/>
      <c r="G371" s="245"/>
      <c r="H371" s="245"/>
      <c r="I371" s="230"/>
    </row>
    <row r="372" spans="2:9" ht="15.75" customHeight="1" outlineLevel="2" x14ac:dyDescent="0.25">
      <c r="B372" s="506"/>
      <c r="C372" s="606"/>
      <c r="D372" s="607"/>
      <c r="E372" s="608"/>
      <c r="F372" s="609"/>
      <c r="G372" s="609"/>
      <c r="H372" s="609"/>
      <c r="I372" s="610"/>
    </row>
    <row r="373" spans="2:9" ht="15.75" customHeight="1" outlineLevel="2" x14ac:dyDescent="0.25">
      <c r="B373" s="506"/>
      <c r="C373" s="362"/>
      <c r="D373" s="252"/>
      <c r="E373" s="251"/>
      <c r="F373" s="245"/>
      <c r="G373" s="245"/>
      <c r="H373" s="245"/>
      <c r="I373" s="230"/>
    </row>
    <row r="374" spans="2:9" ht="15.75" customHeight="1" outlineLevel="2" x14ac:dyDescent="0.25">
      <c r="B374" s="506"/>
      <c r="C374" s="606"/>
      <c r="D374" s="607"/>
      <c r="E374" s="608"/>
      <c r="F374" s="609"/>
      <c r="G374" s="609"/>
      <c r="H374" s="609"/>
      <c r="I374" s="610"/>
    </row>
    <row r="375" spans="2:9" ht="15.75" customHeight="1" outlineLevel="2" x14ac:dyDescent="0.25">
      <c r="B375" s="506"/>
      <c r="C375" s="362"/>
      <c r="D375" s="252"/>
      <c r="E375" s="251"/>
      <c r="F375" s="245"/>
      <c r="G375" s="245"/>
      <c r="H375" s="245"/>
      <c r="I375" s="230"/>
    </row>
    <row r="376" spans="2:9" ht="15.75" customHeight="1" outlineLevel="2" x14ac:dyDescent="0.25">
      <c r="B376" s="506"/>
      <c r="C376" s="606"/>
      <c r="D376" s="607"/>
      <c r="E376" s="608"/>
      <c r="F376" s="609"/>
      <c r="G376" s="609"/>
      <c r="H376" s="609"/>
      <c r="I376" s="610"/>
    </row>
    <row r="377" spans="2:9" ht="15.75" customHeight="1" outlineLevel="2" x14ac:dyDescent="0.25">
      <c r="B377" s="506"/>
      <c r="C377" s="362"/>
      <c r="D377" s="252"/>
      <c r="E377" s="251"/>
      <c r="F377" s="245"/>
      <c r="G377" s="245"/>
      <c r="H377" s="245"/>
      <c r="I377" s="230"/>
    </row>
    <row r="378" spans="2:9" ht="15.75" customHeight="1" outlineLevel="2" x14ac:dyDescent="0.25">
      <c r="B378" s="506"/>
      <c r="C378" s="606"/>
      <c r="D378" s="607"/>
      <c r="E378" s="608"/>
      <c r="F378" s="609"/>
      <c r="G378" s="609"/>
      <c r="H378" s="609"/>
      <c r="I378" s="610"/>
    </row>
    <row r="379" spans="2:9" ht="15.75" customHeight="1" outlineLevel="2" x14ac:dyDescent="0.25">
      <c r="B379" s="506"/>
      <c r="C379" s="362"/>
      <c r="D379" s="252"/>
      <c r="E379" s="251"/>
      <c r="F379" s="245"/>
      <c r="G379" s="245"/>
      <c r="H379" s="245"/>
      <c r="I379" s="230"/>
    </row>
    <row r="380" spans="2:9" ht="15.75" customHeight="1" outlineLevel="2" x14ac:dyDescent="0.25">
      <c r="B380" s="506"/>
      <c r="C380" s="606"/>
      <c r="D380" s="607"/>
      <c r="E380" s="608"/>
      <c r="F380" s="609"/>
      <c r="G380" s="609"/>
      <c r="H380" s="609"/>
      <c r="I380" s="610"/>
    </row>
    <row r="381" spans="2:9" ht="15.75" customHeight="1" outlineLevel="2" x14ac:dyDescent="0.25">
      <c r="B381" s="506"/>
      <c r="C381" s="362"/>
      <c r="D381" s="252"/>
      <c r="E381" s="251"/>
      <c r="F381" s="245"/>
      <c r="G381" s="245"/>
      <c r="H381" s="245"/>
      <c r="I381" s="230"/>
    </row>
    <row r="382" spans="2:9" ht="15.75" customHeight="1" outlineLevel="2" x14ac:dyDescent="0.25">
      <c r="B382" s="506"/>
      <c r="C382" s="606"/>
      <c r="D382" s="607"/>
      <c r="E382" s="608"/>
      <c r="F382" s="609"/>
      <c r="G382" s="609"/>
      <c r="H382" s="609"/>
      <c r="I382" s="610"/>
    </row>
    <row r="383" spans="2:9" ht="15.75" customHeight="1" outlineLevel="2" x14ac:dyDescent="0.25">
      <c r="B383" s="506"/>
      <c r="C383" s="362"/>
      <c r="D383" s="252"/>
      <c r="E383" s="251"/>
      <c r="F383" s="245"/>
      <c r="G383" s="245"/>
      <c r="H383" s="245"/>
      <c r="I383" s="230"/>
    </row>
    <row r="384" spans="2:9" ht="15.75" customHeight="1" outlineLevel="2" x14ac:dyDescent="0.25">
      <c r="B384" s="506"/>
      <c r="C384" s="606"/>
      <c r="D384" s="607"/>
      <c r="E384" s="608"/>
      <c r="F384" s="609"/>
      <c r="G384" s="609"/>
      <c r="H384" s="609"/>
      <c r="I384" s="610"/>
    </row>
    <row r="385" spans="2:9" ht="15.75" customHeight="1" outlineLevel="2" x14ac:dyDescent="0.25">
      <c r="B385" s="506"/>
      <c r="C385" s="362"/>
      <c r="D385" s="252"/>
      <c r="E385" s="251"/>
      <c r="F385" s="245"/>
      <c r="G385" s="245"/>
      <c r="H385" s="245"/>
      <c r="I385" s="230"/>
    </row>
    <row r="386" spans="2:9" ht="15.75" customHeight="1" outlineLevel="2" x14ac:dyDescent="0.25">
      <c r="B386" s="506"/>
      <c r="C386" s="606"/>
      <c r="D386" s="607"/>
      <c r="E386" s="608"/>
      <c r="F386" s="609"/>
      <c r="G386" s="609"/>
      <c r="H386" s="609"/>
      <c r="I386" s="610"/>
    </row>
    <row r="387" spans="2:9" ht="15.75" customHeight="1" outlineLevel="2" x14ac:dyDescent="0.25">
      <c r="B387" s="506"/>
      <c r="C387" s="362"/>
      <c r="D387" s="252"/>
      <c r="E387" s="251"/>
      <c r="F387" s="245"/>
      <c r="G387" s="245"/>
      <c r="H387" s="245"/>
      <c r="I387" s="230"/>
    </row>
    <row r="388" spans="2:9" ht="15.75" customHeight="1" outlineLevel="2" x14ac:dyDescent="0.25">
      <c r="B388" s="506"/>
      <c r="C388" s="606"/>
      <c r="D388" s="607"/>
      <c r="E388" s="608"/>
      <c r="F388" s="609"/>
      <c r="G388" s="609"/>
      <c r="H388" s="609"/>
      <c r="I388" s="610"/>
    </row>
    <row r="389" spans="2:9" ht="15.75" customHeight="1" outlineLevel="2" x14ac:dyDescent="0.25">
      <c r="B389" s="506"/>
      <c r="C389" s="362"/>
      <c r="D389" s="252"/>
      <c r="E389" s="251"/>
      <c r="F389" s="245"/>
      <c r="G389" s="245"/>
      <c r="H389" s="245"/>
      <c r="I389" s="230"/>
    </row>
    <row r="390" spans="2:9" ht="15.75" customHeight="1" outlineLevel="2" x14ac:dyDescent="0.25">
      <c r="B390" s="506"/>
      <c r="C390" s="606"/>
      <c r="D390" s="607"/>
      <c r="E390" s="608"/>
      <c r="F390" s="609"/>
      <c r="G390" s="609"/>
      <c r="H390" s="609"/>
      <c r="I390" s="610"/>
    </row>
    <row r="391" spans="2:9" ht="15.75" customHeight="1" outlineLevel="2" x14ac:dyDescent="0.25">
      <c r="B391" s="506"/>
      <c r="C391" s="362"/>
      <c r="D391" s="252"/>
      <c r="E391" s="251"/>
      <c r="F391" s="245"/>
      <c r="G391" s="245"/>
      <c r="H391" s="245"/>
      <c r="I391" s="230"/>
    </row>
    <row r="392" spans="2:9" ht="15.75" customHeight="1" outlineLevel="2" x14ac:dyDescent="0.25">
      <c r="B392" s="506"/>
      <c r="C392" s="606"/>
      <c r="D392" s="607"/>
      <c r="E392" s="608"/>
      <c r="F392" s="609"/>
      <c r="G392" s="609"/>
      <c r="H392" s="609"/>
      <c r="I392" s="610"/>
    </row>
    <row r="393" spans="2:9" ht="15.75" customHeight="1" outlineLevel="2" x14ac:dyDescent="0.25">
      <c r="B393" s="506"/>
      <c r="C393" s="362"/>
      <c r="D393" s="252"/>
      <c r="E393" s="251"/>
      <c r="F393" s="245"/>
      <c r="G393" s="245"/>
      <c r="H393" s="245"/>
      <c r="I393" s="230"/>
    </row>
    <row r="394" spans="2:9" ht="15.75" customHeight="1" outlineLevel="2" x14ac:dyDescent="0.25">
      <c r="B394" s="506"/>
      <c r="C394" s="606"/>
      <c r="D394" s="607"/>
      <c r="E394" s="608"/>
      <c r="F394" s="609"/>
      <c r="G394" s="609"/>
      <c r="H394" s="609"/>
      <c r="I394" s="610"/>
    </row>
    <row r="395" spans="2:9" ht="15.75" customHeight="1" outlineLevel="2" x14ac:dyDescent="0.25">
      <c r="B395" s="506"/>
      <c r="C395" s="362"/>
      <c r="D395" s="252"/>
      <c r="E395" s="251"/>
      <c r="F395" s="245"/>
      <c r="G395" s="245"/>
      <c r="H395" s="245"/>
      <c r="I395" s="230"/>
    </row>
    <row r="396" spans="2:9" ht="15.75" customHeight="1" outlineLevel="2" x14ac:dyDescent="0.25">
      <c r="B396" s="506"/>
      <c r="C396" s="606"/>
      <c r="D396" s="607"/>
      <c r="E396" s="608"/>
      <c r="F396" s="609"/>
      <c r="G396" s="609"/>
      <c r="H396" s="609"/>
      <c r="I396" s="610"/>
    </row>
    <row r="397" spans="2:9" ht="15.75" customHeight="1" outlineLevel="2" x14ac:dyDescent="0.25">
      <c r="B397" s="506"/>
      <c r="C397" s="362"/>
      <c r="D397" s="252"/>
      <c r="E397" s="251"/>
      <c r="F397" s="245"/>
      <c r="G397" s="245"/>
      <c r="H397" s="245"/>
      <c r="I397" s="230"/>
    </row>
    <row r="398" spans="2:9" ht="15.75" customHeight="1" outlineLevel="2" x14ac:dyDescent="0.25">
      <c r="B398" s="506"/>
      <c r="C398" s="606"/>
      <c r="D398" s="607"/>
      <c r="E398" s="608"/>
      <c r="F398" s="609"/>
      <c r="G398" s="609"/>
      <c r="H398" s="609"/>
      <c r="I398" s="610"/>
    </row>
    <row r="399" spans="2:9" ht="15.75" customHeight="1" outlineLevel="2" x14ac:dyDescent="0.25">
      <c r="B399" s="506"/>
      <c r="C399" s="362"/>
      <c r="D399" s="252"/>
      <c r="E399" s="251"/>
      <c r="F399" s="245"/>
      <c r="G399" s="245"/>
      <c r="H399" s="245"/>
      <c r="I399" s="230"/>
    </row>
    <row r="400" spans="2:9" ht="15.75" customHeight="1" outlineLevel="2" x14ac:dyDescent="0.25">
      <c r="B400" s="506"/>
      <c r="C400" s="606"/>
      <c r="D400" s="607"/>
      <c r="E400" s="608"/>
      <c r="F400" s="609"/>
      <c r="G400" s="609"/>
      <c r="H400" s="609"/>
      <c r="I400" s="610"/>
    </row>
    <row r="401" spans="1:9" ht="15.75" customHeight="1" outlineLevel="2" x14ac:dyDescent="0.25">
      <c r="B401" s="506"/>
      <c r="C401" s="362"/>
      <c r="D401" s="252"/>
      <c r="E401" s="251"/>
      <c r="F401" s="245"/>
      <c r="G401" s="245"/>
      <c r="H401" s="245"/>
      <c r="I401" s="230"/>
    </row>
    <row r="402" spans="1:9" ht="15.75" customHeight="1" outlineLevel="2" x14ac:dyDescent="0.25">
      <c r="B402" s="506"/>
      <c r="C402" s="606"/>
      <c r="D402" s="607"/>
      <c r="E402" s="608"/>
      <c r="F402" s="609"/>
      <c r="G402" s="609"/>
      <c r="H402" s="609"/>
      <c r="I402" s="610"/>
    </row>
    <row r="403" spans="1:9" ht="15.75" customHeight="1" outlineLevel="2" x14ac:dyDescent="0.25">
      <c r="B403" s="506"/>
      <c r="C403" s="362"/>
      <c r="D403" s="252"/>
      <c r="E403" s="251"/>
      <c r="F403" s="245"/>
      <c r="G403" s="245"/>
      <c r="H403" s="245"/>
      <c r="I403" s="230"/>
    </row>
    <row r="404" spans="1:9" ht="15.75" customHeight="1" outlineLevel="2" x14ac:dyDescent="0.25">
      <c r="B404" s="506"/>
      <c r="C404" s="606"/>
      <c r="D404" s="607"/>
      <c r="E404" s="608"/>
      <c r="F404" s="609"/>
      <c r="G404" s="609"/>
      <c r="H404" s="609"/>
      <c r="I404" s="610"/>
    </row>
    <row r="405" spans="1:9" ht="15.75" customHeight="1" outlineLevel="2" x14ac:dyDescent="0.25">
      <c r="B405" s="506"/>
      <c r="C405" s="362"/>
      <c r="D405" s="252"/>
      <c r="E405" s="251"/>
      <c r="F405" s="245"/>
      <c r="G405" s="245"/>
      <c r="H405" s="245"/>
      <c r="I405" s="230"/>
    </row>
    <row r="406" spans="1:9" ht="15.75" customHeight="1" outlineLevel="2" x14ac:dyDescent="0.25">
      <c r="B406" s="506"/>
      <c r="C406" s="606"/>
      <c r="D406" s="607"/>
      <c r="E406" s="608"/>
      <c r="F406" s="609"/>
      <c r="G406" s="609"/>
      <c r="H406" s="609"/>
      <c r="I406" s="610"/>
    </row>
    <row r="407" spans="1:9" ht="15.75" customHeight="1" outlineLevel="2" x14ac:dyDescent="0.25">
      <c r="B407" s="506"/>
      <c r="C407" s="362"/>
      <c r="D407" s="252"/>
      <c r="E407" s="251"/>
      <c r="F407" s="245"/>
      <c r="G407" s="245"/>
      <c r="H407" s="245"/>
      <c r="I407" s="230"/>
    </row>
    <row r="408" spans="1:9" ht="15.75" customHeight="1" outlineLevel="2" x14ac:dyDescent="0.25">
      <c r="B408" s="506"/>
      <c r="C408" s="606"/>
      <c r="D408" s="607"/>
      <c r="E408" s="608"/>
      <c r="F408" s="609"/>
      <c r="G408" s="609"/>
      <c r="H408" s="609"/>
      <c r="I408" s="610"/>
    </row>
    <row r="409" spans="1:9" ht="15.75" customHeight="1" outlineLevel="2" x14ac:dyDescent="0.25">
      <c r="B409" s="506"/>
      <c r="C409" s="362"/>
      <c r="D409" s="252"/>
      <c r="E409" s="251"/>
      <c r="F409" s="245"/>
      <c r="G409" s="245"/>
      <c r="H409" s="245"/>
      <c r="I409" s="230"/>
    </row>
    <row r="410" spans="1:9" ht="15.75" customHeight="1" outlineLevel="2" x14ac:dyDescent="0.25">
      <c r="B410" s="506"/>
      <c r="C410" s="606"/>
      <c r="D410" s="607"/>
      <c r="E410" s="608"/>
      <c r="F410" s="609"/>
      <c r="G410" s="609"/>
      <c r="H410" s="609"/>
      <c r="I410" s="610"/>
    </row>
    <row r="411" spans="1:9" ht="15.75" customHeight="1" outlineLevel="2" x14ac:dyDescent="0.25">
      <c r="B411" s="612" t="s">
        <v>151</v>
      </c>
      <c r="C411" s="363">
        <v>0</v>
      </c>
      <c r="D411" s="254">
        <v>0</v>
      </c>
      <c r="E411" s="253">
        <v>0</v>
      </c>
      <c r="F411" s="247">
        <v>0</v>
      </c>
      <c r="G411" s="247">
        <v>0</v>
      </c>
      <c r="H411" s="247">
        <v>0</v>
      </c>
      <c r="I411" s="465">
        <v>0</v>
      </c>
    </row>
    <row r="412" spans="1:9" ht="15.75" customHeight="1" outlineLevel="2" x14ac:dyDescent="0.25">
      <c r="B412" s="513" t="s">
        <v>112</v>
      </c>
      <c r="C412" s="514">
        <f t="shared" ref="C412:I412" si="6">SUM(C361:C411)</f>
        <v>0</v>
      </c>
      <c r="D412" s="514">
        <f t="shared" si="6"/>
        <v>0</v>
      </c>
      <c r="E412" s="514">
        <f t="shared" si="6"/>
        <v>0</v>
      </c>
      <c r="F412" s="514">
        <f t="shared" si="6"/>
        <v>0</v>
      </c>
      <c r="G412" s="514">
        <f t="shared" si="6"/>
        <v>0</v>
      </c>
      <c r="H412" s="514">
        <f t="shared" si="6"/>
        <v>0</v>
      </c>
      <c r="I412" s="515">
        <f t="shared" si="6"/>
        <v>0</v>
      </c>
    </row>
    <row r="413" spans="1:9" ht="15" customHeight="1" outlineLevel="1" x14ac:dyDescent="0.25">
      <c r="B413" s="74"/>
    </row>
    <row r="414" spans="1:9" ht="20.25" customHeight="1" outlineLevel="1" x14ac:dyDescent="0.25">
      <c r="B414" s="235" t="s">
        <v>152</v>
      </c>
      <c r="C414" s="236"/>
      <c r="D414" s="236"/>
      <c r="E414" s="236"/>
      <c r="F414" s="236"/>
      <c r="G414" s="236"/>
      <c r="H414" s="236"/>
      <c r="I414" s="236"/>
    </row>
    <row r="415" spans="1:9" s="41" customFormat="1" outlineLevel="2" x14ac:dyDescent="0.2">
      <c r="A415" s="276"/>
      <c r="C415" s="1335" t="s">
        <v>148</v>
      </c>
      <c r="D415" s="1336"/>
      <c r="E415" s="1336"/>
      <c r="F415" s="1336"/>
      <c r="G415" s="1336"/>
      <c r="H415" s="1336"/>
      <c r="I415" s="1337"/>
    </row>
    <row r="416" spans="1:9" s="41" customFormat="1" outlineLevel="2" x14ac:dyDescent="0.2">
      <c r="A416" s="276"/>
      <c r="C416" s="1328" t="s">
        <v>149</v>
      </c>
      <c r="D416" s="1329"/>
      <c r="E416" s="1329"/>
      <c r="F416" s="1329"/>
      <c r="G416" s="1329"/>
      <c r="H416" s="1329"/>
      <c r="I416" s="1330"/>
    </row>
    <row r="417" spans="1:9" s="41" customFormat="1" ht="15" customHeight="1" outlineLevel="2" x14ac:dyDescent="0.25">
      <c r="A417" s="276"/>
      <c r="B417" s="77"/>
      <c r="C417" s="386" t="str">
        <f ca="1">dms_y1</f>
        <v>2024-25</v>
      </c>
      <c r="D417" s="291" t="str">
        <f ca="1">dms_y2</f>
        <v>2025-26</v>
      </c>
      <c r="E417" s="290" t="str">
        <f ca="1">dms_y3</f>
        <v>2026-27</v>
      </c>
      <c r="F417" s="290" t="str">
        <f ca="1">dms_y4</f>
        <v>2027-28</v>
      </c>
      <c r="G417" s="290" t="str">
        <f ca="1">dms_y5</f>
        <v>2028-29</v>
      </c>
      <c r="H417" s="290" t="str">
        <f ca="1">dms_y6</f>
        <v>2029-30</v>
      </c>
      <c r="I417" s="387" t="str">
        <f ca="1">dms_y7</f>
        <v>2030-31</v>
      </c>
    </row>
    <row r="418" spans="1:9" ht="15.75" customHeight="1" outlineLevel="2" x14ac:dyDescent="0.25">
      <c r="B418" s="506" t="s">
        <v>163</v>
      </c>
      <c r="C418" s="348">
        <v>0</v>
      </c>
      <c r="D418" s="250">
        <v>0</v>
      </c>
      <c r="E418" s="249">
        <v>0</v>
      </c>
      <c r="F418" s="242">
        <v>0</v>
      </c>
      <c r="G418" s="242">
        <v>0</v>
      </c>
      <c r="H418" s="242" t="s">
        <v>167</v>
      </c>
      <c r="I418" s="243">
        <v>0</v>
      </c>
    </row>
    <row r="419" spans="1:9" ht="15.75" customHeight="1" outlineLevel="2" x14ac:dyDescent="0.25">
      <c r="B419" s="506"/>
      <c r="C419" s="606"/>
      <c r="D419" s="607"/>
      <c r="E419" s="608"/>
      <c r="F419" s="609"/>
      <c r="G419" s="609"/>
      <c r="H419" s="609"/>
      <c r="I419" s="610"/>
    </row>
    <row r="420" spans="1:9" ht="15.75" customHeight="1" outlineLevel="2" x14ac:dyDescent="0.25">
      <c r="B420" s="506"/>
      <c r="C420" s="362"/>
      <c r="D420" s="252"/>
      <c r="E420" s="251"/>
      <c r="F420" s="245"/>
      <c r="G420" s="245"/>
      <c r="H420" s="245"/>
      <c r="I420" s="230"/>
    </row>
    <row r="421" spans="1:9" ht="15.75" customHeight="1" outlineLevel="2" x14ac:dyDescent="0.25">
      <c r="B421" s="506"/>
      <c r="C421" s="606"/>
      <c r="D421" s="607"/>
      <c r="E421" s="608"/>
      <c r="F421" s="609"/>
      <c r="G421" s="609"/>
      <c r="H421" s="609"/>
      <c r="I421" s="610"/>
    </row>
    <row r="422" spans="1:9" ht="15.75" customHeight="1" outlineLevel="2" x14ac:dyDescent="0.25">
      <c r="B422" s="506"/>
      <c r="C422" s="362"/>
      <c r="D422" s="252"/>
      <c r="E422" s="251"/>
      <c r="F422" s="245"/>
      <c r="G422" s="245"/>
      <c r="H422" s="245"/>
      <c r="I422" s="230"/>
    </row>
    <row r="423" spans="1:9" ht="15.75" customHeight="1" outlineLevel="2" x14ac:dyDescent="0.25">
      <c r="B423" s="506"/>
      <c r="C423" s="606"/>
      <c r="D423" s="607"/>
      <c r="E423" s="608"/>
      <c r="F423" s="609"/>
      <c r="G423" s="609"/>
      <c r="H423" s="609"/>
      <c r="I423" s="610"/>
    </row>
    <row r="424" spans="1:9" ht="15.75" customHeight="1" outlineLevel="2" x14ac:dyDescent="0.25">
      <c r="B424" s="506"/>
      <c r="C424" s="362"/>
      <c r="D424" s="252"/>
      <c r="E424" s="251"/>
      <c r="F424" s="245"/>
      <c r="G424" s="245"/>
      <c r="H424" s="245"/>
      <c r="I424" s="230"/>
    </row>
    <row r="425" spans="1:9" ht="15.75" customHeight="1" outlineLevel="2" x14ac:dyDescent="0.25">
      <c r="B425" s="506"/>
      <c r="C425" s="606"/>
      <c r="D425" s="607"/>
      <c r="E425" s="608"/>
      <c r="F425" s="609"/>
      <c r="G425" s="609"/>
      <c r="H425" s="609"/>
      <c r="I425" s="610"/>
    </row>
    <row r="426" spans="1:9" ht="15.75" customHeight="1" outlineLevel="2" x14ac:dyDescent="0.25">
      <c r="B426" s="506"/>
      <c r="C426" s="362"/>
      <c r="D426" s="252"/>
      <c r="E426" s="251"/>
      <c r="F426" s="245"/>
      <c r="G426" s="245"/>
      <c r="H426" s="245"/>
      <c r="I426" s="230"/>
    </row>
    <row r="427" spans="1:9" ht="15.75" customHeight="1" outlineLevel="2" x14ac:dyDescent="0.25">
      <c r="B427" s="506"/>
      <c r="C427" s="606"/>
      <c r="D427" s="607"/>
      <c r="E427" s="608"/>
      <c r="F427" s="609"/>
      <c r="G427" s="609"/>
      <c r="H427" s="609"/>
      <c r="I427" s="610"/>
    </row>
    <row r="428" spans="1:9" ht="15.75" customHeight="1" outlineLevel="2" x14ac:dyDescent="0.25">
      <c r="B428" s="506"/>
      <c r="C428" s="362"/>
      <c r="D428" s="252"/>
      <c r="E428" s="251"/>
      <c r="F428" s="245"/>
      <c r="G428" s="245"/>
      <c r="H428" s="245"/>
      <c r="I428" s="230"/>
    </row>
    <row r="429" spans="1:9" ht="15.75" customHeight="1" outlineLevel="2" x14ac:dyDescent="0.25">
      <c r="B429" s="506"/>
      <c r="C429" s="606"/>
      <c r="D429" s="607"/>
      <c r="E429" s="608"/>
      <c r="F429" s="609"/>
      <c r="G429" s="609"/>
      <c r="H429" s="609"/>
      <c r="I429" s="610"/>
    </row>
    <row r="430" spans="1:9" ht="15.75" customHeight="1" outlineLevel="2" x14ac:dyDescent="0.25">
      <c r="B430" s="506"/>
      <c r="C430" s="362"/>
      <c r="D430" s="252"/>
      <c r="E430" s="251"/>
      <c r="F430" s="245"/>
      <c r="G430" s="245"/>
      <c r="H430" s="245"/>
      <c r="I430" s="230"/>
    </row>
    <row r="431" spans="1:9" ht="15.75" customHeight="1" outlineLevel="2" x14ac:dyDescent="0.25">
      <c r="B431" s="506"/>
      <c r="C431" s="606"/>
      <c r="D431" s="607"/>
      <c r="E431" s="608"/>
      <c r="F431" s="609"/>
      <c r="G431" s="609"/>
      <c r="H431" s="609"/>
      <c r="I431" s="610"/>
    </row>
    <row r="432" spans="1:9" ht="15.75" customHeight="1" outlineLevel="2" x14ac:dyDescent="0.25">
      <c r="B432" s="506"/>
      <c r="C432" s="362"/>
      <c r="D432" s="252"/>
      <c r="E432" s="251"/>
      <c r="F432" s="245"/>
      <c r="G432" s="245"/>
      <c r="H432" s="245"/>
      <c r="I432" s="230"/>
    </row>
    <row r="433" spans="2:9" ht="15.75" customHeight="1" outlineLevel="2" x14ac:dyDescent="0.25">
      <c r="B433" s="506"/>
      <c r="C433" s="606"/>
      <c r="D433" s="607"/>
      <c r="E433" s="608"/>
      <c r="F433" s="609"/>
      <c r="G433" s="609"/>
      <c r="H433" s="609"/>
      <c r="I433" s="610"/>
    </row>
    <row r="434" spans="2:9" ht="15.75" customHeight="1" outlineLevel="2" x14ac:dyDescent="0.25">
      <c r="B434" s="506"/>
      <c r="C434" s="362"/>
      <c r="D434" s="252"/>
      <c r="E434" s="251"/>
      <c r="F434" s="245"/>
      <c r="G434" s="245"/>
      <c r="H434" s="245"/>
      <c r="I434" s="230"/>
    </row>
    <row r="435" spans="2:9" ht="15.75" customHeight="1" outlineLevel="2" x14ac:dyDescent="0.25">
      <c r="B435" s="506"/>
      <c r="C435" s="606"/>
      <c r="D435" s="607"/>
      <c r="E435" s="608"/>
      <c r="F435" s="609"/>
      <c r="G435" s="609"/>
      <c r="H435" s="609"/>
      <c r="I435" s="610"/>
    </row>
    <row r="436" spans="2:9" ht="15.75" customHeight="1" outlineLevel="2" x14ac:dyDescent="0.25">
      <c r="B436" s="506"/>
      <c r="C436" s="362"/>
      <c r="D436" s="252"/>
      <c r="E436" s="251"/>
      <c r="F436" s="245"/>
      <c r="G436" s="245"/>
      <c r="H436" s="245"/>
      <c r="I436" s="230"/>
    </row>
    <row r="437" spans="2:9" ht="15.75" customHeight="1" outlineLevel="2" x14ac:dyDescent="0.25">
      <c r="B437" s="506"/>
      <c r="C437" s="606"/>
      <c r="D437" s="607"/>
      <c r="E437" s="608"/>
      <c r="F437" s="609"/>
      <c r="G437" s="609"/>
      <c r="H437" s="609"/>
      <c r="I437" s="610"/>
    </row>
    <row r="438" spans="2:9" ht="15.75" customHeight="1" outlineLevel="2" x14ac:dyDescent="0.25">
      <c r="B438" s="506"/>
      <c r="C438" s="362"/>
      <c r="D438" s="252"/>
      <c r="E438" s="251"/>
      <c r="F438" s="245"/>
      <c r="G438" s="245"/>
      <c r="H438" s="245"/>
      <c r="I438" s="230"/>
    </row>
    <row r="439" spans="2:9" ht="15.75" customHeight="1" outlineLevel="2" x14ac:dyDescent="0.25">
      <c r="B439" s="506"/>
      <c r="C439" s="606"/>
      <c r="D439" s="607"/>
      <c r="E439" s="608"/>
      <c r="F439" s="609"/>
      <c r="G439" s="609"/>
      <c r="H439" s="609"/>
      <c r="I439" s="610"/>
    </row>
    <row r="440" spans="2:9" ht="15.75" customHeight="1" outlineLevel="2" x14ac:dyDescent="0.25">
      <c r="B440" s="506"/>
      <c r="C440" s="362"/>
      <c r="D440" s="252"/>
      <c r="E440" s="251"/>
      <c r="F440" s="245"/>
      <c r="G440" s="245"/>
      <c r="H440" s="245"/>
      <c r="I440" s="230"/>
    </row>
    <row r="441" spans="2:9" ht="15.75" customHeight="1" outlineLevel="2" x14ac:dyDescent="0.25">
      <c r="B441" s="506"/>
      <c r="C441" s="606"/>
      <c r="D441" s="607"/>
      <c r="E441" s="608"/>
      <c r="F441" s="609"/>
      <c r="G441" s="609"/>
      <c r="H441" s="609"/>
      <c r="I441" s="610"/>
    </row>
    <row r="442" spans="2:9" ht="15.75" customHeight="1" outlineLevel="2" x14ac:dyDescent="0.25">
      <c r="B442" s="506"/>
      <c r="C442" s="362"/>
      <c r="D442" s="252"/>
      <c r="E442" s="251"/>
      <c r="F442" s="245"/>
      <c r="G442" s="245"/>
      <c r="H442" s="245"/>
      <c r="I442" s="230"/>
    </row>
    <row r="443" spans="2:9" ht="15.75" customHeight="1" outlineLevel="2" x14ac:dyDescent="0.25">
      <c r="B443" s="506"/>
      <c r="C443" s="606"/>
      <c r="D443" s="607"/>
      <c r="E443" s="608"/>
      <c r="F443" s="609"/>
      <c r="G443" s="609"/>
      <c r="H443" s="609"/>
      <c r="I443" s="610"/>
    </row>
    <row r="444" spans="2:9" ht="15.75" customHeight="1" outlineLevel="2" x14ac:dyDescent="0.25">
      <c r="B444" s="506"/>
      <c r="C444" s="362"/>
      <c r="D444" s="252"/>
      <c r="E444" s="251"/>
      <c r="F444" s="245"/>
      <c r="G444" s="245"/>
      <c r="H444" s="245"/>
      <c r="I444" s="230"/>
    </row>
    <row r="445" spans="2:9" ht="15.75" customHeight="1" outlineLevel="2" x14ac:dyDescent="0.25">
      <c r="B445" s="506"/>
      <c r="C445" s="606"/>
      <c r="D445" s="607"/>
      <c r="E445" s="608"/>
      <c r="F445" s="609"/>
      <c r="G445" s="609"/>
      <c r="H445" s="609"/>
      <c r="I445" s="610"/>
    </row>
    <row r="446" spans="2:9" ht="15.75" customHeight="1" outlineLevel="2" x14ac:dyDescent="0.25">
      <c r="B446" s="506"/>
      <c r="C446" s="362"/>
      <c r="D446" s="252"/>
      <c r="E446" s="251"/>
      <c r="F446" s="245"/>
      <c r="G446" s="245"/>
      <c r="H446" s="245"/>
      <c r="I446" s="230"/>
    </row>
    <row r="447" spans="2:9" ht="15.75" customHeight="1" outlineLevel="2" x14ac:dyDescent="0.25">
      <c r="B447" s="506"/>
      <c r="C447" s="606"/>
      <c r="D447" s="607"/>
      <c r="E447" s="608"/>
      <c r="F447" s="609"/>
      <c r="G447" s="609"/>
      <c r="H447" s="609"/>
      <c r="I447" s="610"/>
    </row>
    <row r="448" spans="2:9" ht="15.75" customHeight="1" outlineLevel="2" x14ac:dyDescent="0.25">
      <c r="B448" s="506"/>
      <c r="C448" s="362"/>
      <c r="D448" s="252"/>
      <c r="E448" s="251"/>
      <c r="F448" s="245"/>
      <c r="G448" s="245"/>
      <c r="H448" s="245"/>
      <c r="I448" s="230"/>
    </row>
    <row r="449" spans="2:9" ht="15.75" customHeight="1" outlineLevel="2" x14ac:dyDescent="0.25">
      <c r="B449" s="506"/>
      <c r="C449" s="606"/>
      <c r="D449" s="607"/>
      <c r="E449" s="608"/>
      <c r="F449" s="609"/>
      <c r="G449" s="609"/>
      <c r="H449" s="609"/>
      <c r="I449" s="610"/>
    </row>
    <row r="450" spans="2:9" ht="15.75" customHeight="1" outlineLevel="2" x14ac:dyDescent="0.25">
      <c r="B450" s="506"/>
      <c r="C450" s="362"/>
      <c r="D450" s="252"/>
      <c r="E450" s="251"/>
      <c r="F450" s="245"/>
      <c r="G450" s="245"/>
      <c r="H450" s="245"/>
      <c r="I450" s="230"/>
    </row>
    <row r="451" spans="2:9" ht="15.75" customHeight="1" outlineLevel="2" x14ac:dyDescent="0.25">
      <c r="B451" s="506"/>
      <c r="C451" s="606"/>
      <c r="D451" s="607"/>
      <c r="E451" s="608"/>
      <c r="F451" s="609"/>
      <c r="G451" s="609"/>
      <c r="H451" s="609"/>
      <c r="I451" s="610"/>
    </row>
    <row r="452" spans="2:9" ht="15.75" customHeight="1" outlineLevel="2" x14ac:dyDescent="0.25">
      <c r="B452" s="506"/>
      <c r="C452" s="362"/>
      <c r="D452" s="252"/>
      <c r="E452" s="251"/>
      <c r="F452" s="245"/>
      <c r="G452" s="245"/>
      <c r="H452" s="245"/>
      <c r="I452" s="230"/>
    </row>
    <row r="453" spans="2:9" ht="15.75" customHeight="1" outlineLevel="2" x14ac:dyDescent="0.25">
      <c r="B453" s="506"/>
      <c r="C453" s="606"/>
      <c r="D453" s="607"/>
      <c r="E453" s="608"/>
      <c r="F453" s="609"/>
      <c r="G453" s="609"/>
      <c r="H453" s="609"/>
      <c r="I453" s="610"/>
    </row>
    <row r="454" spans="2:9" ht="15.75" customHeight="1" outlineLevel="2" x14ac:dyDescent="0.25">
      <c r="B454" s="506"/>
      <c r="C454" s="362"/>
      <c r="D454" s="252"/>
      <c r="E454" s="251"/>
      <c r="F454" s="245"/>
      <c r="G454" s="245"/>
      <c r="H454" s="245"/>
      <c r="I454" s="230"/>
    </row>
    <row r="455" spans="2:9" ht="15.75" customHeight="1" outlineLevel="2" x14ac:dyDescent="0.25">
      <c r="B455" s="506"/>
      <c r="C455" s="606"/>
      <c r="D455" s="607"/>
      <c r="E455" s="608"/>
      <c r="F455" s="609"/>
      <c r="G455" s="609"/>
      <c r="H455" s="609"/>
      <c r="I455" s="610"/>
    </row>
    <row r="456" spans="2:9" ht="15.75" customHeight="1" outlineLevel="2" x14ac:dyDescent="0.25">
      <c r="B456" s="506"/>
      <c r="C456" s="362"/>
      <c r="D456" s="252"/>
      <c r="E456" s="251"/>
      <c r="F456" s="245"/>
      <c r="G456" s="245"/>
      <c r="H456" s="245"/>
      <c r="I456" s="230"/>
    </row>
    <row r="457" spans="2:9" ht="15.75" customHeight="1" outlineLevel="2" x14ac:dyDescent="0.25">
      <c r="B457" s="506"/>
      <c r="C457" s="606"/>
      <c r="D457" s="607"/>
      <c r="E457" s="608"/>
      <c r="F457" s="609"/>
      <c r="G457" s="609"/>
      <c r="H457" s="609"/>
      <c r="I457" s="610"/>
    </row>
    <row r="458" spans="2:9" ht="15.75" customHeight="1" outlineLevel="2" x14ac:dyDescent="0.25">
      <c r="B458" s="506"/>
      <c r="C458" s="362"/>
      <c r="D458" s="252"/>
      <c r="E458" s="251"/>
      <c r="F458" s="245"/>
      <c r="G458" s="245"/>
      <c r="H458" s="245"/>
      <c r="I458" s="230"/>
    </row>
    <row r="459" spans="2:9" ht="15.75" customHeight="1" outlineLevel="2" x14ac:dyDescent="0.25">
      <c r="B459" s="506"/>
      <c r="C459" s="606"/>
      <c r="D459" s="607"/>
      <c r="E459" s="608"/>
      <c r="F459" s="609"/>
      <c r="G459" s="609"/>
      <c r="H459" s="609"/>
      <c r="I459" s="610"/>
    </row>
    <row r="460" spans="2:9" ht="15.75" customHeight="1" outlineLevel="2" x14ac:dyDescent="0.25">
      <c r="B460" s="506"/>
      <c r="C460" s="362"/>
      <c r="D460" s="252"/>
      <c r="E460" s="251"/>
      <c r="F460" s="245"/>
      <c r="G460" s="245"/>
      <c r="H460" s="245"/>
      <c r="I460" s="230"/>
    </row>
    <row r="461" spans="2:9" ht="15.75" customHeight="1" outlineLevel="2" x14ac:dyDescent="0.25">
      <c r="B461" s="506"/>
      <c r="C461" s="606"/>
      <c r="D461" s="607"/>
      <c r="E461" s="608"/>
      <c r="F461" s="609"/>
      <c r="G461" s="609"/>
      <c r="H461" s="609"/>
      <c r="I461" s="610"/>
    </row>
    <row r="462" spans="2:9" ht="15.75" customHeight="1" outlineLevel="2" x14ac:dyDescent="0.25">
      <c r="B462" s="506"/>
      <c r="C462" s="362"/>
      <c r="D462" s="252"/>
      <c r="E462" s="251"/>
      <c r="F462" s="245"/>
      <c r="G462" s="245"/>
      <c r="H462" s="245"/>
      <c r="I462" s="230"/>
    </row>
    <row r="463" spans="2:9" ht="15.75" customHeight="1" outlineLevel="2" x14ac:dyDescent="0.25">
      <c r="B463" s="506"/>
      <c r="C463" s="606"/>
      <c r="D463" s="607"/>
      <c r="E463" s="608"/>
      <c r="F463" s="609"/>
      <c r="G463" s="609"/>
      <c r="H463" s="609"/>
      <c r="I463" s="610"/>
    </row>
    <row r="464" spans="2:9" ht="15.75" customHeight="1" outlineLevel="2" x14ac:dyDescent="0.25">
      <c r="B464" s="506"/>
      <c r="C464" s="362"/>
      <c r="D464" s="252"/>
      <c r="E464" s="251"/>
      <c r="F464" s="245"/>
      <c r="G464" s="245"/>
      <c r="H464" s="245"/>
      <c r="I464" s="230"/>
    </row>
    <row r="465" spans="1:9" ht="15.75" customHeight="1" outlineLevel="2" x14ac:dyDescent="0.25">
      <c r="B465" s="506"/>
      <c r="C465" s="606"/>
      <c r="D465" s="607"/>
      <c r="E465" s="608"/>
      <c r="F465" s="609"/>
      <c r="G465" s="609"/>
      <c r="H465" s="609"/>
      <c r="I465" s="610"/>
    </row>
    <row r="466" spans="1:9" ht="15.75" customHeight="1" outlineLevel="2" x14ac:dyDescent="0.25">
      <c r="B466" s="506"/>
      <c r="C466" s="362"/>
      <c r="D466" s="252"/>
      <c r="E466" s="251"/>
      <c r="F466" s="245"/>
      <c r="G466" s="245"/>
      <c r="H466" s="245"/>
      <c r="I466" s="230"/>
    </row>
    <row r="467" spans="1:9" ht="15.75" customHeight="1" outlineLevel="2" x14ac:dyDescent="0.25">
      <c r="B467" s="506"/>
      <c r="C467" s="606"/>
      <c r="D467" s="607"/>
      <c r="E467" s="608"/>
      <c r="F467" s="609"/>
      <c r="G467" s="609"/>
      <c r="H467" s="609"/>
      <c r="I467" s="610"/>
    </row>
    <row r="468" spans="1:9" ht="15.75" customHeight="1" outlineLevel="2" x14ac:dyDescent="0.25">
      <c r="B468" s="516" t="s">
        <v>151</v>
      </c>
      <c r="C468" s="363">
        <v>0</v>
      </c>
      <c r="D468" s="254">
        <v>0</v>
      </c>
      <c r="E468" s="253">
        <v>0</v>
      </c>
      <c r="F468" s="247">
        <v>0</v>
      </c>
      <c r="G468" s="247">
        <v>0</v>
      </c>
      <c r="H468" s="247">
        <v>0</v>
      </c>
      <c r="I468" s="465">
        <v>0</v>
      </c>
    </row>
    <row r="469" spans="1:9" ht="15.75" customHeight="1" outlineLevel="2" x14ac:dyDescent="0.25">
      <c r="B469" s="513" t="s">
        <v>112</v>
      </c>
      <c r="C469" s="514">
        <f t="shared" ref="C469:I469" si="7">SUM(C418:C468)</f>
        <v>0</v>
      </c>
      <c r="D469" s="514">
        <f t="shared" si="7"/>
        <v>0</v>
      </c>
      <c r="E469" s="514">
        <f t="shared" si="7"/>
        <v>0</v>
      </c>
      <c r="F469" s="514">
        <f t="shared" si="7"/>
        <v>0</v>
      </c>
      <c r="G469" s="514">
        <f t="shared" si="7"/>
        <v>0</v>
      </c>
      <c r="H469" s="514">
        <f t="shared" si="7"/>
        <v>0</v>
      </c>
      <c r="I469" s="515">
        <f t="shared" si="7"/>
        <v>0</v>
      </c>
    </row>
    <row r="470" spans="1:9" ht="15" customHeight="1" outlineLevel="1" x14ac:dyDescent="0.25">
      <c r="B470" s="74"/>
    </row>
    <row r="471" spans="1:9" ht="20.25" customHeight="1" outlineLevel="1" x14ac:dyDescent="0.25">
      <c r="B471" s="235" t="s">
        <v>168</v>
      </c>
      <c r="C471" s="236"/>
      <c r="D471" s="236"/>
      <c r="E471" s="236"/>
      <c r="F471" s="236"/>
      <c r="G471" s="236"/>
      <c r="H471" s="236"/>
      <c r="I471" s="236"/>
    </row>
    <row r="472" spans="1:9" s="41" customFormat="1" outlineLevel="2" x14ac:dyDescent="0.2">
      <c r="A472" s="276"/>
      <c r="C472" s="1335" t="s">
        <v>148</v>
      </c>
      <c r="D472" s="1336"/>
      <c r="E472" s="1336"/>
      <c r="F472" s="1336"/>
      <c r="G472" s="1336"/>
      <c r="H472" s="1336"/>
      <c r="I472" s="1337"/>
    </row>
    <row r="473" spans="1:9" s="41" customFormat="1" outlineLevel="2" x14ac:dyDescent="0.2">
      <c r="A473" s="276"/>
      <c r="C473" s="1328" t="s">
        <v>149</v>
      </c>
      <c r="D473" s="1329"/>
      <c r="E473" s="1329"/>
      <c r="F473" s="1329"/>
      <c r="G473" s="1329"/>
      <c r="H473" s="1329"/>
      <c r="I473" s="1330"/>
    </row>
    <row r="474" spans="1:9" s="41" customFormat="1" ht="15" customHeight="1" outlineLevel="2" x14ac:dyDescent="0.25">
      <c r="A474" s="276"/>
      <c r="B474" s="77"/>
      <c r="C474" s="386" t="str">
        <f ca="1">dms_y1</f>
        <v>2024-25</v>
      </c>
      <c r="D474" s="291" t="str">
        <f ca="1">dms_y2</f>
        <v>2025-26</v>
      </c>
      <c r="E474" s="290" t="str">
        <f ca="1">dms_y3</f>
        <v>2026-27</v>
      </c>
      <c r="F474" s="290" t="str">
        <f ca="1">dms_y4</f>
        <v>2027-28</v>
      </c>
      <c r="G474" s="290" t="str">
        <f ca="1">dms_y5</f>
        <v>2028-29</v>
      </c>
      <c r="H474" s="290" t="str">
        <f ca="1">dms_y6</f>
        <v>2029-30</v>
      </c>
      <c r="I474" s="387" t="str">
        <f ca="1">dms_y7</f>
        <v>2030-31</v>
      </c>
    </row>
    <row r="475" spans="1:9" ht="15.75" customHeight="1" outlineLevel="2" x14ac:dyDescent="0.25">
      <c r="B475" s="506" t="s">
        <v>163</v>
      </c>
      <c r="C475" s="348">
        <v>0</v>
      </c>
      <c r="D475" s="250">
        <v>0</v>
      </c>
      <c r="E475" s="249">
        <v>0</v>
      </c>
      <c r="F475" s="242">
        <v>0</v>
      </c>
      <c r="G475" s="242">
        <v>0</v>
      </c>
      <c r="H475" s="242">
        <v>0</v>
      </c>
      <c r="I475" s="243">
        <v>0</v>
      </c>
    </row>
    <row r="476" spans="1:9" ht="15.75" customHeight="1" outlineLevel="2" x14ac:dyDescent="0.25">
      <c r="B476" s="506"/>
      <c r="C476" s="606"/>
      <c r="D476" s="607"/>
      <c r="E476" s="608"/>
      <c r="F476" s="609"/>
      <c r="G476" s="609"/>
      <c r="H476" s="609"/>
      <c r="I476" s="610"/>
    </row>
    <row r="477" spans="1:9" ht="15.75" customHeight="1" outlineLevel="2" x14ac:dyDescent="0.25">
      <c r="B477" s="506"/>
      <c r="C477" s="362"/>
      <c r="D477" s="252"/>
      <c r="E477" s="251"/>
      <c r="F477" s="245"/>
      <c r="G477" s="245"/>
      <c r="H477" s="245"/>
      <c r="I477" s="230"/>
    </row>
    <row r="478" spans="1:9" ht="15.75" customHeight="1" outlineLevel="2" x14ac:dyDescent="0.25">
      <c r="B478" s="506"/>
      <c r="C478" s="606"/>
      <c r="D478" s="607"/>
      <c r="E478" s="608"/>
      <c r="F478" s="609"/>
      <c r="G478" s="609"/>
      <c r="H478" s="609"/>
      <c r="I478" s="610"/>
    </row>
    <row r="479" spans="1:9" ht="15.75" customHeight="1" outlineLevel="2" x14ac:dyDescent="0.25">
      <c r="B479" s="506"/>
      <c r="C479" s="362"/>
      <c r="D479" s="252"/>
      <c r="E479" s="251"/>
      <c r="F479" s="245"/>
      <c r="G479" s="245"/>
      <c r="H479" s="245"/>
      <c r="I479" s="230"/>
    </row>
    <row r="480" spans="1:9" ht="15.75" customHeight="1" outlineLevel="2" x14ac:dyDescent="0.25">
      <c r="B480" s="506"/>
      <c r="C480" s="606"/>
      <c r="D480" s="607"/>
      <c r="E480" s="608"/>
      <c r="F480" s="609"/>
      <c r="G480" s="609"/>
      <c r="H480" s="609"/>
      <c r="I480" s="610"/>
    </row>
    <row r="481" spans="2:9" ht="15.75" customHeight="1" outlineLevel="2" x14ac:dyDescent="0.25">
      <c r="B481" s="506"/>
      <c r="C481" s="362"/>
      <c r="D481" s="252"/>
      <c r="E481" s="251"/>
      <c r="F481" s="245"/>
      <c r="G481" s="245"/>
      <c r="H481" s="245"/>
      <c r="I481" s="230"/>
    </row>
    <row r="482" spans="2:9" ht="15.75" customHeight="1" outlineLevel="2" x14ac:dyDescent="0.25">
      <c r="B482" s="506"/>
      <c r="C482" s="606"/>
      <c r="D482" s="607"/>
      <c r="E482" s="608"/>
      <c r="F482" s="609"/>
      <c r="G482" s="609"/>
      <c r="H482" s="609"/>
      <c r="I482" s="610"/>
    </row>
    <row r="483" spans="2:9" ht="15.75" customHeight="1" outlineLevel="2" x14ac:dyDescent="0.25">
      <c r="B483" s="506"/>
      <c r="C483" s="362"/>
      <c r="D483" s="252"/>
      <c r="E483" s="251"/>
      <c r="F483" s="245"/>
      <c r="G483" s="245"/>
      <c r="H483" s="245"/>
      <c r="I483" s="230"/>
    </row>
    <row r="484" spans="2:9" ht="15.75" customHeight="1" outlineLevel="2" x14ac:dyDescent="0.25">
      <c r="B484" s="506"/>
      <c r="C484" s="606"/>
      <c r="D484" s="607"/>
      <c r="E484" s="608"/>
      <c r="F484" s="609"/>
      <c r="G484" s="609"/>
      <c r="H484" s="609"/>
      <c r="I484" s="610"/>
    </row>
    <row r="485" spans="2:9" ht="15.75" customHeight="1" outlineLevel="2" x14ac:dyDescent="0.25">
      <c r="B485" s="506"/>
      <c r="C485" s="362"/>
      <c r="D485" s="252"/>
      <c r="E485" s="251"/>
      <c r="F485" s="245"/>
      <c r="G485" s="245"/>
      <c r="H485" s="245"/>
      <c r="I485" s="230"/>
    </row>
    <row r="486" spans="2:9" ht="15.75" customHeight="1" outlineLevel="2" x14ac:dyDescent="0.25">
      <c r="B486" s="506"/>
      <c r="C486" s="606"/>
      <c r="D486" s="607"/>
      <c r="E486" s="608"/>
      <c r="F486" s="609"/>
      <c r="G486" s="609"/>
      <c r="H486" s="609"/>
      <c r="I486" s="610"/>
    </row>
    <row r="487" spans="2:9" ht="15.75" customHeight="1" outlineLevel="2" x14ac:dyDescent="0.25">
      <c r="B487" s="506"/>
      <c r="C487" s="362"/>
      <c r="D487" s="252"/>
      <c r="E487" s="251"/>
      <c r="F487" s="245"/>
      <c r="G487" s="245"/>
      <c r="H487" s="245"/>
      <c r="I487" s="230"/>
    </row>
    <row r="488" spans="2:9" ht="15.75" customHeight="1" outlineLevel="2" x14ac:dyDescent="0.25">
      <c r="B488" s="506"/>
      <c r="C488" s="606"/>
      <c r="D488" s="607"/>
      <c r="E488" s="608"/>
      <c r="F488" s="609"/>
      <c r="G488" s="609"/>
      <c r="H488" s="609"/>
      <c r="I488" s="610"/>
    </row>
    <row r="489" spans="2:9" ht="15.75" customHeight="1" outlineLevel="2" x14ac:dyDescent="0.25">
      <c r="B489" s="506"/>
      <c r="C489" s="362"/>
      <c r="D489" s="252"/>
      <c r="E489" s="251"/>
      <c r="F489" s="245"/>
      <c r="G489" s="245"/>
      <c r="H489" s="245"/>
      <c r="I489" s="230"/>
    </row>
    <row r="490" spans="2:9" ht="15.75" customHeight="1" outlineLevel="2" x14ac:dyDescent="0.25">
      <c r="B490" s="506"/>
      <c r="C490" s="606"/>
      <c r="D490" s="607"/>
      <c r="E490" s="608"/>
      <c r="F490" s="609"/>
      <c r="G490" s="609"/>
      <c r="H490" s="609"/>
      <c r="I490" s="610"/>
    </row>
    <row r="491" spans="2:9" ht="15.75" customHeight="1" outlineLevel="2" x14ac:dyDescent="0.25">
      <c r="B491" s="506"/>
      <c r="C491" s="362"/>
      <c r="D491" s="252"/>
      <c r="E491" s="251"/>
      <c r="F491" s="245"/>
      <c r="G491" s="245"/>
      <c r="H491" s="245"/>
      <c r="I491" s="230"/>
    </row>
    <row r="492" spans="2:9" ht="15.75" customHeight="1" outlineLevel="2" x14ac:dyDescent="0.25">
      <c r="B492" s="506"/>
      <c r="C492" s="606"/>
      <c r="D492" s="607"/>
      <c r="E492" s="608"/>
      <c r="F492" s="609"/>
      <c r="G492" s="609"/>
      <c r="H492" s="609"/>
      <c r="I492" s="610"/>
    </row>
    <row r="493" spans="2:9" ht="15.75" customHeight="1" outlineLevel="2" x14ac:dyDescent="0.25">
      <c r="B493" s="506"/>
      <c r="C493" s="362"/>
      <c r="D493" s="252"/>
      <c r="E493" s="251"/>
      <c r="F493" s="245"/>
      <c r="G493" s="245"/>
      <c r="H493" s="245"/>
      <c r="I493" s="230"/>
    </row>
    <row r="494" spans="2:9" ht="15.75" customHeight="1" outlineLevel="2" x14ac:dyDescent="0.25">
      <c r="B494" s="506"/>
      <c r="C494" s="606"/>
      <c r="D494" s="607"/>
      <c r="E494" s="608"/>
      <c r="F494" s="609"/>
      <c r="G494" s="609"/>
      <c r="H494" s="609"/>
      <c r="I494" s="610"/>
    </row>
    <row r="495" spans="2:9" ht="15.75" customHeight="1" outlineLevel="2" x14ac:dyDescent="0.25">
      <c r="B495" s="506"/>
      <c r="C495" s="362"/>
      <c r="D495" s="252"/>
      <c r="E495" s="251"/>
      <c r="F495" s="245"/>
      <c r="G495" s="245"/>
      <c r="H495" s="245"/>
      <c r="I495" s="230"/>
    </row>
    <row r="496" spans="2:9" ht="15.75" customHeight="1" outlineLevel="2" x14ac:dyDescent="0.25">
      <c r="B496" s="506"/>
      <c r="C496" s="606"/>
      <c r="D496" s="607"/>
      <c r="E496" s="608"/>
      <c r="F496" s="609"/>
      <c r="G496" s="609"/>
      <c r="H496" s="609"/>
      <c r="I496" s="610"/>
    </row>
    <row r="497" spans="2:9" ht="15.75" customHeight="1" outlineLevel="2" x14ac:dyDescent="0.25">
      <c r="B497" s="506"/>
      <c r="C497" s="362"/>
      <c r="D497" s="252"/>
      <c r="E497" s="251"/>
      <c r="F497" s="245"/>
      <c r="G497" s="245"/>
      <c r="H497" s="245"/>
      <c r="I497" s="230"/>
    </row>
    <row r="498" spans="2:9" ht="15.75" customHeight="1" outlineLevel="2" x14ac:dyDescent="0.25">
      <c r="B498" s="506"/>
      <c r="C498" s="606"/>
      <c r="D498" s="607"/>
      <c r="E498" s="608"/>
      <c r="F498" s="609"/>
      <c r="G498" s="609"/>
      <c r="H498" s="609"/>
      <c r="I498" s="610"/>
    </row>
    <row r="499" spans="2:9" ht="15.75" customHeight="1" outlineLevel="2" x14ac:dyDescent="0.25">
      <c r="B499" s="506"/>
      <c r="C499" s="362"/>
      <c r="D499" s="252"/>
      <c r="E499" s="251"/>
      <c r="F499" s="245"/>
      <c r="G499" s="245"/>
      <c r="H499" s="245"/>
      <c r="I499" s="230"/>
    </row>
    <row r="500" spans="2:9" ht="15.75" customHeight="1" outlineLevel="2" x14ac:dyDescent="0.25">
      <c r="B500" s="506"/>
      <c r="C500" s="606"/>
      <c r="D500" s="607"/>
      <c r="E500" s="608"/>
      <c r="F500" s="609"/>
      <c r="G500" s="609"/>
      <c r="H500" s="609"/>
      <c r="I500" s="610"/>
    </row>
    <row r="501" spans="2:9" ht="15.75" customHeight="1" outlineLevel="2" x14ac:dyDescent="0.25">
      <c r="B501" s="506"/>
      <c r="C501" s="362"/>
      <c r="D501" s="252"/>
      <c r="E501" s="251"/>
      <c r="F501" s="245"/>
      <c r="G501" s="245"/>
      <c r="H501" s="245"/>
      <c r="I501" s="230"/>
    </row>
    <row r="502" spans="2:9" ht="15.75" customHeight="1" outlineLevel="2" x14ac:dyDescent="0.25">
      <c r="B502" s="506"/>
      <c r="C502" s="606"/>
      <c r="D502" s="607"/>
      <c r="E502" s="608"/>
      <c r="F502" s="609"/>
      <c r="G502" s="609"/>
      <c r="H502" s="609"/>
      <c r="I502" s="610"/>
    </row>
    <row r="503" spans="2:9" ht="15.75" customHeight="1" outlineLevel="2" x14ac:dyDescent="0.25">
      <c r="B503" s="506"/>
      <c r="C503" s="362"/>
      <c r="D503" s="252"/>
      <c r="E503" s="251"/>
      <c r="F503" s="245"/>
      <c r="G503" s="245"/>
      <c r="H503" s="245"/>
      <c r="I503" s="230"/>
    </row>
    <row r="504" spans="2:9" ht="15.75" customHeight="1" outlineLevel="2" x14ac:dyDescent="0.25">
      <c r="B504" s="506"/>
      <c r="C504" s="606"/>
      <c r="D504" s="607"/>
      <c r="E504" s="608"/>
      <c r="F504" s="609"/>
      <c r="G504" s="609"/>
      <c r="H504" s="609"/>
      <c r="I504" s="610"/>
    </row>
    <row r="505" spans="2:9" ht="15.75" customHeight="1" outlineLevel="2" x14ac:dyDescent="0.25">
      <c r="B505" s="506"/>
      <c r="C505" s="362"/>
      <c r="D505" s="252"/>
      <c r="E505" s="251"/>
      <c r="F505" s="245"/>
      <c r="G505" s="245"/>
      <c r="H505" s="245"/>
      <c r="I505" s="230"/>
    </row>
    <row r="506" spans="2:9" ht="15.75" customHeight="1" outlineLevel="2" x14ac:dyDescent="0.25">
      <c r="B506" s="506"/>
      <c r="C506" s="606"/>
      <c r="D506" s="607"/>
      <c r="E506" s="608"/>
      <c r="F506" s="609"/>
      <c r="G506" s="609"/>
      <c r="H506" s="609"/>
      <c r="I506" s="610"/>
    </row>
    <row r="507" spans="2:9" ht="15.75" customHeight="1" outlineLevel="2" x14ac:dyDescent="0.25">
      <c r="B507" s="506"/>
      <c r="C507" s="362"/>
      <c r="D507" s="252"/>
      <c r="E507" s="251"/>
      <c r="F507" s="245"/>
      <c r="G507" s="245"/>
      <c r="H507" s="245"/>
      <c r="I507" s="230"/>
    </row>
    <row r="508" spans="2:9" ht="15.75" customHeight="1" outlineLevel="2" x14ac:dyDescent="0.25">
      <c r="B508" s="506"/>
      <c r="C508" s="606"/>
      <c r="D508" s="607"/>
      <c r="E508" s="608"/>
      <c r="F508" s="609"/>
      <c r="G508" s="609"/>
      <c r="H508" s="609"/>
      <c r="I508" s="610"/>
    </row>
    <row r="509" spans="2:9" ht="15.75" customHeight="1" outlineLevel="2" x14ac:dyDescent="0.25">
      <c r="B509" s="506"/>
      <c r="C509" s="362"/>
      <c r="D509" s="252"/>
      <c r="E509" s="251"/>
      <c r="F509" s="245"/>
      <c r="G509" s="245"/>
      <c r="H509" s="245"/>
      <c r="I509" s="230"/>
    </row>
    <row r="510" spans="2:9" ht="15.75" customHeight="1" outlineLevel="2" x14ac:dyDescent="0.25">
      <c r="B510" s="506"/>
      <c r="C510" s="606"/>
      <c r="D510" s="607"/>
      <c r="E510" s="608"/>
      <c r="F510" s="609"/>
      <c r="G510" s="609"/>
      <c r="H510" s="609"/>
      <c r="I510" s="610"/>
    </row>
    <row r="511" spans="2:9" ht="15.75" customHeight="1" outlineLevel="2" x14ac:dyDescent="0.25">
      <c r="B511" s="506"/>
      <c r="C511" s="362"/>
      <c r="D511" s="252"/>
      <c r="E511" s="251"/>
      <c r="F511" s="245"/>
      <c r="G511" s="245"/>
      <c r="H511" s="245"/>
      <c r="I511" s="230"/>
    </row>
    <row r="512" spans="2:9" ht="15.75" customHeight="1" outlineLevel="2" x14ac:dyDescent="0.25">
      <c r="B512" s="506"/>
      <c r="C512" s="606"/>
      <c r="D512" s="607"/>
      <c r="E512" s="608"/>
      <c r="F512" s="609"/>
      <c r="G512" s="609"/>
      <c r="H512" s="609"/>
      <c r="I512" s="610"/>
    </row>
    <row r="513" spans="2:9" ht="15.75" customHeight="1" outlineLevel="2" x14ac:dyDescent="0.25">
      <c r="B513" s="506"/>
      <c r="C513" s="362"/>
      <c r="D513" s="252"/>
      <c r="E513" s="251"/>
      <c r="F513" s="245"/>
      <c r="G513" s="245"/>
      <c r="H513" s="245"/>
      <c r="I513" s="230"/>
    </row>
    <row r="514" spans="2:9" ht="15.75" customHeight="1" outlineLevel="2" x14ac:dyDescent="0.25">
      <c r="B514" s="506"/>
      <c r="C514" s="606"/>
      <c r="D514" s="607"/>
      <c r="E514" s="608"/>
      <c r="F514" s="609"/>
      <c r="G514" s="609"/>
      <c r="H514" s="609"/>
      <c r="I514" s="610"/>
    </row>
    <row r="515" spans="2:9" ht="15.75" customHeight="1" outlineLevel="2" x14ac:dyDescent="0.25">
      <c r="B515" s="506"/>
      <c r="C515" s="362"/>
      <c r="D515" s="252"/>
      <c r="E515" s="251"/>
      <c r="F515" s="245"/>
      <c r="G515" s="245"/>
      <c r="H515" s="245"/>
      <c r="I515" s="230"/>
    </row>
    <row r="516" spans="2:9" ht="15.75" customHeight="1" outlineLevel="2" x14ac:dyDescent="0.25">
      <c r="B516" s="506"/>
      <c r="C516" s="606"/>
      <c r="D516" s="607"/>
      <c r="E516" s="608"/>
      <c r="F516" s="609"/>
      <c r="G516" s="609"/>
      <c r="H516" s="609"/>
      <c r="I516" s="610"/>
    </row>
    <row r="517" spans="2:9" ht="15.75" customHeight="1" outlineLevel="2" x14ac:dyDescent="0.25">
      <c r="B517" s="506"/>
      <c r="C517" s="362"/>
      <c r="D517" s="252"/>
      <c r="E517" s="251"/>
      <c r="F517" s="245"/>
      <c r="G517" s="245"/>
      <c r="H517" s="245"/>
      <c r="I517" s="230"/>
    </row>
    <row r="518" spans="2:9" ht="15.75" customHeight="1" outlineLevel="2" x14ac:dyDescent="0.25">
      <c r="B518" s="506"/>
      <c r="C518" s="606"/>
      <c r="D518" s="607"/>
      <c r="E518" s="608"/>
      <c r="F518" s="609"/>
      <c r="G518" s="609"/>
      <c r="H518" s="609"/>
      <c r="I518" s="610"/>
    </row>
    <row r="519" spans="2:9" ht="15.75" customHeight="1" outlineLevel="2" x14ac:dyDescent="0.25">
      <c r="B519" s="506"/>
      <c r="C519" s="362"/>
      <c r="D519" s="252"/>
      <c r="E519" s="251"/>
      <c r="F519" s="245"/>
      <c r="G519" s="245"/>
      <c r="H519" s="245"/>
      <c r="I519" s="230"/>
    </row>
    <row r="520" spans="2:9" ht="15.75" customHeight="1" outlineLevel="2" x14ac:dyDescent="0.25">
      <c r="B520" s="506"/>
      <c r="C520" s="606"/>
      <c r="D520" s="607"/>
      <c r="E520" s="608"/>
      <c r="F520" s="609"/>
      <c r="G520" s="609"/>
      <c r="H520" s="609"/>
      <c r="I520" s="610"/>
    </row>
    <row r="521" spans="2:9" ht="15.75" customHeight="1" outlineLevel="2" x14ac:dyDescent="0.25">
      <c r="B521" s="506"/>
      <c r="C521" s="362"/>
      <c r="D521" s="252"/>
      <c r="E521" s="251"/>
      <c r="F521" s="245"/>
      <c r="G521" s="245"/>
      <c r="H521" s="245"/>
      <c r="I521" s="230"/>
    </row>
    <row r="522" spans="2:9" ht="15.75" customHeight="1" outlineLevel="2" x14ac:dyDescent="0.25">
      <c r="B522" s="506"/>
      <c r="C522" s="606"/>
      <c r="D522" s="607"/>
      <c r="E522" s="608"/>
      <c r="F522" s="609"/>
      <c r="G522" s="609"/>
      <c r="H522" s="609"/>
      <c r="I522" s="610"/>
    </row>
    <row r="523" spans="2:9" ht="15.75" customHeight="1" outlineLevel="2" x14ac:dyDescent="0.25">
      <c r="B523" s="506"/>
      <c r="C523" s="362"/>
      <c r="D523" s="252"/>
      <c r="E523" s="251"/>
      <c r="F523" s="245"/>
      <c r="G523" s="245"/>
      <c r="H523" s="245"/>
      <c r="I523" s="230"/>
    </row>
    <row r="524" spans="2:9" ht="15.75" customHeight="1" outlineLevel="2" x14ac:dyDescent="0.25">
      <c r="B524" s="506"/>
      <c r="C524" s="606"/>
      <c r="D524" s="607"/>
      <c r="E524" s="608"/>
      <c r="F524" s="609"/>
      <c r="G524" s="609"/>
      <c r="H524" s="609"/>
      <c r="I524" s="610"/>
    </row>
    <row r="525" spans="2:9" ht="15.75" customHeight="1" outlineLevel="2" x14ac:dyDescent="0.25">
      <c r="B525" s="516" t="s">
        <v>151</v>
      </c>
      <c r="C525" s="363">
        <v>0</v>
      </c>
      <c r="D525" s="254">
        <v>0</v>
      </c>
      <c r="E525" s="253">
        <v>0</v>
      </c>
      <c r="F525" s="247">
        <v>0</v>
      </c>
      <c r="G525" s="247">
        <v>0</v>
      </c>
      <c r="H525" s="247">
        <v>0</v>
      </c>
      <c r="I525" s="465">
        <v>0</v>
      </c>
    </row>
    <row r="526" spans="2:9" ht="15.75" customHeight="1" outlineLevel="2" x14ac:dyDescent="0.25">
      <c r="B526" s="513" t="s">
        <v>112</v>
      </c>
      <c r="C526" s="514">
        <f t="shared" ref="C526:I526" si="8">SUM(C475:C525)</f>
        <v>0</v>
      </c>
      <c r="D526" s="514">
        <f t="shared" si="8"/>
        <v>0</v>
      </c>
      <c r="E526" s="514">
        <f t="shared" si="8"/>
        <v>0</v>
      </c>
      <c r="F526" s="514">
        <f t="shared" si="8"/>
        <v>0</v>
      </c>
      <c r="G526" s="514">
        <f t="shared" si="8"/>
        <v>0</v>
      </c>
      <c r="H526" s="514">
        <f t="shared" si="8"/>
        <v>0</v>
      </c>
      <c r="I526" s="515">
        <f t="shared" si="8"/>
        <v>0</v>
      </c>
    </row>
    <row r="527" spans="2:9" ht="15" customHeight="1" outlineLevel="1" x14ac:dyDescent="0.25">
      <c r="B527" s="74"/>
    </row>
    <row r="528" spans="2:9" ht="20.25" customHeight="1" outlineLevel="1" x14ac:dyDescent="0.25">
      <c r="B528" s="235" t="s">
        <v>154</v>
      </c>
      <c r="C528" s="236"/>
      <c r="D528" s="236"/>
      <c r="E528" s="236"/>
      <c r="F528" s="236"/>
      <c r="G528" s="236"/>
      <c r="H528" s="236"/>
      <c r="I528" s="236"/>
    </row>
    <row r="529" spans="1:9" s="41" customFormat="1" outlineLevel="2" x14ac:dyDescent="0.2">
      <c r="A529" s="276"/>
      <c r="C529" s="1335" t="s">
        <v>148</v>
      </c>
      <c r="D529" s="1336"/>
      <c r="E529" s="1336"/>
      <c r="F529" s="1336"/>
      <c r="G529" s="1336"/>
      <c r="H529" s="1336"/>
      <c r="I529" s="1337"/>
    </row>
    <row r="530" spans="1:9" s="41" customFormat="1" outlineLevel="2" x14ac:dyDescent="0.2">
      <c r="A530" s="276"/>
      <c r="C530" s="1328" t="s">
        <v>149</v>
      </c>
      <c r="D530" s="1329"/>
      <c r="E530" s="1329"/>
      <c r="F530" s="1329"/>
      <c r="G530" s="1329"/>
      <c r="H530" s="1329"/>
      <c r="I530" s="1330"/>
    </row>
    <row r="531" spans="1:9" s="41" customFormat="1" ht="15" customHeight="1" outlineLevel="2" x14ac:dyDescent="0.25">
      <c r="A531" s="276"/>
      <c r="B531" s="77"/>
      <c r="C531" s="386" t="str">
        <f ca="1">dms_y1</f>
        <v>2024-25</v>
      </c>
      <c r="D531" s="291" t="str">
        <f ca="1">dms_y2</f>
        <v>2025-26</v>
      </c>
      <c r="E531" s="290" t="str">
        <f ca="1">dms_y3</f>
        <v>2026-27</v>
      </c>
      <c r="F531" s="290" t="str">
        <f ca="1">dms_y4</f>
        <v>2027-28</v>
      </c>
      <c r="G531" s="290" t="str">
        <f ca="1">dms_y5</f>
        <v>2028-29</v>
      </c>
      <c r="H531" s="290" t="str">
        <f ca="1">dms_y6</f>
        <v>2029-30</v>
      </c>
      <c r="I531" s="387" t="str">
        <f ca="1">dms_y7</f>
        <v>2030-31</v>
      </c>
    </row>
    <row r="532" spans="1:9" ht="15.75" customHeight="1" outlineLevel="2" x14ac:dyDescent="0.25">
      <c r="B532" s="506" t="s">
        <v>163</v>
      </c>
      <c r="C532" s="348">
        <v>0</v>
      </c>
      <c r="D532" s="250">
        <v>0</v>
      </c>
      <c r="E532" s="249">
        <v>0</v>
      </c>
      <c r="F532" s="242">
        <v>0</v>
      </c>
      <c r="G532" s="242">
        <v>0</v>
      </c>
      <c r="H532" s="242">
        <v>0</v>
      </c>
      <c r="I532" s="243">
        <v>0</v>
      </c>
    </row>
    <row r="533" spans="1:9" ht="15.75" customHeight="1" outlineLevel="2" x14ac:dyDescent="0.25">
      <c r="B533" s="506"/>
      <c r="C533" s="606"/>
      <c r="D533" s="607"/>
      <c r="E533" s="608"/>
      <c r="F533" s="609"/>
      <c r="G533" s="609"/>
      <c r="H533" s="609"/>
      <c r="I533" s="610"/>
    </row>
    <row r="534" spans="1:9" ht="15.75" customHeight="1" outlineLevel="2" x14ac:dyDescent="0.25">
      <c r="B534" s="506"/>
      <c r="C534" s="362"/>
      <c r="D534" s="252"/>
      <c r="E534" s="251"/>
      <c r="F534" s="245"/>
      <c r="G534" s="245"/>
      <c r="H534" s="245"/>
      <c r="I534" s="230"/>
    </row>
    <row r="535" spans="1:9" ht="15.75" customHeight="1" outlineLevel="2" x14ac:dyDescent="0.25">
      <c r="B535" s="506"/>
      <c r="C535" s="606"/>
      <c r="D535" s="607"/>
      <c r="E535" s="608"/>
      <c r="F535" s="609"/>
      <c r="G535" s="609"/>
      <c r="H535" s="609"/>
      <c r="I535" s="610"/>
    </row>
    <row r="536" spans="1:9" ht="15.75" customHeight="1" outlineLevel="2" x14ac:dyDescent="0.25">
      <c r="B536" s="506"/>
      <c r="C536" s="362"/>
      <c r="D536" s="252"/>
      <c r="E536" s="251"/>
      <c r="F536" s="245"/>
      <c r="G536" s="245"/>
      <c r="H536" s="245"/>
      <c r="I536" s="230"/>
    </row>
    <row r="537" spans="1:9" ht="15.75" customHeight="1" outlineLevel="2" x14ac:dyDescent="0.25">
      <c r="B537" s="506"/>
      <c r="C537" s="606"/>
      <c r="D537" s="607"/>
      <c r="E537" s="608"/>
      <c r="F537" s="609"/>
      <c r="G537" s="609"/>
      <c r="H537" s="609"/>
      <c r="I537" s="610"/>
    </row>
    <row r="538" spans="1:9" ht="15.75" customHeight="1" outlineLevel="2" x14ac:dyDescent="0.25">
      <c r="B538" s="506"/>
      <c r="C538" s="362"/>
      <c r="D538" s="252"/>
      <c r="E538" s="251"/>
      <c r="F538" s="245"/>
      <c r="G538" s="245"/>
      <c r="H538" s="245"/>
      <c r="I538" s="230"/>
    </row>
    <row r="539" spans="1:9" ht="15.75" customHeight="1" outlineLevel="2" x14ac:dyDescent="0.25">
      <c r="B539" s="506"/>
      <c r="C539" s="606"/>
      <c r="D539" s="607"/>
      <c r="E539" s="608"/>
      <c r="F539" s="609"/>
      <c r="G539" s="609"/>
      <c r="H539" s="609"/>
      <c r="I539" s="610"/>
    </row>
    <row r="540" spans="1:9" ht="15.75" customHeight="1" outlineLevel="2" x14ac:dyDescent="0.25">
      <c r="B540" s="506"/>
      <c r="C540" s="362"/>
      <c r="D540" s="252"/>
      <c r="E540" s="251"/>
      <c r="F540" s="245"/>
      <c r="G540" s="245"/>
      <c r="H540" s="245"/>
      <c r="I540" s="230"/>
    </row>
    <row r="541" spans="1:9" ht="15.75" customHeight="1" outlineLevel="2" x14ac:dyDescent="0.25">
      <c r="B541" s="506"/>
      <c r="C541" s="606"/>
      <c r="D541" s="607"/>
      <c r="E541" s="608"/>
      <c r="F541" s="609"/>
      <c r="G541" s="609"/>
      <c r="H541" s="609"/>
      <c r="I541" s="610"/>
    </row>
    <row r="542" spans="1:9" ht="15.75" customHeight="1" outlineLevel="2" x14ac:dyDescent="0.25">
      <c r="B542" s="506"/>
      <c r="C542" s="362"/>
      <c r="D542" s="252"/>
      <c r="E542" s="251"/>
      <c r="F542" s="245"/>
      <c r="G542" s="245"/>
      <c r="H542" s="245"/>
      <c r="I542" s="230"/>
    </row>
    <row r="543" spans="1:9" ht="15.75" customHeight="1" outlineLevel="2" x14ac:dyDescent="0.25">
      <c r="B543" s="506"/>
      <c r="C543" s="606"/>
      <c r="D543" s="607"/>
      <c r="E543" s="608"/>
      <c r="F543" s="609"/>
      <c r="G543" s="609"/>
      <c r="H543" s="609"/>
      <c r="I543" s="610"/>
    </row>
    <row r="544" spans="1:9" ht="15.75" customHeight="1" outlineLevel="2" x14ac:dyDescent="0.25">
      <c r="B544" s="506"/>
      <c r="C544" s="362"/>
      <c r="D544" s="252"/>
      <c r="E544" s="251"/>
      <c r="F544" s="245"/>
      <c r="G544" s="245"/>
      <c r="H544" s="245"/>
      <c r="I544" s="230"/>
    </row>
    <row r="545" spans="2:9" ht="15.75" customHeight="1" outlineLevel="2" x14ac:dyDescent="0.25">
      <c r="B545" s="506"/>
      <c r="C545" s="606"/>
      <c r="D545" s="607"/>
      <c r="E545" s="608"/>
      <c r="F545" s="609"/>
      <c r="G545" s="609"/>
      <c r="H545" s="609"/>
      <c r="I545" s="610"/>
    </row>
    <row r="546" spans="2:9" ht="15.75" customHeight="1" outlineLevel="2" x14ac:dyDescent="0.25">
      <c r="B546" s="506"/>
      <c r="C546" s="362"/>
      <c r="D546" s="252"/>
      <c r="E546" s="251"/>
      <c r="F546" s="245"/>
      <c r="G546" s="245"/>
      <c r="H546" s="245"/>
      <c r="I546" s="230"/>
    </row>
    <row r="547" spans="2:9" ht="15.75" customHeight="1" outlineLevel="2" x14ac:dyDescent="0.25">
      <c r="B547" s="506"/>
      <c r="C547" s="606"/>
      <c r="D547" s="607"/>
      <c r="E547" s="608"/>
      <c r="F547" s="609"/>
      <c r="G547" s="609"/>
      <c r="H547" s="609"/>
      <c r="I547" s="610"/>
    </row>
    <row r="548" spans="2:9" ht="15.75" customHeight="1" outlineLevel="2" x14ac:dyDescent="0.25">
      <c r="B548" s="506"/>
      <c r="C548" s="362"/>
      <c r="D548" s="252"/>
      <c r="E548" s="251"/>
      <c r="F548" s="245"/>
      <c r="G548" s="245"/>
      <c r="H548" s="245"/>
      <c r="I548" s="230"/>
    </row>
    <row r="549" spans="2:9" ht="15.75" customHeight="1" outlineLevel="2" x14ac:dyDescent="0.25">
      <c r="B549" s="506"/>
      <c r="C549" s="606"/>
      <c r="D549" s="607"/>
      <c r="E549" s="608"/>
      <c r="F549" s="609"/>
      <c r="G549" s="609"/>
      <c r="H549" s="609"/>
      <c r="I549" s="610"/>
    </row>
    <row r="550" spans="2:9" ht="15.75" customHeight="1" outlineLevel="2" x14ac:dyDescent="0.25">
      <c r="B550" s="506"/>
      <c r="C550" s="362"/>
      <c r="D550" s="252"/>
      <c r="E550" s="251"/>
      <c r="F550" s="245"/>
      <c r="G550" s="245"/>
      <c r="H550" s="245"/>
      <c r="I550" s="230"/>
    </row>
    <row r="551" spans="2:9" ht="15.75" customHeight="1" outlineLevel="2" x14ac:dyDescent="0.25">
      <c r="B551" s="506"/>
      <c r="C551" s="606"/>
      <c r="D551" s="607"/>
      <c r="E551" s="608"/>
      <c r="F551" s="609"/>
      <c r="G551" s="609"/>
      <c r="H551" s="609"/>
      <c r="I551" s="610"/>
    </row>
    <row r="552" spans="2:9" ht="15.75" customHeight="1" outlineLevel="2" x14ac:dyDescent="0.25">
      <c r="B552" s="506"/>
      <c r="C552" s="362"/>
      <c r="D552" s="252"/>
      <c r="E552" s="251"/>
      <c r="F552" s="245"/>
      <c r="G552" s="245"/>
      <c r="H552" s="245"/>
      <c r="I552" s="230"/>
    </row>
    <row r="553" spans="2:9" ht="15.75" customHeight="1" outlineLevel="2" x14ac:dyDescent="0.25">
      <c r="B553" s="506"/>
      <c r="C553" s="606"/>
      <c r="D553" s="607"/>
      <c r="E553" s="608"/>
      <c r="F553" s="609"/>
      <c r="G553" s="609"/>
      <c r="H553" s="609"/>
      <c r="I553" s="610"/>
    </row>
    <row r="554" spans="2:9" ht="15.75" customHeight="1" outlineLevel="2" x14ac:dyDescent="0.25">
      <c r="B554" s="506"/>
      <c r="C554" s="362"/>
      <c r="D554" s="252"/>
      <c r="E554" s="251"/>
      <c r="F554" s="245"/>
      <c r="G554" s="245"/>
      <c r="H554" s="245"/>
      <c r="I554" s="230"/>
    </row>
    <row r="555" spans="2:9" ht="15.75" customHeight="1" outlineLevel="2" x14ac:dyDescent="0.25">
      <c r="B555" s="506"/>
      <c r="C555" s="606"/>
      <c r="D555" s="607"/>
      <c r="E555" s="608"/>
      <c r="F555" s="609"/>
      <c r="G555" s="609"/>
      <c r="H555" s="609"/>
      <c r="I555" s="610"/>
    </row>
    <row r="556" spans="2:9" ht="15.75" customHeight="1" outlineLevel="2" x14ac:dyDescent="0.25">
      <c r="B556" s="506"/>
      <c r="C556" s="362"/>
      <c r="D556" s="252"/>
      <c r="E556" s="251"/>
      <c r="F556" s="245"/>
      <c r="G556" s="245"/>
      <c r="H556" s="245"/>
      <c r="I556" s="230"/>
    </row>
    <row r="557" spans="2:9" ht="15.75" customHeight="1" outlineLevel="2" x14ac:dyDescent="0.25">
      <c r="B557" s="506"/>
      <c r="C557" s="606"/>
      <c r="D557" s="607"/>
      <c r="E557" s="608"/>
      <c r="F557" s="609"/>
      <c r="G557" s="609"/>
      <c r="H557" s="609"/>
      <c r="I557" s="610"/>
    </row>
    <row r="558" spans="2:9" ht="15.75" customHeight="1" outlineLevel="2" x14ac:dyDescent="0.25">
      <c r="B558" s="506"/>
      <c r="C558" s="362"/>
      <c r="D558" s="252"/>
      <c r="E558" s="251"/>
      <c r="F558" s="245"/>
      <c r="G558" s="245"/>
      <c r="H558" s="245"/>
      <c r="I558" s="230"/>
    </row>
    <row r="559" spans="2:9" ht="15.75" customHeight="1" outlineLevel="2" x14ac:dyDescent="0.25">
      <c r="B559" s="506"/>
      <c r="C559" s="606"/>
      <c r="D559" s="607"/>
      <c r="E559" s="608"/>
      <c r="F559" s="609"/>
      <c r="G559" s="609"/>
      <c r="H559" s="609"/>
      <c r="I559" s="610"/>
    </row>
    <row r="560" spans="2:9" ht="15.75" customHeight="1" outlineLevel="2" x14ac:dyDescent="0.25">
      <c r="B560" s="506"/>
      <c r="C560" s="362"/>
      <c r="D560" s="252"/>
      <c r="E560" s="251"/>
      <c r="F560" s="245"/>
      <c r="G560" s="245"/>
      <c r="H560" s="245"/>
      <c r="I560" s="230"/>
    </row>
    <row r="561" spans="2:9" ht="15.75" customHeight="1" outlineLevel="2" x14ac:dyDescent="0.25">
      <c r="B561" s="506"/>
      <c r="C561" s="606"/>
      <c r="D561" s="607"/>
      <c r="E561" s="608"/>
      <c r="F561" s="609"/>
      <c r="G561" s="609"/>
      <c r="H561" s="609"/>
      <c r="I561" s="610"/>
    </row>
    <row r="562" spans="2:9" ht="15.75" customHeight="1" outlineLevel="2" x14ac:dyDescent="0.25">
      <c r="B562" s="506"/>
      <c r="C562" s="362"/>
      <c r="D562" s="252"/>
      <c r="E562" s="251"/>
      <c r="F562" s="245"/>
      <c r="G562" s="245"/>
      <c r="H562" s="245"/>
      <c r="I562" s="230"/>
    </row>
    <row r="563" spans="2:9" ht="15.75" customHeight="1" outlineLevel="2" x14ac:dyDescent="0.25">
      <c r="B563" s="506"/>
      <c r="C563" s="606"/>
      <c r="D563" s="607"/>
      <c r="E563" s="608"/>
      <c r="F563" s="609"/>
      <c r="G563" s="609"/>
      <c r="H563" s="609"/>
      <c r="I563" s="610"/>
    </row>
    <row r="564" spans="2:9" ht="15.75" customHeight="1" outlineLevel="2" x14ac:dyDescent="0.25">
      <c r="B564" s="506"/>
      <c r="C564" s="362"/>
      <c r="D564" s="252"/>
      <c r="E564" s="251"/>
      <c r="F564" s="245"/>
      <c r="G564" s="245"/>
      <c r="H564" s="245"/>
      <c r="I564" s="230"/>
    </row>
    <row r="565" spans="2:9" ht="15.75" customHeight="1" outlineLevel="2" x14ac:dyDescent="0.25">
      <c r="B565" s="506"/>
      <c r="C565" s="606"/>
      <c r="D565" s="607"/>
      <c r="E565" s="608"/>
      <c r="F565" s="609"/>
      <c r="G565" s="609"/>
      <c r="H565" s="609"/>
      <c r="I565" s="610"/>
    </row>
    <row r="566" spans="2:9" ht="15.75" customHeight="1" outlineLevel="2" x14ac:dyDescent="0.25">
      <c r="B566" s="506"/>
      <c r="C566" s="362"/>
      <c r="D566" s="252"/>
      <c r="E566" s="251"/>
      <c r="F566" s="245"/>
      <c r="G566" s="245"/>
      <c r="H566" s="245"/>
      <c r="I566" s="230"/>
    </row>
    <row r="567" spans="2:9" ht="15.75" customHeight="1" outlineLevel="2" x14ac:dyDescent="0.25">
      <c r="B567" s="506"/>
      <c r="C567" s="606"/>
      <c r="D567" s="607"/>
      <c r="E567" s="608"/>
      <c r="F567" s="609"/>
      <c r="G567" s="609"/>
      <c r="H567" s="609"/>
      <c r="I567" s="610"/>
    </row>
    <row r="568" spans="2:9" ht="15.75" customHeight="1" outlineLevel="2" x14ac:dyDescent="0.25">
      <c r="B568" s="506"/>
      <c r="C568" s="362"/>
      <c r="D568" s="252"/>
      <c r="E568" s="251"/>
      <c r="F568" s="245"/>
      <c r="G568" s="245"/>
      <c r="H568" s="245"/>
      <c r="I568" s="230"/>
    </row>
    <row r="569" spans="2:9" ht="15.75" customHeight="1" outlineLevel="2" x14ac:dyDescent="0.25">
      <c r="B569" s="506"/>
      <c r="C569" s="606"/>
      <c r="D569" s="607"/>
      <c r="E569" s="608"/>
      <c r="F569" s="609"/>
      <c r="G569" s="609"/>
      <c r="H569" s="609"/>
      <c r="I569" s="610"/>
    </row>
    <row r="570" spans="2:9" ht="15.75" customHeight="1" outlineLevel="2" x14ac:dyDescent="0.25">
      <c r="B570" s="506"/>
      <c r="C570" s="362"/>
      <c r="D570" s="252"/>
      <c r="E570" s="251"/>
      <c r="F570" s="245"/>
      <c r="G570" s="245"/>
      <c r="H570" s="245"/>
      <c r="I570" s="230"/>
    </row>
    <row r="571" spans="2:9" ht="15.75" customHeight="1" outlineLevel="2" x14ac:dyDescent="0.25">
      <c r="B571" s="506"/>
      <c r="C571" s="606"/>
      <c r="D571" s="607"/>
      <c r="E571" s="608"/>
      <c r="F571" s="609"/>
      <c r="G571" s="609"/>
      <c r="H571" s="609"/>
      <c r="I571" s="610"/>
    </row>
    <row r="572" spans="2:9" ht="15.75" customHeight="1" outlineLevel="2" x14ac:dyDescent="0.25">
      <c r="B572" s="506"/>
      <c r="C572" s="362"/>
      <c r="D572" s="252"/>
      <c r="E572" s="251"/>
      <c r="F572" s="245"/>
      <c r="G572" s="245"/>
      <c r="H572" s="245"/>
      <c r="I572" s="230"/>
    </row>
    <row r="573" spans="2:9" ht="15.75" customHeight="1" outlineLevel="2" x14ac:dyDescent="0.25">
      <c r="B573" s="506"/>
      <c r="C573" s="606"/>
      <c r="D573" s="607"/>
      <c r="E573" s="608"/>
      <c r="F573" s="609"/>
      <c r="G573" s="609"/>
      <c r="H573" s="609"/>
      <c r="I573" s="610"/>
    </row>
    <row r="574" spans="2:9" ht="15.75" customHeight="1" outlineLevel="2" x14ac:dyDescent="0.25">
      <c r="B574" s="506"/>
      <c r="C574" s="362"/>
      <c r="D574" s="252"/>
      <c r="E574" s="251"/>
      <c r="F574" s="245"/>
      <c r="G574" s="245"/>
      <c r="H574" s="245"/>
      <c r="I574" s="230"/>
    </row>
    <row r="575" spans="2:9" ht="15.75" customHeight="1" outlineLevel="2" x14ac:dyDescent="0.25">
      <c r="B575" s="506"/>
      <c r="C575" s="606"/>
      <c r="D575" s="607"/>
      <c r="E575" s="608"/>
      <c r="F575" s="609"/>
      <c r="G575" s="609"/>
      <c r="H575" s="609"/>
      <c r="I575" s="610"/>
    </row>
    <row r="576" spans="2:9" ht="15.75" customHeight="1" outlineLevel="2" x14ac:dyDescent="0.25">
      <c r="B576" s="506"/>
      <c r="C576" s="362"/>
      <c r="D576" s="252"/>
      <c r="E576" s="251"/>
      <c r="F576" s="245"/>
      <c r="G576" s="245"/>
      <c r="H576" s="245"/>
      <c r="I576" s="230"/>
    </row>
    <row r="577" spans="1:9" ht="15.75" customHeight="1" outlineLevel="2" x14ac:dyDescent="0.25">
      <c r="B577" s="506"/>
      <c r="C577" s="606"/>
      <c r="D577" s="607"/>
      <c r="E577" s="608"/>
      <c r="F577" s="609"/>
      <c r="G577" s="609"/>
      <c r="H577" s="609"/>
      <c r="I577" s="610"/>
    </row>
    <row r="578" spans="1:9" ht="15.75" customHeight="1" outlineLevel="2" x14ac:dyDescent="0.25">
      <c r="B578" s="506"/>
      <c r="C578" s="362"/>
      <c r="D578" s="252"/>
      <c r="E578" s="251"/>
      <c r="F578" s="245"/>
      <c r="G578" s="245"/>
      <c r="H578" s="245"/>
      <c r="I578" s="230"/>
    </row>
    <row r="579" spans="1:9" ht="15.75" customHeight="1" outlineLevel="2" x14ac:dyDescent="0.25">
      <c r="B579" s="506"/>
      <c r="C579" s="606"/>
      <c r="D579" s="607"/>
      <c r="E579" s="608"/>
      <c r="F579" s="609"/>
      <c r="G579" s="609"/>
      <c r="H579" s="609"/>
      <c r="I579" s="610"/>
    </row>
    <row r="580" spans="1:9" ht="15.75" customHeight="1" outlineLevel="2" x14ac:dyDescent="0.25">
      <c r="B580" s="506"/>
      <c r="C580" s="362"/>
      <c r="D580" s="252"/>
      <c r="E580" s="251"/>
      <c r="F580" s="245"/>
      <c r="G580" s="245"/>
      <c r="H580" s="245"/>
      <c r="I580" s="230"/>
    </row>
    <row r="581" spans="1:9" ht="15.75" customHeight="1" outlineLevel="2" x14ac:dyDescent="0.25">
      <c r="B581" s="506"/>
      <c r="C581" s="606"/>
      <c r="D581" s="607"/>
      <c r="E581" s="608"/>
      <c r="F581" s="609"/>
      <c r="G581" s="609"/>
      <c r="H581" s="609"/>
      <c r="I581" s="610"/>
    </row>
    <row r="582" spans="1:9" ht="15.75" customHeight="1" outlineLevel="2" x14ac:dyDescent="0.25">
      <c r="B582" s="516" t="s">
        <v>151</v>
      </c>
      <c r="C582" s="363">
        <v>0</v>
      </c>
      <c r="D582" s="254">
        <v>0</v>
      </c>
      <c r="E582" s="253">
        <v>0</v>
      </c>
      <c r="F582" s="247">
        <v>0</v>
      </c>
      <c r="G582" s="247">
        <v>0</v>
      </c>
      <c r="H582" s="247">
        <v>0</v>
      </c>
      <c r="I582" s="465">
        <v>0</v>
      </c>
    </row>
    <row r="583" spans="1:9" ht="15.75" customHeight="1" outlineLevel="2" x14ac:dyDescent="0.25">
      <c r="B583" s="513" t="s">
        <v>112</v>
      </c>
      <c r="C583" s="514">
        <f t="shared" ref="C583:I583" si="9">SUM(C532:C582)</f>
        <v>0</v>
      </c>
      <c r="D583" s="514">
        <f t="shared" si="9"/>
        <v>0</v>
      </c>
      <c r="E583" s="514">
        <f t="shared" si="9"/>
        <v>0</v>
      </c>
      <c r="F583" s="514">
        <f t="shared" si="9"/>
        <v>0</v>
      </c>
      <c r="G583" s="514">
        <f t="shared" si="9"/>
        <v>0</v>
      </c>
      <c r="H583" s="514">
        <f t="shared" si="9"/>
        <v>0</v>
      </c>
      <c r="I583" s="515">
        <f t="shared" si="9"/>
        <v>0</v>
      </c>
    </row>
    <row r="584" spans="1:9" ht="15" customHeight="1" outlineLevel="1" x14ac:dyDescent="0.25">
      <c r="B584" s="74"/>
    </row>
    <row r="585" spans="1:9" ht="20.25" customHeight="1" outlineLevel="1" x14ac:dyDescent="0.25">
      <c r="B585" s="235" t="s">
        <v>155</v>
      </c>
      <c r="C585" s="236"/>
      <c r="D585" s="236"/>
      <c r="E585" s="236"/>
      <c r="F585" s="236"/>
      <c r="G585" s="236"/>
      <c r="H585" s="236"/>
      <c r="I585" s="236"/>
    </row>
    <row r="586" spans="1:9" s="41" customFormat="1" outlineLevel="2" x14ac:dyDescent="0.2">
      <c r="A586" s="276"/>
      <c r="C586" s="1335" t="s">
        <v>148</v>
      </c>
      <c r="D586" s="1336"/>
      <c r="E586" s="1336"/>
      <c r="F586" s="1336"/>
      <c r="G586" s="1336"/>
      <c r="H586" s="1336"/>
      <c r="I586" s="1337"/>
    </row>
    <row r="587" spans="1:9" s="41" customFormat="1" outlineLevel="2" x14ac:dyDescent="0.2">
      <c r="A587" s="276"/>
      <c r="C587" s="1328" t="s">
        <v>149</v>
      </c>
      <c r="D587" s="1329"/>
      <c r="E587" s="1329"/>
      <c r="F587" s="1329"/>
      <c r="G587" s="1329"/>
      <c r="H587" s="1329"/>
      <c r="I587" s="1330"/>
    </row>
    <row r="588" spans="1:9" s="41" customFormat="1" ht="15" customHeight="1" outlineLevel="2" x14ac:dyDescent="0.25">
      <c r="A588" s="276"/>
      <c r="B588" s="77"/>
      <c r="C588" s="386" t="str">
        <f ca="1">dms_y1</f>
        <v>2024-25</v>
      </c>
      <c r="D588" s="291" t="str">
        <f ca="1">dms_y2</f>
        <v>2025-26</v>
      </c>
      <c r="E588" s="290" t="str">
        <f ca="1">dms_y3</f>
        <v>2026-27</v>
      </c>
      <c r="F588" s="290" t="str">
        <f ca="1">dms_y4</f>
        <v>2027-28</v>
      </c>
      <c r="G588" s="290" t="str">
        <f ca="1">dms_y5</f>
        <v>2028-29</v>
      </c>
      <c r="H588" s="290" t="str">
        <f ca="1">dms_y6</f>
        <v>2029-30</v>
      </c>
      <c r="I588" s="387" t="str">
        <f ca="1">dms_y7</f>
        <v>2030-31</v>
      </c>
    </row>
    <row r="589" spans="1:9" ht="15.75" customHeight="1" outlineLevel="2" x14ac:dyDescent="0.25">
      <c r="B589" s="506" t="s">
        <v>163</v>
      </c>
      <c r="C589" s="348">
        <v>0</v>
      </c>
      <c r="D589" s="250">
        <v>0</v>
      </c>
      <c r="E589" s="249">
        <v>0</v>
      </c>
      <c r="F589" s="242">
        <v>0</v>
      </c>
      <c r="G589" s="242">
        <v>0</v>
      </c>
      <c r="H589" s="242">
        <v>0</v>
      </c>
      <c r="I589" s="243">
        <v>0</v>
      </c>
    </row>
    <row r="590" spans="1:9" ht="15.75" customHeight="1" outlineLevel="2" x14ac:dyDescent="0.25">
      <c r="B590" s="506"/>
      <c r="C590" s="606"/>
      <c r="D590" s="607"/>
      <c r="E590" s="608"/>
      <c r="F590" s="609"/>
      <c r="G590" s="609"/>
      <c r="H590" s="609"/>
      <c r="I590" s="610"/>
    </row>
    <row r="591" spans="1:9" ht="15.75" customHeight="1" outlineLevel="2" x14ac:dyDescent="0.25">
      <c r="B591" s="506"/>
      <c r="C591" s="362"/>
      <c r="D591" s="252"/>
      <c r="E591" s="251"/>
      <c r="F591" s="245"/>
      <c r="G591" s="245"/>
      <c r="H591" s="245"/>
      <c r="I591" s="230"/>
    </row>
    <row r="592" spans="1:9" ht="15.75" customHeight="1" outlineLevel="2" x14ac:dyDescent="0.25">
      <c r="B592" s="506"/>
      <c r="C592" s="606"/>
      <c r="D592" s="607"/>
      <c r="E592" s="608"/>
      <c r="F592" s="609"/>
      <c r="G592" s="609"/>
      <c r="H592" s="609"/>
      <c r="I592" s="610"/>
    </row>
    <row r="593" spans="2:9" ht="15.75" customHeight="1" outlineLevel="2" x14ac:dyDescent="0.25">
      <c r="B593" s="506"/>
      <c r="C593" s="362"/>
      <c r="D593" s="252"/>
      <c r="E593" s="251"/>
      <c r="F593" s="245"/>
      <c r="G593" s="245"/>
      <c r="H593" s="245"/>
      <c r="I593" s="230"/>
    </row>
    <row r="594" spans="2:9" ht="15.75" customHeight="1" outlineLevel="2" x14ac:dyDescent="0.25">
      <c r="B594" s="506"/>
      <c r="C594" s="606"/>
      <c r="D594" s="607"/>
      <c r="E594" s="608"/>
      <c r="F594" s="609"/>
      <c r="G594" s="609"/>
      <c r="H594" s="609"/>
      <c r="I594" s="610"/>
    </row>
    <row r="595" spans="2:9" ht="15.75" customHeight="1" outlineLevel="2" x14ac:dyDescent="0.25">
      <c r="B595" s="506"/>
      <c r="C595" s="362"/>
      <c r="D595" s="252"/>
      <c r="E595" s="251"/>
      <c r="F595" s="245"/>
      <c r="G595" s="245"/>
      <c r="H595" s="245"/>
      <c r="I595" s="230"/>
    </row>
    <row r="596" spans="2:9" ht="15.75" customHeight="1" outlineLevel="2" x14ac:dyDescent="0.25">
      <c r="B596" s="506"/>
      <c r="C596" s="606"/>
      <c r="D596" s="607"/>
      <c r="E596" s="608"/>
      <c r="F596" s="609"/>
      <c r="G596" s="609"/>
      <c r="H596" s="609"/>
      <c r="I596" s="610"/>
    </row>
    <row r="597" spans="2:9" ht="15.75" customHeight="1" outlineLevel="2" x14ac:dyDescent="0.25">
      <c r="B597" s="506"/>
      <c r="C597" s="362"/>
      <c r="D597" s="252"/>
      <c r="E597" s="251"/>
      <c r="F597" s="245"/>
      <c r="G597" s="245"/>
      <c r="H597" s="245"/>
      <c r="I597" s="230"/>
    </row>
    <row r="598" spans="2:9" ht="15.75" customHeight="1" outlineLevel="2" x14ac:dyDescent="0.25">
      <c r="B598" s="506"/>
      <c r="C598" s="606"/>
      <c r="D598" s="607"/>
      <c r="E598" s="608"/>
      <c r="F598" s="609"/>
      <c r="G598" s="609"/>
      <c r="H598" s="609"/>
      <c r="I598" s="610"/>
    </row>
    <row r="599" spans="2:9" ht="15.75" customHeight="1" outlineLevel="2" x14ac:dyDescent="0.25">
      <c r="B599" s="506"/>
      <c r="C599" s="362"/>
      <c r="D599" s="252"/>
      <c r="E599" s="251"/>
      <c r="F599" s="245"/>
      <c r="G599" s="245"/>
      <c r="H599" s="245"/>
      <c r="I599" s="230"/>
    </row>
    <row r="600" spans="2:9" ht="15.75" customHeight="1" outlineLevel="2" x14ac:dyDescent="0.25">
      <c r="B600" s="506"/>
      <c r="C600" s="606"/>
      <c r="D600" s="607"/>
      <c r="E600" s="608"/>
      <c r="F600" s="609"/>
      <c r="G600" s="609"/>
      <c r="H600" s="609"/>
      <c r="I600" s="610"/>
    </row>
    <row r="601" spans="2:9" ht="15.75" customHeight="1" outlineLevel="2" x14ac:dyDescent="0.25">
      <c r="B601" s="506"/>
      <c r="C601" s="362"/>
      <c r="D601" s="252"/>
      <c r="E601" s="251"/>
      <c r="F601" s="245"/>
      <c r="G601" s="245"/>
      <c r="H601" s="245"/>
      <c r="I601" s="230"/>
    </row>
    <row r="602" spans="2:9" ht="15.75" customHeight="1" outlineLevel="2" x14ac:dyDescent="0.25">
      <c r="B602" s="506"/>
      <c r="C602" s="606"/>
      <c r="D602" s="607"/>
      <c r="E602" s="608"/>
      <c r="F602" s="609"/>
      <c r="G602" s="609"/>
      <c r="H602" s="609"/>
      <c r="I602" s="610"/>
    </row>
    <row r="603" spans="2:9" ht="15.75" customHeight="1" outlineLevel="2" x14ac:dyDescent="0.25">
      <c r="B603" s="506"/>
      <c r="C603" s="362"/>
      <c r="D603" s="252"/>
      <c r="E603" s="251"/>
      <c r="F603" s="245"/>
      <c r="G603" s="245"/>
      <c r="H603" s="245"/>
      <c r="I603" s="230"/>
    </row>
    <row r="604" spans="2:9" ht="15.75" customHeight="1" outlineLevel="2" x14ac:dyDescent="0.25">
      <c r="B604" s="506"/>
      <c r="C604" s="606"/>
      <c r="D604" s="607"/>
      <c r="E604" s="608"/>
      <c r="F604" s="609"/>
      <c r="G604" s="609"/>
      <c r="H604" s="609"/>
      <c r="I604" s="610"/>
    </row>
    <row r="605" spans="2:9" ht="15.75" customHeight="1" outlineLevel="2" x14ac:dyDescent="0.25">
      <c r="B605" s="506"/>
      <c r="C605" s="362"/>
      <c r="D605" s="252"/>
      <c r="E605" s="251"/>
      <c r="F605" s="245"/>
      <c r="G605" s="245"/>
      <c r="H605" s="245"/>
      <c r="I605" s="230"/>
    </row>
    <row r="606" spans="2:9" ht="15.75" customHeight="1" outlineLevel="2" x14ac:dyDescent="0.25">
      <c r="B606" s="506"/>
      <c r="C606" s="606"/>
      <c r="D606" s="607"/>
      <c r="E606" s="608"/>
      <c r="F606" s="609"/>
      <c r="G606" s="609"/>
      <c r="H606" s="609"/>
      <c r="I606" s="610"/>
    </row>
    <row r="607" spans="2:9" ht="15.75" customHeight="1" outlineLevel="2" x14ac:dyDescent="0.25">
      <c r="B607" s="506"/>
      <c r="C607" s="362"/>
      <c r="D607" s="252"/>
      <c r="E607" s="251"/>
      <c r="F607" s="245"/>
      <c r="G607" s="245"/>
      <c r="H607" s="245"/>
      <c r="I607" s="230"/>
    </row>
    <row r="608" spans="2:9" ht="15.75" customHeight="1" outlineLevel="2" x14ac:dyDescent="0.25">
      <c r="B608" s="506"/>
      <c r="C608" s="606"/>
      <c r="D608" s="607"/>
      <c r="E608" s="608"/>
      <c r="F608" s="609"/>
      <c r="G608" s="609"/>
      <c r="H608" s="609"/>
      <c r="I608" s="610"/>
    </row>
    <row r="609" spans="2:9" ht="15.75" customHeight="1" outlineLevel="2" x14ac:dyDescent="0.25">
      <c r="B609" s="506"/>
      <c r="C609" s="362"/>
      <c r="D609" s="252"/>
      <c r="E609" s="251"/>
      <c r="F609" s="245"/>
      <c r="G609" s="245"/>
      <c r="H609" s="245"/>
      <c r="I609" s="230"/>
    </row>
    <row r="610" spans="2:9" ht="15.75" customHeight="1" outlineLevel="2" x14ac:dyDescent="0.25">
      <c r="B610" s="506"/>
      <c r="C610" s="606"/>
      <c r="D610" s="607"/>
      <c r="E610" s="608"/>
      <c r="F610" s="609"/>
      <c r="G610" s="609"/>
      <c r="H610" s="609"/>
      <c r="I610" s="610"/>
    </row>
    <row r="611" spans="2:9" ht="15.75" customHeight="1" outlineLevel="2" x14ac:dyDescent="0.25">
      <c r="B611" s="506"/>
      <c r="C611" s="362"/>
      <c r="D611" s="252"/>
      <c r="E611" s="251"/>
      <c r="F611" s="245"/>
      <c r="G611" s="245"/>
      <c r="H611" s="245"/>
      <c r="I611" s="230"/>
    </row>
    <row r="612" spans="2:9" ht="15.75" customHeight="1" outlineLevel="2" x14ac:dyDescent="0.25">
      <c r="B612" s="506"/>
      <c r="C612" s="606"/>
      <c r="D612" s="607"/>
      <c r="E612" s="608"/>
      <c r="F612" s="609"/>
      <c r="G612" s="609"/>
      <c r="H612" s="609"/>
      <c r="I612" s="610"/>
    </row>
    <row r="613" spans="2:9" ht="15.75" customHeight="1" outlineLevel="2" x14ac:dyDescent="0.25">
      <c r="B613" s="506"/>
      <c r="C613" s="362"/>
      <c r="D613" s="252"/>
      <c r="E613" s="251"/>
      <c r="F613" s="245"/>
      <c r="G613" s="245"/>
      <c r="H613" s="245"/>
      <c r="I613" s="230"/>
    </row>
    <row r="614" spans="2:9" ht="15.75" customHeight="1" outlineLevel="2" x14ac:dyDescent="0.25">
      <c r="B614" s="506"/>
      <c r="C614" s="606"/>
      <c r="D614" s="607"/>
      <c r="E614" s="608"/>
      <c r="F614" s="609"/>
      <c r="G614" s="609"/>
      <c r="H614" s="609"/>
      <c r="I614" s="610"/>
    </row>
    <row r="615" spans="2:9" ht="15.75" customHeight="1" outlineLevel="2" x14ac:dyDescent="0.25">
      <c r="B615" s="506"/>
      <c r="C615" s="362"/>
      <c r="D615" s="252"/>
      <c r="E615" s="251"/>
      <c r="F615" s="245"/>
      <c r="G615" s="245"/>
      <c r="H615" s="245"/>
      <c r="I615" s="230"/>
    </row>
    <row r="616" spans="2:9" ht="15.75" customHeight="1" outlineLevel="2" x14ac:dyDescent="0.25">
      <c r="B616" s="506"/>
      <c r="C616" s="606"/>
      <c r="D616" s="607"/>
      <c r="E616" s="608"/>
      <c r="F616" s="609"/>
      <c r="G616" s="609"/>
      <c r="H616" s="609"/>
      <c r="I616" s="610"/>
    </row>
    <row r="617" spans="2:9" ht="15.75" customHeight="1" outlineLevel="2" x14ac:dyDescent="0.25">
      <c r="B617" s="506"/>
      <c r="C617" s="362"/>
      <c r="D617" s="252"/>
      <c r="E617" s="251"/>
      <c r="F617" s="245"/>
      <c r="G617" s="245"/>
      <c r="H617" s="245"/>
      <c r="I617" s="230"/>
    </row>
    <row r="618" spans="2:9" ht="15.75" customHeight="1" outlineLevel="2" x14ac:dyDescent="0.25">
      <c r="B618" s="506"/>
      <c r="C618" s="606"/>
      <c r="D618" s="607"/>
      <c r="E618" s="608"/>
      <c r="F618" s="609"/>
      <c r="G618" s="609"/>
      <c r="H618" s="609"/>
      <c r="I618" s="610"/>
    </row>
    <row r="619" spans="2:9" ht="15.75" customHeight="1" outlineLevel="2" x14ac:dyDescent="0.25">
      <c r="B619" s="506"/>
      <c r="C619" s="362"/>
      <c r="D619" s="252"/>
      <c r="E619" s="251"/>
      <c r="F619" s="245"/>
      <c r="G619" s="245"/>
      <c r="H619" s="245"/>
      <c r="I619" s="230"/>
    </row>
    <row r="620" spans="2:9" ht="15.75" customHeight="1" outlineLevel="2" x14ac:dyDescent="0.25">
      <c r="B620" s="506"/>
      <c r="C620" s="606"/>
      <c r="D620" s="607"/>
      <c r="E620" s="608"/>
      <c r="F620" s="609"/>
      <c r="G620" s="609"/>
      <c r="H620" s="609"/>
      <c r="I620" s="610"/>
    </row>
    <row r="621" spans="2:9" ht="15.75" customHeight="1" outlineLevel="2" x14ac:dyDescent="0.25">
      <c r="B621" s="506"/>
      <c r="C621" s="362"/>
      <c r="D621" s="252"/>
      <c r="E621" s="251"/>
      <c r="F621" s="245"/>
      <c r="G621" s="245"/>
      <c r="H621" s="245"/>
      <c r="I621" s="230"/>
    </row>
    <row r="622" spans="2:9" ht="15.75" customHeight="1" outlineLevel="2" x14ac:dyDescent="0.25">
      <c r="B622" s="506"/>
      <c r="C622" s="606"/>
      <c r="D622" s="607"/>
      <c r="E622" s="608"/>
      <c r="F622" s="609"/>
      <c r="G622" s="609"/>
      <c r="H622" s="609"/>
      <c r="I622" s="610"/>
    </row>
    <row r="623" spans="2:9" ht="15.75" customHeight="1" outlineLevel="2" x14ac:dyDescent="0.25">
      <c r="B623" s="506"/>
      <c r="C623" s="362"/>
      <c r="D623" s="252"/>
      <c r="E623" s="251"/>
      <c r="F623" s="245"/>
      <c r="G623" s="245"/>
      <c r="H623" s="245"/>
      <c r="I623" s="230"/>
    </row>
    <row r="624" spans="2:9" ht="15.75" customHeight="1" outlineLevel="2" x14ac:dyDescent="0.25">
      <c r="B624" s="506"/>
      <c r="C624" s="606"/>
      <c r="D624" s="607"/>
      <c r="E624" s="608"/>
      <c r="F624" s="609"/>
      <c r="G624" s="609"/>
      <c r="H624" s="609"/>
      <c r="I624" s="610"/>
    </row>
    <row r="625" spans="2:9" ht="15.75" customHeight="1" outlineLevel="2" x14ac:dyDescent="0.25">
      <c r="B625" s="506"/>
      <c r="C625" s="362"/>
      <c r="D625" s="252"/>
      <c r="E625" s="251"/>
      <c r="F625" s="245"/>
      <c r="G625" s="245"/>
      <c r="H625" s="245"/>
      <c r="I625" s="230"/>
    </row>
    <row r="626" spans="2:9" ht="15.75" customHeight="1" outlineLevel="2" x14ac:dyDescent="0.25">
      <c r="B626" s="506"/>
      <c r="C626" s="606"/>
      <c r="D626" s="607"/>
      <c r="E626" s="608"/>
      <c r="F626" s="609"/>
      <c r="G626" s="609"/>
      <c r="H626" s="609"/>
      <c r="I626" s="610"/>
    </row>
    <row r="627" spans="2:9" ht="15.75" customHeight="1" outlineLevel="2" x14ac:dyDescent="0.25">
      <c r="B627" s="506"/>
      <c r="C627" s="362"/>
      <c r="D627" s="252"/>
      <c r="E627" s="251"/>
      <c r="F627" s="245"/>
      <c r="G627" s="245"/>
      <c r="H627" s="245"/>
      <c r="I627" s="230"/>
    </row>
    <row r="628" spans="2:9" ht="15.75" customHeight="1" outlineLevel="2" x14ac:dyDescent="0.25">
      <c r="B628" s="506"/>
      <c r="C628" s="606"/>
      <c r="D628" s="607"/>
      <c r="E628" s="608"/>
      <c r="F628" s="609"/>
      <c r="G628" s="609"/>
      <c r="H628" s="609"/>
      <c r="I628" s="610"/>
    </row>
    <row r="629" spans="2:9" ht="15.75" customHeight="1" outlineLevel="2" x14ac:dyDescent="0.25">
      <c r="B629" s="506"/>
      <c r="C629" s="362"/>
      <c r="D629" s="252"/>
      <c r="E629" s="251"/>
      <c r="F629" s="245"/>
      <c r="G629" s="245"/>
      <c r="H629" s="245"/>
      <c r="I629" s="230"/>
    </row>
    <row r="630" spans="2:9" ht="15.75" customHeight="1" outlineLevel="2" x14ac:dyDescent="0.25">
      <c r="B630" s="506"/>
      <c r="C630" s="606"/>
      <c r="D630" s="607"/>
      <c r="E630" s="608"/>
      <c r="F630" s="609"/>
      <c r="G630" s="609"/>
      <c r="H630" s="609"/>
      <c r="I630" s="610"/>
    </row>
    <row r="631" spans="2:9" ht="15.75" customHeight="1" outlineLevel="2" x14ac:dyDescent="0.25">
      <c r="B631" s="506"/>
      <c r="C631" s="362"/>
      <c r="D631" s="252"/>
      <c r="E631" s="251"/>
      <c r="F631" s="245"/>
      <c r="G631" s="245"/>
      <c r="H631" s="245"/>
      <c r="I631" s="230"/>
    </row>
    <row r="632" spans="2:9" ht="15.75" customHeight="1" outlineLevel="2" x14ac:dyDescent="0.25">
      <c r="B632" s="506"/>
      <c r="C632" s="606"/>
      <c r="D632" s="607"/>
      <c r="E632" s="608"/>
      <c r="F632" s="609"/>
      <c r="G632" s="609"/>
      <c r="H632" s="609"/>
      <c r="I632" s="610"/>
    </row>
    <row r="633" spans="2:9" ht="15.75" customHeight="1" outlineLevel="2" x14ac:dyDescent="0.25">
      <c r="B633" s="506"/>
      <c r="C633" s="362"/>
      <c r="D633" s="252"/>
      <c r="E633" s="251"/>
      <c r="F633" s="245"/>
      <c r="G633" s="245"/>
      <c r="H633" s="245"/>
      <c r="I633" s="230"/>
    </row>
    <row r="634" spans="2:9" ht="15.75" customHeight="1" outlineLevel="2" x14ac:dyDescent="0.25">
      <c r="B634" s="506"/>
      <c r="C634" s="606"/>
      <c r="D634" s="607"/>
      <c r="E634" s="608"/>
      <c r="F634" s="609"/>
      <c r="G634" s="609"/>
      <c r="H634" s="609"/>
      <c r="I634" s="610"/>
    </row>
    <row r="635" spans="2:9" ht="15.75" customHeight="1" outlineLevel="2" x14ac:dyDescent="0.25">
      <c r="B635" s="506"/>
      <c r="C635" s="362"/>
      <c r="D635" s="252"/>
      <c r="E635" s="251"/>
      <c r="F635" s="245"/>
      <c r="G635" s="245"/>
      <c r="H635" s="245"/>
      <c r="I635" s="230"/>
    </row>
    <row r="636" spans="2:9" ht="15.75" customHeight="1" outlineLevel="2" x14ac:dyDescent="0.25">
      <c r="B636" s="506"/>
      <c r="C636" s="606"/>
      <c r="D636" s="607"/>
      <c r="E636" s="608"/>
      <c r="F636" s="609"/>
      <c r="G636" s="609"/>
      <c r="H636" s="609"/>
      <c r="I636" s="610"/>
    </row>
    <row r="637" spans="2:9" ht="15.75" customHeight="1" outlineLevel="2" x14ac:dyDescent="0.25">
      <c r="B637" s="506"/>
      <c r="C637" s="362"/>
      <c r="D637" s="252"/>
      <c r="E637" s="251"/>
      <c r="F637" s="245"/>
      <c r="G637" s="245"/>
      <c r="H637" s="245"/>
      <c r="I637" s="230"/>
    </row>
    <row r="638" spans="2:9" ht="15.75" customHeight="1" outlineLevel="2" x14ac:dyDescent="0.25">
      <c r="B638" s="506"/>
      <c r="C638" s="606"/>
      <c r="D638" s="607"/>
      <c r="E638" s="608"/>
      <c r="F638" s="609"/>
      <c r="G638" s="609"/>
      <c r="H638" s="609"/>
      <c r="I638" s="610"/>
    </row>
    <row r="639" spans="2:9" ht="15.75" customHeight="1" outlineLevel="2" x14ac:dyDescent="0.25">
      <c r="B639" s="611" t="s">
        <v>151</v>
      </c>
      <c r="C639" s="367">
        <v>0</v>
      </c>
      <c r="D639" s="369">
        <v>0</v>
      </c>
      <c r="E639" s="370">
        <v>0</v>
      </c>
      <c r="F639" s="368">
        <v>0</v>
      </c>
      <c r="G639" s="368">
        <v>0</v>
      </c>
      <c r="H639" s="368">
        <v>0</v>
      </c>
      <c r="I639" s="402">
        <v>0</v>
      </c>
    </row>
    <row r="640" spans="2:9" ht="15.75" customHeight="1" outlineLevel="2" x14ac:dyDescent="0.25">
      <c r="B640" s="280" t="s">
        <v>112</v>
      </c>
      <c r="C640" s="281">
        <f t="shared" ref="C640:I640" si="10">SUM(C589:C639)</f>
        <v>0</v>
      </c>
      <c r="D640" s="281">
        <f t="shared" si="10"/>
        <v>0</v>
      </c>
      <c r="E640" s="281">
        <f t="shared" si="10"/>
        <v>0</v>
      </c>
      <c r="F640" s="281">
        <f t="shared" si="10"/>
        <v>0</v>
      </c>
      <c r="G640" s="281">
        <f t="shared" si="10"/>
        <v>0</v>
      </c>
      <c r="H640" s="281">
        <f t="shared" si="10"/>
        <v>0</v>
      </c>
      <c r="I640" s="282">
        <f t="shared" si="10"/>
        <v>0</v>
      </c>
    </row>
    <row r="641" spans="1:9" s="41" customFormat="1" ht="13.5" customHeight="1" outlineLevel="1" x14ac:dyDescent="0.2"/>
    <row r="642" spans="1:9" ht="20.25" customHeight="1" outlineLevel="1" x14ac:dyDescent="0.25">
      <c r="B642" s="235" t="s">
        <v>156</v>
      </c>
      <c r="C642" s="236"/>
      <c r="D642" s="236"/>
      <c r="E642" s="236"/>
      <c r="F642" s="236"/>
      <c r="G642" s="236"/>
      <c r="H642" s="236"/>
      <c r="I642" s="236"/>
    </row>
    <row r="643" spans="1:9" s="41" customFormat="1" outlineLevel="2" x14ac:dyDescent="0.2">
      <c r="A643" s="276"/>
      <c r="C643" s="1335" t="s">
        <v>148</v>
      </c>
      <c r="D643" s="1336"/>
      <c r="E643" s="1336"/>
      <c r="F643" s="1336"/>
      <c r="G643" s="1336"/>
      <c r="H643" s="1336"/>
      <c r="I643" s="1337"/>
    </row>
    <row r="644" spans="1:9" s="41" customFormat="1" outlineLevel="2" x14ac:dyDescent="0.2">
      <c r="A644" s="276"/>
      <c r="C644" s="1328" t="s">
        <v>149</v>
      </c>
      <c r="D644" s="1329"/>
      <c r="E644" s="1329"/>
      <c r="F644" s="1329"/>
      <c r="G644" s="1329"/>
      <c r="H644" s="1329"/>
      <c r="I644" s="1330"/>
    </row>
    <row r="645" spans="1:9" s="41" customFormat="1" ht="15" customHeight="1" outlineLevel="2" x14ac:dyDescent="0.25">
      <c r="A645" s="276"/>
      <c r="B645" s="77"/>
      <c r="C645" s="386" t="str">
        <f ca="1">dms_y1</f>
        <v>2024-25</v>
      </c>
      <c r="D645" s="291" t="str">
        <f ca="1">dms_y2</f>
        <v>2025-26</v>
      </c>
      <c r="E645" s="290" t="str">
        <f ca="1">dms_y3</f>
        <v>2026-27</v>
      </c>
      <c r="F645" s="290" t="str">
        <f ca="1">dms_y4</f>
        <v>2027-28</v>
      </c>
      <c r="G645" s="290" t="str">
        <f ca="1">dms_y5</f>
        <v>2028-29</v>
      </c>
      <c r="H645" s="290" t="str">
        <f ca="1">dms_y6</f>
        <v>2029-30</v>
      </c>
      <c r="I645" s="387" t="str">
        <f ca="1">dms_y7</f>
        <v>2030-31</v>
      </c>
    </row>
    <row r="646" spans="1:9" ht="15.75" customHeight="1" outlineLevel="2" x14ac:dyDescent="0.25">
      <c r="B646" s="506" t="s">
        <v>163</v>
      </c>
      <c r="C646" s="348">
        <v>0</v>
      </c>
      <c r="D646" s="250">
        <v>0</v>
      </c>
      <c r="E646" s="249">
        <v>0</v>
      </c>
      <c r="F646" s="242">
        <v>0</v>
      </c>
      <c r="G646" s="242">
        <v>0</v>
      </c>
      <c r="H646" s="242">
        <v>0</v>
      </c>
      <c r="I646" s="243">
        <v>0</v>
      </c>
    </row>
    <row r="647" spans="1:9" ht="15.75" customHeight="1" outlineLevel="2" x14ac:dyDescent="0.25">
      <c r="B647" s="506"/>
      <c r="C647" s="606"/>
      <c r="D647" s="607"/>
      <c r="E647" s="608"/>
      <c r="F647" s="609"/>
      <c r="G647" s="609"/>
      <c r="H647" s="609"/>
      <c r="I647" s="610"/>
    </row>
    <row r="648" spans="1:9" ht="15.75" customHeight="1" outlineLevel="2" x14ac:dyDescent="0.25">
      <c r="B648" s="506"/>
      <c r="C648" s="362"/>
      <c r="D648" s="252"/>
      <c r="E648" s="251"/>
      <c r="F648" s="245"/>
      <c r="G648" s="245"/>
      <c r="H648" s="245"/>
      <c r="I648" s="230"/>
    </row>
    <row r="649" spans="1:9" ht="15.75" customHeight="1" outlineLevel="2" x14ac:dyDescent="0.25">
      <c r="B649" s="506"/>
      <c r="C649" s="606"/>
      <c r="D649" s="607"/>
      <c r="E649" s="608"/>
      <c r="F649" s="609"/>
      <c r="G649" s="609"/>
      <c r="H649" s="609"/>
      <c r="I649" s="610"/>
    </row>
    <row r="650" spans="1:9" ht="15.75" customHeight="1" outlineLevel="2" x14ac:dyDescent="0.25">
      <c r="B650" s="506"/>
      <c r="C650" s="362"/>
      <c r="D650" s="252"/>
      <c r="E650" s="251"/>
      <c r="F650" s="245"/>
      <c r="G650" s="245"/>
      <c r="H650" s="245"/>
      <c r="I650" s="230"/>
    </row>
    <row r="651" spans="1:9" ht="15.75" customHeight="1" outlineLevel="2" x14ac:dyDescent="0.25">
      <c r="B651" s="506"/>
      <c r="C651" s="606"/>
      <c r="D651" s="607"/>
      <c r="E651" s="608"/>
      <c r="F651" s="609"/>
      <c r="G651" s="609"/>
      <c r="H651" s="609"/>
      <c r="I651" s="610"/>
    </row>
    <row r="652" spans="1:9" ht="15.75" customHeight="1" outlineLevel="2" x14ac:dyDescent="0.25">
      <c r="B652" s="506"/>
      <c r="C652" s="362"/>
      <c r="D652" s="252"/>
      <c r="E652" s="251"/>
      <c r="F652" s="245"/>
      <c r="G652" s="245"/>
      <c r="H652" s="245"/>
      <c r="I652" s="230"/>
    </row>
    <row r="653" spans="1:9" ht="15.75" customHeight="1" outlineLevel="2" x14ac:dyDescent="0.25">
      <c r="B653" s="506"/>
      <c r="C653" s="606"/>
      <c r="D653" s="607"/>
      <c r="E653" s="608"/>
      <c r="F653" s="609"/>
      <c r="G653" s="609"/>
      <c r="H653" s="609"/>
      <c r="I653" s="610"/>
    </row>
    <row r="654" spans="1:9" ht="15.75" customHeight="1" outlineLevel="2" x14ac:dyDescent="0.25">
      <c r="B654" s="506"/>
      <c r="C654" s="362"/>
      <c r="D654" s="252"/>
      <c r="E654" s="251"/>
      <c r="F654" s="245"/>
      <c r="G654" s="245"/>
      <c r="H654" s="245"/>
      <c r="I654" s="230"/>
    </row>
    <row r="655" spans="1:9" ht="15.75" customHeight="1" outlineLevel="2" x14ac:dyDescent="0.25">
      <c r="B655" s="506"/>
      <c r="C655" s="606"/>
      <c r="D655" s="607"/>
      <c r="E655" s="608"/>
      <c r="F655" s="609"/>
      <c r="G655" s="609"/>
      <c r="H655" s="609"/>
      <c r="I655" s="610"/>
    </row>
    <row r="656" spans="1:9" ht="15.75" customHeight="1" outlineLevel="2" x14ac:dyDescent="0.25">
      <c r="B656" s="506"/>
      <c r="C656" s="362"/>
      <c r="D656" s="252"/>
      <c r="E656" s="251"/>
      <c r="F656" s="245"/>
      <c r="G656" s="245"/>
      <c r="H656" s="245"/>
      <c r="I656" s="230"/>
    </row>
    <row r="657" spans="2:9" ht="15.75" customHeight="1" outlineLevel="2" x14ac:dyDescent="0.25">
      <c r="B657" s="506"/>
      <c r="C657" s="606"/>
      <c r="D657" s="607"/>
      <c r="E657" s="608"/>
      <c r="F657" s="609"/>
      <c r="G657" s="609"/>
      <c r="H657" s="609"/>
      <c r="I657" s="610"/>
    </row>
    <row r="658" spans="2:9" ht="15.75" customHeight="1" outlineLevel="2" x14ac:dyDescent="0.25">
      <c r="B658" s="506"/>
      <c r="C658" s="362"/>
      <c r="D658" s="252"/>
      <c r="E658" s="251"/>
      <c r="F658" s="245"/>
      <c r="G658" s="245"/>
      <c r="H658" s="245"/>
      <c r="I658" s="230"/>
    </row>
    <row r="659" spans="2:9" ht="15.75" customHeight="1" outlineLevel="2" x14ac:dyDescent="0.25">
      <c r="B659" s="506"/>
      <c r="C659" s="606"/>
      <c r="D659" s="607"/>
      <c r="E659" s="608"/>
      <c r="F659" s="609"/>
      <c r="G659" s="609"/>
      <c r="H659" s="609"/>
      <c r="I659" s="610"/>
    </row>
    <row r="660" spans="2:9" ht="15.75" customHeight="1" outlineLevel="2" x14ac:dyDescent="0.25">
      <c r="B660" s="506"/>
      <c r="C660" s="362"/>
      <c r="D660" s="252"/>
      <c r="E660" s="251"/>
      <c r="F660" s="245"/>
      <c r="G660" s="245"/>
      <c r="H660" s="245"/>
      <c r="I660" s="230"/>
    </row>
    <row r="661" spans="2:9" ht="15.75" customHeight="1" outlineLevel="2" x14ac:dyDescent="0.25">
      <c r="B661" s="506"/>
      <c r="C661" s="606"/>
      <c r="D661" s="607"/>
      <c r="E661" s="608"/>
      <c r="F661" s="609"/>
      <c r="G661" s="609"/>
      <c r="H661" s="609"/>
      <c r="I661" s="610"/>
    </row>
    <row r="662" spans="2:9" ht="15.75" customHeight="1" outlineLevel="2" x14ac:dyDescent="0.25">
      <c r="B662" s="506"/>
      <c r="C662" s="362"/>
      <c r="D662" s="252"/>
      <c r="E662" s="251"/>
      <c r="F662" s="245"/>
      <c r="G662" s="245"/>
      <c r="H662" s="245"/>
      <c r="I662" s="230"/>
    </row>
    <row r="663" spans="2:9" ht="15.75" customHeight="1" outlineLevel="2" x14ac:dyDescent="0.25">
      <c r="B663" s="506"/>
      <c r="C663" s="606"/>
      <c r="D663" s="607"/>
      <c r="E663" s="608"/>
      <c r="F663" s="609"/>
      <c r="G663" s="609"/>
      <c r="H663" s="609"/>
      <c r="I663" s="610"/>
    </row>
    <row r="664" spans="2:9" ht="15.75" customHeight="1" outlineLevel="2" x14ac:dyDescent="0.25">
      <c r="B664" s="506"/>
      <c r="C664" s="362"/>
      <c r="D664" s="252"/>
      <c r="E664" s="251"/>
      <c r="F664" s="245"/>
      <c r="G664" s="245"/>
      <c r="H664" s="245"/>
      <c r="I664" s="230"/>
    </row>
    <row r="665" spans="2:9" ht="15.75" customHeight="1" outlineLevel="2" x14ac:dyDescent="0.25">
      <c r="B665" s="506"/>
      <c r="C665" s="606"/>
      <c r="D665" s="607"/>
      <c r="E665" s="608"/>
      <c r="F665" s="609"/>
      <c r="G665" s="609"/>
      <c r="H665" s="609"/>
      <c r="I665" s="610"/>
    </row>
    <row r="666" spans="2:9" ht="15.75" customHeight="1" outlineLevel="2" x14ac:dyDescent="0.25">
      <c r="B666" s="506"/>
      <c r="C666" s="362"/>
      <c r="D666" s="252"/>
      <c r="E666" s="251"/>
      <c r="F666" s="245"/>
      <c r="G666" s="245"/>
      <c r="H666" s="245"/>
      <c r="I666" s="230"/>
    </row>
    <row r="667" spans="2:9" ht="15.75" customHeight="1" outlineLevel="2" x14ac:dyDescent="0.25">
      <c r="B667" s="506"/>
      <c r="C667" s="606"/>
      <c r="D667" s="607"/>
      <c r="E667" s="608"/>
      <c r="F667" s="609"/>
      <c r="G667" s="609"/>
      <c r="H667" s="609"/>
      <c r="I667" s="610"/>
    </row>
    <row r="668" spans="2:9" ht="15.75" customHeight="1" outlineLevel="2" x14ac:dyDescent="0.25">
      <c r="B668" s="506"/>
      <c r="C668" s="362"/>
      <c r="D668" s="252"/>
      <c r="E668" s="251"/>
      <c r="F668" s="245"/>
      <c r="G668" s="245"/>
      <c r="H668" s="245"/>
      <c r="I668" s="230"/>
    </row>
    <row r="669" spans="2:9" ht="15.75" customHeight="1" outlineLevel="2" x14ac:dyDescent="0.25">
      <c r="B669" s="506"/>
      <c r="C669" s="606"/>
      <c r="D669" s="607"/>
      <c r="E669" s="608"/>
      <c r="F669" s="609"/>
      <c r="G669" s="609"/>
      <c r="H669" s="609"/>
      <c r="I669" s="610"/>
    </row>
    <row r="670" spans="2:9" ht="15.75" customHeight="1" outlineLevel="2" x14ac:dyDescent="0.25">
      <c r="B670" s="506"/>
      <c r="C670" s="362"/>
      <c r="D670" s="252"/>
      <c r="E670" s="251"/>
      <c r="F670" s="245"/>
      <c r="G670" s="245"/>
      <c r="H670" s="245"/>
      <c r="I670" s="230"/>
    </row>
    <row r="671" spans="2:9" ht="15.75" customHeight="1" outlineLevel="2" x14ac:dyDescent="0.25">
      <c r="B671" s="506"/>
      <c r="C671" s="606"/>
      <c r="D671" s="607"/>
      <c r="E671" s="608"/>
      <c r="F671" s="609"/>
      <c r="G671" s="609"/>
      <c r="H671" s="609"/>
      <c r="I671" s="610"/>
    </row>
    <row r="672" spans="2:9" ht="15.75" customHeight="1" outlineLevel="2" x14ac:dyDescent="0.25">
      <c r="B672" s="506"/>
      <c r="C672" s="362"/>
      <c r="D672" s="252"/>
      <c r="E672" s="251"/>
      <c r="F672" s="245"/>
      <c r="G672" s="245"/>
      <c r="H672" s="245"/>
      <c r="I672" s="230"/>
    </row>
    <row r="673" spans="2:9" ht="15.75" customHeight="1" outlineLevel="2" x14ac:dyDescent="0.25">
      <c r="B673" s="506"/>
      <c r="C673" s="606"/>
      <c r="D673" s="607"/>
      <c r="E673" s="608"/>
      <c r="F673" s="609"/>
      <c r="G673" s="609"/>
      <c r="H673" s="609"/>
      <c r="I673" s="610"/>
    </row>
    <row r="674" spans="2:9" ht="15.75" customHeight="1" outlineLevel="2" x14ac:dyDescent="0.25">
      <c r="B674" s="506"/>
      <c r="C674" s="362"/>
      <c r="D674" s="252"/>
      <c r="E674" s="251"/>
      <c r="F674" s="245"/>
      <c r="G674" s="245"/>
      <c r="H674" s="245"/>
      <c r="I674" s="230"/>
    </row>
    <row r="675" spans="2:9" ht="15.75" customHeight="1" outlineLevel="2" x14ac:dyDescent="0.25">
      <c r="B675" s="506"/>
      <c r="C675" s="606"/>
      <c r="D675" s="607"/>
      <c r="E675" s="608"/>
      <c r="F675" s="609"/>
      <c r="G675" s="609"/>
      <c r="H675" s="609"/>
      <c r="I675" s="610"/>
    </row>
    <row r="676" spans="2:9" ht="15.75" customHeight="1" outlineLevel="2" x14ac:dyDescent="0.25">
      <c r="B676" s="506"/>
      <c r="C676" s="362"/>
      <c r="D676" s="252"/>
      <c r="E676" s="251"/>
      <c r="F676" s="245"/>
      <c r="G676" s="245"/>
      <c r="H676" s="245"/>
      <c r="I676" s="230"/>
    </row>
    <row r="677" spans="2:9" ht="15.75" customHeight="1" outlineLevel="2" x14ac:dyDescent="0.25">
      <c r="B677" s="506"/>
      <c r="C677" s="606"/>
      <c r="D677" s="607"/>
      <c r="E677" s="608"/>
      <c r="F677" s="609"/>
      <c r="G677" s="609"/>
      <c r="H677" s="609"/>
      <c r="I677" s="610"/>
    </row>
    <row r="678" spans="2:9" ht="15.75" customHeight="1" outlineLevel="2" x14ac:dyDescent="0.25">
      <c r="B678" s="506"/>
      <c r="C678" s="362"/>
      <c r="D678" s="252"/>
      <c r="E678" s="251"/>
      <c r="F678" s="245"/>
      <c r="G678" s="245"/>
      <c r="H678" s="245"/>
      <c r="I678" s="230"/>
    </row>
    <row r="679" spans="2:9" ht="15.75" customHeight="1" outlineLevel="2" x14ac:dyDescent="0.25">
      <c r="B679" s="506"/>
      <c r="C679" s="606"/>
      <c r="D679" s="607"/>
      <c r="E679" s="608"/>
      <c r="F679" s="609"/>
      <c r="G679" s="609"/>
      <c r="H679" s="609"/>
      <c r="I679" s="610"/>
    </row>
    <row r="680" spans="2:9" ht="15.75" customHeight="1" outlineLevel="2" x14ac:dyDescent="0.25">
      <c r="B680" s="506"/>
      <c r="C680" s="362"/>
      <c r="D680" s="252"/>
      <c r="E680" s="251"/>
      <c r="F680" s="245"/>
      <c r="G680" s="245"/>
      <c r="H680" s="245"/>
      <c r="I680" s="230"/>
    </row>
    <row r="681" spans="2:9" ht="15.75" customHeight="1" outlineLevel="2" x14ac:dyDescent="0.25">
      <c r="B681" s="506"/>
      <c r="C681" s="606"/>
      <c r="D681" s="607"/>
      <c r="E681" s="608"/>
      <c r="F681" s="609"/>
      <c r="G681" s="609"/>
      <c r="H681" s="609"/>
      <c r="I681" s="610"/>
    </row>
    <row r="682" spans="2:9" ht="15.75" customHeight="1" outlineLevel="2" x14ac:dyDescent="0.25">
      <c r="B682" s="506"/>
      <c r="C682" s="362"/>
      <c r="D682" s="252"/>
      <c r="E682" s="251"/>
      <c r="F682" s="245"/>
      <c r="G682" s="245"/>
      <c r="H682" s="245"/>
      <c r="I682" s="230"/>
    </row>
    <row r="683" spans="2:9" ht="15.75" customHeight="1" outlineLevel="2" x14ac:dyDescent="0.25">
      <c r="B683" s="506"/>
      <c r="C683" s="606"/>
      <c r="D683" s="607"/>
      <c r="E683" s="608"/>
      <c r="F683" s="609"/>
      <c r="G683" s="609"/>
      <c r="H683" s="609"/>
      <c r="I683" s="610"/>
    </row>
    <row r="684" spans="2:9" ht="15.75" customHeight="1" outlineLevel="2" x14ac:dyDescent="0.25">
      <c r="B684" s="506"/>
      <c r="C684" s="362"/>
      <c r="D684" s="252"/>
      <c r="E684" s="251"/>
      <c r="F684" s="245"/>
      <c r="G684" s="245"/>
      <c r="H684" s="245"/>
      <c r="I684" s="230"/>
    </row>
    <row r="685" spans="2:9" ht="15.75" customHeight="1" outlineLevel="2" x14ac:dyDescent="0.25">
      <c r="B685" s="506"/>
      <c r="C685" s="606"/>
      <c r="D685" s="607"/>
      <c r="E685" s="608"/>
      <c r="F685" s="609"/>
      <c r="G685" s="609"/>
      <c r="H685" s="609"/>
      <c r="I685" s="610"/>
    </row>
    <row r="686" spans="2:9" ht="15.75" customHeight="1" outlineLevel="2" x14ac:dyDescent="0.25">
      <c r="B686" s="506"/>
      <c r="C686" s="362"/>
      <c r="D686" s="252"/>
      <c r="E686" s="251"/>
      <c r="F686" s="245"/>
      <c r="G686" s="245"/>
      <c r="H686" s="245"/>
      <c r="I686" s="230"/>
    </row>
    <row r="687" spans="2:9" ht="15.75" customHeight="1" outlineLevel="2" x14ac:dyDescent="0.25">
      <c r="B687" s="506"/>
      <c r="C687" s="606"/>
      <c r="D687" s="607"/>
      <c r="E687" s="608"/>
      <c r="F687" s="609"/>
      <c r="G687" s="609"/>
      <c r="H687" s="609"/>
      <c r="I687" s="610"/>
    </row>
    <row r="688" spans="2:9" ht="15.75" customHeight="1" outlineLevel="2" x14ac:dyDescent="0.25">
      <c r="B688" s="506"/>
      <c r="C688" s="362"/>
      <c r="D688" s="252"/>
      <c r="E688" s="251"/>
      <c r="F688" s="245"/>
      <c r="G688" s="245"/>
      <c r="H688" s="245"/>
      <c r="I688" s="230"/>
    </row>
    <row r="689" spans="2:9" ht="15.75" customHeight="1" outlineLevel="2" x14ac:dyDescent="0.25">
      <c r="B689" s="506"/>
      <c r="C689" s="606"/>
      <c r="D689" s="607"/>
      <c r="E689" s="608"/>
      <c r="F689" s="609"/>
      <c r="G689" s="609"/>
      <c r="H689" s="609"/>
      <c r="I689" s="610"/>
    </row>
    <row r="690" spans="2:9" ht="15.75" customHeight="1" outlineLevel="2" x14ac:dyDescent="0.25">
      <c r="B690" s="506"/>
      <c r="C690" s="362"/>
      <c r="D690" s="252"/>
      <c r="E690" s="251"/>
      <c r="F690" s="245"/>
      <c r="G690" s="245"/>
      <c r="H690" s="245"/>
      <c r="I690" s="230"/>
    </row>
    <row r="691" spans="2:9" ht="15.75" customHeight="1" outlineLevel="2" x14ac:dyDescent="0.25">
      <c r="B691" s="506"/>
      <c r="C691" s="606"/>
      <c r="D691" s="607"/>
      <c r="E691" s="608"/>
      <c r="F691" s="609"/>
      <c r="G691" s="609"/>
      <c r="H691" s="609"/>
      <c r="I691" s="610"/>
    </row>
    <row r="692" spans="2:9" ht="15.75" customHeight="1" outlineLevel="2" x14ac:dyDescent="0.25">
      <c r="B692" s="506"/>
      <c r="C692" s="362"/>
      <c r="D692" s="252"/>
      <c r="E692" s="251"/>
      <c r="F692" s="245"/>
      <c r="G692" s="245"/>
      <c r="H692" s="245"/>
      <c r="I692" s="230"/>
    </row>
    <row r="693" spans="2:9" ht="15.75" customHeight="1" outlineLevel="2" x14ac:dyDescent="0.25">
      <c r="B693" s="506"/>
      <c r="C693" s="606"/>
      <c r="D693" s="607"/>
      <c r="E693" s="608"/>
      <c r="F693" s="609"/>
      <c r="G693" s="609"/>
      <c r="H693" s="609"/>
      <c r="I693" s="610"/>
    </row>
    <row r="694" spans="2:9" ht="15.75" customHeight="1" outlineLevel="2" x14ac:dyDescent="0.25">
      <c r="B694" s="506"/>
      <c r="C694" s="362"/>
      <c r="D694" s="252"/>
      <c r="E694" s="251"/>
      <c r="F694" s="245"/>
      <c r="G694" s="245"/>
      <c r="H694" s="245"/>
      <c r="I694" s="230"/>
    </row>
    <row r="695" spans="2:9" ht="15.75" customHeight="1" outlineLevel="2" x14ac:dyDescent="0.25">
      <c r="B695" s="506"/>
      <c r="C695" s="606"/>
      <c r="D695" s="607"/>
      <c r="E695" s="608"/>
      <c r="F695" s="609"/>
      <c r="G695" s="609"/>
      <c r="H695" s="609"/>
      <c r="I695" s="610"/>
    </row>
    <row r="696" spans="2:9" ht="15.75" customHeight="1" outlineLevel="2" x14ac:dyDescent="0.25">
      <c r="B696" s="516" t="s">
        <v>151</v>
      </c>
      <c r="C696" s="363">
        <v>0</v>
      </c>
      <c r="D696" s="254">
        <v>0</v>
      </c>
      <c r="E696" s="253">
        <v>0</v>
      </c>
      <c r="F696" s="247">
        <v>0</v>
      </c>
      <c r="G696" s="247">
        <v>0</v>
      </c>
      <c r="H696" s="247">
        <v>0</v>
      </c>
      <c r="I696" s="465">
        <v>0</v>
      </c>
    </row>
    <row r="697" spans="2:9" ht="15.75" customHeight="1" outlineLevel="2" x14ac:dyDescent="0.25">
      <c r="B697" s="513" t="s">
        <v>112</v>
      </c>
      <c r="C697" s="514">
        <f t="shared" ref="C697:I697" si="11">SUM(C646:C696)</f>
        <v>0</v>
      </c>
      <c r="D697" s="514">
        <f t="shared" si="11"/>
        <v>0</v>
      </c>
      <c r="E697" s="514">
        <f t="shared" si="11"/>
        <v>0</v>
      </c>
      <c r="F697" s="514">
        <f t="shared" si="11"/>
        <v>0</v>
      </c>
      <c r="G697" s="514">
        <f t="shared" si="11"/>
        <v>0</v>
      </c>
      <c r="H697" s="514">
        <f t="shared" si="11"/>
        <v>0</v>
      </c>
      <c r="I697" s="515">
        <f t="shared" si="11"/>
        <v>0</v>
      </c>
    </row>
    <row r="698" spans="2:9" s="41" customFormat="1" ht="13.5" customHeight="1" outlineLevel="1" x14ac:dyDescent="0.2"/>
  </sheetData>
  <sheetProtection algorithmName="SHA-256" hashValue="DL5+TSuGgUwhUJ/GF3/MCRCBS2UX6DVRHmT2eNdNS8g=" saltValue="VZEJ+4C6f/iGxB72YoNOjA=="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7375E"/>
  </sheetPr>
  <dimension ref="A1:I209"/>
  <sheetViews>
    <sheetView showGridLines="0" workbookViewId="0">
      <selection activeCell="B4" sqref="B4"/>
    </sheetView>
  </sheetViews>
  <sheetFormatPr defaultColWidth="9.140625" defaultRowHeight="15" outlineLevelRow="3" x14ac:dyDescent="0.25"/>
  <cols>
    <col min="1" max="1" width="22.7109375" customWidth="1"/>
    <col min="2" max="2" width="57.140625" customWidth="1"/>
    <col min="3" max="9" width="20.7109375" customWidth="1"/>
  </cols>
  <sheetData>
    <row r="1" spans="1:9" ht="30" customHeight="1" x14ac:dyDescent="0.25">
      <c r="A1" s="1068"/>
      <c r="B1" s="1069" t="str">
        <f>INDEX(dms_Worksheet_List,MATCH(dms_Model,dms_Model_List))</f>
        <v>REGULATORY REPORTING STATEMENT</v>
      </c>
      <c r="C1" s="25"/>
      <c r="D1" s="25"/>
      <c r="E1" s="25"/>
      <c r="F1" s="25"/>
      <c r="G1" s="25"/>
      <c r="H1" s="25"/>
      <c r="I1" s="25"/>
    </row>
    <row r="2" spans="1:9"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9" ht="30" customHeight="1" x14ac:dyDescent="0.25">
      <c r="A3" s="1071"/>
      <c r="B3" s="1071" t="str">
        <f ca="1">dms_Header_Span</f>
        <v>2024-25 to 2030-31</v>
      </c>
      <c r="C3" s="25"/>
      <c r="D3" s="25"/>
      <c r="E3" s="25"/>
      <c r="F3" s="25"/>
      <c r="G3" s="25"/>
      <c r="H3" s="25"/>
      <c r="I3" s="25"/>
    </row>
    <row r="4" spans="1:9" ht="30" customHeight="1" x14ac:dyDescent="0.25">
      <c r="A4" s="383"/>
      <c r="B4" s="383" t="s">
        <v>169</v>
      </c>
      <c r="C4" s="383"/>
      <c r="D4" s="383"/>
      <c r="E4" s="383"/>
      <c r="F4" s="383"/>
      <c r="G4" s="383"/>
      <c r="H4" s="383"/>
      <c r="I4" s="383"/>
    </row>
    <row r="5" spans="1:9" ht="30" customHeight="1" x14ac:dyDescent="0.25">
      <c r="B5" s="1440" t="s">
        <v>96</v>
      </c>
      <c r="C5" s="1440"/>
      <c r="D5" s="1440"/>
      <c r="E5" s="1440"/>
      <c r="F5" s="1440"/>
      <c r="G5" s="1440"/>
      <c r="H5" s="1440"/>
      <c r="I5" s="1440"/>
    </row>
    <row r="6" spans="1:9" ht="15" customHeight="1" x14ac:dyDescent="0.25"/>
    <row r="7" spans="1:9" s="41" customFormat="1" ht="24" customHeight="1" x14ac:dyDescent="0.2">
      <c r="B7" s="31" t="s">
        <v>170</v>
      </c>
      <c r="C7" s="31"/>
      <c r="D7" s="31"/>
      <c r="E7" s="31"/>
      <c r="F7" s="31"/>
      <c r="G7" s="31"/>
      <c r="H7" s="31"/>
      <c r="I7" s="31"/>
    </row>
    <row r="8" spans="1:9" s="41" customFormat="1" ht="24" customHeight="1" outlineLevel="1" x14ac:dyDescent="0.2">
      <c r="B8" s="232" t="s">
        <v>171</v>
      </c>
      <c r="C8" s="233"/>
      <c r="D8" s="233"/>
      <c r="E8" s="233"/>
      <c r="F8" s="233"/>
      <c r="G8" s="233"/>
      <c r="H8" s="233"/>
      <c r="I8" s="233"/>
    </row>
    <row r="9" spans="1:9" s="41" customFormat="1" ht="20.25" customHeight="1" outlineLevel="2" x14ac:dyDescent="0.2">
      <c r="A9" s="276"/>
      <c r="C9" s="1331" t="s">
        <v>24</v>
      </c>
      <c r="D9" s="1331"/>
      <c r="E9" s="1331"/>
      <c r="F9" s="1331"/>
      <c r="G9" s="1331"/>
      <c r="H9" s="1331"/>
      <c r="I9" s="1331"/>
    </row>
    <row r="10" spans="1:9" s="41" customFormat="1" ht="20.25" customHeight="1" outlineLevel="2" x14ac:dyDescent="0.2">
      <c r="A10" s="276"/>
      <c r="C10" s="1331" t="str">
        <f ca="1">CONCATENATE("$, real ",dms_DollarReal)</f>
        <v>$, real June 2026</v>
      </c>
      <c r="D10" s="1331"/>
      <c r="E10" s="1331"/>
      <c r="F10" s="1331"/>
      <c r="G10" s="1331"/>
      <c r="H10" s="1331"/>
      <c r="I10" s="1331"/>
    </row>
    <row r="11" spans="1:9" s="41" customFormat="1" ht="20.25" customHeight="1" outlineLevel="2" x14ac:dyDescent="0.2">
      <c r="A11" s="276"/>
      <c r="C11" s="298" t="str">
        <f ca="1">dms_y1</f>
        <v>2024-25</v>
      </c>
      <c r="D11" s="298" t="str">
        <f ca="1">dms_y2</f>
        <v>2025-26</v>
      </c>
      <c r="E11" s="298" t="str">
        <f ca="1">dms_y3</f>
        <v>2026-27</v>
      </c>
      <c r="F11" s="298" t="str">
        <f ca="1">dms_y4</f>
        <v>2027-28</v>
      </c>
      <c r="G11" s="298" t="str">
        <f ca="1">dms_y5</f>
        <v>2028-29</v>
      </c>
      <c r="H11" s="298" t="str">
        <f ca="1">dms_y6</f>
        <v>2029-30</v>
      </c>
      <c r="I11" s="298" t="str">
        <f ca="1">dms_y7</f>
        <v>2030-31</v>
      </c>
    </row>
    <row r="12" spans="1:9" ht="21.75" customHeight="1" outlineLevel="2" x14ac:dyDescent="0.25">
      <c r="B12" s="235" t="s">
        <v>135</v>
      </c>
      <c r="C12" s="236"/>
      <c r="D12" s="236"/>
      <c r="E12" s="236"/>
      <c r="F12" s="236"/>
      <c r="G12" s="236"/>
      <c r="H12" s="236"/>
      <c r="I12" s="237"/>
    </row>
    <row r="13" spans="1:9" ht="15.75" customHeight="1" outlineLevel="3" x14ac:dyDescent="0.25">
      <c r="B13" s="506" t="s">
        <v>172</v>
      </c>
      <c r="C13" s="270"/>
      <c r="D13" s="1160"/>
      <c r="E13" s="268"/>
      <c r="F13" s="256"/>
      <c r="G13" s="256"/>
      <c r="H13" s="256"/>
      <c r="I13" s="257"/>
    </row>
    <row r="14" spans="1:9" ht="15.75" customHeight="1" outlineLevel="3" x14ac:dyDescent="0.25">
      <c r="B14" s="506" t="s">
        <v>173</v>
      </c>
      <c r="C14" s="270"/>
      <c r="D14" s="1160"/>
      <c r="E14" s="268"/>
      <c r="F14" s="256"/>
      <c r="G14" s="256"/>
      <c r="H14" s="256"/>
      <c r="I14" s="257"/>
    </row>
    <row r="15" spans="1:9" ht="15.75" customHeight="1" outlineLevel="3" x14ac:dyDescent="0.25">
      <c r="B15" s="524" t="s">
        <v>174</v>
      </c>
      <c r="C15" s="283"/>
      <c r="D15" s="284"/>
      <c r="E15" s="285"/>
      <c r="F15" s="286"/>
      <c r="G15" s="286"/>
      <c r="H15" s="286"/>
      <c r="I15" s="287"/>
    </row>
    <row r="16" spans="1:9" ht="15.75" customHeight="1" outlineLevel="3" collapsed="1" x14ac:dyDescent="0.25">
      <c r="B16" s="521" t="s">
        <v>112</v>
      </c>
      <c r="C16" s="522">
        <f t="shared" ref="C16:I16" si="0">SUM(C13:C15)</f>
        <v>0</v>
      </c>
      <c r="D16" s="522">
        <f t="shared" si="0"/>
        <v>0</v>
      </c>
      <c r="E16" s="522">
        <f t="shared" si="0"/>
        <v>0</v>
      </c>
      <c r="F16" s="522">
        <f t="shared" si="0"/>
        <v>0</v>
      </c>
      <c r="G16" s="522">
        <f t="shared" si="0"/>
        <v>0</v>
      </c>
      <c r="H16" s="522">
        <f t="shared" si="0"/>
        <v>0</v>
      </c>
      <c r="I16" s="523">
        <f t="shared" si="0"/>
        <v>0</v>
      </c>
    </row>
    <row r="17" spans="2:9" ht="21.75" customHeight="1" outlineLevel="2" x14ac:dyDescent="0.25">
      <c r="B17" s="235" t="s">
        <v>137</v>
      </c>
      <c r="C17" s="236"/>
      <c r="D17" s="236"/>
      <c r="E17" s="236"/>
      <c r="F17" s="236"/>
      <c r="G17" s="236"/>
      <c r="H17" s="236"/>
      <c r="I17" s="237"/>
    </row>
    <row r="18" spans="2:9" ht="15.75" customHeight="1" outlineLevel="3" x14ac:dyDescent="0.25">
      <c r="B18" s="506" t="s">
        <v>172</v>
      </c>
      <c r="C18" s="270"/>
      <c r="D18" s="1160"/>
      <c r="E18" s="268"/>
      <c r="F18" s="256"/>
      <c r="G18" s="256"/>
      <c r="H18" s="256"/>
      <c r="I18" s="257"/>
    </row>
    <row r="19" spans="2:9" ht="15.75" customHeight="1" outlineLevel="3" x14ac:dyDescent="0.25">
      <c r="B19" s="506" t="s">
        <v>173</v>
      </c>
      <c r="C19" s="270"/>
      <c r="D19" s="1160"/>
      <c r="E19" s="268"/>
      <c r="F19" s="256"/>
      <c r="G19" s="256"/>
      <c r="H19" s="256"/>
      <c r="I19" s="257"/>
    </row>
    <row r="20" spans="2:9" ht="15.75" customHeight="1" outlineLevel="3" x14ac:dyDescent="0.25">
      <c r="B20" s="524" t="s">
        <v>174</v>
      </c>
      <c r="C20" s="283"/>
      <c r="D20" s="284"/>
      <c r="E20" s="285"/>
      <c r="F20" s="286"/>
      <c r="G20" s="286"/>
      <c r="H20" s="286"/>
      <c r="I20" s="287"/>
    </row>
    <row r="21" spans="2:9" ht="15.75" customHeight="1" outlineLevel="3" collapsed="1" x14ac:dyDescent="0.25">
      <c r="B21" s="521" t="s">
        <v>112</v>
      </c>
      <c r="C21" s="522">
        <f t="shared" ref="C21:I21" si="1">SUM(C18:C20)</f>
        <v>0</v>
      </c>
      <c r="D21" s="522">
        <f t="shared" si="1"/>
        <v>0</v>
      </c>
      <c r="E21" s="522">
        <f t="shared" si="1"/>
        <v>0</v>
      </c>
      <c r="F21" s="522">
        <f t="shared" si="1"/>
        <v>0</v>
      </c>
      <c r="G21" s="522">
        <f t="shared" si="1"/>
        <v>0</v>
      </c>
      <c r="H21" s="522">
        <f t="shared" si="1"/>
        <v>0</v>
      </c>
      <c r="I21" s="523">
        <f t="shared" si="1"/>
        <v>0</v>
      </c>
    </row>
    <row r="22" spans="2:9" ht="21.75" customHeight="1" outlineLevel="2" x14ac:dyDescent="0.25">
      <c r="B22" s="235" t="s">
        <v>138</v>
      </c>
      <c r="C22" s="236"/>
      <c r="D22" s="236"/>
      <c r="E22" s="236"/>
      <c r="F22" s="236"/>
      <c r="G22" s="236"/>
      <c r="H22" s="236"/>
      <c r="I22" s="237"/>
    </row>
    <row r="23" spans="2:9" ht="15.75" customHeight="1" outlineLevel="3" x14ac:dyDescent="0.25">
      <c r="B23" s="506" t="s">
        <v>172</v>
      </c>
      <c r="C23" s="270"/>
      <c r="D23" s="1160"/>
      <c r="E23" s="268"/>
      <c r="F23" s="256"/>
      <c r="G23" s="256"/>
      <c r="H23" s="256"/>
      <c r="I23" s="257"/>
    </row>
    <row r="24" spans="2:9" ht="15.75" customHeight="1" outlineLevel="3" x14ac:dyDescent="0.25">
      <c r="B24" s="506" t="s">
        <v>173</v>
      </c>
      <c r="C24" s="270"/>
      <c r="D24" s="1160"/>
      <c r="E24" s="268"/>
      <c r="F24" s="256"/>
      <c r="G24" s="256"/>
      <c r="H24" s="256"/>
      <c r="I24" s="257"/>
    </row>
    <row r="25" spans="2:9" ht="15.75" customHeight="1" outlineLevel="3" x14ac:dyDescent="0.25">
      <c r="B25" s="524" t="s">
        <v>174</v>
      </c>
      <c r="C25" s="283"/>
      <c r="D25" s="284"/>
      <c r="E25" s="285"/>
      <c r="F25" s="286"/>
      <c r="G25" s="286"/>
      <c r="H25" s="286"/>
      <c r="I25" s="287"/>
    </row>
    <row r="26" spans="2:9" ht="15.75" customHeight="1" outlineLevel="3" collapsed="1" x14ac:dyDescent="0.25">
      <c r="B26" s="518" t="s">
        <v>112</v>
      </c>
      <c r="C26" s="519">
        <f t="shared" ref="C26:I26" si="2">SUM(C23:C25)</f>
        <v>0</v>
      </c>
      <c r="D26" s="519">
        <f t="shared" si="2"/>
        <v>0</v>
      </c>
      <c r="E26" s="519">
        <f t="shared" si="2"/>
        <v>0</v>
      </c>
      <c r="F26" s="519">
        <f t="shared" si="2"/>
        <v>0</v>
      </c>
      <c r="G26" s="519">
        <f t="shared" si="2"/>
        <v>0</v>
      </c>
      <c r="H26" s="519">
        <f t="shared" si="2"/>
        <v>0</v>
      </c>
      <c r="I26" s="520">
        <f t="shared" si="2"/>
        <v>0</v>
      </c>
    </row>
    <row r="27" spans="2:9" ht="21.75" customHeight="1" outlineLevel="2" x14ac:dyDescent="0.25">
      <c r="B27" s="235" t="s">
        <v>139</v>
      </c>
      <c r="C27" s="236"/>
      <c r="D27" s="236"/>
      <c r="E27" s="236"/>
      <c r="F27" s="236"/>
      <c r="G27" s="236"/>
      <c r="H27" s="236"/>
      <c r="I27" s="237"/>
    </row>
    <row r="28" spans="2:9" ht="15.75" customHeight="1" outlineLevel="3" x14ac:dyDescent="0.25">
      <c r="B28" s="506" t="s">
        <v>172</v>
      </c>
      <c r="C28" s="270"/>
      <c r="D28" s="1160"/>
      <c r="E28" s="268"/>
      <c r="F28" s="256"/>
      <c r="G28" s="256"/>
      <c r="H28" s="256"/>
      <c r="I28" s="257"/>
    </row>
    <row r="29" spans="2:9" ht="15.75" customHeight="1" outlineLevel="3" x14ac:dyDescent="0.25">
      <c r="B29" s="506" t="s">
        <v>173</v>
      </c>
      <c r="C29" s="270"/>
      <c r="D29" s="1160"/>
      <c r="E29" s="268"/>
      <c r="F29" s="256"/>
      <c r="G29" s="256"/>
      <c r="H29" s="256"/>
      <c r="I29" s="257"/>
    </row>
    <row r="30" spans="2:9" ht="15.75" customHeight="1" outlineLevel="3" x14ac:dyDescent="0.25">
      <c r="B30" s="524" t="s">
        <v>174</v>
      </c>
      <c r="C30" s="283"/>
      <c r="D30" s="284"/>
      <c r="E30" s="285"/>
      <c r="F30" s="286"/>
      <c r="G30" s="286"/>
      <c r="H30" s="286"/>
      <c r="I30" s="287"/>
    </row>
    <row r="31" spans="2:9" ht="15.75" customHeight="1" outlineLevel="3" collapsed="1" x14ac:dyDescent="0.25">
      <c r="B31" s="518" t="s">
        <v>112</v>
      </c>
      <c r="C31" s="519">
        <f t="shared" ref="C31:I31" si="3">SUM(C28:C30)</f>
        <v>0</v>
      </c>
      <c r="D31" s="519">
        <f t="shared" si="3"/>
        <v>0</v>
      </c>
      <c r="E31" s="519">
        <f t="shared" si="3"/>
        <v>0</v>
      </c>
      <c r="F31" s="519">
        <f t="shared" si="3"/>
        <v>0</v>
      </c>
      <c r="G31" s="519">
        <f t="shared" si="3"/>
        <v>0</v>
      </c>
      <c r="H31" s="519">
        <f t="shared" si="3"/>
        <v>0</v>
      </c>
      <c r="I31" s="520">
        <f t="shared" si="3"/>
        <v>0</v>
      </c>
    </row>
    <row r="32" spans="2:9" ht="21.75" customHeight="1" outlineLevel="2" x14ac:dyDescent="0.25">
      <c r="B32" s="235" t="s">
        <v>140</v>
      </c>
      <c r="C32" s="236"/>
      <c r="D32" s="236"/>
      <c r="E32" s="236"/>
      <c r="F32" s="236"/>
      <c r="G32" s="236"/>
      <c r="H32" s="236"/>
      <c r="I32" s="237"/>
    </row>
    <row r="33" spans="1:9" ht="15.75" customHeight="1" outlineLevel="3" x14ac:dyDescent="0.25">
      <c r="B33" s="506" t="s">
        <v>172</v>
      </c>
      <c r="C33" s="270"/>
      <c r="D33" s="1160"/>
      <c r="E33" s="268"/>
      <c r="F33" s="256"/>
      <c r="G33" s="256"/>
      <c r="H33" s="256"/>
      <c r="I33" s="257"/>
    </row>
    <row r="34" spans="1:9" ht="15.75" customHeight="1" outlineLevel="3" x14ac:dyDescent="0.25">
      <c r="B34" s="506" t="s">
        <v>173</v>
      </c>
      <c r="C34" s="270"/>
      <c r="D34" s="1160"/>
      <c r="E34" s="268"/>
      <c r="F34" s="256"/>
      <c r="G34" s="256"/>
      <c r="H34" s="256"/>
      <c r="I34" s="257"/>
    </row>
    <row r="35" spans="1:9" ht="15.75" customHeight="1" outlineLevel="3" x14ac:dyDescent="0.25">
      <c r="B35" s="524" t="s">
        <v>174</v>
      </c>
      <c r="C35" s="283"/>
      <c r="D35" s="284"/>
      <c r="E35" s="285"/>
      <c r="F35" s="286"/>
      <c r="G35" s="286"/>
      <c r="H35" s="286"/>
      <c r="I35" s="287"/>
    </row>
    <row r="36" spans="1:9" ht="15.75" customHeight="1" outlineLevel="3" collapsed="1" x14ac:dyDescent="0.25">
      <c r="B36" s="518" t="s">
        <v>112</v>
      </c>
      <c r="C36" s="519">
        <f t="shared" ref="C36:I36" si="4">SUM(C33:C35)</f>
        <v>0</v>
      </c>
      <c r="D36" s="519">
        <f t="shared" si="4"/>
        <v>0</v>
      </c>
      <c r="E36" s="519">
        <f t="shared" si="4"/>
        <v>0</v>
      </c>
      <c r="F36" s="519">
        <f t="shared" si="4"/>
        <v>0</v>
      </c>
      <c r="G36" s="519">
        <f t="shared" si="4"/>
        <v>0</v>
      </c>
      <c r="H36" s="519">
        <f t="shared" si="4"/>
        <v>0</v>
      </c>
      <c r="I36" s="520">
        <f t="shared" si="4"/>
        <v>0</v>
      </c>
    </row>
    <row r="37" spans="1:9" ht="21.75" customHeight="1" outlineLevel="2" x14ac:dyDescent="0.25">
      <c r="B37" s="235" t="s">
        <v>141</v>
      </c>
      <c r="C37" s="236"/>
      <c r="D37" s="236"/>
      <c r="E37" s="236"/>
      <c r="F37" s="236"/>
      <c r="G37" s="236"/>
      <c r="H37" s="236"/>
      <c r="I37" s="237"/>
    </row>
    <row r="38" spans="1:9" ht="15.75" customHeight="1" outlineLevel="3" x14ac:dyDescent="0.25">
      <c r="B38" s="506" t="s">
        <v>172</v>
      </c>
      <c r="C38" s="270"/>
      <c r="D38" s="1160"/>
      <c r="E38" s="268"/>
      <c r="F38" s="256"/>
      <c r="G38" s="256"/>
      <c r="H38" s="256"/>
      <c r="I38" s="257"/>
    </row>
    <row r="39" spans="1:9" ht="15.75" customHeight="1" outlineLevel="3" x14ac:dyDescent="0.25">
      <c r="B39" s="506" t="s">
        <v>173</v>
      </c>
      <c r="C39" s="270"/>
      <c r="D39" s="1160"/>
      <c r="E39" s="268"/>
      <c r="F39" s="256"/>
      <c r="G39" s="256"/>
      <c r="H39" s="256"/>
      <c r="I39" s="257"/>
    </row>
    <row r="40" spans="1:9" ht="15.75" customHeight="1" outlineLevel="3" x14ac:dyDescent="0.25">
      <c r="B40" s="524" t="s">
        <v>174</v>
      </c>
      <c r="C40" s="283"/>
      <c r="D40" s="284"/>
      <c r="E40" s="285"/>
      <c r="F40" s="286"/>
      <c r="G40" s="286"/>
      <c r="H40" s="286"/>
      <c r="I40" s="287"/>
    </row>
    <row r="41" spans="1:9" ht="15.75" customHeight="1" outlineLevel="3" collapsed="1" x14ac:dyDescent="0.25">
      <c r="B41" s="518" t="s">
        <v>112</v>
      </c>
      <c r="C41" s="519">
        <f t="shared" ref="C41:I41" si="5">SUM(C38:C40)</f>
        <v>0</v>
      </c>
      <c r="D41" s="519">
        <f t="shared" si="5"/>
        <v>0</v>
      </c>
      <c r="E41" s="519">
        <f t="shared" si="5"/>
        <v>0</v>
      </c>
      <c r="F41" s="519">
        <f t="shared" si="5"/>
        <v>0</v>
      </c>
      <c r="G41" s="519">
        <f t="shared" si="5"/>
        <v>0</v>
      </c>
      <c r="H41" s="519">
        <f t="shared" si="5"/>
        <v>0</v>
      </c>
      <c r="I41" s="520">
        <f t="shared" si="5"/>
        <v>0</v>
      </c>
    </row>
    <row r="42" spans="1:9" s="41" customFormat="1" ht="15" customHeight="1" outlineLevel="2" x14ac:dyDescent="0.2">
      <c r="A42" s="276"/>
      <c r="B42" s="280" t="s">
        <v>145</v>
      </c>
      <c r="C42" s="281">
        <f t="shared" ref="C42:I42" si="6">SUM(C16,C21,C26,C31,C36,C41)</f>
        <v>0</v>
      </c>
      <c r="D42" s="281">
        <f t="shared" si="6"/>
        <v>0</v>
      </c>
      <c r="E42" s="281">
        <f t="shared" si="6"/>
        <v>0</v>
      </c>
      <c r="F42" s="281">
        <f t="shared" si="6"/>
        <v>0</v>
      </c>
      <c r="G42" s="281">
        <f t="shared" si="6"/>
        <v>0</v>
      </c>
      <c r="H42" s="281">
        <f t="shared" si="6"/>
        <v>0</v>
      </c>
      <c r="I42" s="282">
        <f t="shared" si="6"/>
        <v>0</v>
      </c>
    </row>
    <row r="43" spans="1:9" s="41" customFormat="1" ht="21.6" customHeight="1" outlineLevel="1" x14ac:dyDescent="0.3">
      <c r="A43" s="276"/>
      <c r="B43" s="314"/>
      <c r="C43" s="311"/>
      <c r="D43" s="311"/>
      <c r="E43" s="311"/>
    </row>
    <row r="44" spans="1:9" s="41" customFormat="1" ht="24" customHeight="1" outlineLevel="1" x14ac:dyDescent="0.2">
      <c r="B44" s="232" t="s">
        <v>175</v>
      </c>
      <c r="C44" s="233"/>
      <c r="D44" s="233"/>
      <c r="E44" s="233"/>
      <c r="F44" s="233"/>
      <c r="G44" s="233"/>
      <c r="H44" s="233"/>
      <c r="I44" s="233"/>
    </row>
    <row r="45" spans="1:9" s="41" customFormat="1" ht="20.25" customHeight="1" outlineLevel="2" x14ac:dyDescent="0.2">
      <c r="A45" s="276"/>
      <c r="C45" s="1331" t="s">
        <v>24</v>
      </c>
      <c r="D45" s="1331"/>
      <c r="E45" s="1331"/>
      <c r="F45" s="1331"/>
      <c r="G45" s="1331"/>
      <c r="H45" s="1331"/>
      <c r="I45" s="1331"/>
    </row>
    <row r="46" spans="1:9" s="41" customFormat="1" ht="20.25" customHeight="1" outlineLevel="2" x14ac:dyDescent="0.2">
      <c r="A46" s="276"/>
      <c r="C46" s="1331" t="str">
        <f ca="1">CONCATENATE("$, real ",dms_DollarReal)</f>
        <v>$, real June 2026</v>
      </c>
      <c r="D46" s="1331"/>
      <c r="E46" s="1331"/>
      <c r="F46" s="1331"/>
      <c r="G46" s="1331"/>
      <c r="H46" s="1331"/>
      <c r="I46" s="1331"/>
    </row>
    <row r="47" spans="1:9" s="41" customFormat="1" ht="20.25" customHeight="1" outlineLevel="2" x14ac:dyDescent="0.2">
      <c r="A47" s="276"/>
      <c r="C47" s="298" t="str">
        <f ca="1">dms_y1</f>
        <v>2024-25</v>
      </c>
      <c r="D47" s="298" t="str">
        <f ca="1">dms_y2</f>
        <v>2025-26</v>
      </c>
      <c r="E47" s="298" t="str">
        <f ca="1">dms_y3</f>
        <v>2026-27</v>
      </c>
      <c r="F47" s="298" t="str">
        <f ca="1">dms_y4</f>
        <v>2027-28</v>
      </c>
      <c r="G47" s="298" t="str">
        <f ca="1">dms_y5</f>
        <v>2028-29</v>
      </c>
      <c r="H47" s="298" t="str">
        <f ca="1">dms_y6</f>
        <v>2029-30</v>
      </c>
      <c r="I47" s="298" t="str">
        <f ca="1">dms_y7</f>
        <v>2030-31</v>
      </c>
    </row>
    <row r="48" spans="1:9" ht="21.75" customHeight="1" outlineLevel="2" x14ac:dyDescent="0.25">
      <c r="B48" s="235" t="s">
        <v>135</v>
      </c>
      <c r="C48" s="236"/>
      <c r="D48" s="236"/>
      <c r="E48" s="236"/>
      <c r="F48" s="236"/>
      <c r="G48" s="236"/>
      <c r="H48" s="236"/>
      <c r="I48" s="237"/>
    </row>
    <row r="49" spans="2:9" ht="15.75" customHeight="1" outlineLevel="3" x14ac:dyDescent="0.25">
      <c r="B49" s="506" t="s">
        <v>172</v>
      </c>
      <c r="C49" s="270"/>
      <c r="D49" s="1160"/>
      <c r="E49" s="268"/>
      <c r="F49" s="256"/>
      <c r="G49" s="256"/>
      <c r="H49" s="256"/>
      <c r="I49" s="257"/>
    </row>
    <row r="50" spans="2:9" ht="15.75" customHeight="1" outlineLevel="3" x14ac:dyDescent="0.25">
      <c r="B50" s="506" t="s">
        <v>173</v>
      </c>
      <c r="C50" s="270"/>
      <c r="D50" s="1160"/>
      <c r="E50" s="268"/>
      <c r="F50" s="256"/>
      <c r="G50" s="256"/>
      <c r="H50" s="256"/>
      <c r="I50" s="257"/>
    </row>
    <row r="51" spans="2:9" ht="15.75" customHeight="1" outlineLevel="3" x14ac:dyDescent="0.25">
      <c r="B51" s="524" t="s">
        <v>174</v>
      </c>
      <c r="C51" s="283"/>
      <c r="D51" s="284"/>
      <c r="E51" s="285"/>
      <c r="F51" s="286"/>
      <c r="G51" s="286"/>
      <c r="H51" s="286"/>
      <c r="I51" s="287"/>
    </row>
    <row r="52" spans="2:9" ht="15.75" customHeight="1" outlineLevel="3" collapsed="1" x14ac:dyDescent="0.25">
      <c r="B52" s="522" t="s">
        <v>112</v>
      </c>
      <c r="C52" s="522">
        <f t="shared" ref="C52:I52" si="7">SUM(C49:C51)</f>
        <v>0</v>
      </c>
      <c r="D52" s="522">
        <f t="shared" si="7"/>
        <v>0</v>
      </c>
      <c r="E52" s="522">
        <f t="shared" si="7"/>
        <v>0</v>
      </c>
      <c r="F52" s="522">
        <f t="shared" si="7"/>
        <v>0</v>
      </c>
      <c r="G52" s="522">
        <f t="shared" si="7"/>
        <v>0</v>
      </c>
      <c r="H52" s="522">
        <f t="shared" si="7"/>
        <v>0</v>
      </c>
      <c r="I52" s="523">
        <f t="shared" si="7"/>
        <v>0</v>
      </c>
    </row>
    <row r="53" spans="2:9" ht="21.75" customHeight="1" outlineLevel="2" x14ac:dyDescent="0.25">
      <c r="B53" s="235" t="s">
        <v>137</v>
      </c>
      <c r="C53" s="236"/>
      <c r="D53" s="236"/>
      <c r="E53" s="236"/>
      <c r="F53" s="236"/>
      <c r="G53" s="236"/>
      <c r="H53" s="236"/>
      <c r="I53" s="237"/>
    </row>
    <row r="54" spans="2:9" ht="15.75" customHeight="1" outlineLevel="3" x14ac:dyDescent="0.25">
      <c r="B54" s="506" t="s">
        <v>172</v>
      </c>
      <c r="C54" s="270"/>
      <c r="D54" s="1160"/>
      <c r="E54" s="268"/>
      <c r="F54" s="256"/>
      <c r="G54" s="256"/>
      <c r="H54" s="256"/>
      <c r="I54" s="257"/>
    </row>
    <row r="55" spans="2:9" ht="15.75" customHeight="1" outlineLevel="3" x14ac:dyDescent="0.25">
      <c r="B55" s="506" t="s">
        <v>173</v>
      </c>
      <c r="C55" s="270"/>
      <c r="D55" s="1160"/>
      <c r="E55" s="268"/>
      <c r="F55" s="256"/>
      <c r="G55" s="256"/>
      <c r="H55" s="256"/>
      <c r="I55" s="257"/>
    </row>
    <row r="56" spans="2:9" ht="15.75" customHeight="1" outlineLevel="3" x14ac:dyDescent="0.25">
      <c r="B56" s="524" t="s">
        <v>174</v>
      </c>
      <c r="C56" s="283"/>
      <c r="D56" s="284"/>
      <c r="E56" s="285"/>
      <c r="F56" s="286"/>
      <c r="G56" s="286"/>
      <c r="H56" s="286"/>
      <c r="I56" s="287"/>
    </row>
    <row r="57" spans="2:9" ht="15.75" customHeight="1" outlineLevel="3" collapsed="1" x14ac:dyDescent="0.25">
      <c r="B57" s="519" t="s">
        <v>112</v>
      </c>
      <c r="C57" s="519">
        <f t="shared" ref="C57:I57" si="8">SUM(C54:C56)</f>
        <v>0</v>
      </c>
      <c r="D57" s="519">
        <f t="shared" si="8"/>
        <v>0</v>
      </c>
      <c r="E57" s="519">
        <f t="shared" si="8"/>
        <v>0</v>
      </c>
      <c r="F57" s="519">
        <f t="shared" si="8"/>
        <v>0</v>
      </c>
      <c r="G57" s="519">
        <f t="shared" si="8"/>
        <v>0</v>
      </c>
      <c r="H57" s="519">
        <f t="shared" si="8"/>
        <v>0</v>
      </c>
      <c r="I57" s="520">
        <f t="shared" si="8"/>
        <v>0</v>
      </c>
    </row>
    <row r="58" spans="2:9" ht="21.75" customHeight="1" outlineLevel="2" x14ac:dyDescent="0.25">
      <c r="B58" s="235" t="s">
        <v>138</v>
      </c>
      <c r="C58" s="236"/>
      <c r="D58" s="236"/>
      <c r="E58" s="236"/>
      <c r="F58" s="236"/>
      <c r="G58" s="236"/>
      <c r="H58" s="236"/>
      <c r="I58" s="237"/>
    </row>
    <row r="59" spans="2:9" ht="15.75" customHeight="1" outlineLevel="3" x14ac:dyDescent="0.25">
      <c r="B59" s="506" t="s">
        <v>172</v>
      </c>
      <c r="C59" s="270"/>
      <c r="D59" s="1160"/>
      <c r="E59" s="268"/>
      <c r="F59" s="256"/>
      <c r="G59" s="256"/>
      <c r="H59" s="256"/>
      <c r="I59" s="257"/>
    </row>
    <row r="60" spans="2:9" ht="15.75" customHeight="1" outlineLevel="3" x14ac:dyDescent="0.25">
      <c r="B60" s="506" t="s">
        <v>173</v>
      </c>
      <c r="C60" s="270"/>
      <c r="D60" s="1160"/>
      <c r="E60" s="268"/>
      <c r="F60" s="256"/>
      <c r="G60" s="256"/>
      <c r="H60" s="256"/>
      <c r="I60" s="257"/>
    </row>
    <row r="61" spans="2:9" ht="15.75" customHeight="1" outlineLevel="3" x14ac:dyDescent="0.25">
      <c r="B61" s="524" t="s">
        <v>174</v>
      </c>
      <c r="C61" s="283"/>
      <c r="D61" s="284"/>
      <c r="E61" s="285"/>
      <c r="F61" s="286"/>
      <c r="G61" s="286"/>
      <c r="H61" s="286"/>
      <c r="I61" s="287"/>
    </row>
    <row r="62" spans="2:9" ht="15.75" customHeight="1" outlineLevel="3" collapsed="1" x14ac:dyDescent="0.25">
      <c r="B62" s="519" t="s">
        <v>112</v>
      </c>
      <c r="C62" s="519">
        <f t="shared" ref="C62:I62" si="9">SUM(C59:C61)</f>
        <v>0</v>
      </c>
      <c r="D62" s="519">
        <f t="shared" si="9"/>
        <v>0</v>
      </c>
      <c r="E62" s="519">
        <f t="shared" si="9"/>
        <v>0</v>
      </c>
      <c r="F62" s="519">
        <f t="shared" si="9"/>
        <v>0</v>
      </c>
      <c r="G62" s="519">
        <f t="shared" si="9"/>
        <v>0</v>
      </c>
      <c r="H62" s="519">
        <f t="shared" si="9"/>
        <v>0</v>
      </c>
      <c r="I62" s="520">
        <f t="shared" si="9"/>
        <v>0</v>
      </c>
    </row>
    <row r="63" spans="2:9" ht="21.75" customHeight="1" outlineLevel="2" x14ac:dyDescent="0.25">
      <c r="B63" s="235" t="s">
        <v>139</v>
      </c>
      <c r="C63" s="236"/>
      <c r="D63" s="236"/>
      <c r="E63" s="236"/>
      <c r="F63" s="236"/>
      <c r="G63" s="236"/>
      <c r="H63" s="236"/>
      <c r="I63" s="237"/>
    </row>
    <row r="64" spans="2:9" ht="15.75" customHeight="1" outlineLevel="3" x14ac:dyDescent="0.25">
      <c r="B64" s="506" t="s">
        <v>172</v>
      </c>
      <c r="C64" s="270"/>
      <c r="D64" s="1160"/>
      <c r="E64" s="268"/>
      <c r="F64" s="256"/>
      <c r="G64" s="256"/>
      <c r="H64" s="256"/>
      <c r="I64" s="257"/>
    </row>
    <row r="65" spans="1:9" ht="15.75" customHeight="1" outlineLevel="3" x14ac:dyDescent="0.25">
      <c r="B65" s="506" t="s">
        <v>173</v>
      </c>
      <c r="C65" s="270"/>
      <c r="D65" s="1160"/>
      <c r="E65" s="268"/>
      <c r="F65" s="256"/>
      <c r="G65" s="256"/>
      <c r="H65" s="256"/>
      <c r="I65" s="257"/>
    </row>
    <row r="66" spans="1:9" ht="15.75" customHeight="1" outlineLevel="3" x14ac:dyDescent="0.25">
      <c r="B66" s="524" t="s">
        <v>174</v>
      </c>
      <c r="C66" s="283"/>
      <c r="D66" s="284"/>
      <c r="E66" s="285"/>
      <c r="F66" s="286"/>
      <c r="G66" s="286"/>
      <c r="H66" s="286"/>
      <c r="I66" s="287"/>
    </row>
    <row r="67" spans="1:9" ht="15.75" customHeight="1" outlineLevel="3" collapsed="1" x14ac:dyDescent="0.25">
      <c r="B67" s="519" t="s">
        <v>112</v>
      </c>
      <c r="C67" s="519">
        <f t="shared" ref="C67:I67" si="10">SUM(C64:C66)</f>
        <v>0</v>
      </c>
      <c r="D67" s="519">
        <f t="shared" si="10"/>
        <v>0</v>
      </c>
      <c r="E67" s="519">
        <f t="shared" si="10"/>
        <v>0</v>
      </c>
      <c r="F67" s="519">
        <f t="shared" si="10"/>
        <v>0</v>
      </c>
      <c r="G67" s="519">
        <f t="shared" si="10"/>
        <v>0</v>
      </c>
      <c r="H67" s="519">
        <f t="shared" si="10"/>
        <v>0</v>
      </c>
      <c r="I67" s="520">
        <f t="shared" si="10"/>
        <v>0</v>
      </c>
    </row>
    <row r="68" spans="1:9" ht="21.75" customHeight="1" outlineLevel="2" x14ac:dyDescent="0.25">
      <c r="B68" s="235" t="s">
        <v>140</v>
      </c>
      <c r="C68" s="236"/>
      <c r="D68" s="236"/>
      <c r="E68" s="236"/>
      <c r="F68" s="236"/>
      <c r="G68" s="236"/>
      <c r="H68" s="236"/>
      <c r="I68" s="237"/>
    </row>
    <row r="69" spans="1:9" ht="15.75" customHeight="1" outlineLevel="3" x14ac:dyDescent="0.25">
      <c r="B69" s="506" t="s">
        <v>172</v>
      </c>
      <c r="C69" s="270"/>
      <c r="D69" s="1160"/>
      <c r="E69" s="268"/>
      <c r="F69" s="256"/>
      <c r="G69" s="256"/>
      <c r="H69" s="256"/>
      <c r="I69" s="257"/>
    </row>
    <row r="70" spans="1:9" ht="15.75" customHeight="1" outlineLevel="3" x14ac:dyDescent="0.25">
      <c r="B70" s="506" t="s">
        <v>173</v>
      </c>
      <c r="C70" s="270"/>
      <c r="D70" s="1160"/>
      <c r="E70" s="268"/>
      <c r="F70" s="256"/>
      <c r="G70" s="256"/>
      <c r="H70" s="256"/>
      <c r="I70" s="257"/>
    </row>
    <row r="71" spans="1:9" ht="15.75" customHeight="1" outlineLevel="3" x14ac:dyDescent="0.25">
      <c r="B71" s="524" t="s">
        <v>174</v>
      </c>
      <c r="C71" s="283"/>
      <c r="D71" s="284"/>
      <c r="E71" s="285"/>
      <c r="F71" s="286"/>
      <c r="G71" s="286"/>
      <c r="H71" s="286"/>
      <c r="I71" s="287"/>
    </row>
    <row r="72" spans="1:9" ht="15.75" customHeight="1" outlineLevel="3" collapsed="1" x14ac:dyDescent="0.25">
      <c r="B72" s="519" t="s">
        <v>112</v>
      </c>
      <c r="C72" s="519">
        <f t="shared" ref="C72:I72" si="11">SUM(C69:C71)</f>
        <v>0</v>
      </c>
      <c r="D72" s="519">
        <f t="shared" si="11"/>
        <v>0</v>
      </c>
      <c r="E72" s="519">
        <f t="shared" si="11"/>
        <v>0</v>
      </c>
      <c r="F72" s="519">
        <f t="shared" si="11"/>
        <v>0</v>
      </c>
      <c r="G72" s="519">
        <f t="shared" si="11"/>
        <v>0</v>
      </c>
      <c r="H72" s="519">
        <f t="shared" si="11"/>
        <v>0</v>
      </c>
      <c r="I72" s="520">
        <f t="shared" si="11"/>
        <v>0</v>
      </c>
    </row>
    <row r="73" spans="1:9" ht="21.75" customHeight="1" outlineLevel="2" x14ac:dyDescent="0.25">
      <c r="B73" s="235" t="s">
        <v>141</v>
      </c>
      <c r="C73" s="236"/>
      <c r="D73" s="236"/>
      <c r="E73" s="236"/>
      <c r="F73" s="236"/>
      <c r="G73" s="236"/>
      <c r="H73" s="236"/>
      <c r="I73" s="237"/>
    </row>
    <row r="74" spans="1:9" ht="15.75" customHeight="1" outlineLevel="3" x14ac:dyDescent="0.25">
      <c r="B74" s="527" t="s">
        <v>172</v>
      </c>
      <c r="C74" s="270"/>
      <c r="D74" s="1160"/>
      <c r="E74" s="268"/>
      <c r="F74" s="256"/>
      <c r="G74" s="256"/>
      <c r="H74" s="256"/>
      <c r="I74" s="257"/>
    </row>
    <row r="75" spans="1:9" ht="15.75" customHeight="1" outlineLevel="3" x14ac:dyDescent="0.25">
      <c r="B75" s="506" t="s">
        <v>173</v>
      </c>
      <c r="C75" s="270"/>
      <c r="D75" s="1160"/>
      <c r="E75" s="268"/>
      <c r="F75" s="256"/>
      <c r="G75" s="256"/>
      <c r="H75" s="256"/>
      <c r="I75" s="257"/>
    </row>
    <row r="76" spans="1:9" ht="15.75" customHeight="1" outlineLevel="3" x14ac:dyDescent="0.25">
      <c r="B76" s="524" t="s">
        <v>174</v>
      </c>
      <c r="C76" s="283"/>
      <c r="D76" s="284"/>
      <c r="E76" s="285"/>
      <c r="F76" s="286"/>
      <c r="G76" s="286"/>
      <c r="H76" s="286"/>
      <c r="I76" s="287"/>
    </row>
    <row r="77" spans="1:9" ht="15.75" customHeight="1" outlineLevel="3" collapsed="1" x14ac:dyDescent="0.25">
      <c r="B77" s="518" t="s">
        <v>112</v>
      </c>
      <c r="C77" s="519">
        <f t="shared" ref="C77:I77" si="12">SUM(C74:C76)</f>
        <v>0</v>
      </c>
      <c r="D77" s="519">
        <f t="shared" si="12"/>
        <v>0</v>
      </c>
      <c r="E77" s="519">
        <f t="shared" si="12"/>
        <v>0</v>
      </c>
      <c r="F77" s="519">
        <f t="shared" si="12"/>
        <v>0</v>
      </c>
      <c r="G77" s="519">
        <f t="shared" si="12"/>
        <v>0</v>
      </c>
      <c r="H77" s="519">
        <f t="shared" si="12"/>
        <v>0</v>
      </c>
      <c r="I77" s="520">
        <f t="shared" si="12"/>
        <v>0</v>
      </c>
    </row>
    <row r="78" spans="1:9" s="41" customFormat="1" ht="15" customHeight="1" outlineLevel="2" x14ac:dyDescent="0.2">
      <c r="A78" s="276"/>
      <c r="B78" s="280" t="s">
        <v>145</v>
      </c>
      <c r="C78" s="281">
        <f t="shared" ref="C78:I78" si="13">SUM(C52,C57,C62,C67,C72,C77)</f>
        <v>0</v>
      </c>
      <c r="D78" s="281">
        <f t="shared" si="13"/>
        <v>0</v>
      </c>
      <c r="E78" s="281">
        <f t="shared" si="13"/>
        <v>0</v>
      </c>
      <c r="F78" s="281">
        <f t="shared" si="13"/>
        <v>0</v>
      </c>
      <c r="G78" s="281">
        <f t="shared" si="13"/>
        <v>0</v>
      </c>
      <c r="H78" s="281">
        <f t="shared" si="13"/>
        <v>0</v>
      </c>
      <c r="I78" s="282">
        <f t="shared" si="13"/>
        <v>0</v>
      </c>
    </row>
    <row r="79" spans="1:9" ht="15" customHeight="1" outlineLevel="1" x14ac:dyDescent="0.25"/>
    <row r="80" spans="1:9" s="41" customFormat="1" ht="24" customHeight="1" outlineLevel="1" x14ac:dyDescent="0.2">
      <c r="B80" s="232" t="s">
        <v>176</v>
      </c>
      <c r="C80" s="233"/>
      <c r="D80" s="233"/>
      <c r="E80" s="233"/>
      <c r="F80" s="233"/>
      <c r="G80" s="233"/>
      <c r="H80" s="233"/>
      <c r="I80" s="233"/>
    </row>
    <row r="81" spans="1:9" s="41" customFormat="1" ht="20.25" customHeight="1" outlineLevel="2" x14ac:dyDescent="0.2">
      <c r="A81" s="276"/>
      <c r="C81" s="1331" t="s">
        <v>24</v>
      </c>
      <c r="D81" s="1331"/>
      <c r="E81" s="1331"/>
      <c r="F81" s="1331"/>
      <c r="G81" s="1331"/>
      <c r="H81" s="1331"/>
      <c r="I81" s="1331"/>
    </row>
    <row r="82" spans="1:9" s="41" customFormat="1" ht="20.25" customHeight="1" outlineLevel="2" x14ac:dyDescent="0.2">
      <c r="A82" s="276"/>
      <c r="C82" s="1331" t="str">
        <f ca="1">CONCATENATE("$, real ",dms_DollarReal)</f>
        <v>$, real June 2026</v>
      </c>
      <c r="D82" s="1331"/>
      <c r="E82" s="1331"/>
      <c r="F82" s="1331"/>
      <c r="G82" s="1331"/>
      <c r="H82" s="1331"/>
      <c r="I82" s="1331"/>
    </row>
    <row r="83" spans="1:9" s="41" customFormat="1" ht="20.25" customHeight="1" outlineLevel="2" x14ac:dyDescent="0.2">
      <c r="A83" s="276"/>
      <c r="C83" s="298" t="str">
        <f ca="1">dms_y1</f>
        <v>2024-25</v>
      </c>
      <c r="D83" s="298" t="str">
        <f ca="1">dms_y2</f>
        <v>2025-26</v>
      </c>
      <c r="E83" s="298" t="str">
        <f ca="1">dms_y3</f>
        <v>2026-27</v>
      </c>
      <c r="F83" s="298" t="str">
        <f ca="1">dms_y4</f>
        <v>2027-28</v>
      </c>
      <c r="G83" s="298" t="str">
        <f ca="1">dms_y5</f>
        <v>2028-29</v>
      </c>
      <c r="H83" s="298" t="str">
        <f ca="1">dms_y6</f>
        <v>2029-30</v>
      </c>
      <c r="I83" s="298" t="str">
        <f ca="1">dms_y7</f>
        <v>2030-31</v>
      </c>
    </row>
    <row r="84" spans="1:9" ht="21.75" customHeight="1" outlineLevel="2" x14ac:dyDescent="0.25">
      <c r="B84" s="235" t="s">
        <v>135</v>
      </c>
      <c r="C84" s="236"/>
      <c r="D84" s="236"/>
      <c r="E84" s="236"/>
      <c r="F84" s="236"/>
      <c r="G84" s="236"/>
      <c r="H84" s="236"/>
      <c r="I84" s="237"/>
    </row>
    <row r="85" spans="1:9" ht="15.75" customHeight="1" outlineLevel="3" x14ac:dyDescent="0.25">
      <c r="B85" s="506" t="s">
        <v>172</v>
      </c>
      <c r="C85" s="270"/>
      <c r="D85" s="1160"/>
      <c r="E85" s="268"/>
      <c r="F85" s="256"/>
      <c r="G85" s="256"/>
      <c r="H85" s="256"/>
      <c r="I85" s="257"/>
    </row>
    <row r="86" spans="1:9" ht="15.75" customHeight="1" outlineLevel="3" x14ac:dyDescent="0.25">
      <c r="B86" s="506" t="s">
        <v>173</v>
      </c>
      <c r="C86" s="270"/>
      <c r="D86" s="1160"/>
      <c r="E86" s="268"/>
      <c r="F86" s="256"/>
      <c r="G86" s="256"/>
      <c r="H86" s="256"/>
      <c r="I86" s="257"/>
    </row>
    <row r="87" spans="1:9" ht="15.75" customHeight="1" outlineLevel="3" x14ac:dyDescent="0.25">
      <c r="B87" s="524" t="s">
        <v>174</v>
      </c>
      <c r="C87" s="283"/>
      <c r="D87" s="284"/>
      <c r="E87" s="285"/>
      <c r="F87" s="286"/>
      <c r="G87" s="286"/>
      <c r="H87" s="286"/>
      <c r="I87" s="287"/>
    </row>
    <row r="88" spans="1:9" ht="15.75" customHeight="1" outlineLevel="3" collapsed="1" x14ac:dyDescent="0.25">
      <c r="B88" s="522" t="s">
        <v>112</v>
      </c>
      <c r="C88" s="522">
        <f t="shared" ref="C88:I88" si="14">SUM(C85:C87)</f>
        <v>0</v>
      </c>
      <c r="D88" s="522">
        <f t="shared" si="14"/>
        <v>0</v>
      </c>
      <c r="E88" s="522">
        <f t="shared" si="14"/>
        <v>0</v>
      </c>
      <c r="F88" s="522">
        <f t="shared" si="14"/>
        <v>0</v>
      </c>
      <c r="G88" s="522">
        <f t="shared" si="14"/>
        <v>0</v>
      </c>
      <c r="H88" s="522">
        <f t="shared" si="14"/>
        <v>0</v>
      </c>
      <c r="I88" s="523">
        <f t="shared" si="14"/>
        <v>0</v>
      </c>
    </row>
    <row r="89" spans="1:9" ht="21.75" customHeight="1" outlineLevel="2" x14ac:dyDescent="0.25">
      <c r="B89" s="235" t="s">
        <v>137</v>
      </c>
      <c r="C89" s="236"/>
      <c r="D89" s="236"/>
      <c r="E89" s="236"/>
      <c r="F89" s="236"/>
      <c r="G89" s="236"/>
      <c r="H89" s="236"/>
      <c r="I89" s="237"/>
    </row>
    <row r="90" spans="1:9" ht="15.75" customHeight="1" outlineLevel="3" x14ac:dyDescent="0.25">
      <c r="B90" s="506" t="s">
        <v>172</v>
      </c>
      <c r="C90" s="270">
        <v>2637412</v>
      </c>
      <c r="D90" s="1160">
        <v>2992591</v>
      </c>
      <c r="E90" s="268">
        <v>4122093</v>
      </c>
      <c r="F90" s="256">
        <v>3991628</v>
      </c>
      <c r="G90" s="256">
        <v>3862416</v>
      </c>
      <c r="H90" s="256">
        <v>4471283</v>
      </c>
      <c r="I90" s="257">
        <v>4687329</v>
      </c>
    </row>
    <row r="91" spans="1:9" ht="15.75" customHeight="1" outlineLevel="3" x14ac:dyDescent="0.25">
      <c r="B91" s="506" t="s">
        <v>173</v>
      </c>
      <c r="C91" s="270">
        <v>498856</v>
      </c>
      <c r="D91" s="1160">
        <v>534230</v>
      </c>
      <c r="E91" s="268">
        <v>904458</v>
      </c>
      <c r="F91" s="256">
        <v>1382472</v>
      </c>
      <c r="G91" s="256">
        <v>1497881</v>
      </c>
      <c r="H91" s="256">
        <v>1396196</v>
      </c>
      <c r="I91" s="257">
        <v>2273498</v>
      </c>
    </row>
    <row r="92" spans="1:9" ht="15.75" customHeight="1" outlineLevel="3" x14ac:dyDescent="0.25">
      <c r="B92" s="524" t="s">
        <v>174</v>
      </c>
      <c r="C92" s="283"/>
      <c r="D92" s="284"/>
      <c r="E92" s="285"/>
      <c r="F92" s="286"/>
      <c r="G92" s="286"/>
      <c r="H92" s="286"/>
      <c r="I92" s="287"/>
    </row>
    <row r="93" spans="1:9" ht="15.75" customHeight="1" outlineLevel="3" collapsed="1" x14ac:dyDescent="0.25">
      <c r="B93" s="519" t="s">
        <v>112</v>
      </c>
      <c r="C93" s="519">
        <f t="shared" ref="C93:I93" si="15">SUM(C90:C92)</f>
        <v>3136268</v>
      </c>
      <c r="D93" s="519">
        <f t="shared" si="15"/>
        <v>3526821</v>
      </c>
      <c r="E93" s="519">
        <f t="shared" si="15"/>
        <v>5026551</v>
      </c>
      <c r="F93" s="519">
        <f t="shared" si="15"/>
        <v>5374100</v>
      </c>
      <c r="G93" s="519">
        <f t="shared" si="15"/>
        <v>5360297</v>
      </c>
      <c r="H93" s="519">
        <f t="shared" si="15"/>
        <v>5867479</v>
      </c>
      <c r="I93" s="520">
        <f t="shared" si="15"/>
        <v>6960827</v>
      </c>
    </row>
    <row r="94" spans="1:9" ht="21.75" customHeight="1" outlineLevel="2" x14ac:dyDescent="0.25">
      <c r="B94" s="235" t="s">
        <v>138</v>
      </c>
      <c r="C94" s="236"/>
      <c r="D94" s="236"/>
      <c r="E94" s="236"/>
      <c r="F94" s="236"/>
      <c r="G94" s="236"/>
      <c r="H94" s="236"/>
      <c r="I94" s="237"/>
    </row>
    <row r="95" spans="1:9" ht="15.75" customHeight="1" outlineLevel="3" x14ac:dyDescent="0.25">
      <c r="B95" s="506" t="s">
        <v>172</v>
      </c>
      <c r="C95" s="270"/>
      <c r="D95" s="1160"/>
      <c r="E95" s="268"/>
      <c r="F95" s="256"/>
      <c r="G95" s="256"/>
      <c r="H95" s="256"/>
      <c r="I95" s="257"/>
    </row>
    <row r="96" spans="1:9" ht="15.75" customHeight="1" outlineLevel="3" x14ac:dyDescent="0.25">
      <c r="B96" s="506" t="s">
        <v>173</v>
      </c>
      <c r="C96" s="270"/>
      <c r="D96" s="1160"/>
      <c r="E96" s="268"/>
      <c r="F96" s="256"/>
      <c r="G96" s="256"/>
      <c r="H96" s="256"/>
      <c r="I96" s="257"/>
    </row>
    <row r="97" spans="2:9" ht="15.75" customHeight="1" outlineLevel="3" x14ac:dyDescent="0.25">
      <c r="B97" s="524" t="s">
        <v>174</v>
      </c>
      <c r="C97" s="283"/>
      <c r="D97" s="284"/>
      <c r="E97" s="285"/>
      <c r="F97" s="286"/>
      <c r="G97" s="286"/>
      <c r="H97" s="286"/>
      <c r="I97" s="287"/>
    </row>
    <row r="98" spans="2:9" ht="15.75" customHeight="1" outlineLevel="3" collapsed="1" x14ac:dyDescent="0.25">
      <c r="B98" s="519" t="s">
        <v>112</v>
      </c>
      <c r="C98" s="519">
        <f t="shared" ref="C98:I98" si="16">SUM(C95:C97)</f>
        <v>0</v>
      </c>
      <c r="D98" s="519">
        <f t="shared" si="16"/>
        <v>0</v>
      </c>
      <c r="E98" s="519">
        <f t="shared" si="16"/>
        <v>0</v>
      </c>
      <c r="F98" s="519">
        <f t="shared" si="16"/>
        <v>0</v>
      </c>
      <c r="G98" s="519">
        <f t="shared" si="16"/>
        <v>0</v>
      </c>
      <c r="H98" s="519">
        <f t="shared" si="16"/>
        <v>0</v>
      </c>
      <c r="I98" s="520">
        <f t="shared" si="16"/>
        <v>0</v>
      </c>
    </row>
    <row r="99" spans="2:9" ht="21.75" customHeight="1" outlineLevel="2" x14ac:dyDescent="0.25">
      <c r="B99" s="235" t="s">
        <v>139</v>
      </c>
      <c r="C99" s="236"/>
      <c r="D99" s="236"/>
      <c r="E99" s="236"/>
      <c r="F99" s="236"/>
      <c r="G99" s="236"/>
      <c r="H99" s="236"/>
      <c r="I99" s="237"/>
    </row>
    <row r="100" spans="2:9" ht="15.75" customHeight="1" outlineLevel="3" x14ac:dyDescent="0.25">
      <c r="B100" s="506" t="s">
        <v>172</v>
      </c>
      <c r="C100" s="270"/>
      <c r="D100" s="1160"/>
      <c r="E100" s="268"/>
      <c r="F100" s="256"/>
      <c r="G100" s="256"/>
      <c r="H100" s="256"/>
      <c r="I100" s="257"/>
    </row>
    <row r="101" spans="2:9" ht="15.75" customHeight="1" outlineLevel="3" x14ac:dyDescent="0.25">
      <c r="B101" s="506" t="s">
        <v>173</v>
      </c>
      <c r="C101" s="270"/>
      <c r="D101" s="1160"/>
      <c r="E101" s="268"/>
      <c r="F101" s="256"/>
      <c r="G101" s="256"/>
      <c r="H101" s="256"/>
      <c r="I101" s="257"/>
    </row>
    <row r="102" spans="2:9" ht="15.75" customHeight="1" outlineLevel="3" x14ac:dyDescent="0.25">
      <c r="B102" s="524" t="s">
        <v>174</v>
      </c>
      <c r="C102" s="283"/>
      <c r="D102" s="284"/>
      <c r="E102" s="285"/>
      <c r="F102" s="286"/>
      <c r="G102" s="286"/>
      <c r="H102" s="286"/>
      <c r="I102" s="287"/>
    </row>
    <row r="103" spans="2:9" ht="15.75" customHeight="1" outlineLevel="3" collapsed="1" x14ac:dyDescent="0.25">
      <c r="B103" s="519" t="s">
        <v>112</v>
      </c>
      <c r="C103" s="519">
        <f t="shared" ref="C103:I103" si="17">SUM(C100:C102)</f>
        <v>0</v>
      </c>
      <c r="D103" s="519">
        <f t="shared" si="17"/>
        <v>0</v>
      </c>
      <c r="E103" s="519">
        <f t="shared" si="17"/>
        <v>0</v>
      </c>
      <c r="F103" s="519">
        <f t="shared" si="17"/>
        <v>0</v>
      </c>
      <c r="G103" s="519">
        <f t="shared" si="17"/>
        <v>0</v>
      </c>
      <c r="H103" s="519">
        <f t="shared" si="17"/>
        <v>0</v>
      </c>
      <c r="I103" s="520">
        <f t="shared" si="17"/>
        <v>0</v>
      </c>
    </row>
    <row r="104" spans="2:9" ht="21.75" customHeight="1" outlineLevel="2" x14ac:dyDescent="0.25">
      <c r="B104" s="235" t="s">
        <v>140</v>
      </c>
      <c r="C104" s="236"/>
      <c r="D104" s="236"/>
      <c r="E104" s="236"/>
      <c r="F104" s="236"/>
      <c r="G104" s="236"/>
      <c r="H104" s="236"/>
      <c r="I104" s="237"/>
    </row>
    <row r="105" spans="2:9" ht="15.75" customHeight="1" outlineLevel="3" x14ac:dyDescent="0.25">
      <c r="B105" s="506" t="s">
        <v>172</v>
      </c>
      <c r="C105" s="270"/>
      <c r="D105" s="1160"/>
      <c r="E105" s="268"/>
      <c r="F105" s="256"/>
      <c r="G105" s="256"/>
      <c r="H105" s="256"/>
      <c r="I105" s="257"/>
    </row>
    <row r="106" spans="2:9" ht="15.75" customHeight="1" outlineLevel="3" x14ac:dyDescent="0.25">
      <c r="B106" s="506" t="s">
        <v>173</v>
      </c>
      <c r="C106" s="270"/>
      <c r="D106" s="1160"/>
      <c r="E106" s="268"/>
      <c r="F106" s="256"/>
      <c r="G106" s="256"/>
      <c r="H106" s="256"/>
      <c r="I106" s="257"/>
    </row>
    <row r="107" spans="2:9" ht="15.75" customHeight="1" outlineLevel="3" x14ac:dyDescent="0.25">
      <c r="B107" s="524" t="s">
        <v>174</v>
      </c>
      <c r="C107" s="283"/>
      <c r="D107" s="284"/>
      <c r="E107" s="285"/>
      <c r="F107" s="286"/>
      <c r="G107" s="286"/>
      <c r="H107" s="286"/>
      <c r="I107" s="287"/>
    </row>
    <row r="108" spans="2:9" ht="15.75" customHeight="1" outlineLevel="3" collapsed="1" x14ac:dyDescent="0.25">
      <c r="B108" s="519" t="s">
        <v>112</v>
      </c>
      <c r="C108" s="519">
        <f t="shared" ref="C108:I108" si="18">SUM(C105:C107)</f>
        <v>0</v>
      </c>
      <c r="D108" s="519">
        <f t="shared" si="18"/>
        <v>0</v>
      </c>
      <c r="E108" s="519">
        <f t="shared" si="18"/>
        <v>0</v>
      </c>
      <c r="F108" s="519">
        <f t="shared" si="18"/>
        <v>0</v>
      </c>
      <c r="G108" s="519">
        <f t="shared" si="18"/>
        <v>0</v>
      </c>
      <c r="H108" s="519">
        <f t="shared" si="18"/>
        <v>0</v>
      </c>
      <c r="I108" s="520">
        <f t="shared" si="18"/>
        <v>0</v>
      </c>
    </row>
    <row r="109" spans="2:9" ht="21.75" customHeight="1" outlineLevel="2" x14ac:dyDescent="0.25">
      <c r="B109" s="235" t="s">
        <v>141</v>
      </c>
      <c r="C109" s="236"/>
      <c r="D109" s="236"/>
      <c r="E109" s="236"/>
      <c r="F109" s="236"/>
      <c r="G109" s="236"/>
      <c r="H109" s="236"/>
      <c r="I109" s="237"/>
    </row>
    <row r="110" spans="2:9" ht="15.75" customHeight="1" outlineLevel="3" x14ac:dyDescent="0.25">
      <c r="B110" s="506" t="s">
        <v>172</v>
      </c>
      <c r="C110" s="270"/>
      <c r="D110" s="1160"/>
      <c r="E110" s="268"/>
      <c r="F110" s="256"/>
      <c r="G110" s="256"/>
      <c r="H110" s="256"/>
      <c r="I110" s="257"/>
    </row>
    <row r="111" spans="2:9" ht="15.75" customHeight="1" outlineLevel="3" x14ac:dyDescent="0.25">
      <c r="B111" s="506" t="s">
        <v>173</v>
      </c>
      <c r="C111" s="270"/>
      <c r="D111" s="1160"/>
      <c r="E111" s="268"/>
      <c r="F111" s="256"/>
      <c r="G111" s="256"/>
      <c r="H111" s="256"/>
      <c r="I111" s="257"/>
    </row>
    <row r="112" spans="2:9" ht="15.75" customHeight="1" outlineLevel="3" x14ac:dyDescent="0.25">
      <c r="B112" s="524" t="s">
        <v>174</v>
      </c>
      <c r="C112" s="283"/>
      <c r="D112" s="284"/>
      <c r="E112" s="285"/>
      <c r="F112" s="286"/>
      <c r="G112" s="286"/>
      <c r="H112" s="286"/>
      <c r="I112" s="287"/>
    </row>
    <row r="113" spans="1:9" ht="15.75" customHeight="1" outlineLevel="3" collapsed="1" x14ac:dyDescent="0.25">
      <c r="B113" s="518" t="s">
        <v>112</v>
      </c>
      <c r="C113" s="519">
        <f t="shared" ref="C113:I113" si="19">SUM(C110:C112)</f>
        <v>0</v>
      </c>
      <c r="D113" s="519">
        <f t="shared" si="19"/>
        <v>0</v>
      </c>
      <c r="E113" s="519">
        <f t="shared" si="19"/>
        <v>0</v>
      </c>
      <c r="F113" s="519">
        <f t="shared" si="19"/>
        <v>0</v>
      </c>
      <c r="G113" s="519">
        <f t="shared" si="19"/>
        <v>0</v>
      </c>
      <c r="H113" s="519">
        <f t="shared" si="19"/>
        <v>0</v>
      </c>
      <c r="I113" s="520">
        <f t="shared" si="19"/>
        <v>0</v>
      </c>
    </row>
    <row r="114" spans="1:9" s="41" customFormat="1" ht="15" customHeight="1" outlineLevel="2" x14ac:dyDescent="0.2">
      <c r="A114" s="276"/>
      <c r="B114" s="280" t="s">
        <v>145</v>
      </c>
      <c r="C114" s="281">
        <f t="shared" ref="C114:I114" si="20">SUM(C88,C93,C98,C103,C108,C113)</f>
        <v>3136268</v>
      </c>
      <c r="D114" s="281">
        <f t="shared" si="20"/>
        <v>3526821</v>
      </c>
      <c r="E114" s="281">
        <f t="shared" si="20"/>
        <v>5026551</v>
      </c>
      <c r="F114" s="281">
        <f t="shared" si="20"/>
        <v>5374100</v>
      </c>
      <c r="G114" s="281">
        <f t="shared" si="20"/>
        <v>5360297</v>
      </c>
      <c r="H114" s="281">
        <f t="shared" si="20"/>
        <v>5867479</v>
      </c>
      <c r="I114" s="282">
        <f t="shared" si="20"/>
        <v>6960827</v>
      </c>
    </row>
    <row r="115" spans="1:9" ht="15" customHeight="1" outlineLevel="1" x14ac:dyDescent="0.25"/>
    <row r="116" spans="1:9" s="41" customFormat="1" ht="24" customHeight="1" outlineLevel="1" x14ac:dyDescent="0.2">
      <c r="B116" s="232" t="s">
        <v>177</v>
      </c>
      <c r="C116" s="233"/>
      <c r="D116" s="233"/>
      <c r="E116" s="233"/>
      <c r="F116" s="233"/>
      <c r="G116" s="233"/>
      <c r="H116" s="233"/>
      <c r="I116" s="233"/>
    </row>
    <row r="117" spans="1:9" s="41" customFormat="1" ht="20.25" customHeight="1" outlineLevel="2" x14ac:dyDescent="0.2">
      <c r="A117" s="276"/>
      <c r="C117" s="1331" t="s">
        <v>24</v>
      </c>
      <c r="D117" s="1331"/>
      <c r="E117" s="1331"/>
      <c r="F117" s="1331"/>
      <c r="G117" s="1331"/>
      <c r="H117" s="1331"/>
      <c r="I117" s="1331"/>
    </row>
    <row r="118" spans="1:9" s="41" customFormat="1" ht="20.25" customHeight="1" outlineLevel="2" x14ac:dyDescent="0.2">
      <c r="A118" s="276"/>
      <c r="C118" s="1331" t="str">
        <f ca="1">CONCATENATE("$, real ",dms_DollarReal)</f>
        <v>$, real June 2026</v>
      </c>
      <c r="D118" s="1331"/>
      <c r="E118" s="1331"/>
      <c r="F118" s="1331"/>
      <c r="G118" s="1331"/>
      <c r="H118" s="1331"/>
      <c r="I118" s="1331"/>
    </row>
    <row r="119" spans="1:9" s="41" customFormat="1" ht="20.25" customHeight="1" outlineLevel="2" x14ac:dyDescent="0.2">
      <c r="A119" s="276"/>
      <c r="C119" s="298" t="str">
        <f ca="1">dms_y1</f>
        <v>2024-25</v>
      </c>
      <c r="D119" s="298" t="str">
        <f ca="1">dms_y2</f>
        <v>2025-26</v>
      </c>
      <c r="E119" s="297" t="str">
        <f ca="1">dms_y3</f>
        <v>2026-27</v>
      </c>
      <c r="F119" s="297" t="str">
        <f ca="1">dms_y4</f>
        <v>2027-28</v>
      </c>
      <c r="G119" s="297" t="str">
        <f ca="1">dms_y5</f>
        <v>2028-29</v>
      </c>
      <c r="H119" s="297" t="str">
        <f ca="1">dms_y6</f>
        <v>2029-30</v>
      </c>
      <c r="I119" s="297" t="str">
        <f ca="1">dms_y7</f>
        <v>2030-31</v>
      </c>
    </row>
    <row r="120" spans="1:9" ht="21.75" customHeight="1" outlineLevel="2" x14ac:dyDescent="0.25">
      <c r="B120" s="235" t="s">
        <v>135</v>
      </c>
      <c r="C120" s="236"/>
      <c r="D120" s="236"/>
      <c r="E120" s="236"/>
      <c r="F120" s="236"/>
      <c r="G120" s="236"/>
      <c r="H120" s="236"/>
      <c r="I120" s="237"/>
    </row>
    <row r="121" spans="1:9" ht="15.75" customHeight="1" outlineLevel="3" x14ac:dyDescent="0.25">
      <c r="B121" s="506" t="s">
        <v>172</v>
      </c>
      <c r="C121" s="270"/>
      <c r="D121" s="1160"/>
      <c r="E121" s="268"/>
      <c r="F121" s="256"/>
      <c r="G121" s="256"/>
      <c r="H121" s="256"/>
      <c r="I121" s="257"/>
    </row>
    <row r="122" spans="1:9" ht="15.75" customHeight="1" outlineLevel="3" x14ac:dyDescent="0.25">
      <c r="B122" s="506" t="s">
        <v>173</v>
      </c>
      <c r="C122" s="270"/>
      <c r="D122" s="1160"/>
      <c r="E122" s="268"/>
      <c r="F122" s="256"/>
      <c r="G122" s="256"/>
      <c r="H122" s="256"/>
      <c r="I122" s="257"/>
    </row>
    <row r="123" spans="1:9" ht="15.75" customHeight="1" outlineLevel="3" x14ac:dyDescent="0.25">
      <c r="B123" s="524" t="s">
        <v>174</v>
      </c>
      <c r="C123" s="283"/>
      <c r="D123" s="284"/>
      <c r="E123" s="285"/>
      <c r="F123" s="286"/>
      <c r="G123" s="286"/>
      <c r="H123" s="286"/>
      <c r="I123" s="287"/>
    </row>
    <row r="124" spans="1:9" ht="15.75" customHeight="1" outlineLevel="3" collapsed="1" x14ac:dyDescent="0.25">
      <c r="B124" s="522" t="s">
        <v>112</v>
      </c>
      <c r="C124" s="522">
        <f t="shared" ref="C124:I124" si="21">SUM(C121:C123)</f>
        <v>0</v>
      </c>
      <c r="D124" s="522">
        <f t="shared" si="21"/>
        <v>0</v>
      </c>
      <c r="E124" s="522">
        <f t="shared" si="21"/>
        <v>0</v>
      </c>
      <c r="F124" s="522">
        <f t="shared" si="21"/>
        <v>0</v>
      </c>
      <c r="G124" s="522">
        <f t="shared" si="21"/>
        <v>0</v>
      </c>
      <c r="H124" s="522">
        <f t="shared" si="21"/>
        <v>0</v>
      </c>
      <c r="I124" s="523">
        <f t="shared" si="21"/>
        <v>0</v>
      </c>
    </row>
    <row r="125" spans="1:9" ht="21.75" customHeight="1" outlineLevel="2" x14ac:dyDescent="0.25">
      <c r="B125" s="235" t="s">
        <v>137</v>
      </c>
      <c r="C125" s="236"/>
      <c r="D125" s="236"/>
      <c r="E125" s="236"/>
      <c r="F125" s="236"/>
      <c r="G125" s="236"/>
      <c r="H125" s="236"/>
      <c r="I125" s="237"/>
    </row>
    <row r="126" spans="1:9" ht="15.75" customHeight="1" outlineLevel="3" x14ac:dyDescent="0.25">
      <c r="B126" s="506" t="s">
        <v>172</v>
      </c>
      <c r="C126" s="270"/>
      <c r="D126" s="1160"/>
      <c r="E126" s="268"/>
      <c r="F126" s="256"/>
      <c r="G126" s="256"/>
      <c r="H126" s="256"/>
      <c r="I126" s="257"/>
    </row>
    <row r="127" spans="1:9" ht="15.75" customHeight="1" outlineLevel="3" x14ac:dyDescent="0.25">
      <c r="B127" s="506" t="s">
        <v>173</v>
      </c>
      <c r="C127" s="270"/>
      <c r="D127" s="1160"/>
      <c r="E127" s="268"/>
      <c r="F127" s="256"/>
      <c r="G127" s="256"/>
      <c r="H127" s="256"/>
      <c r="I127" s="257"/>
    </row>
    <row r="128" spans="1:9" ht="15.75" customHeight="1" outlineLevel="3" x14ac:dyDescent="0.25">
      <c r="B128" s="524" t="s">
        <v>174</v>
      </c>
      <c r="C128" s="283"/>
      <c r="D128" s="284"/>
      <c r="E128" s="285"/>
      <c r="F128" s="286"/>
      <c r="G128" s="286"/>
      <c r="H128" s="286"/>
      <c r="I128" s="287"/>
    </row>
    <row r="129" spans="2:9" ht="15.75" customHeight="1" outlineLevel="3" collapsed="1" x14ac:dyDescent="0.25">
      <c r="B129" s="519" t="s">
        <v>112</v>
      </c>
      <c r="C129" s="519">
        <f t="shared" ref="C129:I129" si="22">SUM(C126:C128)</f>
        <v>0</v>
      </c>
      <c r="D129" s="519">
        <f t="shared" si="22"/>
        <v>0</v>
      </c>
      <c r="E129" s="519">
        <f t="shared" si="22"/>
        <v>0</v>
      </c>
      <c r="F129" s="519">
        <f t="shared" si="22"/>
        <v>0</v>
      </c>
      <c r="G129" s="519">
        <f t="shared" si="22"/>
        <v>0</v>
      </c>
      <c r="H129" s="519">
        <f t="shared" si="22"/>
        <v>0</v>
      </c>
      <c r="I129" s="520">
        <f t="shared" si="22"/>
        <v>0</v>
      </c>
    </row>
    <row r="130" spans="2:9" ht="21.75" customHeight="1" outlineLevel="2" x14ac:dyDescent="0.25">
      <c r="B130" s="235" t="s">
        <v>138</v>
      </c>
      <c r="C130" s="236"/>
      <c r="D130" s="236"/>
      <c r="E130" s="236"/>
      <c r="F130" s="236"/>
      <c r="G130" s="236"/>
      <c r="H130" s="236"/>
      <c r="I130" s="237"/>
    </row>
    <row r="131" spans="2:9" ht="15.75" customHeight="1" outlineLevel="3" x14ac:dyDescent="0.25">
      <c r="B131" s="506" t="s">
        <v>172</v>
      </c>
      <c r="C131" s="270"/>
      <c r="D131" s="1160"/>
      <c r="E131" s="268"/>
      <c r="F131" s="256"/>
      <c r="G131" s="256"/>
      <c r="H131" s="256"/>
      <c r="I131" s="257"/>
    </row>
    <row r="132" spans="2:9" ht="15.75" customHeight="1" outlineLevel="3" x14ac:dyDescent="0.25">
      <c r="B132" s="506" t="s">
        <v>173</v>
      </c>
      <c r="C132" s="270"/>
      <c r="D132" s="1160"/>
      <c r="E132" s="268"/>
      <c r="F132" s="256"/>
      <c r="G132" s="256"/>
      <c r="H132" s="256"/>
      <c r="I132" s="257"/>
    </row>
    <row r="133" spans="2:9" ht="15.75" customHeight="1" outlineLevel="3" x14ac:dyDescent="0.25">
      <c r="B133" s="524" t="s">
        <v>174</v>
      </c>
      <c r="C133" s="283"/>
      <c r="D133" s="284"/>
      <c r="E133" s="285"/>
      <c r="F133" s="286"/>
      <c r="G133" s="286"/>
      <c r="H133" s="286"/>
      <c r="I133" s="287"/>
    </row>
    <row r="134" spans="2:9" ht="15.75" customHeight="1" outlineLevel="3" collapsed="1" x14ac:dyDescent="0.25">
      <c r="B134" s="519" t="s">
        <v>112</v>
      </c>
      <c r="C134" s="519">
        <f t="shared" ref="C134:I134" si="23">SUM(C131:C133)</f>
        <v>0</v>
      </c>
      <c r="D134" s="519">
        <f t="shared" si="23"/>
        <v>0</v>
      </c>
      <c r="E134" s="519">
        <f t="shared" si="23"/>
        <v>0</v>
      </c>
      <c r="F134" s="519">
        <f t="shared" si="23"/>
        <v>0</v>
      </c>
      <c r="G134" s="519">
        <f t="shared" si="23"/>
        <v>0</v>
      </c>
      <c r="H134" s="519">
        <f t="shared" si="23"/>
        <v>0</v>
      </c>
      <c r="I134" s="520">
        <f t="shared" si="23"/>
        <v>0</v>
      </c>
    </row>
    <row r="135" spans="2:9" ht="21.75" customHeight="1" outlineLevel="2" x14ac:dyDescent="0.25">
      <c r="B135" s="235" t="s">
        <v>139</v>
      </c>
      <c r="C135" s="236"/>
      <c r="D135" s="236"/>
      <c r="E135" s="236"/>
      <c r="F135" s="236"/>
      <c r="G135" s="236"/>
      <c r="H135" s="236"/>
      <c r="I135" s="237"/>
    </row>
    <row r="136" spans="2:9" ht="15.75" customHeight="1" outlineLevel="3" x14ac:dyDescent="0.25">
      <c r="B136" s="506" t="s">
        <v>172</v>
      </c>
      <c r="C136" s="270"/>
      <c r="D136" s="1160"/>
      <c r="E136" s="268"/>
      <c r="F136" s="256"/>
      <c r="G136" s="256"/>
      <c r="H136" s="256"/>
      <c r="I136" s="257"/>
    </row>
    <row r="137" spans="2:9" ht="15.75" customHeight="1" outlineLevel="3" x14ac:dyDescent="0.25">
      <c r="B137" s="506" t="s">
        <v>173</v>
      </c>
      <c r="C137" s="270"/>
      <c r="D137" s="1160"/>
      <c r="E137" s="268"/>
      <c r="F137" s="256"/>
      <c r="G137" s="256"/>
      <c r="H137" s="256"/>
      <c r="I137" s="257"/>
    </row>
    <row r="138" spans="2:9" ht="15.75" customHeight="1" outlineLevel="3" x14ac:dyDescent="0.25">
      <c r="B138" s="524" t="s">
        <v>174</v>
      </c>
      <c r="C138" s="283"/>
      <c r="D138" s="284"/>
      <c r="E138" s="285"/>
      <c r="F138" s="286"/>
      <c r="G138" s="286"/>
      <c r="H138" s="286"/>
      <c r="I138" s="287"/>
    </row>
    <row r="139" spans="2:9" ht="15.75" customHeight="1" outlineLevel="3" collapsed="1" x14ac:dyDescent="0.25">
      <c r="B139" s="519" t="s">
        <v>112</v>
      </c>
      <c r="C139" s="519">
        <f t="shared" ref="C139:I139" si="24">SUM(C136:C138)</f>
        <v>0</v>
      </c>
      <c r="D139" s="519">
        <f t="shared" si="24"/>
        <v>0</v>
      </c>
      <c r="E139" s="519">
        <f t="shared" si="24"/>
        <v>0</v>
      </c>
      <c r="F139" s="519">
        <f t="shared" si="24"/>
        <v>0</v>
      </c>
      <c r="G139" s="519">
        <f t="shared" si="24"/>
        <v>0</v>
      </c>
      <c r="H139" s="519">
        <f t="shared" si="24"/>
        <v>0</v>
      </c>
      <c r="I139" s="520">
        <f t="shared" si="24"/>
        <v>0</v>
      </c>
    </row>
    <row r="140" spans="2:9" ht="21.75" customHeight="1" outlineLevel="2" x14ac:dyDescent="0.25">
      <c r="B140" s="235" t="s">
        <v>140</v>
      </c>
      <c r="C140" s="236"/>
      <c r="D140" s="236"/>
      <c r="E140" s="236"/>
      <c r="F140" s="236"/>
      <c r="G140" s="236"/>
      <c r="H140" s="236"/>
      <c r="I140" s="237"/>
    </row>
    <row r="141" spans="2:9" ht="15.75" customHeight="1" outlineLevel="3" x14ac:dyDescent="0.25">
      <c r="B141" s="506" t="s">
        <v>172</v>
      </c>
      <c r="C141" s="270"/>
      <c r="D141" s="1160"/>
      <c r="E141" s="268"/>
      <c r="F141" s="256"/>
      <c r="G141" s="256"/>
      <c r="H141" s="256"/>
      <c r="I141" s="257"/>
    </row>
    <row r="142" spans="2:9" ht="15.75" customHeight="1" outlineLevel="3" x14ac:dyDescent="0.25">
      <c r="B142" s="506" t="s">
        <v>173</v>
      </c>
      <c r="C142" s="270"/>
      <c r="D142" s="1160"/>
      <c r="E142" s="268"/>
      <c r="F142" s="256"/>
      <c r="G142" s="256"/>
      <c r="H142" s="256"/>
      <c r="I142" s="257"/>
    </row>
    <row r="143" spans="2:9" ht="15.75" customHeight="1" outlineLevel="3" x14ac:dyDescent="0.25">
      <c r="B143" s="524" t="s">
        <v>174</v>
      </c>
      <c r="C143" s="283"/>
      <c r="D143" s="284"/>
      <c r="E143" s="285"/>
      <c r="F143" s="286"/>
      <c r="G143" s="286"/>
      <c r="H143" s="286"/>
      <c r="I143" s="287"/>
    </row>
    <row r="144" spans="2:9" ht="15.75" customHeight="1" outlineLevel="3" collapsed="1" x14ac:dyDescent="0.25">
      <c r="B144" s="519" t="s">
        <v>112</v>
      </c>
      <c r="C144" s="519">
        <f t="shared" ref="C144:I144" si="25">SUM(C141:C143)</f>
        <v>0</v>
      </c>
      <c r="D144" s="519">
        <f t="shared" si="25"/>
        <v>0</v>
      </c>
      <c r="E144" s="519">
        <f t="shared" si="25"/>
        <v>0</v>
      </c>
      <c r="F144" s="519">
        <f t="shared" si="25"/>
        <v>0</v>
      </c>
      <c r="G144" s="519">
        <f t="shared" si="25"/>
        <v>0</v>
      </c>
      <c r="H144" s="519">
        <f t="shared" si="25"/>
        <v>0</v>
      </c>
      <c r="I144" s="520">
        <f t="shared" si="25"/>
        <v>0</v>
      </c>
    </row>
    <row r="145" spans="1:9" ht="21.75" customHeight="1" outlineLevel="2" x14ac:dyDescent="0.25">
      <c r="B145" s="235" t="s">
        <v>141</v>
      </c>
      <c r="C145" s="236"/>
      <c r="D145" s="236"/>
      <c r="E145" s="236"/>
      <c r="F145" s="236"/>
      <c r="G145" s="236"/>
      <c r="H145" s="236"/>
      <c r="I145" s="237"/>
    </row>
    <row r="146" spans="1:9" ht="15.75" customHeight="1" outlineLevel="3" x14ac:dyDescent="0.25">
      <c r="B146" s="506" t="s">
        <v>172</v>
      </c>
      <c r="C146" s="270"/>
      <c r="D146" s="1160"/>
      <c r="E146" s="268"/>
      <c r="F146" s="256"/>
      <c r="G146" s="256"/>
      <c r="H146" s="256"/>
      <c r="I146" s="257"/>
    </row>
    <row r="147" spans="1:9" ht="15.75" customHeight="1" outlineLevel="3" x14ac:dyDescent="0.25">
      <c r="B147" s="506" t="s">
        <v>173</v>
      </c>
      <c r="C147" s="270"/>
      <c r="D147" s="1160"/>
      <c r="E147" s="268"/>
      <c r="F147" s="256"/>
      <c r="G147" s="256"/>
      <c r="H147" s="256"/>
      <c r="I147" s="257"/>
    </row>
    <row r="148" spans="1:9" ht="15.75" customHeight="1" outlineLevel="3" x14ac:dyDescent="0.25">
      <c r="B148" s="524" t="s">
        <v>174</v>
      </c>
      <c r="C148" s="283"/>
      <c r="D148" s="284"/>
      <c r="E148" s="285"/>
      <c r="F148" s="286"/>
      <c r="G148" s="286"/>
      <c r="H148" s="286"/>
      <c r="I148" s="287"/>
    </row>
    <row r="149" spans="1:9" ht="15.75" customHeight="1" outlineLevel="3" collapsed="1" x14ac:dyDescent="0.25">
      <c r="B149" s="518" t="s">
        <v>112</v>
      </c>
      <c r="C149" s="519">
        <f t="shared" ref="C149:I149" si="26">SUM(C146:C148)</f>
        <v>0</v>
      </c>
      <c r="D149" s="519">
        <f t="shared" si="26"/>
        <v>0</v>
      </c>
      <c r="E149" s="519">
        <f t="shared" si="26"/>
        <v>0</v>
      </c>
      <c r="F149" s="519">
        <f t="shared" si="26"/>
        <v>0</v>
      </c>
      <c r="G149" s="519">
        <f t="shared" si="26"/>
        <v>0</v>
      </c>
      <c r="H149" s="519">
        <f t="shared" si="26"/>
        <v>0</v>
      </c>
      <c r="I149" s="520">
        <f t="shared" si="26"/>
        <v>0</v>
      </c>
    </row>
    <row r="150" spans="1:9" s="41" customFormat="1" ht="15" customHeight="1" outlineLevel="2" x14ac:dyDescent="0.2">
      <c r="A150" s="276"/>
      <c r="B150" s="280" t="s">
        <v>145</v>
      </c>
      <c r="C150" s="281">
        <f t="shared" ref="C150:I150" si="27">SUM(C124,C129,C134,C139,C144,C149)</f>
        <v>0</v>
      </c>
      <c r="D150" s="281">
        <f t="shared" si="27"/>
        <v>0</v>
      </c>
      <c r="E150" s="281">
        <f t="shared" si="27"/>
        <v>0</v>
      </c>
      <c r="F150" s="281">
        <f t="shared" si="27"/>
        <v>0</v>
      </c>
      <c r="G150" s="281">
        <f t="shared" si="27"/>
        <v>0</v>
      </c>
      <c r="H150" s="281">
        <f t="shared" si="27"/>
        <v>0</v>
      </c>
      <c r="I150" s="282">
        <f t="shared" si="27"/>
        <v>0</v>
      </c>
    </row>
    <row r="151" spans="1:9" outlineLevel="1" x14ac:dyDescent="0.25"/>
    <row r="152" spans="1:9" ht="12.75" customHeight="1" x14ac:dyDescent="0.25"/>
    <row r="153" spans="1:9" s="41" customFormat="1" ht="24" customHeight="1" x14ac:dyDescent="0.2">
      <c r="B153" s="31" t="s">
        <v>178</v>
      </c>
      <c r="C153" s="31"/>
      <c r="D153" s="31"/>
      <c r="E153" s="31"/>
      <c r="F153" s="31"/>
      <c r="G153" s="31"/>
      <c r="H153" s="31"/>
      <c r="I153" s="31"/>
    </row>
    <row r="154" spans="1:9" ht="23.25" customHeight="1" outlineLevel="1" x14ac:dyDescent="0.25">
      <c r="B154" s="232" t="s">
        <v>179</v>
      </c>
      <c r="C154" s="233"/>
      <c r="D154" s="233"/>
      <c r="E154" s="233"/>
      <c r="F154" s="233"/>
      <c r="G154" s="233"/>
      <c r="H154" s="233"/>
      <c r="I154" s="233"/>
    </row>
    <row r="155" spans="1:9" outlineLevel="3" x14ac:dyDescent="0.25">
      <c r="C155" s="1335" t="s">
        <v>158</v>
      </c>
      <c r="D155" s="1336"/>
      <c r="E155" s="1336"/>
      <c r="F155" s="1336"/>
      <c r="G155" s="1336"/>
      <c r="H155" s="1336"/>
      <c r="I155" s="1337"/>
    </row>
    <row r="156" spans="1:9" outlineLevel="3" x14ac:dyDescent="0.25">
      <c r="C156" s="1328" t="s">
        <v>159</v>
      </c>
      <c r="D156" s="1329"/>
      <c r="E156" s="1329"/>
      <c r="F156" s="1329"/>
      <c r="G156" s="1329"/>
      <c r="H156" s="1329"/>
      <c r="I156" s="1330"/>
    </row>
    <row r="157" spans="1:9" ht="15" customHeight="1" outlineLevel="3" x14ac:dyDescent="0.25">
      <c r="B157" s="77"/>
      <c r="C157" s="386" t="str">
        <f ca="1">dms_y1</f>
        <v>2024-25</v>
      </c>
      <c r="D157" s="291" t="str">
        <f ca="1">dms_y2</f>
        <v>2025-26</v>
      </c>
      <c r="E157" s="290" t="str">
        <f ca="1">dms_y3</f>
        <v>2026-27</v>
      </c>
      <c r="F157" s="290" t="str">
        <f ca="1">dms_y4</f>
        <v>2027-28</v>
      </c>
      <c r="G157" s="290" t="str">
        <f ca="1">dms_y5</f>
        <v>2028-29</v>
      </c>
      <c r="H157" s="290" t="str">
        <f ca="1">dms_y6</f>
        <v>2029-30</v>
      </c>
      <c r="I157" s="387" t="str">
        <f ca="1">dms_y7</f>
        <v>2030-31</v>
      </c>
    </row>
    <row r="158" spans="1:9" outlineLevel="3" x14ac:dyDescent="0.25">
      <c r="B158" s="488" t="s">
        <v>172</v>
      </c>
      <c r="C158" s="270">
        <v>3099</v>
      </c>
      <c r="D158" s="1160">
        <v>6343</v>
      </c>
      <c r="E158" s="268">
        <v>3466</v>
      </c>
      <c r="F158" s="256">
        <v>4362</v>
      </c>
      <c r="G158" s="256">
        <v>4368</v>
      </c>
      <c r="H158" s="256">
        <v>5649</v>
      </c>
      <c r="I158" s="257">
        <v>6049</v>
      </c>
    </row>
    <row r="159" spans="1:9" outlineLevel="3" x14ac:dyDescent="0.25">
      <c r="B159" s="487" t="s">
        <v>180</v>
      </c>
      <c r="C159" s="270">
        <v>196</v>
      </c>
      <c r="D159" s="1160">
        <v>239</v>
      </c>
      <c r="E159" s="268">
        <v>277</v>
      </c>
      <c r="F159" s="256">
        <v>391</v>
      </c>
      <c r="G159" s="256">
        <v>434</v>
      </c>
      <c r="H159" s="256">
        <v>380</v>
      </c>
      <c r="I159" s="257">
        <v>617</v>
      </c>
    </row>
    <row r="160" spans="1:9" outlineLevel="3" x14ac:dyDescent="0.25">
      <c r="B160" s="313" t="s">
        <v>181</v>
      </c>
      <c r="C160" s="283">
        <v>0</v>
      </c>
      <c r="D160" s="284">
        <v>0</v>
      </c>
      <c r="E160" s="285">
        <v>0</v>
      </c>
      <c r="F160" s="286">
        <v>0</v>
      </c>
      <c r="G160" s="286">
        <v>0</v>
      </c>
      <c r="H160" s="286">
        <v>0</v>
      </c>
      <c r="I160" s="287">
        <v>0</v>
      </c>
    </row>
    <row r="161" spans="1:9" ht="15" customHeight="1" outlineLevel="3" x14ac:dyDescent="0.25">
      <c r="B161" s="513" t="s">
        <v>112</v>
      </c>
      <c r="C161" s="514">
        <f t="shared" ref="C161:I161" si="28">SUM(C158:C160)</f>
        <v>3295</v>
      </c>
      <c r="D161" s="514">
        <f t="shared" si="28"/>
        <v>6582</v>
      </c>
      <c r="E161" s="514">
        <f t="shared" si="28"/>
        <v>3743</v>
      </c>
      <c r="F161" s="514">
        <f t="shared" si="28"/>
        <v>4753</v>
      </c>
      <c r="G161" s="514">
        <f t="shared" si="28"/>
        <v>4802</v>
      </c>
      <c r="H161" s="514">
        <f t="shared" si="28"/>
        <v>6029</v>
      </c>
      <c r="I161" s="515">
        <f t="shared" si="28"/>
        <v>6666</v>
      </c>
    </row>
    <row r="162" spans="1:9" outlineLevel="1" x14ac:dyDescent="0.25"/>
    <row r="163" spans="1:9" ht="15" customHeight="1" outlineLevel="1" x14ac:dyDescent="0.25"/>
    <row r="164" spans="1:9" s="41" customFormat="1" ht="24" customHeight="1" outlineLevel="1" x14ac:dyDescent="0.2">
      <c r="B164" s="232" t="s">
        <v>182</v>
      </c>
      <c r="C164" s="233"/>
      <c r="D164" s="233"/>
      <c r="E164" s="233"/>
      <c r="F164" s="233"/>
      <c r="G164" s="233"/>
      <c r="H164" s="233"/>
      <c r="I164" s="233"/>
    </row>
    <row r="165" spans="1:9" s="41" customFormat="1" outlineLevel="2" x14ac:dyDescent="0.2">
      <c r="A165" s="276"/>
      <c r="C165" s="1335" t="s">
        <v>158</v>
      </c>
      <c r="D165" s="1336"/>
      <c r="E165" s="1336"/>
      <c r="F165" s="1336"/>
      <c r="G165" s="1336"/>
      <c r="H165" s="1336"/>
      <c r="I165" s="1337"/>
    </row>
    <row r="166" spans="1:9" s="41" customFormat="1" outlineLevel="2" x14ac:dyDescent="0.2">
      <c r="A166" s="276"/>
      <c r="C166" s="1328" t="s">
        <v>159</v>
      </c>
      <c r="D166" s="1329"/>
      <c r="E166" s="1329"/>
      <c r="F166" s="1329"/>
      <c r="G166" s="1329"/>
      <c r="H166" s="1329"/>
      <c r="I166" s="1330"/>
    </row>
    <row r="167" spans="1:9" s="41" customFormat="1" ht="15" customHeight="1" outlineLevel="2" x14ac:dyDescent="0.2">
      <c r="A167" s="276"/>
      <c r="C167" s="386" t="str">
        <f ca="1">dms_y1</f>
        <v>2024-25</v>
      </c>
      <c r="D167" s="291" t="str">
        <f ca="1">dms_y2</f>
        <v>2025-26</v>
      </c>
      <c r="E167" s="290" t="str">
        <f ca="1">dms_y3</f>
        <v>2026-27</v>
      </c>
      <c r="F167" s="290" t="str">
        <f ca="1">dms_y4</f>
        <v>2027-28</v>
      </c>
      <c r="G167" s="290" t="str">
        <f ca="1">dms_y5</f>
        <v>2028-29</v>
      </c>
      <c r="H167" s="290" t="str">
        <f ca="1">dms_y6</f>
        <v>2029-30</v>
      </c>
      <c r="I167" s="387" t="str">
        <f ca="1">dms_y7</f>
        <v>2030-31</v>
      </c>
    </row>
    <row r="168" spans="1:9" s="41" customFormat="1" ht="20.25" customHeight="1" outlineLevel="2" x14ac:dyDescent="0.2">
      <c r="A168" s="276"/>
      <c r="B168" s="235" t="s">
        <v>183</v>
      </c>
      <c r="C168" s="236"/>
      <c r="D168" s="236"/>
      <c r="E168" s="236"/>
      <c r="F168" s="236"/>
      <c r="G168" s="236"/>
      <c r="H168" s="236"/>
      <c r="I168" s="237"/>
    </row>
    <row r="169" spans="1:9" s="41" customFormat="1" outlineLevel="3" x14ac:dyDescent="0.25">
      <c r="A169" s="276"/>
      <c r="B169" s="488" t="s">
        <v>172</v>
      </c>
      <c r="C169" s="270">
        <v>0</v>
      </c>
      <c r="D169" s="1160">
        <v>0</v>
      </c>
      <c r="E169" s="268">
        <v>0</v>
      </c>
      <c r="F169" s="256">
        <v>0</v>
      </c>
      <c r="G169" s="256">
        <v>0</v>
      </c>
      <c r="H169" s="256">
        <v>0</v>
      </c>
      <c r="I169" s="257">
        <v>0</v>
      </c>
    </row>
    <row r="170" spans="1:9" s="41" customFormat="1" outlineLevel="3" x14ac:dyDescent="0.25">
      <c r="A170" s="276"/>
      <c r="B170" s="487" t="s">
        <v>180</v>
      </c>
      <c r="C170" s="270">
        <v>123</v>
      </c>
      <c r="D170" s="1160">
        <v>150</v>
      </c>
      <c r="E170" s="268">
        <v>173</v>
      </c>
      <c r="F170" s="256">
        <v>245</v>
      </c>
      <c r="G170" s="256">
        <v>272</v>
      </c>
      <c r="H170" s="256">
        <v>238</v>
      </c>
      <c r="I170" s="257">
        <v>386</v>
      </c>
    </row>
    <row r="171" spans="1:9" s="41" customFormat="1" ht="12.75" customHeight="1" outlineLevel="3" x14ac:dyDescent="0.25">
      <c r="A171" s="276"/>
      <c r="B171" s="313" t="s">
        <v>181</v>
      </c>
      <c r="C171" s="283">
        <v>0</v>
      </c>
      <c r="D171" s="284">
        <v>0</v>
      </c>
      <c r="E171" s="285">
        <v>0</v>
      </c>
      <c r="F171" s="286">
        <v>0</v>
      </c>
      <c r="G171" s="286">
        <v>0</v>
      </c>
      <c r="H171" s="286">
        <v>0</v>
      </c>
      <c r="I171" s="287">
        <v>0</v>
      </c>
    </row>
    <row r="172" spans="1:9" ht="15" customHeight="1" outlineLevel="3" x14ac:dyDescent="0.25">
      <c r="B172" s="521" t="s">
        <v>112</v>
      </c>
      <c r="C172" s="522">
        <f t="shared" ref="C172:I172" si="29">SUM(C169:C171)</f>
        <v>123</v>
      </c>
      <c r="D172" s="522">
        <f t="shared" si="29"/>
        <v>150</v>
      </c>
      <c r="E172" s="522">
        <f t="shared" si="29"/>
        <v>173</v>
      </c>
      <c r="F172" s="522">
        <f t="shared" si="29"/>
        <v>245</v>
      </c>
      <c r="G172" s="522">
        <f t="shared" si="29"/>
        <v>272</v>
      </c>
      <c r="H172" s="522">
        <f t="shared" si="29"/>
        <v>238</v>
      </c>
      <c r="I172" s="523">
        <f t="shared" si="29"/>
        <v>386</v>
      </c>
    </row>
    <row r="173" spans="1:9" s="41" customFormat="1" ht="20.25" customHeight="1" outlineLevel="2" x14ac:dyDescent="0.2">
      <c r="A173" s="276"/>
      <c r="B173" s="235" t="s">
        <v>184</v>
      </c>
      <c r="C173" s="236"/>
      <c r="D173" s="236"/>
      <c r="E173" s="236"/>
      <c r="F173" s="236"/>
      <c r="G173" s="236"/>
      <c r="H173" s="236"/>
      <c r="I173" s="237"/>
    </row>
    <row r="174" spans="1:9" s="41" customFormat="1" outlineLevel="3" x14ac:dyDescent="0.25">
      <c r="A174" s="276"/>
      <c r="B174" s="488" t="s">
        <v>172</v>
      </c>
      <c r="C174" s="270"/>
      <c r="D174" s="1160"/>
      <c r="E174" s="268"/>
      <c r="F174" s="256"/>
      <c r="G174" s="256"/>
      <c r="H174" s="256"/>
      <c r="I174" s="257"/>
    </row>
    <row r="175" spans="1:9" s="41" customFormat="1" outlineLevel="3" x14ac:dyDescent="0.25">
      <c r="A175" s="276"/>
      <c r="B175" s="487" t="s">
        <v>180</v>
      </c>
      <c r="C175" s="270"/>
      <c r="D175" s="1160"/>
      <c r="E175" s="268"/>
      <c r="F175" s="256"/>
      <c r="G175" s="256"/>
      <c r="H175" s="256"/>
      <c r="I175" s="257"/>
    </row>
    <row r="176" spans="1:9" s="41" customFormat="1" ht="12.75" customHeight="1" outlineLevel="3" x14ac:dyDescent="0.25">
      <c r="A176" s="276"/>
      <c r="B176" s="313" t="s">
        <v>181</v>
      </c>
      <c r="C176" s="283"/>
      <c r="D176" s="284"/>
      <c r="E176" s="285"/>
      <c r="F176" s="286"/>
      <c r="G176" s="286"/>
      <c r="H176" s="286"/>
      <c r="I176" s="287"/>
    </row>
    <row r="177" spans="1:9" ht="15" customHeight="1" outlineLevel="3" x14ac:dyDescent="0.25">
      <c r="B177" s="518" t="s">
        <v>112</v>
      </c>
      <c r="C177" s="519">
        <f t="shared" ref="C177:I177" si="30">SUM(C174:C176)</f>
        <v>0</v>
      </c>
      <c r="D177" s="519">
        <f t="shared" si="30"/>
        <v>0</v>
      </c>
      <c r="E177" s="519">
        <f t="shared" si="30"/>
        <v>0</v>
      </c>
      <c r="F177" s="519">
        <f t="shared" si="30"/>
        <v>0</v>
      </c>
      <c r="G177" s="519">
        <f t="shared" si="30"/>
        <v>0</v>
      </c>
      <c r="H177" s="519">
        <f t="shared" si="30"/>
        <v>0</v>
      </c>
      <c r="I177" s="520">
        <f t="shared" si="30"/>
        <v>0</v>
      </c>
    </row>
    <row r="178" spans="1:9" ht="15" customHeight="1" outlineLevel="2" x14ac:dyDescent="0.25">
      <c r="B178" s="280" t="s">
        <v>145</v>
      </c>
      <c r="C178" s="281">
        <f t="shared" ref="C178:I178" si="31">SUM(C172,C177)</f>
        <v>123</v>
      </c>
      <c r="D178" s="281">
        <f t="shared" si="31"/>
        <v>150</v>
      </c>
      <c r="E178" s="281">
        <f t="shared" si="31"/>
        <v>173</v>
      </c>
      <c r="F178" s="281">
        <f t="shared" si="31"/>
        <v>245</v>
      </c>
      <c r="G178" s="281">
        <f t="shared" si="31"/>
        <v>272</v>
      </c>
      <c r="H178" s="281">
        <f t="shared" si="31"/>
        <v>238</v>
      </c>
      <c r="I178" s="282">
        <f t="shared" si="31"/>
        <v>386</v>
      </c>
    </row>
    <row r="179" spans="1:9" s="41" customFormat="1" ht="13.15" customHeight="1" outlineLevel="1" x14ac:dyDescent="0.2">
      <c r="B179" s="73"/>
    </row>
    <row r="180" spans="1:9" s="41" customFormat="1" ht="20.25" customHeight="1" outlineLevel="1" x14ac:dyDescent="0.2">
      <c r="B180" s="73"/>
    </row>
    <row r="181" spans="1:9" s="41" customFormat="1" ht="24" customHeight="1" outlineLevel="1" x14ac:dyDescent="0.2">
      <c r="B181" s="232" t="s">
        <v>185</v>
      </c>
      <c r="C181" s="233"/>
      <c r="D181" s="233"/>
      <c r="E181" s="233"/>
      <c r="F181" s="233"/>
      <c r="G181" s="233"/>
      <c r="H181" s="233"/>
      <c r="I181" s="233"/>
    </row>
    <row r="182" spans="1:9" s="41" customFormat="1" outlineLevel="3" x14ac:dyDescent="0.2">
      <c r="A182" s="276"/>
      <c r="C182" s="1335" t="s">
        <v>158</v>
      </c>
      <c r="D182" s="1336"/>
      <c r="E182" s="1336"/>
      <c r="F182" s="1336"/>
      <c r="G182" s="1336"/>
      <c r="H182" s="1336"/>
      <c r="I182" s="1337"/>
    </row>
    <row r="183" spans="1:9" s="41" customFormat="1" outlineLevel="3" x14ac:dyDescent="0.2">
      <c r="A183" s="276"/>
      <c r="C183" s="1328" t="s">
        <v>159</v>
      </c>
      <c r="D183" s="1329"/>
      <c r="E183" s="1329"/>
      <c r="F183" s="1329"/>
      <c r="G183" s="1329"/>
      <c r="H183" s="1329"/>
      <c r="I183" s="1330"/>
    </row>
    <row r="184" spans="1:9" s="41" customFormat="1" ht="15" customHeight="1" outlineLevel="3" x14ac:dyDescent="0.25">
      <c r="A184" s="276"/>
      <c r="B184" s="77"/>
      <c r="C184" s="386" t="str">
        <f ca="1">dms_y1</f>
        <v>2024-25</v>
      </c>
      <c r="D184" s="291" t="str">
        <f ca="1">dms_y2</f>
        <v>2025-26</v>
      </c>
      <c r="E184" s="290" t="str">
        <f ca="1">dms_y3</f>
        <v>2026-27</v>
      </c>
      <c r="F184" s="290" t="str">
        <f ca="1">dms_y4</f>
        <v>2027-28</v>
      </c>
      <c r="G184" s="290" t="str">
        <f ca="1">dms_y5</f>
        <v>2028-29</v>
      </c>
      <c r="H184" s="290" t="str">
        <f ca="1">dms_y6</f>
        <v>2029-30</v>
      </c>
      <c r="I184" s="387" t="str">
        <f ca="1">dms_y7</f>
        <v>2030-31</v>
      </c>
    </row>
    <row r="185" spans="1:9" s="41" customFormat="1" outlineLevel="3" x14ac:dyDescent="0.25">
      <c r="A185" s="276"/>
      <c r="B185" s="488" t="s">
        <v>172</v>
      </c>
      <c r="C185" s="270">
        <v>3099</v>
      </c>
      <c r="D185" s="1160">
        <v>6343</v>
      </c>
      <c r="E185" s="268">
        <v>3466</v>
      </c>
      <c r="F185" s="256">
        <v>4362</v>
      </c>
      <c r="G185" s="256">
        <v>4368</v>
      </c>
      <c r="H185" s="256">
        <v>5649</v>
      </c>
      <c r="I185" s="257">
        <v>6049</v>
      </c>
    </row>
    <row r="186" spans="1:9" s="41" customFormat="1" outlineLevel="3" x14ac:dyDescent="0.25">
      <c r="A186" s="276"/>
      <c r="B186" s="487" t="s">
        <v>180</v>
      </c>
      <c r="C186" s="270">
        <v>196</v>
      </c>
      <c r="D186" s="1160">
        <v>239</v>
      </c>
      <c r="E186" s="268">
        <v>277</v>
      </c>
      <c r="F186" s="256">
        <v>391</v>
      </c>
      <c r="G186" s="256">
        <v>434</v>
      </c>
      <c r="H186" s="256">
        <v>380</v>
      </c>
      <c r="I186" s="257">
        <v>617</v>
      </c>
    </row>
    <row r="187" spans="1:9" s="41" customFormat="1" ht="12.75" customHeight="1" outlineLevel="3" x14ac:dyDescent="0.25">
      <c r="A187" s="276"/>
      <c r="B187" s="313" t="s">
        <v>181</v>
      </c>
      <c r="C187" s="283">
        <v>0</v>
      </c>
      <c r="D187" s="284">
        <v>0</v>
      </c>
      <c r="E187" s="285">
        <v>0</v>
      </c>
      <c r="F187" s="286">
        <v>0</v>
      </c>
      <c r="G187" s="286">
        <v>0</v>
      </c>
      <c r="H187" s="286">
        <v>0</v>
      </c>
      <c r="I187" s="287">
        <v>0</v>
      </c>
    </row>
    <row r="188" spans="1:9" s="38" customFormat="1" ht="13.9" customHeight="1" outlineLevel="3" x14ac:dyDescent="0.2">
      <c r="A188" s="288"/>
      <c r="B188" s="2" t="s">
        <v>112</v>
      </c>
      <c r="C188" s="2">
        <f t="shared" ref="C188:I188" si="32">SUM(C185:C187)</f>
        <v>3295</v>
      </c>
      <c r="D188" s="2">
        <f t="shared" si="32"/>
        <v>6582</v>
      </c>
      <c r="E188" s="2">
        <f t="shared" si="32"/>
        <v>3743</v>
      </c>
      <c r="F188" s="2">
        <f t="shared" si="32"/>
        <v>4753</v>
      </c>
      <c r="G188" s="2">
        <f t="shared" si="32"/>
        <v>4802</v>
      </c>
      <c r="H188" s="2">
        <f t="shared" si="32"/>
        <v>6029</v>
      </c>
      <c r="I188" s="2">
        <f t="shared" si="32"/>
        <v>6666</v>
      </c>
    </row>
    <row r="189" spans="1:9" outlineLevel="1" x14ac:dyDescent="0.25"/>
    <row r="190" spans="1:9" ht="15" customHeight="1" outlineLevel="1" x14ac:dyDescent="0.25"/>
    <row r="191" spans="1:9" s="41" customFormat="1" ht="24" customHeight="1" outlineLevel="1" x14ac:dyDescent="0.2">
      <c r="B191" s="232" t="s">
        <v>186</v>
      </c>
      <c r="C191" s="233"/>
      <c r="D191" s="233"/>
      <c r="E191" s="233"/>
      <c r="F191" s="233"/>
      <c r="G191" s="233"/>
      <c r="H191" s="233"/>
      <c r="I191" s="233"/>
    </row>
    <row r="192" spans="1:9" s="41" customFormat="1" outlineLevel="3" x14ac:dyDescent="0.2">
      <c r="A192" s="276"/>
      <c r="C192" s="1335" t="s">
        <v>158</v>
      </c>
      <c r="D192" s="1336"/>
      <c r="E192" s="1336"/>
      <c r="F192" s="1336"/>
      <c r="G192" s="1336"/>
      <c r="H192" s="1336"/>
      <c r="I192" s="1337"/>
    </row>
    <row r="193" spans="1:9" s="41" customFormat="1" outlineLevel="3" x14ac:dyDescent="0.2">
      <c r="A193" s="276"/>
      <c r="C193" s="1328" t="s">
        <v>159</v>
      </c>
      <c r="D193" s="1329"/>
      <c r="E193" s="1329"/>
      <c r="F193" s="1329"/>
      <c r="G193" s="1329"/>
      <c r="H193" s="1329"/>
      <c r="I193" s="1330"/>
    </row>
    <row r="194" spans="1:9" s="41" customFormat="1" ht="15" customHeight="1" outlineLevel="3" x14ac:dyDescent="0.25">
      <c r="A194" s="276"/>
      <c r="B194" s="77"/>
      <c r="C194" s="386" t="str">
        <f ca="1">dms_y1</f>
        <v>2024-25</v>
      </c>
      <c r="D194" s="291" t="str">
        <f ca="1">dms_y2</f>
        <v>2025-26</v>
      </c>
      <c r="E194" s="290" t="str">
        <f ca="1">dms_y3</f>
        <v>2026-27</v>
      </c>
      <c r="F194" s="290" t="str">
        <f ca="1">dms_y4</f>
        <v>2027-28</v>
      </c>
      <c r="G194" s="290" t="str">
        <f ca="1">dms_y5</f>
        <v>2028-29</v>
      </c>
      <c r="H194" s="290" t="str">
        <f ca="1">dms_y6</f>
        <v>2029-30</v>
      </c>
      <c r="I194" s="387" t="str">
        <f ca="1">dms_y7</f>
        <v>2030-31</v>
      </c>
    </row>
    <row r="195" spans="1:9" s="41" customFormat="1" outlineLevel="3" x14ac:dyDescent="0.25">
      <c r="A195" s="276"/>
      <c r="B195" s="488" t="s">
        <v>172</v>
      </c>
      <c r="C195" s="270">
        <v>3099</v>
      </c>
      <c r="D195" s="1160">
        <v>6343</v>
      </c>
      <c r="E195" s="268">
        <v>3466</v>
      </c>
      <c r="F195" s="256">
        <v>4362</v>
      </c>
      <c r="G195" s="256">
        <v>4368</v>
      </c>
      <c r="H195" s="256">
        <v>5649</v>
      </c>
      <c r="I195" s="257">
        <v>6049</v>
      </c>
    </row>
    <row r="196" spans="1:9" s="41" customFormat="1" outlineLevel="3" x14ac:dyDescent="0.25">
      <c r="A196" s="276"/>
      <c r="B196" s="487" t="s">
        <v>180</v>
      </c>
      <c r="C196" s="270">
        <v>196</v>
      </c>
      <c r="D196" s="1160">
        <v>239</v>
      </c>
      <c r="E196" s="268">
        <v>277</v>
      </c>
      <c r="F196" s="256">
        <v>391</v>
      </c>
      <c r="G196" s="256">
        <v>434</v>
      </c>
      <c r="H196" s="256">
        <v>380</v>
      </c>
      <c r="I196" s="257">
        <v>617</v>
      </c>
    </row>
    <row r="197" spans="1:9" s="41" customFormat="1" ht="12.75" customHeight="1" outlineLevel="3" x14ac:dyDescent="0.25">
      <c r="A197" s="276"/>
      <c r="B197" s="313" t="s">
        <v>181</v>
      </c>
      <c r="C197" s="283">
        <v>0</v>
      </c>
      <c r="D197" s="284">
        <v>0</v>
      </c>
      <c r="E197" s="285">
        <v>0</v>
      </c>
      <c r="F197" s="286">
        <v>0</v>
      </c>
      <c r="G197" s="286">
        <v>0</v>
      </c>
      <c r="H197" s="286">
        <v>0</v>
      </c>
      <c r="I197" s="287">
        <v>0</v>
      </c>
    </row>
    <row r="198" spans="1:9" s="38" customFormat="1" ht="13.9" customHeight="1" outlineLevel="3" x14ac:dyDescent="0.2">
      <c r="A198" s="288"/>
      <c r="B198" s="2" t="s">
        <v>112</v>
      </c>
      <c r="C198" s="2">
        <f t="shared" ref="C198:I198" si="33">SUM(C195:C197)</f>
        <v>3295</v>
      </c>
      <c r="D198" s="2">
        <f t="shared" si="33"/>
        <v>6582</v>
      </c>
      <c r="E198" s="2">
        <f t="shared" si="33"/>
        <v>3743</v>
      </c>
      <c r="F198" s="2">
        <f t="shared" si="33"/>
        <v>4753</v>
      </c>
      <c r="G198" s="2">
        <f t="shared" si="33"/>
        <v>4802</v>
      </c>
      <c r="H198" s="2">
        <f t="shared" si="33"/>
        <v>6029</v>
      </c>
      <c r="I198" s="2">
        <f t="shared" si="33"/>
        <v>6666</v>
      </c>
    </row>
    <row r="199" spans="1:9" outlineLevel="1" x14ac:dyDescent="0.25"/>
    <row r="200" spans="1:9" ht="15" customHeight="1" outlineLevel="1" x14ac:dyDescent="0.25"/>
    <row r="201" spans="1:9" s="41" customFormat="1" ht="24" customHeight="1" outlineLevel="1" x14ac:dyDescent="0.2">
      <c r="B201" s="232" t="s">
        <v>187</v>
      </c>
      <c r="C201" s="233"/>
      <c r="D201" s="233"/>
      <c r="E201" s="233"/>
      <c r="F201" s="233"/>
      <c r="G201" s="233"/>
      <c r="H201" s="233"/>
      <c r="I201" s="233"/>
    </row>
    <row r="202" spans="1:9" s="41" customFormat="1" outlineLevel="3" x14ac:dyDescent="0.2">
      <c r="A202" s="276"/>
      <c r="C202" s="1335" t="s">
        <v>158</v>
      </c>
      <c r="D202" s="1336"/>
      <c r="E202" s="1336"/>
      <c r="F202" s="1336"/>
      <c r="G202" s="1336"/>
      <c r="H202" s="1336"/>
      <c r="I202" s="1337"/>
    </row>
    <row r="203" spans="1:9" s="41" customFormat="1" outlineLevel="3" x14ac:dyDescent="0.2">
      <c r="A203" s="276"/>
      <c r="C203" s="1328" t="s">
        <v>159</v>
      </c>
      <c r="D203" s="1329"/>
      <c r="E203" s="1329"/>
      <c r="F203" s="1329"/>
      <c r="G203" s="1329"/>
      <c r="H203" s="1329"/>
      <c r="I203" s="1330"/>
    </row>
    <row r="204" spans="1:9" s="41" customFormat="1" ht="15" customHeight="1" outlineLevel="3" x14ac:dyDescent="0.25">
      <c r="A204" s="276"/>
      <c r="B204" s="77"/>
      <c r="C204" s="386" t="str">
        <f ca="1">dms_y1</f>
        <v>2024-25</v>
      </c>
      <c r="D204" s="291" t="str">
        <f ca="1">dms_y2</f>
        <v>2025-26</v>
      </c>
      <c r="E204" s="290" t="str">
        <f ca="1">dms_y3</f>
        <v>2026-27</v>
      </c>
      <c r="F204" s="290" t="str">
        <f ca="1">dms_y4</f>
        <v>2027-28</v>
      </c>
      <c r="G204" s="290" t="str">
        <f ca="1">dms_y5</f>
        <v>2028-29</v>
      </c>
      <c r="H204" s="290" t="str">
        <f ca="1">dms_y6</f>
        <v>2029-30</v>
      </c>
      <c r="I204" s="387" t="str">
        <f ca="1">dms_y7</f>
        <v>2030-31</v>
      </c>
    </row>
    <row r="205" spans="1:9" s="41" customFormat="1" outlineLevel="3" x14ac:dyDescent="0.25">
      <c r="A205" s="276"/>
      <c r="B205" s="488" t="s">
        <v>172</v>
      </c>
      <c r="C205" s="270">
        <v>0</v>
      </c>
      <c r="D205" s="1160">
        <v>0</v>
      </c>
      <c r="E205" s="268">
        <v>0</v>
      </c>
      <c r="F205" s="256">
        <v>0</v>
      </c>
      <c r="G205" s="256">
        <v>0</v>
      </c>
      <c r="H205" s="256">
        <v>0</v>
      </c>
      <c r="I205" s="257">
        <v>0</v>
      </c>
    </row>
    <row r="206" spans="1:9" s="41" customFormat="1" outlineLevel="3" x14ac:dyDescent="0.25">
      <c r="A206" s="276"/>
      <c r="B206" s="487" t="s">
        <v>180</v>
      </c>
      <c r="C206" s="270">
        <v>0</v>
      </c>
      <c r="D206" s="1160">
        <v>0</v>
      </c>
      <c r="E206" s="268">
        <v>0</v>
      </c>
      <c r="F206" s="256">
        <v>0</v>
      </c>
      <c r="G206" s="256">
        <v>0</v>
      </c>
      <c r="H206" s="256">
        <v>0</v>
      </c>
      <c r="I206" s="257">
        <v>0</v>
      </c>
    </row>
    <row r="207" spans="1:9" s="41" customFormat="1" ht="12.75" customHeight="1" outlineLevel="3" x14ac:dyDescent="0.25">
      <c r="A207" s="276"/>
      <c r="B207" s="313" t="s">
        <v>181</v>
      </c>
      <c r="C207" s="283">
        <v>0</v>
      </c>
      <c r="D207" s="284">
        <v>0</v>
      </c>
      <c r="E207" s="285">
        <v>0</v>
      </c>
      <c r="F207" s="286">
        <v>0</v>
      </c>
      <c r="G207" s="286">
        <v>0</v>
      </c>
      <c r="H207" s="286">
        <v>0</v>
      </c>
      <c r="I207" s="287">
        <v>0</v>
      </c>
    </row>
    <row r="208" spans="1:9" s="38" customFormat="1" ht="13.9" customHeight="1" outlineLevel="3" x14ac:dyDescent="0.2">
      <c r="A208" s="288"/>
      <c r="B208" s="2" t="s">
        <v>112</v>
      </c>
      <c r="C208" s="2">
        <f t="shared" ref="C208:I208" si="34">SUM(C205:C207)</f>
        <v>0</v>
      </c>
      <c r="D208" s="2">
        <f t="shared" si="34"/>
        <v>0</v>
      </c>
      <c r="E208" s="2">
        <f t="shared" si="34"/>
        <v>0</v>
      </c>
      <c r="F208" s="2">
        <f t="shared" si="34"/>
        <v>0</v>
      </c>
      <c r="G208" s="2">
        <f t="shared" si="34"/>
        <v>0</v>
      </c>
      <c r="H208" s="2">
        <f t="shared" si="34"/>
        <v>0</v>
      </c>
      <c r="I208" s="2">
        <f t="shared" si="34"/>
        <v>0</v>
      </c>
    </row>
    <row r="209" outlineLevel="1" x14ac:dyDescent="0.25"/>
  </sheetData>
  <sheetProtection algorithmName="SHA-256" hashValue="am87o7T2YxUNfX5RMNGg+JKyFdBSCoq42IAIMsxmF+s=" saltValue="8M6j+Vu5TzXgE/tu5VtqIg=="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7375E"/>
  </sheetPr>
  <dimension ref="A1:J327"/>
  <sheetViews>
    <sheetView showGridLines="0" zoomScale="145" zoomScaleNormal="145" workbookViewId="0">
      <selection activeCell="J287" sqref="J287"/>
    </sheetView>
  </sheetViews>
  <sheetFormatPr defaultColWidth="9.140625" defaultRowHeight="15" outlineLevelRow="3" x14ac:dyDescent="0.25"/>
  <cols>
    <col min="1" max="1" width="22.7109375" customWidth="1"/>
    <col min="2" max="2" width="48.85546875" customWidth="1"/>
    <col min="3" max="3" width="25.28515625" customWidth="1"/>
    <col min="4" max="10" width="23.5703125" customWidth="1"/>
  </cols>
  <sheetData>
    <row r="1" spans="1:10" ht="30" customHeight="1" x14ac:dyDescent="0.25">
      <c r="A1" s="1068"/>
      <c r="B1" s="1069" t="str">
        <f>INDEX(dms_Worksheet_List,MATCH(dms_Model,dms_Model_List))</f>
        <v>REGULATORY REPORTING STATEMENT</v>
      </c>
      <c r="C1" s="25"/>
      <c r="D1" s="25"/>
      <c r="E1" s="25"/>
      <c r="F1" s="25"/>
      <c r="G1" s="25"/>
      <c r="H1" s="25"/>
      <c r="I1" s="25"/>
      <c r="J1" s="25"/>
    </row>
    <row r="2" spans="1:10" ht="30" customHeight="1" x14ac:dyDescent="0.25">
      <c r="A2" s="1069"/>
      <c r="B2" s="1069" t="str">
        <f>dms_TradingNameFull</f>
        <v>Icon Distribution Investments Limited (ABN 83 073 025 224) and Jemena Networks (ACT) Pty Ltd (ABN 24 008 552 663)</v>
      </c>
      <c r="C2" s="25"/>
      <c r="D2" s="25"/>
      <c r="E2" s="25"/>
      <c r="F2" s="25"/>
      <c r="G2" s="25"/>
      <c r="H2" s="25"/>
      <c r="I2" s="25"/>
      <c r="J2" s="25"/>
    </row>
    <row r="3" spans="1:10" ht="30" customHeight="1" x14ac:dyDescent="0.25">
      <c r="A3" s="1071"/>
      <c r="B3" s="1071" t="str">
        <f ca="1">dms_Header_Span</f>
        <v>2024-25 to 2030-31</v>
      </c>
      <c r="C3" s="25"/>
      <c r="D3" s="25"/>
      <c r="E3" s="25"/>
      <c r="F3" s="25"/>
      <c r="G3" s="25"/>
      <c r="H3" s="25"/>
      <c r="I3" s="25"/>
      <c r="J3" s="25"/>
    </row>
    <row r="4" spans="1:10" ht="30" customHeight="1" x14ac:dyDescent="0.25">
      <c r="A4" s="383"/>
      <c r="B4" s="383" t="s">
        <v>188</v>
      </c>
      <c r="C4" s="383"/>
      <c r="D4" s="383"/>
      <c r="E4" s="383"/>
      <c r="F4" s="383"/>
      <c r="G4" s="383"/>
      <c r="H4" s="383"/>
      <c r="I4" s="383"/>
      <c r="J4" s="383"/>
    </row>
    <row r="5" spans="1:10" ht="30" customHeight="1" x14ac:dyDescent="0.25">
      <c r="B5" s="1440" t="s">
        <v>96</v>
      </c>
      <c r="C5" s="1440"/>
      <c r="D5" s="1440"/>
      <c r="E5" s="1440"/>
      <c r="F5" s="1440"/>
      <c r="G5" s="1440"/>
      <c r="H5" s="1440"/>
      <c r="I5" s="1440"/>
      <c r="J5" s="1440"/>
    </row>
    <row r="6" spans="1:10" ht="15" customHeight="1" x14ac:dyDescent="0.25">
      <c r="A6" s="238"/>
      <c r="B6" s="231"/>
      <c r="C6" s="238"/>
      <c r="D6" s="238"/>
      <c r="E6" s="238"/>
      <c r="F6" s="238"/>
      <c r="G6" s="238"/>
      <c r="H6" s="238"/>
      <c r="I6" s="238"/>
      <c r="J6" s="238"/>
    </row>
    <row r="7" spans="1:10" ht="27.95" customHeight="1" x14ac:dyDescent="0.25">
      <c r="A7" s="238"/>
      <c r="B7" s="31" t="s">
        <v>189</v>
      </c>
      <c r="C7" s="31"/>
      <c r="D7" s="31"/>
      <c r="E7" s="31"/>
      <c r="F7" s="31"/>
      <c r="G7" s="31"/>
      <c r="H7" s="31"/>
      <c r="I7" s="31"/>
      <c r="J7" s="31"/>
    </row>
    <row r="8" spans="1:10" ht="27" customHeight="1" outlineLevel="1" x14ac:dyDescent="0.25">
      <c r="A8" s="321"/>
      <c r="B8" s="232" t="s">
        <v>190</v>
      </c>
      <c r="C8" s="233"/>
      <c r="D8" s="233"/>
      <c r="E8" s="233"/>
      <c r="F8" s="233"/>
      <c r="G8" s="233"/>
      <c r="H8" s="233"/>
      <c r="I8" s="233"/>
      <c r="J8" s="233"/>
    </row>
    <row r="9" spans="1:10" ht="21.75" customHeight="1" outlineLevel="2" x14ac:dyDescent="0.25">
      <c r="B9" s="235" t="s">
        <v>135</v>
      </c>
      <c r="C9" s="236"/>
      <c r="D9" s="236"/>
      <c r="E9" s="236"/>
      <c r="F9" s="236"/>
      <c r="G9" s="236"/>
      <c r="H9" s="236"/>
      <c r="I9" s="236"/>
      <c r="J9" s="237"/>
    </row>
    <row r="10" spans="1:10" ht="15" customHeight="1" outlineLevel="3" x14ac:dyDescent="0.25">
      <c r="A10" s="333"/>
      <c r="D10" s="1331" t="s">
        <v>24</v>
      </c>
      <c r="E10" s="1331"/>
      <c r="F10" s="1331"/>
      <c r="G10" s="1331"/>
      <c r="H10" s="1331"/>
      <c r="I10" s="1331"/>
      <c r="J10" s="1331"/>
    </row>
    <row r="11" spans="1:10" ht="15" customHeight="1" outlineLevel="3" x14ac:dyDescent="0.25">
      <c r="A11" s="333"/>
      <c r="D11" s="1331" t="str">
        <f ca="1">CONCATENATE("$, real ",dms_DollarReal)</f>
        <v>$, real June 2026</v>
      </c>
      <c r="E11" s="1331"/>
      <c r="F11" s="1331"/>
      <c r="G11" s="1331"/>
      <c r="H11" s="1331"/>
      <c r="I11" s="1331"/>
      <c r="J11" s="1331"/>
    </row>
    <row r="12" spans="1:10" ht="15" customHeight="1" outlineLevel="3" x14ac:dyDescent="0.25">
      <c r="B12" s="77"/>
      <c r="C12" s="302"/>
      <c r="D12" s="298" t="str">
        <f ca="1">dms_y1</f>
        <v>2024-25</v>
      </c>
      <c r="E12" s="298" t="str">
        <f ca="1">dms_y2</f>
        <v>2025-26</v>
      </c>
      <c r="F12" s="298" t="str">
        <f ca="1">dms_y3</f>
        <v>2026-27</v>
      </c>
      <c r="G12" s="298" t="str">
        <f ca="1">dms_y4</f>
        <v>2027-28</v>
      </c>
      <c r="H12" s="298" t="str">
        <f ca="1">dms_y5</f>
        <v>2028-29</v>
      </c>
      <c r="I12" s="298" t="str">
        <f ca="1">dms_y6</f>
        <v>2029-30</v>
      </c>
      <c r="J12" s="298" t="str">
        <f ca="1">dms_y7</f>
        <v>2030-31</v>
      </c>
    </row>
    <row r="13" spans="1:10" ht="21.75" customHeight="1" outlineLevel="3" x14ac:dyDescent="0.25">
      <c r="B13" s="529" t="s">
        <v>191</v>
      </c>
      <c r="C13" s="530"/>
      <c r="D13" s="530"/>
      <c r="E13" s="530"/>
      <c r="F13" s="530"/>
      <c r="G13" s="530"/>
      <c r="H13" s="530"/>
      <c r="I13" s="530"/>
      <c r="J13" s="531"/>
    </row>
    <row r="14" spans="1:10" outlineLevel="3" x14ac:dyDescent="0.25">
      <c r="B14" s="339" t="s">
        <v>192</v>
      </c>
      <c r="C14" s="338"/>
      <c r="D14" s="268">
        <v>0</v>
      </c>
      <c r="E14" s="388">
        <v>0</v>
      </c>
      <c r="F14" s="389">
        <v>0</v>
      </c>
      <c r="G14" s="267">
        <v>0</v>
      </c>
      <c r="H14" s="267">
        <v>0</v>
      </c>
      <c r="I14" s="267">
        <v>0</v>
      </c>
      <c r="J14" s="269">
        <v>0</v>
      </c>
    </row>
    <row r="15" spans="1:10" outlineLevel="3" x14ac:dyDescent="0.25">
      <c r="B15" s="339" t="s">
        <v>193</v>
      </c>
      <c r="C15" s="308"/>
      <c r="D15" s="268">
        <v>0</v>
      </c>
      <c r="E15" s="388">
        <v>0</v>
      </c>
      <c r="F15" s="389">
        <v>0</v>
      </c>
      <c r="G15" s="267">
        <v>0</v>
      </c>
      <c r="H15" s="267">
        <v>0</v>
      </c>
      <c r="I15" s="267">
        <v>0</v>
      </c>
      <c r="J15" s="269">
        <v>0</v>
      </c>
    </row>
    <row r="16" spans="1:10" outlineLevel="3" x14ac:dyDescent="0.25">
      <c r="B16" s="339" t="s">
        <v>194</v>
      </c>
      <c r="C16" s="308"/>
      <c r="D16" s="268">
        <v>0</v>
      </c>
      <c r="E16" s="388">
        <v>0</v>
      </c>
      <c r="F16" s="389">
        <v>0</v>
      </c>
      <c r="G16" s="267">
        <v>0</v>
      </c>
      <c r="H16" s="267">
        <v>0</v>
      </c>
      <c r="I16" s="267">
        <v>0</v>
      </c>
      <c r="J16" s="269">
        <v>0</v>
      </c>
    </row>
    <row r="17" spans="1:10" ht="15" customHeight="1" outlineLevel="3" x14ac:dyDescent="0.25">
      <c r="B17" s="518"/>
      <c r="C17" s="519" t="s">
        <v>112</v>
      </c>
      <c r="D17" s="519">
        <f t="shared" ref="D17:J17" si="0">SUM(D14:D16)</f>
        <v>0</v>
      </c>
      <c r="E17" s="519">
        <f t="shared" si="0"/>
        <v>0</v>
      </c>
      <c r="F17" s="519">
        <f t="shared" si="0"/>
        <v>0</v>
      </c>
      <c r="G17" s="519">
        <f t="shared" si="0"/>
        <v>0</v>
      </c>
      <c r="H17" s="519">
        <f t="shared" si="0"/>
        <v>0</v>
      </c>
      <c r="I17" s="519">
        <f t="shared" si="0"/>
        <v>0</v>
      </c>
      <c r="J17" s="520">
        <f t="shared" si="0"/>
        <v>0</v>
      </c>
    </row>
    <row r="18" spans="1:10" ht="21.75" customHeight="1" outlineLevel="3" x14ac:dyDescent="0.25">
      <c r="B18" s="529" t="s">
        <v>195</v>
      </c>
      <c r="C18" s="530"/>
      <c r="D18" s="530"/>
      <c r="E18" s="530"/>
      <c r="F18" s="530"/>
      <c r="G18" s="530"/>
      <c r="H18" s="530"/>
      <c r="I18" s="530"/>
      <c r="J18" s="531"/>
    </row>
    <row r="19" spans="1:10" outlineLevel="3" x14ac:dyDescent="0.25">
      <c r="A19" s="238"/>
      <c r="B19" s="339" t="s">
        <v>192</v>
      </c>
      <c r="C19" s="338"/>
      <c r="D19" s="268">
        <v>0</v>
      </c>
      <c r="E19" s="388">
        <v>0</v>
      </c>
      <c r="F19" s="389">
        <v>0</v>
      </c>
      <c r="G19" s="267">
        <v>0</v>
      </c>
      <c r="H19" s="267">
        <v>0</v>
      </c>
      <c r="I19" s="267">
        <v>0</v>
      </c>
      <c r="J19" s="269">
        <v>0</v>
      </c>
    </row>
    <row r="20" spans="1:10" outlineLevel="3" x14ac:dyDescent="0.25">
      <c r="A20" s="238"/>
      <c r="B20" s="339" t="s">
        <v>193</v>
      </c>
      <c r="C20" s="308"/>
      <c r="D20" s="268">
        <v>0</v>
      </c>
      <c r="E20" s="388">
        <v>0</v>
      </c>
      <c r="F20" s="389">
        <v>0</v>
      </c>
      <c r="G20" s="267">
        <v>0</v>
      </c>
      <c r="H20" s="267">
        <v>0</v>
      </c>
      <c r="I20" s="267">
        <v>0</v>
      </c>
      <c r="J20" s="269">
        <v>0</v>
      </c>
    </row>
    <row r="21" spans="1:10" outlineLevel="3" x14ac:dyDescent="0.25">
      <c r="A21" s="238"/>
      <c r="B21" s="339" t="s">
        <v>194</v>
      </c>
      <c r="C21" s="308"/>
      <c r="D21" s="268">
        <v>0</v>
      </c>
      <c r="E21" s="388">
        <v>0</v>
      </c>
      <c r="F21" s="389">
        <v>0</v>
      </c>
      <c r="G21" s="267">
        <v>0</v>
      </c>
      <c r="H21" s="267">
        <v>0</v>
      </c>
      <c r="I21" s="267">
        <v>0</v>
      </c>
      <c r="J21" s="269">
        <v>0</v>
      </c>
    </row>
    <row r="22" spans="1:10" ht="15" customHeight="1" outlineLevel="3" x14ac:dyDescent="0.25">
      <c r="A22" s="238"/>
      <c r="B22" s="518"/>
      <c r="C22" s="519" t="s">
        <v>112</v>
      </c>
      <c r="D22" s="519">
        <f t="shared" ref="D22:J22" si="1">SUM(D19:D21)</f>
        <v>0</v>
      </c>
      <c r="E22" s="519">
        <f t="shared" si="1"/>
        <v>0</v>
      </c>
      <c r="F22" s="519">
        <f t="shared" si="1"/>
        <v>0</v>
      </c>
      <c r="G22" s="519">
        <f t="shared" si="1"/>
        <v>0</v>
      </c>
      <c r="H22" s="519">
        <f t="shared" si="1"/>
        <v>0</v>
      </c>
      <c r="I22" s="519">
        <f t="shared" si="1"/>
        <v>0</v>
      </c>
      <c r="J22" s="520">
        <f t="shared" si="1"/>
        <v>0</v>
      </c>
    </row>
    <row r="23" spans="1:10" ht="21.75" customHeight="1" outlineLevel="3" x14ac:dyDescent="0.25">
      <c r="B23" s="529" t="s">
        <v>196</v>
      </c>
      <c r="C23" s="530"/>
      <c r="D23" s="530"/>
      <c r="E23" s="530"/>
      <c r="F23" s="530"/>
      <c r="G23" s="530"/>
      <c r="H23" s="530"/>
      <c r="I23" s="530"/>
      <c r="J23" s="531"/>
    </row>
    <row r="24" spans="1:10" outlineLevel="3" x14ac:dyDescent="0.25">
      <c r="A24" s="238"/>
      <c r="B24" s="339" t="s">
        <v>192</v>
      </c>
      <c r="C24" s="338"/>
      <c r="D24" s="268">
        <v>0</v>
      </c>
      <c r="E24" s="388">
        <v>0</v>
      </c>
      <c r="F24" s="389">
        <v>0</v>
      </c>
      <c r="G24" s="267">
        <v>0</v>
      </c>
      <c r="H24" s="267">
        <v>0</v>
      </c>
      <c r="I24" s="267">
        <v>0</v>
      </c>
      <c r="J24" s="269">
        <v>0</v>
      </c>
    </row>
    <row r="25" spans="1:10" outlineLevel="3" x14ac:dyDescent="0.25">
      <c r="A25" s="238"/>
      <c r="B25" s="339" t="s">
        <v>193</v>
      </c>
      <c r="C25" s="308"/>
      <c r="D25" s="268">
        <v>0</v>
      </c>
      <c r="E25" s="388">
        <v>0</v>
      </c>
      <c r="F25" s="389">
        <v>0</v>
      </c>
      <c r="G25" s="267">
        <v>0</v>
      </c>
      <c r="H25" s="267">
        <v>0</v>
      </c>
      <c r="I25" s="267">
        <v>0</v>
      </c>
      <c r="J25" s="269">
        <v>0</v>
      </c>
    </row>
    <row r="26" spans="1:10" outlineLevel="3" x14ac:dyDescent="0.25">
      <c r="A26" s="238"/>
      <c r="B26" s="339" t="s">
        <v>194</v>
      </c>
      <c r="C26" s="308"/>
      <c r="D26" s="268">
        <v>0</v>
      </c>
      <c r="E26" s="388">
        <v>0</v>
      </c>
      <c r="F26" s="389">
        <v>0</v>
      </c>
      <c r="G26" s="267">
        <v>0</v>
      </c>
      <c r="H26" s="267">
        <v>0</v>
      </c>
      <c r="I26" s="267">
        <v>0</v>
      </c>
      <c r="J26" s="269">
        <v>0</v>
      </c>
    </row>
    <row r="27" spans="1:10" ht="15" customHeight="1" outlineLevel="3" x14ac:dyDescent="0.25">
      <c r="A27" s="238"/>
      <c r="B27" s="518"/>
      <c r="C27" s="519" t="s">
        <v>112</v>
      </c>
      <c r="D27" s="519">
        <f t="shared" ref="D27:J27" si="2">SUM(D24:D26)</f>
        <v>0</v>
      </c>
      <c r="E27" s="519">
        <f t="shared" si="2"/>
        <v>0</v>
      </c>
      <c r="F27" s="519">
        <f t="shared" si="2"/>
        <v>0</v>
      </c>
      <c r="G27" s="519">
        <f t="shared" si="2"/>
        <v>0</v>
      </c>
      <c r="H27" s="519">
        <f t="shared" si="2"/>
        <v>0</v>
      </c>
      <c r="I27" s="519">
        <f t="shared" si="2"/>
        <v>0</v>
      </c>
      <c r="J27" s="520">
        <f t="shared" si="2"/>
        <v>0</v>
      </c>
    </row>
    <row r="28" spans="1:10" ht="21.75" customHeight="1" outlineLevel="3" x14ac:dyDescent="0.25">
      <c r="B28" s="529" t="s">
        <v>197</v>
      </c>
      <c r="C28" s="530"/>
      <c r="D28" s="530"/>
      <c r="E28" s="530"/>
      <c r="F28" s="530"/>
      <c r="G28" s="530"/>
      <c r="H28" s="530"/>
      <c r="I28" s="530"/>
      <c r="J28" s="531"/>
    </row>
    <row r="29" spans="1:10" outlineLevel="3" x14ac:dyDescent="0.25">
      <c r="A29" s="238"/>
      <c r="B29" s="339" t="s">
        <v>192</v>
      </c>
      <c r="C29" s="338"/>
      <c r="D29" s="268">
        <v>0</v>
      </c>
      <c r="E29" s="388">
        <v>0</v>
      </c>
      <c r="F29" s="389">
        <v>0</v>
      </c>
      <c r="G29" s="267">
        <v>0</v>
      </c>
      <c r="H29" s="267">
        <v>0</v>
      </c>
      <c r="I29" s="267">
        <v>0</v>
      </c>
      <c r="J29" s="269">
        <v>0</v>
      </c>
    </row>
    <row r="30" spans="1:10" outlineLevel="3" x14ac:dyDescent="0.25">
      <c r="A30" s="238"/>
      <c r="B30" s="339" t="s">
        <v>193</v>
      </c>
      <c r="C30" s="308"/>
      <c r="D30" s="268">
        <v>0</v>
      </c>
      <c r="E30" s="388">
        <v>0</v>
      </c>
      <c r="F30" s="389">
        <v>0</v>
      </c>
      <c r="G30" s="267">
        <v>0</v>
      </c>
      <c r="H30" s="267">
        <v>0</v>
      </c>
      <c r="I30" s="267">
        <v>0</v>
      </c>
      <c r="J30" s="269">
        <v>0</v>
      </c>
    </row>
    <row r="31" spans="1:10" outlineLevel="3" x14ac:dyDescent="0.25">
      <c r="A31" s="238"/>
      <c r="B31" s="339" t="s">
        <v>194</v>
      </c>
      <c r="C31" s="308"/>
      <c r="D31" s="268">
        <v>0</v>
      </c>
      <c r="E31" s="388">
        <v>0</v>
      </c>
      <c r="F31" s="389">
        <v>0</v>
      </c>
      <c r="G31" s="267">
        <v>0</v>
      </c>
      <c r="H31" s="267">
        <v>0</v>
      </c>
      <c r="I31" s="267">
        <v>0</v>
      </c>
      <c r="J31" s="269">
        <v>0</v>
      </c>
    </row>
    <row r="32" spans="1:10" ht="15" customHeight="1" outlineLevel="3" x14ac:dyDescent="0.25">
      <c r="A32" s="238"/>
      <c r="B32" s="518"/>
      <c r="C32" s="519" t="s">
        <v>112</v>
      </c>
      <c r="D32" s="519">
        <f t="shared" ref="D32:J32" si="3">SUM(D29:D31)</f>
        <v>0</v>
      </c>
      <c r="E32" s="519">
        <f t="shared" si="3"/>
        <v>0</v>
      </c>
      <c r="F32" s="519">
        <f t="shared" si="3"/>
        <v>0</v>
      </c>
      <c r="G32" s="519">
        <f t="shared" si="3"/>
        <v>0</v>
      </c>
      <c r="H32" s="519">
        <f t="shared" si="3"/>
        <v>0</v>
      </c>
      <c r="I32" s="519">
        <f t="shared" si="3"/>
        <v>0</v>
      </c>
      <c r="J32" s="520">
        <f t="shared" si="3"/>
        <v>0</v>
      </c>
    </row>
    <row r="33" spans="1:10" ht="21.75" customHeight="1" outlineLevel="3" x14ac:dyDescent="0.25">
      <c r="B33" s="529" t="s">
        <v>198</v>
      </c>
      <c r="C33" s="530"/>
      <c r="D33" s="530"/>
      <c r="E33" s="530"/>
      <c r="F33" s="530"/>
      <c r="G33" s="530"/>
      <c r="H33" s="530"/>
      <c r="I33" s="530"/>
      <c r="J33" s="531"/>
    </row>
    <row r="34" spans="1:10" outlineLevel="3" x14ac:dyDescent="0.25">
      <c r="A34" s="238"/>
      <c r="B34" s="339" t="s">
        <v>192</v>
      </c>
      <c r="C34" s="338"/>
      <c r="D34" s="268">
        <v>0</v>
      </c>
      <c r="E34" s="388">
        <v>0</v>
      </c>
      <c r="F34" s="389">
        <v>0</v>
      </c>
      <c r="G34" s="267">
        <v>0</v>
      </c>
      <c r="H34" s="267">
        <v>0</v>
      </c>
      <c r="I34" s="267">
        <v>0</v>
      </c>
      <c r="J34" s="269">
        <v>0</v>
      </c>
    </row>
    <row r="35" spans="1:10" outlineLevel="3" x14ac:dyDescent="0.25">
      <c r="A35" s="238"/>
      <c r="B35" s="339" t="s">
        <v>193</v>
      </c>
      <c r="C35" s="308"/>
      <c r="D35" s="268">
        <v>0</v>
      </c>
      <c r="E35" s="388">
        <v>0</v>
      </c>
      <c r="F35" s="389">
        <v>0</v>
      </c>
      <c r="G35" s="267">
        <v>0</v>
      </c>
      <c r="H35" s="267">
        <v>0</v>
      </c>
      <c r="I35" s="267">
        <v>0</v>
      </c>
      <c r="J35" s="269">
        <v>0</v>
      </c>
    </row>
    <row r="36" spans="1:10" outlineLevel="3" x14ac:dyDescent="0.25">
      <c r="A36" s="238"/>
      <c r="B36" s="540" t="s">
        <v>194</v>
      </c>
      <c r="C36" s="309"/>
      <c r="D36" s="304">
        <v>0</v>
      </c>
      <c r="E36" s="537">
        <v>0</v>
      </c>
      <c r="F36" s="391">
        <v>0</v>
      </c>
      <c r="G36" s="305">
        <v>0</v>
      </c>
      <c r="H36" s="305">
        <v>0</v>
      </c>
      <c r="I36" s="305">
        <v>0</v>
      </c>
      <c r="J36" s="538">
        <v>0</v>
      </c>
    </row>
    <row r="37" spans="1:10" ht="15" customHeight="1" outlineLevel="3" x14ac:dyDescent="0.25">
      <c r="A37" s="238"/>
      <c r="B37" s="518"/>
      <c r="C37" s="519" t="s">
        <v>112</v>
      </c>
      <c r="D37" s="519">
        <f t="shared" ref="D37:J37" si="4">SUM(D34:D36)</f>
        <v>0</v>
      </c>
      <c r="E37" s="519">
        <f t="shared" si="4"/>
        <v>0</v>
      </c>
      <c r="F37" s="519">
        <f t="shared" si="4"/>
        <v>0</v>
      </c>
      <c r="G37" s="519">
        <f t="shared" si="4"/>
        <v>0</v>
      </c>
      <c r="H37" s="519">
        <f t="shared" si="4"/>
        <v>0</v>
      </c>
      <c r="I37" s="519">
        <f t="shared" si="4"/>
        <v>0</v>
      </c>
      <c r="J37" s="520">
        <f t="shared" si="4"/>
        <v>0</v>
      </c>
    </row>
    <row r="38" spans="1:10" ht="21.75" customHeight="1" outlineLevel="3" x14ac:dyDescent="0.25">
      <c r="B38" s="529" t="s">
        <v>199</v>
      </c>
      <c r="C38" s="530"/>
      <c r="D38" s="530"/>
      <c r="E38" s="530"/>
      <c r="F38" s="530"/>
      <c r="G38" s="530"/>
      <c r="H38" s="530"/>
      <c r="I38" s="530"/>
      <c r="J38" s="531"/>
    </row>
    <row r="39" spans="1:10" outlineLevel="3" x14ac:dyDescent="0.25">
      <c r="A39" s="238"/>
      <c r="B39" s="339" t="s">
        <v>192</v>
      </c>
      <c r="C39" s="338"/>
      <c r="D39" s="268">
        <v>0</v>
      </c>
      <c r="E39" s="388">
        <v>0</v>
      </c>
      <c r="F39" s="389">
        <v>0</v>
      </c>
      <c r="G39" s="267">
        <v>0</v>
      </c>
      <c r="H39" s="267">
        <v>0</v>
      </c>
      <c r="I39" s="267">
        <v>0</v>
      </c>
      <c r="J39" s="269">
        <v>0</v>
      </c>
    </row>
    <row r="40" spans="1:10" outlineLevel="3" x14ac:dyDescent="0.25">
      <c r="A40" s="238"/>
      <c r="B40" s="339" t="s">
        <v>193</v>
      </c>
      <c r="C40" s="308"/>
      <c r="D40" s="268">
        <v>0</v>
      </c>
      <c r="E40" s="388">
        <v>0</v>
      </c>
      <c r="F40" s="389">
        <v>0</v>
      </c>
      <c r="G40" s="267">
        <v>0</v>
      </c>
      <c r="H40" s="267">
        <v>0</v>
      </c>
      <c r="I40" s="267">
        <v>0</v>
      </c>
      <c r="J40" s="269">
        <v>0</v>
      </c>
    </row>
    <row r="41" spans="1:10" outlineLevel="3" x14ac:dyDescent="0.25">
      <c r="A41" s="238"/>
      <c r="B41" s="540" t="s">
        <v>194</v>
      </c>
      <c r="C41" s="309"/>
      <c r="D41" s="304">
        <v>0</v>
      </c>
      <c r="E41" s="537">
        <v>0</v>
      </c>
      <c r="F41" s="391">
        <v>0</v>
      </c>
      <c r="G41" s="305">
        <v>0</v>
      </c>
      <c r="H41" s="305">
        <v>0</v>
      </c>
      <c r="I41" s="305">
        <v>0</v>
      </c>
      <c r="J41" s="538">
        <v>0</v>
      </c>
    </row>
    <row r="42" spans="1:10" ht="15" customHeight="1" outlineLevel="3" x14ac:dyDescent="0.25">
      <c r="A42" s="238"/>
      <c r="B42" s="518"/>
      <c r="C42" s="519" t="s">
        <v>112</v>
      </c>
      <c r="D42" s="519">
        <f t="shared" ref="D42:J42" si="5">SUM(D39:D41)</f>
        <v>0</v>
      </c>
      <c r="E42" s="519">
        <f t="shared" si="5"/>
        <v>0</v>
      </c>
      <c r="F42" s="519">
        <f t="shared" si="5"/>
        <v>0</v>
      </c>
      <c r="G42" s="519">
        <f t="shared" si="5"/>
        <v>0</v>
      </c>
      <c r="H42" s="519">
        <f t="shared" si="5"/>
        <v>0</v>
      </c>
      <c r="I42" s="519">
        <f t="shared" si="5"/>
        <v>0</v>
      </c>
      <c r="J42" s="520">
        <f t="shared" si="5"/>
        <v>0</v>
      </c>
    </row>
    <row r="43" spans="1:10" ht="21" customHeight="1" outlineLevel="3" x14ac:dyDescent="0.25">
      <c r="A43" s="238"/>
      <c r="B43" s="280"/>
      <c r="C43" s="281" t="s">
        <v>145</v>
      </c>
      <c r="D43" s="281">
        <f t="shared" ref="D43:J43" si="6">SUM(D37,D32,D27,D22,D17)</f>
        <v>0</v>
      </c>
      <c r="E43" s="281">
        <f t="shared" si="6"/>
        <v>0</v>
      </c>
      <c r="F43" s="281">
        <f t="shared" si="6"/>
        <v>0</v>
      </c>
      <c r="G43" s="281">
        <f t="shared" si="6"/>
        <v>0</v>
      </c>
      <c r="H43" s="281">
        <f t="shared" si="6"/>
        <v>0</v>
      </c>
      <c r="I43" s="281">
        <f t="shared" si="6"/>
        <v>0</v>
      </c>
      <c r="J43" s="282">
        <f t="shared" si="6"/>
        <v>0</v>
      </c>
    </row>
    <row r="44" spans="1:10" ht="15" customHeight="1" outlineLevel="2" x14ac:dyDescent="0.25"/>
    <row r="45" spans="1:10" ht="21.75" customHeight="1" outlineLevel="2" x14ac:dyDescent="0.25">
      <c r="B45" s="235" t="s">
        <v>137</v>
      </c>
      <c r="C45" s="236"/>
      <c r="D45" s="236"/>
      <c r="E45" s="236"/>
      <c r="F45" s="236"/>
      <c r="G45" s="236"/>
      <c r="H45" s="236"/>
      <c r="I45" s="236"/>
      <c r="J45" s="237"/>
    </row>
    <row r="46" spans="1:10" ht="15" customHeight="1" outlineLevel="3" x14ac:dyDescent="0.25">
      <c r="A46" s="333"/>
      <c r="D46" s="1331" t="s">
        <v>24</v>
      </c>
      <c r="E46" s="1331"/>
      <c r="F46" s="1331"/>
      <c r="G46" s="1331"/>
      <c r="H46" s="1331"/>
      <c r="I46" s="1331"/>
      <c r="J46" s="1331"/>
    </row>
    <row r="47" spans="1:10" ht="15" customHeight="1" outlineLevel="3" x14ac:dyDescent="0.25">
      <c r="A47" s="333"/>
      <c r="D47" s="1331" t="str">
        <f ca="1">CONCATENATE("$, real ",dms_DollarReal)</f>
        <v>$, real June 2026</v>
      </c>
      <c r="E47" s="1331"/>
      <c r="F47" s="1331"/>
      <c r="G47" s="1331"/>
      <c r="H47" s="1331"/>
      <c r="I47" s="1331"/>
      <c r="J47" s="1331"/>
    </row>
    <row r="48" spans="1:10" ht="15" customHeight="1" outlineLevel="3" x14ac:dyDescent="0.25">
      <c r="B48" s="77"/>
      <c r="C48" s="302"/>
      <c r="D48" s="298" t="str">
        <f ca="1">dms_y1</f>
        <v>2024-25</v>
      </c>
      <c r="E48" s="298" t="str">
        <f ca="1">dms_y2</f>
        <v>2025-26</v>
      </c>
      <c r="F48" s="298" t="str">
        <f ca="1">dms_y3</f>
        <v>2026-27</v>
      </c>
      <c r="G48" s="298" t="str">
        <f ca="1">dms_y4</f>
        <v>2027-28</v>
      </c>
      <c r="H48" s="298" t="str">
        <f ca="1">dms_y5</f>
        <v>2028-29</v>
      </c>
      <c r="I48" s="298" t="str">
        <f ca="1">dms_y6</f>
        <v>2029-30</v>
      </c>
      <c r="J48" s="298" t="str">
        <f ca="1">dms_y7</f>
        <v>2030-31</v>
      </c>
    </row>
    <row r="49" spans="1:10" ht="21.75" customHeight="1" outlineLevel="3" x14ac:dyDescent="0.25">
      <c r="B49" s="529" t="s">
        <v>191</v>
      </c>
      <c r="C49" s="530"/>
      <c r="D49" s="530"/>
      <c r="E49" s="530"/>
      <c r="F49" s="530"/>
      <c r="G49" s="530"/>
      <c r="H49" s="530"/>
      <c r="I49" s="530"/>
      <c r="J49" s="531"/>
    </row>
    <row r="50" spans="1:10" outlineLevel="3" x14ac:dyDescent="0.25">
      <c r="A50" s="238"/>
      <c r="B50" s="339" t="s">
        <v>192</v>
      </c>
      <c r="C50" s="338"/>
      <c r="D50" s="268">
        <v>14932</v>
      </c>
      <c r="E50" s="388">
        <v>0</v>
      </c>
      <c r="F50" s="389">
        <v>0</v>
      </c>
      <c r="G50" s="267">
        <v>0</v>
      </c>
      <c r="H50" s="267">
        <v>0</v>
      </c>
      <c r="I50" s="267">
        <v>0</v>
      </c>
      <c r="J50" s="269">
        <v>0</v>
      </c>
    </row>
    <row r="51" spans="1:10" outlineLevel="3" x14ac:dyDescent="0.25">
      <c r="A51" s="238"/>
      <c r="B51" s="339" t="s">
        <v>193</v>
      </c>
      <c r="C51" s="308"/>
      <c r="D51" s="268">
        <v>11355</v>
      </c>
      <c r="E51" s="388">
        <v>0</v>
      </c>
      <c r="F51" s="389">
        <v>0</v>
      </c>
      <c r="G51" s="267">
        <v>0</v>
      </c>
      <c r="H51" s="267">
        <v>0</v>
      </c>
      <c r="I51" s="267">
        <v>0</v>
      </c>
      <c r="J51" s="269">
        <v>0</v>
      </c>
    </row>
    <row r="52" spans="1:10" outlineLevel="3" x14ac:dyDescent="0.25">
      <c r="A52" s="238"/>
      <c r="B52" s="339" t="s">
        <v>194</v>
      </c>
      <c r="C52" s="308"/>
      <c r="D52" s="268">
        <v>0</v>
      </c>
      <c r="E52" s="388">
        <v>0</v>
      </c>
      <c r="F52" s="389">
        <v>0</v>
      </c>
      <c r="G52" s="267">
        <v>0</v>
      </c>
      <c r="H52" s="267">
        <v>0</v>
      </c>
      <c r="I52" s="267">
        <v>0</v>
      </c>
      <c r="J52" s="269">
        <v>0</v>
      </c>
    </row>
    <row r="53" spans="1:10" ht="15" customHeight="1" outlineLevel="3" x14ac:dyDescent="0.25">
      <c r="A53" s="238"/>
      <c r="B53" s="518"/>
      <c r="C53" s="519" t="s">
        <v>112</v>
      </c>
      <c r="D53" s="519">
        <f t="shared" ref="D53:J53" si="7">SUM(D50:D52)</f>
        <v>26287</v>
      </c>
      <c r="E53" s="519">
        <f t="shared" si="7"/>
        <v>0</v>
      </c>
      <c r="F53" s="519">
        <f t="shared" si="7"/>
        <v>0</v>
      </c>
      <c r="G53" s="519">
        <f t="shared" si="7"/>
        <v>0</v>
      </c>
      <c r="H53" s="519">
        <f t="shared" si="7"/>
        <v>0</v>
      </c>
      <c r="I53" s="519">
        <f t="shared" si="7"/>
        <v>0</v>
      </c>
      <c r="J53" s="520">
        <f t="shared" si="7"/>
        <v>0</v>
      </c>
    </row>
    <row r="54" spans="1:10" ht="21.75" customHeight="1" outlineLevel="3" x14ac:dyDescent="0.25">
      <c r="B54" s="529" t="s">
        <v>195</v>
      </c>
      <c r="C54" s="530"/>
      <c r="D54" s="530"/>
      <c r="E54" s="530"/>
      <c r="F54" s="530"/>
      <c r="G54" s="530"/>
      <c r="H54" s="530"/>
      <c r="I54" s="530"/>
      <c r="J54" s="531"/>
    </row>
    <row r="55" spans="1:10" outlineLevel="3" x14ac:dyDescent="0.25">
      <c r="A55" s="238"/>
      <c r="B55" s="339" t="s">
        <v>192</v>
      </c>
      <c r="C55" s="338"/>
      <c r="D55" s="268">
        <v>108119</v>
      </c>
      <c r="E55" s="388">
        <v>197796</v>
      </c>
      <c r="F55" s="389">
        <v>284397</v>
      </c>
      <c r="G55" s="267">
        <v>274357</v>
      </c>
      <c r="H55" s="267">
        <v>281687</v>
      </c>
      <c r="I55" s="267">
        <v>284783</v>
      </c>
      <c r="J55" s="269">
        <v>284791</v>
      </c>
    </row>
    <row r="56" spans="1:10" outlineLevel="3" x14ac:dyDescent="0.25">
      <c r="A56" s="238"/>
      <c r="B56" s="339" t="s">
        <v>193</v>
      </c>
      <c r="C56" s="308"/>
      <c r="D56" s="268">
        <v>1203598</v>
      </c>
      <c r="E56" s="388">
        <v>406020</v>
      </c>
      <c r="F56" s="389">
        <v>583824</v>
      </c>
      <c r="G56" s="267">
        <v>563236</v>
      </c>
      <c r="H56" s="267">
        <v>578311</v>
      </c>
      <c r="I56" s="267">
        <v>584702</v>
      </c>
      <c r="J56" s="269">
        <v>584748</v>
      </c>
    </row>
    <row r="57" spans="1:10" outlineLevel="3" x14ac:dyDescent="0.25">
      <c r="A57" s="238"/>
      <c r="B57" s="339" t="s">
        <v>194</v>
      </c>
      <c r="C57" s="308"/>
      <c r="D57" s="268">
        <v>106348</v>
      </c>
      <c r="E57" s="388">
        <v>90702</v>
      </c>
      <c r="F57" s="389">
        <v>125583</v>
      </c>
      <c r="G57" s="267">
        <v>121162</v>
      </c>
      <c r="H57" s="267">
        <v>124414</v>
      </c>
      <c r="I57" s="267">
        <v>125798</v>
      </c>
      <c r="J57" s="269">
        <v>125819</v>
      </c>
    </row>
    <row r="58" spans="1:10" ht="15" customHeight="1" outlineLevel="3" x14ac:dyDescent="0.25">
      <c r="A58" s="238"/>
      <c r="B58" s="518"/>
      <c r="C58" s="519" t="s">
        <v>112</v>
      </c>
      <c r="D58" s="519">
        <f t="shared" ref="D58:J58" si="8">SUM(D55:D57)</f>
        <v>1418065</v>
      </c>
      <c r="E58" s="519">
        <f t="shared" si="8"/>
        <v>694518</v>
      </c>
      <c r="F58" s="519">
        <f t="shared" si="8"/>
        <v>993804</v>
      </c>
      <c r="G58" s="519">
        <f t="shared" si="8"/>
        <v>958755</v>
      </c>
      <c r="H58" s="519">
        <f t="shared" si="8"/>
        <v>984412</v>
      </c>
      <c r="I58" s="519">
        <f t="shared" si="8"/>
        <v>995283</v>
      </c>
      <c r="J58" s="520">
        <f t="shared" si="8"/>
        <v>995358</v>
      </c>
    </row>
    <row r="59" spans="1:10" ht="21.75" customHeight="1" outlineLevel="3" x14ac:dyDescent="0.25">
      <c r="B59" s="529" t="s">
        <v>196</v>
      </c>
      <c r="C59" s="530"/>
      <c r="D59" s="530"/>
      <c r="E59" s="530"/>
      <c r="F59" s="530"/>
      <c r="G59" s="530"/>
      <c r="H59" s="530"/>
      <c r="I59" s="530"/>
      <c r="J59" s="531"/>
    </row>
    <row r="60" spans="1:10" outlineLevel="3" x14ac:dyDescent="0.25">
      <c r="A60" s="238"/>
      <c r="B60" s="339" t="s">
        <v>192</v>
      </c>
      <c r="C60" s="338"/>
      <c r="D60" s="268">
        <v>96646</v>
      </c>
      <c r="E60" s="388">
        <v>4198</v>
      </c>
      <c r="F60" s="389">
        <v>6045</v>
      </c>
      <c r="G60" s="267">
        <v>5839</v>
      </c>
      <c r="H60" s="267">
        <v>6003</v>
      </c>
      <c r="I60" s="267">
        <v>6078</v>
      </c>
      <c r="J60" s="269">
        <v>6088</v>
      </c>
    </row>
    <row r="61" spans="1:10" outlineLevel="3" x14ac:dyDescent="0.25">
      <c r="A61" s="238"/>
      <c r="B61" s="339" t="s">
        <v>193</v>
      </c>
      <c r="C61" s="308"/>
      <c r="D61" s="268">
        <v>296423</v>
      </c>
      <c r="E61" s="388">
        <v>27606</v>
      </c>
      <c r="F61" s="389">
        <v>39697</v>
      </c>
      <c r="G61" s="267">
        <v>38300</v>
      </c>
      <c r="H61" s="267">
        <v>39327</v>
      </c>
      <c r="I61" s="267">
        <v>39764</v>
      </c>
      <c r="J61" s="269">
        <v>39770</v>
      </c>
    </row>
    <row r="62" spans="1:10" outlineLevel="3" x14ac:dyDescent="0.25">
      <c r="A62" s="238"/>
      <c r="B62" s="339" t="s">
        <v>194</v>
      </c>
      <c r="C62" s="308"/>
      <c r="D62" s="268">
        <v>76652</v>
      </c>
      <c r="E62" s="388">
        <v>8824</v>
      </c>
      <c r="F62" s="389">
        <v>17540</v>
      </c>
      <c r="G62" s="267">
        <v>16923</v>
      </c>
      <c r="H62" s="267">
        <v>17377</v>
      </c>
      <c r="I62" s="267">
        <v>17570</v>
      </c>
      <c r="J62" s="269">
        <v>17573</v>
      </c>
    </row>
    <row r="63" spans="1:10" ht="15" customHeight="1" outlineLevel="3" x14ac:dyDescent="0.25">
      <c r="A63" s="238"/>
      <c r="B63" s="518"/>
      <c r="C63" s="519" t="s">
        <v>112</v>
      </c>
      <c r="D63" s="519">
        <f t="shared" ref="D63:J63" si="9">SUM(D60:D62)</f>
        <v>469721</v>
      </c>
      <c r="E63" s="519">
        <f t="shared" si="9"/>
        <v>40628</v>
      </c>
      <c r="F63" s="519">
        <f t="shared" si="9"/>
        <v>63282</v>
      </c>
      <c r="G63" s="519">
        <f t="shared" si="9"/>
        <v>61062</v>
      </c>
      <c r="H63" s="519">
        <f t="shared" si="9"/>
        <v>62707</v>
      </c>
      <c r="I63" s="519">
        <f t="shared" si="9"/>
        <v>63412</v>
      </c>
      <c r="J63" s="520">
        <f t="shared" si="9"/>
        <v>63431</v>
      </c>
    </row>
    <row r="64" spans="1:10" ht="21.75" customHeight="1" outlineLevel="3" x14ac:dyDescent="0.25">
      <c r="B64" s="529" t="s">
        <v>197</v>
      </c>
      <c r="C64" s="530"/>
      <c r="D64" s="530"/>
      <c r="E64" s="530"/>
      <c r="F64" s="530"/>
      <c r="G64" s="530"/>
      <c r="H64" s="530"/>
      <c r="I64" s="530"/>
      <c r="J64" s="531"/>
    </row>
    <row r="65" spans="1:10" outlineLevel="3" x14ac:dyDescent="0.25">
      <c r="A65" s="238"/>
      <c r="B65" s="339" t="s">
        <v>192</v>
      </c>
      <c r="C65" s="338"/>
      <c r="D65" s="268">
        <v>148188</v>
      </c>
      <c r="E65" s="388">
        <v>8416</v>
      </c>
      <c r="F65" s="389">
        <v>12538</v>
      </c>
      <c r="G65" s="267">
        <v>12639</v>
      </c>
      <c r="H65" s="267">
        <v>12759</v>
      </c>
      <c r="I65" s="267">
        <v>12893</v>
      </c>
      <c r="J65" s="269">
        <v>13040</v>
      </c>
    </row>
    <row r="66" spans="1:10" outlineLevel="3" x14ac:dyDescent="0.25">
      <c r="A66" s="238"/>
      <c r="B66" s="339" t="s">
        <v>193</v>
      </c>
      <c r="C66" s="308"/>
      <c r="D66" s="268">
        <v>256830</v>
      </c>
      <c r="E66" s="388">
        <v>67454</v>
      </c>
      <c r="F66" s="389">
        <v>100544</v>
      </c>
      <c r="G66" s="267">
        <v>101402</v>
      </c>
      <c r="H66" s="267">
        <v>102411</v>
      </c>
      <c r="I66" s="267">
        <v>103550</v>
      </c>
      <c r="J66" s="269">
        <v>104796</v>
      </c>
    </row>
    <row r="67" spans="1:10" outlineLevel="3" x14ac:dyDescent="0.25">
      <c r="A67" s="238"/>
      <c r="B67" s="339" t="s">
        <v>194</v>
      </c>
      <c r="C67" s="308"/>
      <c r="D67" s="268">
        <v>338660</v>
      </c>
      <c r="E67" s="388">
        <v>45639</v>
      </c>
      <c r="F67" s="389">
        <v>67999</v>
      </c>
      <c r="G67" s="267">
        <v>68559</v>
      </c>
      <c r="H67" s="267">
        <v>69217</v>
      </c>
      <c r="I67" s="267">
        <v>69960</v>
      </c>
      <c r="J67" s="269">
        <v>70773</v>
      </c>
    </row>
    <row r="68" spans="1:10" ht="15" customHeight="1" outlineLevel="3" x14ac:dyDescent="0.25">
      <c r="A68" s="238"/>
      <c r="B68" s="518"/>
      <c r="C68" s="519" t="s">
        <v>112</v>
      </c>
      <c r="D68" s="519">
        <f t="shared" ref="D68:J68" si="10">SUM(D65:D67)</f>
        <v>743678</v>
      </c>
      <c r="E68" s="519">
        <f t="shared" si="10"/>
        <v>121509</v>
      </c>
      <c r="F68" s="519">
        <f t="shared" si="10"/>
        <v>181081</v>
      </c>
      <c r="G68" s="519">
        <f t="shared" si="10"/>
        <v>182600</v>
      </c>
      <c r="H68" s="519">
        <f t="shared" si="10"/>
        <v>184387</v>
      </c>
      <c r="I68" s="519">
        <f t="shared" si="10"/>
        <v>186403</v>
      </c>
      <c r="J68" s="520">
        <f t="shared" si="10"/>
        <v>188609</v>
      </c>
    </row>
    <row r="69" spans="1:10" ht="21.75" customHeight="1" outlineLevel="3" x14ac:dyDescent="0.25">
      <c r="B69" s="529" t="s">
        <v>198</v>
      </c>
      <c r="C69" s="530"/>
      <c r="D69" s="530"/>
      <c r="E69" s="530"/>
      <c r="F69" s="530"/>
      <c r="G69" s="530"/>
      <c r="H69" s="530"/>
      <c r="I69" s="530"/>
      <c r="J69" s="531"/>
    </row>
    <row r="70" spans="1:10" outlineLevel="3" x14ac:dyDescent="0.25">
      <c r="A70" s="238"/>
      <c r="B70" s="339" t="s">
        <v>192</v>
      </c>
      <c r="C70" s="338"/>
      <c r="D70" s="268">
        <v>0</v>
      </c>
      <c r="E70" s="388">
        <v>0</v>
      </c>
      <c r="F70" s="389">
        <v>0</v>
      </c>
      <c r="G70" s="267">
        <v>0</v>
      </c>
      <c r="H70" s="267">
        <v>0</v>
      </c>
      <c r="I70" s="267">
        <v>0</v>
      </c>
      <c r="J70" s="269">
        <v>0</v>
      </c>
    </row>
    <row r="71" spans="1:10" outlineLevel="3" x14ac:dyDescent="0.25">
      <c r="A71" s="238"/>
      <c r="B71" s="339" t="s">
        <v>193</v>
      </c>
      <c r="C71" s="308"/>
      <c r="D71" s="268">
        <v>0</v>
      </c>
      <c r="E71" s="388">
        <v>0</v>
      </c>
      <c r="F71" s="389">
        <v>0</v>
      </c>
      <c r="G71" s="267">
        <v>0</v>
      </c>
      <c r="H71" s="267">
        <v>0</v>
      </c>
      <c r="I71" s="267">
        <v>0</v>
      </c>
      <c r="J71" s="269">
        <v>0</v>
      </c>
    </row>
    <row r="72" spans="1:10" outlineLevel="3" x14ac:dyDescent="0.25">
      <c r="A72" s="238"/>
      <c r="B72" s="540" t="s">
        <v>194</v>
      </c>
      <c r="C72" s="309"/>
      <c r="D72" s="304">
        <v>0</v>
      </c>
      <c r="E72" s="537">
        <v>0</v>
      </c>
      <c r="F72" s="391">
        <v>0</v>
      </c>
      <c r="G72" s="305">
        <v>0</v>
      </c>
      <c r="H72" s="305">
        <v>0</v>
      </c>
      <c r="I72" s="305">
        <v>0</v>
      </c>
      <c r="J72" s="538">
        <v>0</v>
      </c>
    </row>
    <row r="73" spans="1:10" ht="15" customHeight="1" outlineLevel="3" x14ac:dyDescent="0.25">
      <c r="A73" s="238"/>
      <c r="B73" s="518"/>
      <c r="C73" s="519" t="s">
        <v>112</v>
      </c>
      <c r="D73" s="519">
        <f t="shared" ref="D73:J73" si="11">SUM(D70:D72)</f>
        <v>0</v>
      </c>
      <c r="E73" s="519">
        <f t="shared" si="11"/>
        <v>0</v>
      </c>
      <c r="F73" s="519">
        <f t="shared" si="11"/>
        <v>0</v>
      </c>
      <c r="G73" s="519">
        <f t="shared" si="11"/>
        <v>0</v>
      </c>
      <c r="H73" s="519">
        <f t="shared" si="11"/>
        <v>0</v>
      </c>
      <c r="I73" s="519">
        <f t="shared" si="11"/>
        <v>0</v>
      </c>
      <c r="J73" s="520">
        <f t="shared" si="11"/>
        <v>0</v>
      </c>
    </row>
    <row r="74" spans="1:10" ht="21.75" customHeight="1" outlineLevel="3" x14ac:dyDescent="0.25">
      <c r="B74" s="529" t="s">
        <v>199</v>
      </c>
      <c r="C74" s="530"/>
      <c r="D74" s="530"/>
      <c r="E74" s="530"/>
      <c r="F74" s="530"/>
      <c r="G74" s="530"/>
      <c r="H74" s="530"/>
      <c r="I74" s="530"/>
      <c r="J74" s="531"/>
    </row>
    <row r="75" spans="1:10" outlineLevel="3" x14ac:dyDescent="0.25">
      <c r="A75" s="238"/>
      <c r="B75" s="339" t="s">
        <v>192</v>
      </c>
      <c r="C75" s="338"/>
      <c r="D75" s="268">
        <v>0</v>
      </c>
      <c r="E75" s="388">
        <v>0</v>
      </c>
      <c r="F75" s="389">
        <v>0</v>
      </c>
      <c r="G75" s="267">
        <v>0</v>
      </c>
      <c r="H75" s="267">
        <v>0</v>
      </c>
      <c r="I75" s="267">
        <v>0</v>
      </c>
      <c r="J75" s="269">
        <v>0</v>
      </c>
    </row>
    <row r="76" spans="1:10" outlineLevel="3" x14ac:dyDescent="0.25">
      <c r="A76" s="238"/>
      <c r="B76" s="339" t="s">
        <v>193</v>
      </c>
      <c r="C76" s="308"/>
      <c r="D76" s="268">
        <v>0</v>
      </c>
      <c r="E76" s="388">
        <v>0</v>
      </c>
      <c r="F76" s="389">
        <v>0</v>
      </c>
      <c r="G76" s="267">
        <v>0</v>
      </c>
      <c r="H76" s="267">
        <v>0</v>
      </c>
      <c r="I76" s="267">
        <v>0</v>
      </c>
      <c r="J76" s="269">
        <v>0</v>
      </c>
    </row>
    <row r="77" spans="1:10" outlineLevel="3" x14ac:dyDescent="0.25">
      <c r="A77" s="238"/>
      <c r="B77" s="540" t="s">
        <v>194</v>
      </c>
      <c r="C77" s="309"/>
      <c r="D77" s="304">
        <v>0</v>
      </c>
      <c r="E77" s="537">
        <v>0</v>
      </c>
      <c r="F77" s="391">
        <v>0</v>
      </c>
      <c r="G77" s="305">
        <v>0</v>
      </c>
      <c r="H77" s="305">
        <v>0</v>
      </c>
      <c r="I77" s="305">
        <v>0</v>
      </c>
      <c r="J77" s="538">
        <v>0</v>
      </c>
    </row>
    <row r="78" spans="1:10" ht="15" customHeight="1" outlineLevel="3" x14ac:dyDescent="0.25">
      <c r="A78" s="238"/>
      <c r="B78" s="518"/>
      <c r="C78" s="519" t="s">
        <v>112</v>
      </c>
      <c r="D78" s="519">
        <f t="shared" ref="D78:J78" si="12">SUM(D75:D77)</f>
        <v>0</v>
      </c>
      <c r="E78" s="519">
        <f t="shared" si="12"/>
        <v>0</v>
      </c>
      <c r="F78" s="519">
        <f t="shared" si="12"/>
        <v>0</v>
      </c>
      <c r="G78" s="519">
        <f t="shared" si="12"/>
        <v>0</v>
      </c>
      <c r="H78" s="519">
        <f t="shared" si="12"/>
        <v>0</v>
      </c>
      <c r="I78" s="519">
        <f t="shared" si="12"/>
        <v>0</v>
      </c>
      <c r="J78" s="520">
        <f t="shared" si="12"/>
        <v>0</v>
      </c>
    </row>
    <row r="79" spans="1:10" ht="15" customHeight="1" outlineLevel="3" x14ac:dyDescent="0.25">
      <c r="A79" s="238"/>
      <c r="B79" s="306"/>
      <c r="C79" s="2" t="s">
        <v>145</v>
      </c>
      <c r="D79" s="2">
        <f t="shared" ref="D79:J79" si="13">SUM(D73,D68,D63,D58,D53)</f>
        <v>2657751</v>
      </c>
      <c r="E79" s="2">
        <f t="shared" si="13"/>
        <v>856655</v>
      </c>
      <c r="F79" s="2">
        <f t="shared" si="13"/>
        <v>1238167</v>
      </c>
      <c r="G79" s="2">
        <f t="shared" si="13"/>
        <v>1202417</v>
      </c>
      <c r="H79" s="2">
        <f t="shared" si="13"/>
        <v>1231506</v>
      </c>
      <c r="I79" s="2">
        <f t="shared" si="13"/>
        <v>1245098</v>
      </c>
      <c r="J79" s="532">
        <f t="shared" si="13"/>
        <v>1247398</v>
      </c>
    </row>
    <row r="80" spans="1:10" ht="15" customHeight="1" outlineLevel="2" x14ac:dyDescent="0.25"/>
    <row r="81" spans="1:10" ht="21.75" customHeight="1" outlineLevel="2" x14ac:dyDescent="0.25">
      <c r="B81" s="235" t="s">
        <v>138</v>
      </c>
      <c r="C81" s="236"/>
      <c r="D81" s="236"/>
      <c r="E81" s="236"/>
      <c r="F81" s="236"/>
      <c r="G81" s="236"/>
      <c r="H81" s="236"/>
      <c r="I81" s="236"/>
      <c r="J81" s="237"/>
    </row>
    <row r="82" spans="1:10" ht="15" customHeight="1" outlineLevel="3" x14ac:dyDescent="0.25">
      <c r="A82" s="333"/>
      <c r="D82" s="1331" t="s">
        <v>24</v>
      </c>
      <c r="E82" s="1331"/>
      <c r="F82" s="1331"/>
      <c r="G82" s="1331"/>
      <c r="H82" s="1331"/>
      <c r="I82" s="1331"/>
      <c r="J82" s="1331"/>
    </row>
    <row r="83" spans="1:10" ht="15" customHeight="1" outlineLevel="3" x14ac:dyDescent="0.25">
      <c r="A83" s="333"/>
      <c r="D83" s="1331" t="str">
        <f ca="1">CONCATENATE("$, real ",dms_DollarReal)</f>
        <v>$, real June 2026</v>
      </c>
      <c r="E83" s="1331"/>
      <c r="F83" s="1331"/>
      <c r="G83" s="1331"/>
      <c r="H83" s="1331"/>
      <c r="I83" s="1331"/>
      <c r="J83" s="1331"/>
    </row>
    <row r="84" spans="1:10" ht="15" customHeight="1" outlineLevel="3" x14ac:dyDescent="0.25">
      <c r="B84" s="77"/>
      <c r="C84" s="302"/>
      <c r="D84" s="298" t="str">
        <f ca="1">dms_y1</f>
        <v>2024-25</v>
      </c>
      <c r="E84" s="298" t="str">
        <f ca="1">dms_y2</f>
        <v>2025-26</v>
      </c>
      <c r="F84" s="298" t="str">
        <f ca="1">dms_y3</f>
        <v>2026-27</v>
      </c>
      <c r="G84" s="298" t="str">
        <f ca="1">dms_y4</f>
        <v>2027-28</v>
      </c>
      <c r="H84" s="298" t="str">
        <f ca="1">dms_y5</f>
        <v>2028-29</v>
      </c>
      <c r="I84" s="298" t="str">
        <f ca="1">dms_y6</f>
        <v>2029-30</v>
      </c>
      <c r="J84" s="298" t="str">
        <f ca="1">dms_y7</f>
        <v>2030-31</v>
      </c>
    </row>
    <row r="85" spans="1:10" ht="21.75" customHeight="1" outlineLevel="3" x14ac:dyDescent="0.25">
      <c r="B85" s="529" t="s">
        <v>191</v>
      </c>
      <c r="C85" s="530"/>
      <c r="D85" s="530"/>
      <c r="E85" s="530"/>
      <c r="F85" s="530"/>
      <c r="G85" s="530"/>
      <c r="H85" s="530"/>
      <c r="I85" s="530"/>
      <c r="J85" s="531"/>
    </row>
    <row r="86" spans="1:10" outlineLevel="3" x14ac:dyDescent="0.25">
      <c r="A86" s="238"/>
      <c r="B86" s="339" t="s">
        <v>192</v>
      </c>
      <c r="C86" s="338"/>
      <c r="D86" s="268">
        <v>0</v>
      </c>
      <c r="E86" s="388">
        <v>0</v>
      </c>
      <c r="F86" s="389">
        <v>0</v>
      </c>
      <c r="G86" s="267">
        <v>0</v>
      </c>
      <c r="H86" s="267">
        <v>0</v>
      </c>
      <c r="I86" s="267">
        <v>0</v>
      </c>
      <c r="J86" s="269">
        <v>0</v>
      </c>
    </row>
    <row r="87" spans="1:10" outlineLevel="3" x14ac:dyDescent="0.25">
      <c r="A87" s="238"/>
      <c r="B87" s="339" t="s">
        <v>193</v>
      </c>
      <c r="C87" s="308"/>
      <c r="D87" s="268">
        <v>0</v>
      </c>
      <c r="E87" s="388">
        <v>0</v>
      </c>
      <c r="F87" s="389">
        <v>0</v>
      </c>
      <c r="G87" s="267">
        <v>0</v>
      </c>
      <c r="H87" s="267">
        <v>0</v>
      </c>
      <c r="I87" s="267">
        <v>0</v>
      </c>
      <c r="J87" s="269">
        <v>0</v>
      </c>
    </row>
    <row r="88" spans="1:10" outlineLevel="3" x14ac:dyDescent="0.25">
      <c r="A88" s="238"/>
      <c r="B88" s="339" t="s">
        <v>194</v>
      </c>
      <c r="C88" s="308"/>
      <c r="D88" s="268">
        <v>0</v>
      </c>
      <c r="E88" s="388">
        <v>0</v>
      </c>
      <c r="F88" s="389">
        <v>0</v>
      </c>
      <c r="G88" s="267">
        <v>0</v>
      </c>
      <c r="H88" s="267">
        <v>0</v>
      </c>
      <c r="I88" s="267">
        <v>0</v>
      </c>
      <c r="J88" s="269">
        <v>0</v>
      </c>
    </row>
    <row r="89" spans="1:10" ht="15" customHeight="1" outlineLevel="3" x14ac:dyDescent="0.25">
      <c r="A89" s="238"/>
      <c r="B89" s="518"/>
      <c r="C89" s="519" t="s">
        <v>112</v>
      </c>
      <c r="D89" s="519">
        <f t="shared" ref="D89:J89" si="14">SUM(D86:D88)</f>
        <v>0</v>
      </c>
      <c r="E89" s="519">
        <f t="shared" si="14"/>
        <v>0</v>
      </c>
      <c r="F89" s="519">
        <f t="shared" si="14"/>
        <v>0</v>
      </c>
      <c r="G89" s="519">
        <f t="shared" si="14"/>
        <v>0</v>
      </c>
      <c r="H89" s="519">
        <f t="shared" si="14"/>
        <v>0</v>
      </c>
      <c r="I89" s="519">
        <f t="shared" si="14"/>
        <v>0</v>
      </c>
      <c r="J89" s="520">
        <f t="shared" si="14"/>
        <v>0</v>
      </c>
    </row>
    <row r="90" spans="1:10" ht="21.75" customHeight="1" outlineLevel="3" x14ac:dyDescent="0.25">
      <c r="B90" s="529" t="s">
        <v>195</v>
      </c>
      <c r="C90" s="530"/>
      <c r="D90" s="530"/>
      <c r="E90" s="530"/>
      <c r="F90" s="530"/>
      <c r="G90" s="530"/>
      <c r="H90" s="530"/>
      <c r="I90" s="530"/>
      <c r="J90" s="531"/>
    </row>
    <row r="91" spans="1:10" outlineLevel="3" x14ac:dyDescent="0.25">
      <c r="A91" s="238"/>
      <c r="B91" s="339" t="s">
        <v>192</v>
      </c>
      <c r="C91" s="338"/>
      <c r="D91" s="268">
        <v>0</v>
      </c>
      <c r="E91" s="388">
        <v>0</v>
      </c>
      <c r="F91" s="389">
        <v>0</v>
      </c>
      <c r="G91" s="267">
        <v>0</v>
      </c>
      <c r="H91" s="267">
        <v>0</v>
      </c>
      <c r="I91" s="267">
        <v>0</v>
      </c>
      <c r="J91" s="269">
        <v>0</v>
      </c>
    </row>
    <row r="92" spans="1:10" outlineLevel="3" x14ac:dyDescent="0.25">
      <c r="A92" s="238"/>
      <c r="B92" s="339" t="s">
        <v>193</v>
      </c>
      <c r="C92" s="308"/>
      <c r="D92" s="268">
        <v>0</v>
      </c>
      <c r="E92" s="388">
        <v>0</v>
      </c>
      <c r="F92" s="389">
        <v>0</v>
      </c>
      <c r="G92" s="267">
        <v>0</v>
      </c>
      <c r="H92" s="267">
        <v>0</v>
      </c>
      <c r="I92" s="267">
        <v>0</v>
      </c>
      <c r="J92" s="269">
        <v>0</v>
      </c>
    </row>
    <row r="93" spans="1:10" outlineLevel="3" x14ac:dyDescent="0.25">
      <c r="A93" s="238"/>
      <c r="B93" s="339" t="s">
        <v>194</v>
      </c>
      <c r="C93" s="308"/>
      <c r="D93" s="268">
        <v>0</v>
      </c>
      <c r="E93" s="388">
        <v>0</v>
      </c>
      <c r="F93" s="389">
        <v>0</v>
      </c>
      <c r="G93" s="267">
        <v>0</v>
      </c>
      <c r="H93" s="267">
        <v>0</v>
      </c>
      <c r="I93" s="267">
        <v>0</v>
      </c>
      <c r="J93" s="269">
        <v>0</v>
      </c>
    </row>
    <row r="94" spans="1:10" ht="15" customHeight="1" outlineLevel="3" x14ac:dyDescent="0.25">
      <c r="A94" s="238"/>
      <c r="B94" s="518"/>
      <c r="C94" s="519" t="s">
        <v>112</v>
      </c>
      <c r="D94" s="519">
        <f t="shared" ref="D94:J94" si="15">SUM(D91:D93)</f>
        <v>0</v>
      </c>
      <c r="E94" s="519">
        <f t="shared" si="15"/>
        <v>0</v>
      </c>
      <c r="F94" s="519">
        <f t="shared" si="15"/>
        <v>0</v>
      </c>
      <c r="G94" s="519">
        <f t="shared" si="15"/>
        <v>0</v>
      </c>
      <c r="H94" s="519">
        <f t="shared" si="15"/>
        <v>0</v>
      </c>
      <c r="I94" s="519">
        <f t="shared" si="15"/>
        <v>0</v>
      </c>
      <c r="J94" s="520">
        <f t="shared" si="15"/>
        <v>0</v>
      </c>
    </row>
    <row r="95" spans="1:10" ht="21.75" customHeight="1" outlineLevel="3" x14ac:dyDescent="0.25">
      <c r="B95" s="529" t="s">
        <v>196</v>
      </c>
      <c r="C95" s="530"/>
      <c r="D95" s="530"/>
      <c r="E95" s="530"/>
      <c r="F95" s="530"/>
      <c r="G95" s="530"/>
      <c r="H95" s="530"/>
      <c r="I95" s="530"/>
      <c r="J95" s="531"/>
    </row>
    <row r="96" spans="1:10" outlineLevel="3" x14ac:dyDescent="0.25">
      <c r="A96" s="238"/>
      <c r="B96" s="339" t="s">
        <v>192</v>
      </c>
      <c r="C96" s="338"/>
      <c r="D96" s="268">
        <v>0</v>
      </c>
      <c r="E96" s="388">
        <v>0</v>
      </c>
      <c r="F96" s="389">
        <v>0</v>
      </c>
      <c r="G96" s="267">
        <v>0</v>
      </c>
      <c r="H96" s="267">
        <v>0</v>
      </c>
      <c r="I96" s="267">
        <v>0</v>
      </c>
      <c r="J96" s="269">
        <v>0</v>
      </c>
    </row>
    <row r="97" spans="1:10" outlineLevel="3" x14ac:dyDescent="0.25">
      <c r="A97" s="238"/>
      <c r="B97" s="339" t="s">
        <v>193</v>
      </c>
      <c r="C97" s="308"/>
      <c r="D97" s="268">
        <v>0</v>
      </c>
      <c r="E97" s="388">
        <v>0</v>
      </c>
      <c r="F97" s="389">
        <v>0</v>
      </c>
      <c r="G97" s="267">
        <v>0</v>
      </c>
      <c r="H97" s="267">
        <v>0</v>
      </c>
      <c r="I97" s="267">
        <v>0</v>
      </c>
      <c r="J97" s="269">
        <v>0</v>
      </c>
    </row>
    <row r="98" spans="1:10" outlineLevel="3" x14ac:dyDescent="0.25">
      <c r="A98" s="238"/>
      <c r="B98" s="339" t="s">
        <v>194</v>
      </c>
      <c r="C98" s="308"/>
      <c r="D98" s="268">
        <v>0</v>
      </c>
      <c r="E98" s="388">
        <v>0</v>
      </c>
      <c r="F98" s="389">
        <v>0</v>
      </c>
      <c r="G98" s="267">
        <v>0</v>
      </c>
      <c r="H98" s="267">
        <v>0</v>
      </c>
      <c r="I98" s="267">
        <v>0</v>
      </c>
      <c r="J98" s="269">
        <v>0</v>
      </c>
    </row>
    <row r="99" spans="1:10" ht="15" customHeight="1" outlineLevel="3" x14ac:dyDescent="0.25">
      <c r="A99" s="238"/>
      <c r="B99" s="518"/>
      <c r="C99" s="519" t="s">
        <v>112</v>
      </c>
      <c r="D99" s="519">
        <f t="shared" ref="D99:J99" si="16">SUM(D96:D98)</f>
        <v>0</v>
      </c>
      <c r="E99" s="519">
        <f t="shared" si="16"/>
        <v>0</v>
      </c>
      <c r="F99" s="519">
        <f t="shared" si="16"/>
        <v>0</v>
      </c>
      <c r="G99" s="519">
        <f t="shared" si="16"/>
        <v>0</v>
      </c>
      <c r="H99" s="519">
        <f t="shared" si="16"/>
        <v>0</v>
      </c>
      <c r="I99" s="519">
        <f t="shared" si="16"/>
        <v>0</v>
      </c>
      <c r="J99" s="520">
        <f t="shared" si="16"/>
        <v>0</v>
      </c>
    </row>
    <row r="100" spans="1:10" ht="21.75" customHeight="1" outlineLevel="3" x14ac:dyDescent="0.25">
      <c r="B100" s="529" t="s">
        <v>197</v>
      </c>
      <c r="C100" s="530"/>
      <c r="D100" s="530"/>
      <c r="E100" s="530"/>
      <c r="F100" s="530"/>
      <c r="G100" s="530"/>
      <c r="H100" s="530"/>
      <c r="I100" s="530"/>
      <c r="J100" s="531"/>
    </row>
    <row r="101" spans="1:10" outlineLevel="3" x14ac:dyDescent="0.25">
      <c r="A101" s="238"/>
      <c r="B101" s="339" t="s">
        <v>192</v>
      </c>
      <c r="C101" s="338"/>
      <c r="D101" s="268">
        <v>0</v>
      </c>
      <c r="E101" s="388">
        <v>0</v>
      </c>
      <c r="F101" s="389">
        <v>0</v>
      </c>
      <c r="G101" s="267">
        <v>0</v>
      </c>
      <c r="H101" s="267">
        <v>0</v>
      </c>
      <c r="I101" s="267">
        <v>0</v>
      </c>
      <c r="J101" s="269">
        <v>0</v>
      </c>
    </row>
    <row r="102" spans="1:10" outlineLevel="3" x14ac:dyDescent="0.25">
      <c r="A102" s="238"/>
      <c r="B102" s="339" t="s">
        <v>193</v>
      </c>
      <c r="C102" s="308"/>
      <c r="D102" s="268">
        <v>0</v>
      </c>
      <c r="E102" s="388">
        <v>0</v>
      </c>
      <c r="F102" s="389">
        <v>0</v>
      </c>
      <c r="G102" s="267">
        <v>0</v>
      </c>
      <c r="H102" s="267">
        <v>0</v>
      </c>
      <c r="I102" s="267">
        <v>0</v>
      </c>
      <c r="J102" s="269">
        <v>0</v>
      </c>
    </row>
    <row r="103" spans="1:10" outlineLevel="3" x14ac:dyDescent="0.25">
      <c r="A103" s="238"/>
      <c r="B103" s="339" t="s">
        <v>194</v>
      </c>
      <c r="C103" s="308"/>
      <c r="D103" s="268">
        <v>0</v>
      </c>
      <c r="E103" s="388">
        <v>0</v>
      </c>
      <c r="F103" s="389">
        <v>0</v>
      </c>
      <c r="G103" s="267">
        <v>0</v>
      </c>
      <c r="H103" s="267">
        <v>0</v>
      </c>
      <c r="I103" s="267">
        <v>0</v>
      </c>
      <c r="J103" s="269">
        <v>0</v>
      </c>
    </row>
    <row r="104" spans="1:10" ht="15" customHeight="1" outlineLevel="3" x14ac:dyDescent="0.25">
      <c r="A104" s="238"/>
      <c r="B104" s="518"/>
      <c r="C104" s="519" t="s">
        <v>112</v>
      </c>
      <c r="D104" s="519">
        <f t="shared" ref="D104:J104" si="17">SUM(D101:D103)</f>
        <v>0</v>
      </c>
      <c r="E104" s="519">
        <f t="shared" si="17"/>
        <v>0</v>
      </c>
      <c r="F104" s="519">
        <f t="shared" si="17"/>
        <v>0</v>
      </c>
      <c r="G104" s="519">
        <f t="shared" si="17"/>
        <v>0</v>
      </c>
      <c r="H104" s="519">
        <f t="shared" si="17"/>
        <v>0</v>
      </c>
      <c r="I104" s="519">
        <f t="shared" si="17"/>
        <v>0</v>
      </c>
      <c r="J104" s="520">
        <f t="shared" si="17"/>
        <v>0</v>
      </c>
    </row>
    <row r="105" spans="1:10" ht="21.75" customHeight="1" outlineLevel="3" x14ac:dyDescent="0.25">
      <c r="B105" s="529" t="s">
        <v>198</v>
      </c>
      <c r="C105" s="530"/>
      <c r="D105" s="530"/>
      <c r="E105" s="530"/>
      <c r="F105" s="530"/>
      <c r="G105" s="530"/>
      <c r="H105" s="530"/>
      <c r="I105" s="530"/>
      <c r="J105" s="531"/>
    </row>
    <row r="106" spans="1:10" outlineLevel="3" x14ac:dyDescent="0.25">
      <c r="A106" s="238"/>
      <c r="B106" s="339" t="s">
        <v>192</v>
      </c>
      <c r="C106" s="338"/>
      <c r="D106" s="268">
        <v>0</v>
      </c>
      <c r="E106" s="388">
        <v>0</v>
      </c>
      <c r="F106" s="389">
        <v>0</v>
      </c>
      <c r="G106" s="267">
        <v>0</v>
      </c>
      <c r="H106" s="267">
        <v>0</v>
      </c>
      <c r="I106" s="267">
        <v>0</v>
      </c>
      <c r="J106" s="269">
        <v>0</v>
      </c>
    </row>
    <row r="107" spans="1:10" outlineLevel="3" x14ac:dyDescent="0.25">
      <c r="A107" s="238"/>
      <c r="B107" s="339" t="s">
        <v>193</v>
      </c>
      <c r="C107" s="308"/>
      <c r="D107" s="268">
        <v>0</v>
      </c>
      <c r="E107" s="388">
        <v>0</v>
      </c>
      <c r="F107" s="389">
        <v>0</v>
      </c>
      <c r="G107" s="267">
        <v>0</v>
      </c>
      <c r="H107" s="267">
        <v>0</v>
      </c>
      <c r="I107" s="267">
        <v>0</v>
      </c>
      <c r="J107" s="269">
        <v>0</v>
      </c>
    </row>
    <row r="108" spans="1:10" outlineLevel="3" x14ac:dyDescent="0.25">
      <c r="A108" s="238"/>
      <c r="B108" s="540" t="s">
        <v>194</v>
      </c>
      <c r="C108" s="309"/>
      <c r="D108" s="304">
        <v>0</v>
      </c>
      <c r="E108" s="537">
        <v>0</v>
      </c>
      <c r="F108" s="391">
        <v>0</v>
      </c>
      <c r="G108" s="305">
        <v>0</v>
      </c>
      <c r="H108" s="305">
        <v>0</v>
      </c>
      <c r="I108" s="305">
        <v>0</v>
      </c>
      <c r="J108" s="538">
        <v>0</v>
      </c>
    </row>
    <row r="109" spans="1:10" ht="15" customHeight="1" outlineLevel="3" x14ac:dyDescent="0.25">
      <c r="A109" s="238"/>
      <c r="B109" s="518"/>
      <c r="C109" s="519" t="s">
        <v>112</v>
      </c>
      <c r="D109" s="519">
        <f t="shared" ref="D109:J109" si="18">SUM(D106:D108)</f>
        <v>0</v>
      </c>
      <c r="E109" s="519">
        <f t="shared" si="18"/>
        <v>0</v>
      </c>
      <c r="F109" s="519">
        <f t="shared" si="18"/>
        <v>0</v>
      </c>
      <c r="G109" s="519">
        <f t="shared" si="18"/>
        <v>0</v>
      </c>
      <c r="H109" s="519">
        <f t="shared" si="18"/>
        <v>0</v>
      </c>
      <c r="I109" s="519">
        <f t="shared" si="18"/>
        <v>0</v>
      </c>
      <c r="J109" s="520">
        <f t="shared" si="18"/>
        <v>0</v>
      </c>
    </row>
    <row r="110" spans="1:10" ht="21.75" customHeight="1" outlineLevel="3" x14ac:dyDescent="0.25">
      <c r="B110" s="529" t="s">
        <v>199</v>
      </c>
      <c r="C110" s="530"/>
      <c r="D110" s="530"/>
      <c r="E110" s="530"/>
      <c r="F110" s="530"/>
      <c r="G110" s="530"/>
      <c r="H110" s="530"/>
      <c r="I110" s="530"/>
      <c r="J110" s="531"/>
    </row>
    <row r="111" spans="1:10" outlineLevel="3" x14ac:dyDescent="0.25">
      <c r="A111" s="238"/>
      <c r="B111" s="339" t="s">
        <v>192</v>
      </c>
      <c r="C111" s="338"/>
      <c r="D111" s="268">
        <v>0</v>
      </c>
      <c r="E111" s="388">
        <v>0</v>
      </c>
      <c r="F111" s="389">
        <v>0</v>
      </c>
      <c r="G111" s="267">
        <v>0</v>
      </c>
      <c r="H111" s="267">
        <v>0</v>
      </c>
      <c r="I111" s="267">
        <v>0</v>
      </c>
      <c r="J111" s="269">
        <v>0</v>
      </c>
    </row>
    <row r="112" spans="1:10" outlineLevel="3" x14ac:dyDescent="0.25">
      <c r="A112" s="238"/>
      <c r="B112" s="339" t="s">
        <v>193</v>
      </c>
      <c r="C112" s="308"/>
      <c r="D112" s="268">
        <v>0</v>
      </c>
      <c r="E112" s="388">
        <v>0</v>
      </c>
      <c r="F112" s="389">
        <v>0</v>
      </c>
      <c r="G112" s="267">
        <v>0</v>
      </c>
      <c r="H112" s="267">
        <v>0</v>
      </c>
      <c r="I112" s="267">
        <v>0</v>
      </c>
      <c r="J112" s="269">
        <v>0</v>
      </c>
    </row>
    <row r="113" spans="1:10" outlineLevel="3" x14ac:dyDescent="0.25">
      <c r="A113" s="238"/>
      <c r="B113" s="540" t="s">
        <v>194</v>
      </c>
      <c r="C113" s="309"/>
      <c r="D113" s="304">
        <v>0</v>
      </c>
      <c r="E113" s="537">
        <v>0</v>
      </c>
      <c r="F113" s="391">
        <v>0</v>
      </c>
      <c r="G113" s="305">
        <v>0</v>
      </c>
      <c r="H113" s="305">
        <v>0</v>
      </c>
      <c r="I113" s="305">
        <v>0</v>
      </c>
      <c r="J113" s="538">
        <v>0</v>
      </c>
    </row>
    <row r="114" spans="1:10" ht="15" customHeight="1" outlineLevel="3" x14ac:dyDescent="0.25">
      <c r="A114" s="238"/>
      <c r="B114" s="518"/>
      <c r="C114" s="519" t="s">
        <v>112</v>
      </c>
      <c r="D114" s="519">
        <f t="shared" ref="D114:J114" si="19">SUM(D111:D113)</f>
        <v>0</v>
      </c>
      <c r="E114" s="519">
        <f t="shared" si="19"/>
        <v>0</v>
      </c>
      <c r="F114" s="519">
        <f t="shared" si="19"/>
        <v>0</v>
      </c>
      <c r="G114" s="519">
        <f t="shared" si="19"/>
        <v>0</v>
      </c>
      <c r="H114" s="519">
        <f t="shared" si="19"/>
        <v>0</v>
      </c>
      <c r="I114" s="519">
        <f t="shared" si="19"/>
        <v>0</v>
      </c>
      <c r="J114" s="520">
        <f t="shared" si="19"/>
        <v>0</v>
      </c>
    </row>
    <row r="115" spans="1:10" ht="15" customHeight="1" outlineLevel="3" x14ac:dyDescent="0.25">
      <c r="A115" s="238"/>
      <c r="B115" s="306"/>
      <c r="C115" s="2" t="s">
        <v>145</v>
      </c>
      <c r="D115" s="2">
        <f t="shared" ref="D115:J115" si="20">SUM(D109,D104,D99,D94,D89)</f>
        <v>0</v>
      </c>
      <c r="E115" s="2">
        <f t="shared" si="20"/>
        <v>0</v>
      </c>
      <c r="F115" s="2">
        <f t="shared" si="20"/>
        <v>0</v>
      </c>
      <c r="G115" s="2">
        <f t="shared" si="20"/>
        <v>0</v>
      </c>
      <c r="H115" s="2">
        <f t="shared" si="20"/>
        <v>0</v>
      </c>
      <c r="I115" s="2">
        <f t="shared" si="20"/>
        <v>0</v>
      </c>
      <c r="J115" s="532">
        <f t="shared" si="20"/>
        <v>0</v>
      </c>
    </row>
    <row r="116" spans="1:10" ht="15" customHeight="1" outlineLevel="2" x14ac:dyDescent="0.25"/>
    <row r="117" spans="1:10" ht="21.75" customHeight="1" outlineLevel="2" x14ac:dyDescent="0.25">
      <c r="B117" s="235" t="s">
        <v>139</v>
      </c>
      <c r="C117" s="236"/>
      <c r="D117" s="236"/>
      <c r="E117" s="236"/>
      <c r="F117" s="236"/>
      <c r="G117" s="236"/>
      <c r="H117" s="236"/>
      <c r="I117" s="236"/>
      <c r="J117" s="237"/>
    </row>
    <row r="118" spans="1:10" ht="15" customHeight="1" outlineLevel="3" x14ac:dyDescent="0.25">
      <c r="A118" s="333"/>
      <c r="D118" s="1331" t="s">
        <v>24</v>
      </c>
      <c r="E118" s="1331"/>
      <c r="F118" s="1331"/>
      <c r="G118" s="1331"/>
      <c r="H118" s="1331"/>
      <c r="I118" s="1331"/>
      <c r="J118" s="1331"/>
    </row>
    <row r="119" spans="1:10" ht="15" customHeight="1" outlineLevel="3" x14ac:dyDescent="0.25">
      <c r="A119" s="333"/>
      <c r="D119" s="1331" t="str">
        <f ca="1">CONCATENATE("$, real ",dms_DollarReal)</f>
        <v>$, real June 2026</v>
      </c>
      <c r="E119" s="1331"/>
      <c r="F119" s="1331"/>
      <c r="G119" s="1331"/>
      <c r="H119" s="1331"/>
      <c r="I119" s="1331"/>
      <c r="J119" s="1331"/>
    </row>
    <row r="120" spans="1:10" ht="15" customHeight="1" outlineLevel="3" x14ac:dyDescent="0.25">
      <c r="B120" s="77"/>
      <c r="C120" s="302"/>
      <c r="D120" s="298" t="str">
        <f ca="1">dms_y1</f>
        <v>2024-25</v>
      </c>
      <c r="E120" s="298" t="str">
        <f ca="1">dms_y2</f>
        <v>2025-26</v>
      </c>
      <c r="F120" s="298" t="str">
        <f ca="1">dms_y3</f>
        <v>2026-27</v>
      </c>
      <c r="G120" s="298" t="str">
        <f ca="1">dms_y4</f>
        <v>2027-28</v>
      </c>
      <c r="H120" s="298" t="str">
        <f ca="1">dms_y5</f>
        <v>2028-29</v>
      </c>
      <c r="I120" s="298" t="str">
        <f ca="1">dms_y6</f>
        <v>2029-30</v>
      </c>
      <c r="J120" s="298" t="str">
        <f ca="1">dms_y7</f>
        <v>2030-31</v>
      </c>
    </row>
    <row r="121" spans="1:10" ht="21.75" customHeight="1" outlineLevel="3" x14ac:dyDescent="0.25">
      <c r="B121" s="529" t="s">
        <v>191</v>
      </c>
      <c r="C121" s="530"/>
      <c r="D121" s="530"/>
      <c r="E121" s="530"/>
      <c r="F121" s="530"/>
      <c r="G121" s="530"/>
      <c r="H121" s="530"/>
      <c r="I121" s="530"/>
      <c r="J121" s="531"/>
    </row>
    <row r="122" spans="1:10" outlineLevel="3" x14ac:dyDescent="0.25">
      <c r="A122" s="238"/>
      <c r="B122" s="339" t="s">
        <v>192</v>
      </c>
      <c r="C122" s="338"/>
      <c r="D122" s="268">
        <v>0</v>
      </c>
      <c r="E122" s="388">
        <v>0</v>
      </c>
      <c r="F122" s="389">
        <v>0</v>
      </c>
      <c r="G122" s="267">
        <v>0</v>
      </c>
      <c r="H122" s="267">
        <v>0</v>
      </c>
      <c r="I122" s="267">
        <v>0</v>
      </c>
      <c r="J122" s="269">
        <v>0</v>
      </c>
    </row>
    <row r="123" spans="1:10" outlineLevel="3" x14ac:dyDescent="0.25">
      <c r="A123" s="238"/>
      <c r="B123" s="339" t="s">
        <v>193</v>
      </c>
      <c r="C123" s="308"/>
      <c r="D123" s="268">
        <v>0</v>
      </c>
      <c r="E123" s="388">
        <v>0</v>
      </c>
      <c r="F123" s="389">
        <v>0</v>
      </c>
      <c r="G123" s="267">
        <v>0</v>
      </c>
      <c r="H123" s="267">
        <v>0</v>
      </c>
      <c r="I123" s="267">
        <v>0</v>
      </c>
      <c r="J123" s="269">
        <v>0</v>
      </c>
    </row>
    <row r="124" spans="1:10" outlineLevel="3" x14ac:dyDescent="0.25">
      <c r="A124" s="238"/>
      <c r="B124" s="339" t="s">
        <v>194</v>
      </c>
      <c r="C124" s="308"/>
      <c r="D124" s="268">
        <v>0</v>
      </c>
      <c r="E124" s="388">
        <v>0</v>
      </c>
      <c r="F124" s="389">
        <v>0</v>
      </c>
      <c r="G124" s="267">
        <v>0</v>
      </c>
      <c r="H124" s="267">
        <v>0</v>
      </c>
      <c r="I124" s="267">
        <v>0</v>
      </c>
      <c r="J124" s="269">
        <v>0</v>
      </c>
    </row>
    <row r="125" spans="1:10" ht="15" customHeight="1" outlineLevel="3" x14ac:dyDescent="0.25">
      <c r="A125" s="238"/>
      <c r="B125" s="518"/>
      <c r="C125" s="519" t="s">
        <v>112</v>
      </c>
      <c r="D125" s="519">
        <f t="shared" ref="D125:J125" si="21">SUM(D122:D124)</f>
        <v>0</v>
      </c>
      <c r="E125" s="519">
        <f t="shared" si="21"/>
        <v>0</v>
      </c>
      <c r="F125" s="519">
        <f t="shared" si="21"/>
        <v>0</v>
      </c>
      <c r="G125" s="519">
        <f t="shared" si="21"/>
        <v>0</v>
      </c>
      <c r="H125" s="519">
        <f t="shared" si="21"/>
        <v>0</v>
      </c>
      <c r="I125" s="519">
        <f t="shared" si="21"/>
        <v>0</v>
      </c>
      <c r="J125" s="520">
        <f t="shared" si="21"/>
        <v>0</v>
      </c>
    </row>
    <row r="126" spans="1:10" ht="21.75" customHeight="1" outlineLevel="3" x14ac:dyDescent="0.25">
      <c r="B126" s="529" t="s">
        <v>195</v>
      </c>
      <c r="C126" s="530"/>
      <c r="D126" s="530"/>
      <c r="E126" s="530"/>
      <c r="F126" s="530"/>
      <c r="G126" s="530"/>
      <c r="H126" s="530"/>
      <c r="I126" s="530"/>
      <c r="J126" s="531"/>
    </row>
    <row r="127" spans="1:10" outlineLevel="3" x14ac:dyDescent="0.25">
      <c r="A127" s="238"/>
      <c r="B127" s="339" t="s">
        <v>192</v>
      </c>
      <c r="C127" s="338"/>
      <c r="D127" s="268">
        <v>0</v>
      </c>
      <c r="E127" s="388">
        <v>0</v>
      </c>
      <c r="F127" s="389">
        <v>0</v>
      </c>
      <c r="G127" s="267">
        <v>0</v>
      </c>
      <c r="H127" s="267">
        <v>0</v>
      </c>
      <c r="I127" s="267">
        <v>0</v>
      </c>
      <c r="J127" s="269">
        <v>0</v>
      </c>
    </row>
    <row r="128" spans="1:10" outlineLevel="3" x14ac:dyDescent="0.25">
      <c r="A128" s="238"/>
      <c r="B128" s="339" t="s">
        <v>193</v>
      </c>
      <c r="C128" s="308"/>
      <c r="D128" s="268">
        <v>0</v>
      </c>
      <c r="E128" s="388">
        <v>0</v>
      </c>
      <c r="F128" s="389">
        <v>0</v>
      </c>
      <c r="G128" s="267">
        <v>0</v>
      </c>
      <c r="H128" s="267">
        <v>0</v>
      </c>
      <c r="I128" s="267">
        <v>0</v>
      </c>
      <c r="J128" s="269">
        <v>0</v>
      </c>
    </row>
    <row r="129" spans="1:10" outlineLevel="3" x14ac:dyDescent="0.25">
      <c r="A129" s="238"/>
      <c r="B129" s="339" t="s">
        <v>194</v>
      </c>
      <c r="C129" s="308"/>
      <c r="D129" s="268">
        <v>0</v>
      </c>
      <c r="E129" s="388">
        <v>0</v>
      </c>
      <c r="F129" s="389">
        <v>0</v>
      </c>
      <c r="G129" s="267">
        <v>0</v>
      </c>
      <c r="H129" s="267">
        <v>0</v>
      </c>
      <c r="I129" s="267">
        <v>0</v>
      </c>
      <c r="J129" s="269">
        <v>0</v>
      </c>
    </row>
    <row r="130" spans="1:10" ht="15" customHeight="1" outlineLevel="3" x14ac:dyDescent="0.25">
      <c r="A130" s="238"/>
      <c r="B130" s="518"/>
      <c r="C130" s="519" t="s">
        <v>112</v>
      </c>
      <c r="D130" s="519">
        <f t="shared" ref="D130:J130" si="22">SUM(D127:D129)</f>
        <v>0</v>
      </c>
      <c r="E130" s="519">
        <f t="shared" si="22"/>
        <v>0</v>
      </c>
      <c r="F130" s="519">
        <f t="shared" si="22"/>
        <v>0</v>
      </c>
      <c r="G130" s="519">
        <f t="shared" si="22"/>
        <v>0</v>
      </c>
      <c r="H130" s="519">
        <f t="shared" si="22"/>
        <v>0</v>
      </c>
      <c r="I130" s="519">
        <f t="shared" si="22"/>
        <v>0</v>
      </c>
      <c r="J130" s="520">
        <f t="shared" si="22"/>
        <v>0</v>
      </c>
    </row>
    <row r="131" spans="1:10" ht="21.75" customHeight="1" outlineLevel="3" x14ac:dyDescent="0.25">
      <c r="B131" s="529" t="s">
        <v>196</v>
      </c>
      <c r="C131" s="530"/>
      <c r="D131" s="530"/>
      <c r="E131" s="530"/>
      <c r="F131" s="530"/>
      <c r="G131" s="530"/>
      <c r="H131" s="530"/>
      <c r="I131" s="530"/>
      <c r="J131" s="531"/>
    </row>
    <row r="132" spans="1:10" outlineLevel="3" x14ac:dyDescent="0.25">
      <c r="A132" s="238"/>
      <c r="B132" s="339" t="s">
        <v>192</v>
      </c>
      <c r="C132" s="338"/>
      <c r="D132" s="268">
        <v>0</v>
      </c>
      <c r="E132" s="388">
        <v>0</v>
      </c>
      <c r="F132" s="389">
        <v>0</v>
      </c>
      <c r="G132" s="267">
        <v>0</v>
      </c>
      <c r="H132" s="267">
        <v>0</v>
      </c>
      <c r="I132" s="267">
        <v>0</v>
      </c>
      <c r="J132" s="269">
        <v>0</v>
      </c>
    </row>
    <row r="133" spans="1:10" outlineLevel="3" x14ac:dyDescent="0.25">
      <c r="A133" s="238"/>
      <c r="B133" s="339" t="s">
        <v>193</v>
      </c>
      <c r="C133" s="308"/>
      <c r="D133" s="268">
        <v>0</v>
      </c>
      <c r="E133" s="388">
        <v>0</v>
      </c>
      <c r="F133" s="389">
        <v>0</v>
      </c>
      <c r="G133" s="267">
        <v>0</v>
      </c>
      <c r="H133" s="267">
        <v>0</v>
      </c>
      <c r="I133" s="267">
        <v>0</v>
      </c>
      <c r="J133" s="269">
        <v>0</v>
      </c>
    </row>
    <row r="134" spans="1:10" outlineLevel="3" x14ac:dyDescent="0.25">
      <c r="A134" s="238"/>
      <c r="B134" s="339" t="s">
        <v>194</v>
      </c>
      <c r="C134" s="308"/>
      <c r="D134" s="268">
        <v>0</v>
      </c>
      <c r="E134" s="388">
        <v>0</v>
      </c>
      <c r="F134" s="389">
        <v>0</v>
      </c>
      <c r="G134" s="267">
        <v>0</v>
      </c>
      <c r="H134" s="267">
        <v>0</v>
      </c>
      <c r="I134" s="267">
        <v>0</v>
      </c>
      <c r="J134" s="269">
        <v>0</v>
      </c>
    </row>
    <row r="135" spans="1:10" ht="15" customHeight="1" outlineLevel="3" x14ac:dyDescent="0.25">
      <c r="A135" s="238"/>
      <c r="B135" s="518"/>
      <c r="C135" s="519" t="s">
        <v>112</v>
      </c>
      <c r="D135" s="519">
        <f t="shared" ref="D135:J135" si="23">SUM(D132:D134)</f>
        <v>0</v>
      </c>
      <c r="E135" s="519">
        <f t="shared" si="23"/>
        <v>0</v>
      </c>
      <c r="F135" s="519">
        <f t="shared" si="23"/>
        <v>0</v>
      </c>
      <c r="G135" s="519">
        <f t="shared" si="23"/>
        <v>0</v>
      </c>
      <c r="H135" s="519">
        <f t="shared" si="23"/>
        <v>0</v>
      </c>
      <c r="I135" s="519">
        <f t="shared" si="23"/>
        <v>0</v>
      </c>
      <c r="J135" s="520">
        <f t="shared" si="23"/>
        <v>0</v>
      </c>
    </row>
    <row r="136" spans="1:10" ht="21.75" customHeight="1" outlineLevel="3" x14ac:dyDescent="0.25">
      <c r="B136" s="529" t="s">
        <v>197</v>
      </c>
      <c r="C136" s="530"/>
      <c r="D136" s="530"/>
      <c r="E136" s="530"/>
      <c r="F136" s="530"/>
      <c r="G136" s="530"/>
      <c r="H136" s="530"/>
      <c r="I136" s="530"/>
      <c r="J136" s="531"/>
    </row>
    <row r="137" spans="1:10" outlineLevel="3" x14ac:dyDescent="0.25">
      <c r="A137" s="238"/>
      <c r="B137" s="339" t="s">
        <v>192</v>
      </c>
      <c r="C137" s="338"/>
      <c r="D137" s="268">
        <v>0</v>
      </c>
      <c r="E137" s="388">
        <v>0</v>
      </c>
      <c r="F137" s="389">
        <v>0</v>
      </c>
      <c r="G137" s="267">
        <v>0</v>
      </c>
      <c r="H137" s="267">
        <v>0</v>
      </c>
      <c r="I137" s="267">
        <v>0</v>
      </c>
      <c r="J137" s="269">
        <v>0</v>
      </c>
    </row>
    <row r="138" spans="1:10" outlineLevel="3" x14ac:dyDescent="0.25">
      <c r="A138" s="238"/>
      <c r="B138" s="339" t="s">
        <v>193</v>
      </c>
      <c r="C138" s="308"/>
      <c r="D138" s="268">
        <v>0</v>
      </c>
      <c r="E138" s="388">
        <v>0</v>
      </c>
      <c r="F138" s="389">
        <v>0</v>
      </c>
      <c r="G138" s="267">
        <v>0</v>
      </c>
      <c r="H138" s="267">
        <v>0</v>
      </c>
      <c r="I138" s="267">
        <v>0</v>
      </c>
      <c r="J138" s="269">
        <v>0</v>
      </c>
    </row>
    <row r="139" spans="1:10" outlineLevel="3" x14ac:dyDescent="0.25">
      <c r="A139" s="238"/>
      <c r="B139" s="339" t="s">
        <v>194</v>
      </c>
      <c r="C139" s="308"/>
      <c r="D139" s="268">
        <v>0</v>
      </c>
      <c r="E139" s="388">
        <v>0</v>
      </c>
      <c r="F139" s="389">
        <v>0</v>
      </c>
      <c r="G139" s="267">
        <v>0</v>
      </c>
      <c r="H139" s="267">
        <v>0</v>
      </c>
      <c r="I139" s="267">
        <v>0</v>
      </c>
      <c r="J139" s="269">
        <v>0</v>
      </c>
    </row>
    <row r="140" spans="1:10" ht="15" customHeight="1" outlineLevel="3" x14ac:dyDescent="0.25">
      <c r="A140" s="238"/>
      <c r="B140" s="518"/>
      <c r="C140" s="519" t="s">
        <v>112</v>
      </c>
      <c r="D140" s="519">
        <f t="shared" ref="D140:J140" si="24">SUM(D137:D139)</f>
        <v>0</v>
      </c>
      <c r="E140" s="519">
        <f t="shared" si="24"/>
        <v>0</v>
      </c>
      <c r="F140" s="519">
        <f t="shared" si="24"/>
        <v>0</v>
      </c>
      <c r="G140" s="519">
        <f t="shared" si="24"/>
        <v>0</v>
      </c>
      <c r="H140" s="519">
        <f t="shared" si="24"/>
        <v>0</v>
      </c>
      <c r="I140" s="519">
        <f t="shared" si="24"/>
        <v>0</v>
      </c>
      <c r="J140" s="520">
        <f t="shared" si="24"/>
        <v>0</v>
      </c>
    </row>
    <row r="141" spans="1:10" ht="21.75" customHeight="1" outlineLevel="3" x14ac:dyDescent="0.25">
      <c r="B141" s="529" t="s">
        <v>198</v>
      </c>
      <c r="C141" s="530"/>
      <c r="D141" s="530"/>
      <c r="E141" s="530"/>
      <c r="F141" s="530"/>
      <c r="G141" s="530"/>
      <c r="H141" s="530"/>
      <c r="I141" s="530"/>
      <c r="J141" s="531"/>
    </row>
    <row r="142" spans="1:10" outlineLevel="3" x14ac:dyDescent="0.25">
      <c r="A142" s="238"/>
      <c r="B142" s="339" t="s">
        <v>192</v>
      </c>
      <c r="C142" s="338"/>
      <c r="D142" s="268">
        <v>0</v>
      </c>
      <c r="E142" s="388">
        <v>0</v>
      </c>
      <c r="F142" s="389">
        <v>0</v>
      </c>
      <c r="G142" s="267">
        <v>0</v>
      </c>
      <c r="H142" s="267">
        <v>0</v>
      </c>
      <c r="I142" s="267">
        <v>0</v>
      </c>
      <c r="J142" s="269">
        <v>0</v>
      </c>
    </row>
    <row r="143" spans="1:10" outlineLevel="3" x14ac:dyDescent="0.25">
      <c r="A143" s="238"/>
      <c r="B143" s="339" t="s">
        <v>193</v>
      </c>
      <c r="C143" s="308"/>
      <c r="D143" s="268">
        <v>0</v>
      </c>
      <c r="E143" s="388">
        <v>0</v>
      </c>
      <c r="F143" s="389">
        <v>0</v>
      </c>
      <c r="G143" s="267">
        <v>0</v>
      </c>
      <c r="H143" s="267">
        <v>0</v>
      </c>
      <c r="I143" s="267">
        <v>0</v>
      </c>
      <c r="J143" s="269">
        <v>0</v>
      </c>
    </row>
    <row r="144" spans="1:10" outlineLevel="3" x14ac:dyDescent="0.25">
      <c r="A144" s="238"/>
      <c r="B144" s="540" t="s">
        <v>194</v>
      </c>
      <c r="C144" s="309"/>
      <c r="D144" s="304">
        <v>0</v>
      </c>
      <c r="E144" s="537">
        <v>0</v>
      </c>
      <c r="F144" s="391">
        <v>0</v>
      </c>
      <c r="G144" s="305">
        <v>0</v>
      </c>
      <c r="H144" s="305">
        <v>0</v>
      </c>
      <c r="I144" s="305">
        <v>0</v>
      </c>
      <c r="J144" s="538">
        <v>0</v>
      </c>
    </row>
    <row r="145" spans="1:10" ht="15" customHeight="1" outlineLevel="3" x14ac:dyDescent="0.25">
      <c r="A145" s="238"/>
      <c r="B145" s="518"/>
      <c r="C145" s="519" t="s">
        <v>112</v>
      </c>
      <c r="D145" s="519">
        <f t="shared" ref="D145:J145" si="25">SUM(D142:D144)</f>
        <v>0</v>
      </c>
      <c r="E145" s="519">
        <f t="shared" si="25"/>
        <v>0</v>
      </c>
      <c r="F145" s="519">
        <f t="shared" si="25"/>
        <v>0</v>
      </c>
      <c r="G145" s="519">
        <f t="shared" si="25"/>
        <v>0</v>
      </c>
      <c r="H145" s="519">
        <f t="shared" si="25"/>
        <v>0</v>
      </c>
      <c r="I145" s="519">
        <f t="shared" si="25"/>
        <v>0</v>
      </c>
      <c r="J145" s="520">
        <f t="shared" si="25"/>
        <v>0</v>
      </c>
    </row>
    <row r="146" spans="1:10" ht="21.75" customHeight="1" outlineLevel="3" x14ac:dyDescent="0.25">
      <c r="B146" s="529" t="s">
        <v>199</v>
      </c>
      <c r="C146" s="530"/>
      <c r="D146" s="530"/>
      <c r="E146" s="530"/>
      <c r="F146" s="530"/>
      <c r="G146" s="530"/>
      <c r="H146" s="530"/>
      <c r="I146" s="530"/>
      <c r="J146" s="531"/>
    </row>
    <row r="147" spans="1:10" outlineLevel="3" x14ac:dyDescent="0.25">
      <c r="A147" s="238"/>
      <c r="B147" s="339" t="s">
        <v>192</v>
      </c>
      <c r="C147" s="338"/>
      <c r="D147" s="268">
        <v>0</v>
      </c>
      <c r="E147" s="388">
        <v>0</v>
      </c>
      <c r="F147" s="389">
        <v>0</v>
      </c>
      <c r="G147" s="267">
        <v>0</v>
      </c>
      <c r="H147" s="267">
        <v>0</v>
      </c>
      <c r="I147" s="267">
        <v>0</v>
      </c>
      <c r="J147" s="269">
        <v>0</v>
      </c>
    </row>
    <row r="148" spans="1:10" outlineLevel="3" x14ac:dyDescent="0.25">
      <c r="A148" s="238"/>
      <c r="B148" s="339" t="s">
        <v>193</v>
      </c>
      <c r="C148" s="308"/>
      <c r="D148" s="268">
        <v>0</v>
      </c>
      <c r="E148" s="388">
        <v>0</v>
      </c>
      <c r="F148" s="389">
        <v>0</v>
      </c>
      <c r="G148" s="267">
        <v>0</v>
      </c>
      <c r="H148" s="267">
        <v>0</v>
      </c>
      <c r="I148" s="267">
        <v>0</v>
      </c>
      <c r="J148" s="269">
        <v>0</v>
      </c>
    </row>
    <row r="149" spans="1:10" outlineLevel="3" x14ac:dyDescent="0.25">
      <c r="A149" s="238"/>
      <c r="B149" s="540" t="s">
        <v>194</v>
      </c>
      <c r="C149" s="309"/>
      <c r="D149" s="304">
        <v>0</v>
      </c>
      <c r="E149" s="537">
        <v>0</v>
      </c>
      <c r="F149" s="391">
        <v>0</v>
      </c>
      <c r="G149" s="305">
        <v>0</v>
      </c>
      <c r="H149" s="305">
        <v>0</v>
      </c>
      <c r="I149" s="305">
        <v>0</v>
      </c>
      <c r="J149" s="538">
        <v>0</v>
      </c>
    </row>
    <row r="150" spans="1:10" ht="15" customHeight="1" outlineLevel="3" x14ac:dyDescent="0.25">
      <c r="A150" s="238"/>
      <c r="B150" s="518"/>
      <c r="C150" s="519" t="s">
        <v>112</v>
      </c>
      <c r="D150" s="519">
        <f t="shared" ref="D150:J150" si="26">SUM(D147:D149)</f>
        <v>0</v>
      </c>
      <c r="E150" s="519">
        <f t="shared" si="26"/>
        <v>0</v>
      </c>
      <c r="F150" s="519">
        <f t="shared" si="26"/>
        <v>0</v>
      </c>
      <c r="G150" s="519">
        <f t="shared" si="26"/>
        <v>0</v>
      </c>
      <c r="H150" s="519">
        <f t="shared" si="26"/>
        <v>0</v>
      </c>
      <c r="I150" s="519">
        <f t="shared" si="26"/>
        <v>0</v>
      </c>
      <c r="J150" s="520">
        <f t="shared" si="26"/>
        <v>0</v>
      </c>
    </row>
    <row r="151" spans="1:10" ht="15" customHeight="1" outlineLevel="3" x14ac:dyDescent="0.25">
      <c r="A151" s="238"/>
      <c r="B151" s="306"/>
      <c r="C151" s="2" t="s">
        <v>145</v>
      </c>
      <c r="D151" s="2">
        <f t="shared" ref="D151:J151" si="27">SUM(D145,D140,D135,D130,D125)</f>
        <v>0</v>
      </c>
      <c r="E151" s="2">
        <f t="shared" si="27"/>
        <v>0</v>
      </c>
      <c r="F151" s="2">
        <f t="shared" si="27"/>
        <v>0</v>
      </c>
      <c r="G151" s="2">
        <f t="shared" si="27"/>
        <v>0</v>
      </c>
      <c r="H151" s="2">
        <f t="shared" si="27"/>
        <v>0</v>
      </c>
      <c r="I151" s="2">
        <f t="shared" si="27"/>
        <v>0</v>
      </c>
      <c r="J151" s="532">
        <f t="shared" si="27"/>
        <v>0</v>
      </c>
    </row>
    <row r="152" spans="1:10" ht="15" customHeight="1" outlineLevel="2" x14ac:dyDescent="0.25"/>
    <row r="153" spans="1:10" ht="21.75" customHeight="1" outlineLevel="2" x14ac:dyDescent="0.25">
      <c r="B153" s="235" t="s">
        <v>140</v>
      </c>
      <c r="C153" s="236"/>
      <c r="D153" s="236"/>
      <c r="E153" s="236"/>
      <c r="F153" s="236"/>
      <c r="G153" s="236"/>
      <c r="H153" s="236"/>
      <c r="I153" s="236"/>
      <c r="J153" s="237"/>
    </row>
    <row r="154" spans="1:10" ht="15" customHeight="1" outlineLevel="3" x14ac:dyDescent="0.25">
      <c r="A154" s="333"/>
      <c r="D154" s="1331" t="s">
        <v>24</v>
      </c>
      <c r="E154" s="1331"/>
      <c r="F154" s="1331"/>
      <c r="G154" s="1331"/>
      <c r="H154" s="1331"/>
      <c r="I154" s="1331"/>
      <c r="J154" s="1331"/>
    </row>
    <row r="155" spans="1:10" ht="15" customHeight="1" outlineLevel="3" x14ac:dyDescent="0.25">
      <c r="A155" s="333"/>
      <c r="D155" s="1331" t="str">
        <f ca="1">CONCATENATE("$, real ",dms_DollarReal)</f>
        <v>$, real June 2026</v>
      </c>
      <c r="E155" s="1331"/>
      <c r="F155" s="1331"/>
      <c r="G155" s="1331"/>
      <c r="H155" s="1331"/>
      <c r="I155" s="1331"/>
      <c r="J155" s="1331"/>
    </row>
    <row r="156" spans="1:10" ht="15" customHeight="1" outlineLevel="3" x14ac:dyDescent="0.25">
      <c r="B156" s="77"/>
      <c r="C156" s="302"/>
      <c r="D156" s="298" t="str">
        <f ca="1">dms_y1</f>
        <v>2024-25</v>
      </c>
      <c r="E156" s="298" t="str">
        <f ca="1">dms_y2</f>
        <v>2025-26</v>
      </c>
      <c r="F156" s="298" t="str">
        <f ca="1">dms_y3</f>
        <v>2026-27</v>
      </c>
      <c r="G156" s="298" t="str">
        <f ca="1">dms_y4</f>
        <v>2027-28</v>
      </c>
      <c r="H156" s="298" t="str">
        <f ca="1">dms_y5</f>
        <v>2028-29</v>
      </c>
      <c r="I156" s="298" t="str">
        <f ca="1">dms_y6</f>
        <v>2029-30</v>
      </c>
      <c r="J156" s="298" t="str">
        <f ca="1">dms_y7</f>
        <v>2030-31</v>
      </c>
    </row>
    <row r="157" spans="1:10" ht="21.75" customHeight="1" outlineLevel="3" x14ac:dyDescent="0.25">
      <c r="B157" s="529" t="s">
        <v>191</v>
      </c>
      <c r="C157" s="530"/>
      <c r="D157" s="530"/>
      <c r="E157" s="530"/>
      <c r="F157" s="530"/>
      <c r="G157" s="530"/>
      <c r="H157" s="530"/>
      <c r="I157" s="530"/>
      <c r="J157" s="531"/>
    </row>
    <row r="158" spans="1:10" outlineLevel="3" x14ac:dyDescent="0.25">
      <c r="A158" s="238"/>
      <c r="B158" s="339" t="s">
        <v>192</v>
      </c>
      <c r="C158" s="338"/>
      <c r="D158" s="268">
        <v>0</v>
      </c>
      <c r="E158" s="388">
        <v>0</v>
      </c>
      <c r="F158" s="389">
        <v>0</v>
      </c>
      <c r="G158" s="267">
        <v>0</v>
      </c>
      <c r="H158" s="267">
        <v>0</v>
      </c>
      <c r="I158" s="267">
        <v>0</v>
      </c>
      <c r="J158" s="269">
        <v>0</v>
      </c>
    </row>
    <row r="159" spans="1:10" outlineLevel="3" x14ac:dyDescent="0.25">
      <c r="A159" s="238"/>
      <c r="B159" s="339" t="s">
        <v>193</v>
      </c>
      <c r="C159" s="308"/>
      <c r="D159" s="268">
        <v>0</v>
      </c>
      <c r="E159" s="388">
        <v>0</v>
      </c>
      <c r="F159" s="389">
        <v>0</v>
      </c>
      <c r="G159" s="267">
        <v>0</v>
      </c>
      <c r="H159" s="267">
        <v>0</v>
      </c>
      <c r="I159" s="267">
        <v>0</v>
      </c>
      <c r="J159" s="269">
        <v>0</v>
      </c>
    </row>
    <row r="160" spans="1:10" outlineLevel="3" x14ac:dyDescent="0.25">
      <c r="A160" s="238"/>
      <c r="B160" s="339" t="s">
        <v>194</v>
      </c>
      <c r="C160" s="308"/>
      <c r="D160" s="268">
        <v>0</v>
      </c>
      <c r="E160" s="388">
        <v>0</v>
      </c>
      <c r="F160" s="389">
        <v>0</v>
      </c>
      <c r="G160" s="267">
        <v>0</v>
      </c>
      <c r="H160" s="267">
        <v>0</v>
      </c>
      <c r="I160" s="267">
        <v>0</v>
      </c>
      <c r="J160" s="269">
        <v>0</v>
      </c>
    </row>
    <row r="161" spans="1:10" ht="15" customHeight="1" outlineLevel="3" x14ac:dyDescent="0.25">
      <c r="A161" s="238"/>
      <c r="B161" s="518"/>
      <c r="C161" s="519" t="s">
        <v>112</v>
      </c>
      <c r="D161" s="519">
        <f t="shared" ref="D161:J161" si="28">SUM(D158:D160)</f>
        <v>0</v>
      </c>
      <c r="E161" s="519">
        <f t="shared" si="28"/>
        <v>0</v>
      </c>
      <c r="F161" s="519">
        <f t="shared" si="28"/>
        <v>0</v>
      </c>
      <c r="G161" s="519">
        <f t="shared" si="28"/>
        <v>0</v>
      </c>
      <c r="H161" s="519">
        <f t="shared" si="28"/>
        <v>0</v>
      </c>
      <c r="I161" s="519">
        <f t="shared" si="28"/>
        <v>0</v>
      </c>
      <c r="J161" s="520">
        <f t="shared" si="28"/>
        <v>0</v>
      </c>
    </row>
    <row r="162" spans="1:10" ht="21.75" customHeight="1" outlineLevel="3" x14ac:dyDescent="0.25">
      <c r="B162" s="529" t="s">
        <v>195</v>
      </c>
      <c r="C162" s="530"/>
      <c r="D162" s="530"/>
      <c r="E162" s="530"/>
      <c r="F162" s="530"/>
      <c r="G162" s="530"/>
      <c r="H162" s="530"/>
      <c r="I162" s="530"/>
      <c r="J162" s="531"/>
    </row>
    <row r="163" spans="1:10" outlineLevel="3" x14ac:dyDescent="0.25">
      <c r="A163" s="238"/>
      <c r="B163" s="339" t="s">
        <v>192</v>
      </c>
      <c r="C163" s="338"/>
      <c r="D163" s="268">
        <v>0</v>
      </c>
      <c r="E163" s="388">
        <v>0</v>
      </c>
      <c r="F163" s="389">
        <v>0</v>
      </c>
      <c r="G163" s="267">
        <v>0</v>
      </c>
      <c r="H163" s="267">
        <v>0</v>
      </c>
      <c r="I163" s="267">
        <v>0</v>
      </c>
      <c r="J163" s="269">
        <v>0</v>
      </c>
    </row>
    <row r="164" spans="1:10" outlineLevel="3" x14ac:dyDescent="0.25">
      <c r="A164" s="238"/>
      <c r="B164" s="339" t="s">
        <v>193</v>
      </c>
      <c r="C164" s="308"/>
      <c r="D164" s="268">
        <v>0</v>
      </c>
      <c r="E164" s="388">
        <v>0</v>
      </c>
      <c r="F164" s="389">
        <v>0</v>
      </c>
      <c r="G164" s="267">
        <v>0</v>
      </c>
      <c r="H164" s="267">
        <v>0</v>
      </c>
      <c r="I164" s="267">
        <v>0</v>
      </c>
      <c r="J164" s="269">
        <v>0</v>
      </c>
    </row>
    <row r="165" spans="1:10" outlineLevel="3" x14ac:dyDescent="0.25">
      <c r="A165" s="238"/>
      <c r="B165" s="339" t="s">
        <v>194</v>
      </c>
      <c r="C165" s="308"/>
      <c r="D165" s="268">
        <v>0</v>
      </c>
      <c r="E165" s="388">
        <v>0</v>
      </c>
      <c r="F165" s="389">
        <v>0</v>
      </c>
      <c r="G165" s="267">
        <v>0</v>
      </c>
      <c r="H165" s="267">
        <v>0</v>
      </c>
      <c r="I165" s="267">
        <v>0</v>
      </c>
      <c r="J165" s="269">
        <v>0</v>
      </c>
    </row>
    <row r="166" spans="1:10" ht="15" customHeight="1" outlineLevel="3" x14ac:dyDescent="0.25">
      <c r="A166" s="238"/>
      <c r="B166" s="518"/>
      <c r="C166" s="519" t="s">
        <v>112</v>
      </c>
      <c r="D166" s="519">
        <f t="shared" ref="D166:J166" si="29">SUM(D163:D165)</f>
        <v>0</v>
      </c>
      <c r="E166" s="519">
        <f t="shared" si="29"/>
        <v>0</v>
      </c>
      <c r="F166" s="519">
        <f t="shared" si="29"/>
        <v>0</v>
      </c>
      <c r="G166" s="519">
        <f t="shared" si="29"/>
        <v>0</v>
      </c>
      <c r="H166" s="519">
        <f t="shared" si="29"/>
        <v>0</v>
      </c>
      <c r="I166" s="519">
        <f t="shared" si="29"/>
        <v>0</v>
      </c>
      <c r="J166" s="520">
        <f t="shared" si="29"/>
        <v>0</v>
      </c>
    </row>
    <row r="167" spans="1:10" ht="21.75" customHeight="1" outlineLevel="3" x14ac:dyDescent="0.25">
      <c r="B167" s="529" t="s">
        <v>196</v>
      </c>
      <c r="C167" s="530"/>
      <c r="D167" s="530"/>
      <c r="E167" s="530"/>
      <c r="F167" s="530"/>
      <c r="G167" s="530"/>
      <c r="H167" s="530"/>
      <c r="I167" s="530"/>
      <c r="J167" s="531"/>
    </row>
    <row r="168" spans="1:10" outlineLevel="3" x14ac:dyDescent="0.25">
      <c r="A168" s="238"/>
      <c r="B168" s="339" t="s">
        <v>192</v>
      </c>
      <c r="C168" s="338"/>
      <c r="D168" s="268">
        <v>0</v>
      </c>
      <c r="E168" s="388">
        <v>0</v>
      </c>
      <c r="F168" s="389">
        <v>0</v>
      </c>
      <c r="G168" s="267">
        <v>0</v>
      </c>
      <c r="H168" s="267">
        <v>0</v>
      </c>
      <c r="I168" s="267">
        <v>0</v>
      </c>
      <c r="J168" s="269">
        <v>0</v>
      </c>
    </row>
    <row r="169" spans="1:10" outlineLevel="3" x14ac:dyDescent="0.25">
      <c r="A169" s="238"/>
      <c r="B169" s="339" t="s">
        <v>193</v>
      </c>
      <c r="C169" s="308"/>
      <c r="D169" s="268">
        <v>0</v>
      </c>
      <c r="E169" s="388">
        <v>0</v>
      </c>
      <c r="F169" s="389">
        <v>0</v>
      </c>
      <c r="G169" s="267">
        <v>0</v>
      </c>
      <c r="H169" s="267">
        <v>0</v>
      </c>
      <c r="I169" s="267">
        <v>0</v>
      </c>
      <c r="J169" s="269">
        <v>0</v>
      </c>
    </row>
    <row r="170" spans="1:10" outlineLevel="3" x14ac:dyDescent="0.25">
      <c r="A170" s="238"/>
      <c r="B170" s="339" t="s">
        <v>194</v>
      </c>
      <c r="C170" s="308"/>
      <c r="D170" s="268">
        <v>0</v>
      </c>
      <c r="E170" s="388">
        <v>0</v>
      </c>
      <c r="F170" s="389">
        <v>0</v>
      </c>
      <c r="G170" s="267">
        <v>0</v>
      </c>
      <c r="H170" s="267">
        <v>0</v>
      </c>
      <c r="I170" s="267">
        <v>0</v>
      </c>
      <c r="J170" s="269">
        <v>0</v>
      </c>
    </row>
    <row r="171" spans="1:10" ht="15" customHeight="1" outlineLevel="3" x14ac:dyDescent="0.25">
      <c r="A171" s="238"/>
      <c r="B171" s="518"/>
      <c r="C171" s="519" t="s">
        <v>112</v>
      </c>
      <c r="D171" s="519">
        <f t="shared" ref="D171:J171" si="30">SUM(D168:D170)</f>
        <v>0</v>
      </c>
      <c r="E171" s="519">
        <f t="shared" si="30"/>
        <v>0</v>
      </c>
      <c r="F171" s="519">
        <f t="shared" si="30"/>
        <v>0</v>
      </c>
      <c r="G171" s="519">
        <f t="shared" si="30"/>
        <v>0</v>
      </c>
      <c r="H171" s="519">
        <f t="shared" si="30"/>
        <v>0</v>
      </c>
      <c r="I171" s="519">
        <f t="shared" si="30"/>
        <v>0</v>
      </c>
      <c r="J171" s="520">
        <f t="shared" si="30"/>
        <v>0</v>
      </c>
    </row>
    <row r="172" spans="1:10" ht="21.75" customHeight="1" outlineLevel="3" x14ac:dyDescent="0.25">
      <c r="B172" s="529" t="s">
        <v>197</v>
      </c>
      <c r="C172" s="530"/>
      <c r="D172" s="530"/>
      <c r="E172" s="530"/>
      <c r="F172" s="530"/>
      <c r="G172" s="530"/>
      <c r="H172" s="530"/>
      <c r="I172" s="530"/>
      <c r="J172" s="531"/>
    </row>
    <row r="173" spans="1:10" outlineLevel="3" x14ac:dyDescent="0.25">
      <c r="A173" s="238"/>
      <c r="B173" s="339" t="s">
        <v>192</v>
      </c>
      <c r="C173" s="338"/>
      <c r="D173" s="268">
        <v>0</v>
      </c>
      <c r="E173" s="388">
        <v>0</v>
      </c>
      <c r="F173" s="389">
        <v>0</v>
      </c>
      <c r="G173" s="267">
        <v>0</v>
      </c>
      <c r="H173" s="267">
        <v>0</v>
      </c>
      <c r="I173" s="267">
        <v>0</v>
      </c>
      <c r="J173" s="269">
        <v>0</v>
      </c>
    </row>
    <row r="174" spans="1:10" outlineLevel="3" x14ac:dyDescent="0.25">
      <c r="A174" s="238"/>
      <c r="B174" s="339" t="s">
        <v>193</v>
      </c>
      <c r="C174" s="308"/>
      <c r="D174" s="268">
        <v>0</v>
      </c>
      <c r="E174" s="388">
        <v>0</v>
      </c>
      <c r="F174" s="389">
        <v>0</v>
      </c>
      <c r="G174" s="267">
        <v>0</v>
      </c>
      <c r="H174" s="267">
        <v>0</v>
      </c>
      <c r="I174" s="267">
        <v>0</v>
      </c>
      <c r="J174" s="269">
        <v>0</v>
      </c>
    </row>
    <row r="175" spans="1:10" outlineLevel="3" x14ac:dyDescent="0.25">
      <c r="A175" s="238"/>
      <c r="B175" s="339" t="s">
        <v>194</v>
      </c>
      <c r="C175" s="308"/>
      <c r="D175" s="268">
        <v>0</v>
      </c>
      <c r="E175" s="388">
        <v>0</v>
      </c>
      <c r="F175" s="389">
        <v>0</v>
      </c>
      <c r="G175" s="267">
        <v>0</v>
      </c>
      <c r="H175" s="267">
        <v>0</v>
      </c>
      <c r="I175" s="267">
        <v>0</v>
      </c>
      <c r="J175" s="269">
        <v>0</v>
      </c>
    </row>
    <row r="176" spans="1:10" ht="15" customHeight="1" outlineLevel="3" x14ac:dyDescent="0.25">
      <c r="A176" s="238"/>
      <c r="B176" s="518"/>
      <c r="C176" s="519" t="s">
        <v>112</v>
      </c>
      <c r="D176" s="519">
        <f t="shared" ref="D176:J176" si="31">SUM(D173:D175)</f>
        <v>0</v>
      </c>
      <c r="E176" s="519">
        <f t="shared" si="31"/>
        <v>0</v>
      </c>
      <c r="F176" s="519">
        <f t="shared" si="31"/>
        <v>0</v>
      </c>
      <c r="G176" s="519">
        <f t="shared" si="31"/>
        <v>0</v>
      </c>
      <c r="H176" s="519">
        <f t="shared" si="31"/>
        <v>0</v>
      </c>
      <c r="I176" s="519">
        <f t="shared" si="31"/>
        <v>0</v>
      </c>
      <c r="J176" s="520">
        <f t="shared" si="31"/>
        <v>0</v>
      </c>
    </row>
    <row r="177" spans="1:10" ht="21.75" customHeight="1" outlineLevel="3" x14ac:dyDescent="0.25">
      <c r="B177" s="529" t="s">
        <v>198</v>
      </c>
      <c r="C177" s="530"/>
      <c r="D177" s="530"/>
      <c r="E177" s="530"/>
      <c r="F177" s="530"/>
      <c r="G177" s="530"/>
      <c r="H177" s="530"/>
      <c r="I177" s="530"/>
      <c r="J177" s="531"/>
    </row>
    <row r="178" spans="1:10" outlineLevel="3" x14ac:dyDescent="0.25">
      <c r="A178" s="238"/>
      <c r="B178" s="339" t="s">
        <v>192</v>
      </c>
      <c r="C178" s="338"/>
      <c r="D178" s="268">
        <v>0</v>
      </c>
      <c r="E178" s="388">
        <v>0</v>
      </c>
      <c r="F178" s="389">
        <v>0</v>
      </c>
      <c r="G178" s="267">
        <v>0</v>
      </c>
      <c r="H178" s="267">
        <v>0</v>
      </c>
      <c r="I178" s="267">
        <v>0</v>
      </c>
      <c r="J178" s="269">
        <v>0</v>
      </c>
    </row>
    <row r="179" spans="1:10" outlineLevel="3" x14ac:dyDescent="0.25">
      <c r="A179" s="238"/>
      <c r="B179" s="339" t="s">
        <v>193</v>
      </c>
      <c r="C179" s="308"/>
      <c r="D179" s="268">
        <v>0</v>
      </c>
      <c r="E179" s="388">
        <v>0</v>
      </c>
      <c r="F179" s="389">
        <v>0</v>
      </c>
      <c r="G179" s="267">
        <v>0</v>
      </c>
      <c r="H179" s="267">
        <v>0</v>
      </c>
      <c r="I179" s="267">
        <v>0</v>
      </c>
      <c r="J179" s="269">
        <v>0</v>
      </c>
    </row>
    <row r="180" spans="1:10" outlineLevel="3" x14ac:dyDescent="0.25">
      <c r="A180" s="238"/>
      <c r="B180" s="540" t="s">
        <v>194</v>
      </c>
      <c r="C180" s="309"/>
      <c r="D180" s="304">
        <v>0</v>
      </c>
      <c r="E180" s="537">
        <v>0</v>
      </c>
      <c r="F180" s="391">
        <v>0</v>
      </c>
      <c r="G180" s="305">
        <v>0</v>
      </c>
      <c r="H180" s="305">
        <v>0</v>
      </c>
      <c r="I180" s="305">
        <v>0</v>
      </c>
      <c r="J180" s="538">
        <v>0</v>
      </c>
    </row>
    <row r="181" spans="1:10" ht="15" customHeight="1" outlineLevel="3" x14ac:dyDescent="0.25">
      <c r="A181" s="238"/>
      <c r="B181" s="518"/>
      <c r="C181" s="519" t="s">
        <v>112</v>
      </c>
      <c r="D181" s="519">
        <f t="shared" ref="D181:J181" si="32">SUM(D178:D180)</f>
        <v>0</v>
      </c>
      <c r="E181" s="519">
        <f t="shared" si="32"/>
        <v>0</v>
      </c>
      <c r="F181" s="519">
        <f t="shared" si="32"/>
        <v>0</v>
      </c>
      <c r="G181" s="519">
        <f t="shared" si="32"/>
        <v>0</v>
      </c>
      <c r="H181" s="519">
        <f t="shared" si="32"/>
        <v>0</v>
      </c>
      <c r="I181" s="519">
        <f t="shared" si="32"/>
        <v>0</v>
      </c>
      <c r="J181" s="520">
        <f t="shared" si="32"/>
        <v>0</v>
      </c>
    </row>
    <row r="182" spans="1:10" ht="21.75" customHeight="1" outlineLevel="3" x14ac:dyDescent="0.25">
      <c r="B182" s="529" t="s">
        <v>199</v>
      </c>
      <c r="C182" s="530"/>
      <c r="D182" s="530"/>
      <c r="E182" s="530"/>
      <c r="F182" s="530"/>
      <c r="G182" s="530"/>
      <c r="H182" s="530"/>
      <c r="I182" s="530"/>
      <c r="J182" s="531"/>
    </row>
    <row r="183" spans="1:10" outlineLevel="3" x14ac:dyDescent="0.25">
      <c r="A183" s="238"/>
      <c r="B183" s="339" t="s">
        <v>192</v>
      </c>
      <c r="C183" s="338"/>
      <c r="D183" s="268">
        <v>0</v>
      </c>
      <c r="E183" s="388">
        <v>0</v>
      </c>
      <c r="F183" s="389">
        <v>0</v>
      </c>
      <c r="G183" s="267">
        <v>0</v>
      </c>
      <c r="H183" s="267">
        <v>0</v>
      </c>
      <c r="I183" s="267">
        <v>0</v>
      </c>
      <c r="J183" s="269">
        <v>0</v>
      </c>
    </row>
    <row r="184" spans="1:10" outlineLevel="3" x14ac:dyDescent="0.25">
      <c r="A184" s="238"/>
      <c r="B184" s="339" t="s">
        <v>193</v>
      </c>
      <c r="C184" s="308"/>
      <c r="D184" s="268">
        <v>0</v>
      </c>
      <c r="E184" s="388">
        <v>0</v>
      </c>
      <c r="F184" s="389">
        <v>0</v>
      </c>
      <c r="G184" s="267">
        <v>0</v>
      </c>
      <c r="H184" s="267">
        <v>0</v>
      </c>
      <c r="I184" s="267">
        <v>0</v>
      </c>
      <c r="J184" s="269">
        <v>0</v>
      </c>
    </row>
    <row r="185" spans="1:10" outlineLevel="3" x14ac:dyDescent="0.25">
      <c r="A185" s="238"/>
      <c r="B185" s="540" t="s">
        <v>194</v>
      </c>
      <c r="C185" s="309"/>
      <c r="D185" s="304">
        <v>0</v>
      </c>
      <c r="E185" s="537">
        <v>0</v>
      </c>
      <c r="F185" s="391">
        <v>0</v>
      </c>
      <c r="G185" s="305">
        <v>0</v>
      </c>
      <c r="H185" s="305">
        <v>0</v>
      </c>
      <c r="I185" s="305">
        <v>0</v>
      </c>
      <c r="J185" s="538">
        <v>0</v>
      </c>
    </row>
    <row r="186" spans="1:10" ht="15" customHeight="1" outlineLevel="3" x14ac:dyDescent="0.25">
      <c r="A186" s="238"/>
      <c r="B186" s="518"/>
      <c r="C186" s="519" t="s">
        <v>112</v>
      </c>
      <c r="D186" s="519">
        <f t="shared" ref="D186:J186" si="33">SUM(D183:D185)</f>
        <v>0</v>
      </c>
      <c r="E186" s="519">
        <f t="shared" si="33"/>
        <v>0</v>
      </c>
      <c r="F186" s="519">
        <f t="shared" si="33"/>
        <v>0</v>
      </c>
      <c r="G186" s="519">
        <f t="shared" si="33"/>
        <v>0</v>
      </c>
      <c r="H186" s="519">
        <f t="shared" si="33"/>
        <v>0</v>
      </c>
      <c r="I186" s="519">
        <f t="shared" si="33"/>
        <v>0</v>
      </c>
      <c r="J186" s="520">
        <f t="shared" si="33"/>
        <v>0</v>
      </c>
    </row>
    <row r="187" spans="1:10" ht="15" customHeight="1" outlineLevel="3" x14ac:dyDescent="0.25">
      <c r="A187" s="238"/>
      <c r="B187" s="306"/>
      <c r="C187" s="2" t="s">
        <v>145</v>
      </c>
      <c r="D187" s="2">
        <f t="shared" ref="D187:J187" si="34">SUM(D181,D176,D171,D166,D161)</f>
        <v>0</v>
      </c>
      <c r="E187" s="2">
        <f t="shared" si="34"/>
        <v>0</v>
      </c>
      <c r="F187" s="2">
        <f t="shared" si="34"/>
        <v>0</v>
      </c>
      <c r="G187" s="2">
        <f t="shared" si="34"/>
        <v>0</v>
      </c>
      <c r="H187" s="2">
        <f t="shared" si="34"/>
        <v>0</v>
      </c>
      <c r="I187" s="2">
        <f t="shared" si="34"/>
        <v>0</v>
      </c>
      <c r="J187" s="532">
        <f t="shared" si="34"/>
        <v>0</v>
      </c>
    </row>
    <row r="188" spans="1:10" ht="15" customHeight="1" outlineLevel="2" x14ac:dyDescent="0.25"/>
    <row r="189" spans="1:10" ht="21.75" customHeight="1" outlineLevel="2" x14ac:dyDescent="0.25">
      <c r="B189" s="235" t="s">
        <v>141</v>
      </c>
      <c r="C189" s="236"/>
      <c r="D189" s="236"/>
      <c r="E189" s="236"/>
      <c r="F189" s="236"/>
      <c r="G189" s="236"/>
      <c r="H189" s="236"/>
      <c r="I189" s="236"/>
      <c r="J189" s="237"/>
    </row>
    <row r="190" spans="1:10" ht="15" customHeight="1" outlineLevel="3" x14ac:dyDescent="0.25">
      <c r="A190" s="333"/>
      <c r="D190" s="1331" t="s">
        <v>24</v>
      </c>
      <c r="E190" s="1331"/>
      <c r="F190" s="1331"/>
      <c r="G190" s="1331"/>
      <c r="H190" s="1331"/>
      <c r="I190" s="1331"/>
      <c r="J190" s="1331"/>
    </row>
    <row r="191" spans="1:10" ht="15" customHeight="1" outlineLevel="3" x14ac:dyDescent="0.25">
      <c r="A191" s="333"/>
      <c r="D191" s="1331" t="str">
        <f ca="1">CONCATENATE("$, real ",dms_DollarReal)</f>
        <v>$, real June 2026</v>
      </c>
      <c r="E191" s="1331"/>
      <c r="F191" s="1331"/>
      <c r="G191" s="1331"/>
      <c r="H191" s="1331"/>
      <c r="I191" s="1331"/>
      <c r="J191" s="1331"/>
    </row>
    <row r="192" spans="1:10" ht="15" customHeight="1" outlineLevel="3" x14ac:dyDescent="0.25">
      <c r="B192" s="77"/>
      <c r="C192" s="302"/>
      <c r="D192" s="298" t="str">
        <f ca="1">dms_y1</f>
        <v>2024-25</v>
      </c>
      <c r="E192" s="298" t="str">
        <f ca="1">dms_y2</f>
        <v>2025-26</v>
      </c>
      <c r="F192" s="298" t="str">
        <f ca="1">dms_y3</f>
        <v>2026-27</v>
      </c>
      <c r="G192" s="298" t="str">
        <f ca="1">dms_y4</f>
        <v>2027-28</v>
      </c>
      <c r="H192" s="298" t="str">
        <f ca="1">dms_y5</f>
        <v>2028-29</v>
      </c>
      <c r="I192" s="298" t="str">
        <f ca="1">dms_y6</f>
        <v>2029-30</v>
      </c>
      <c r="J192" s="298" t="str">
        <f ca="1">dms_y7</f>
        <v>2030-31</v>
      </c>
    </row>
    <row r="193" spans="1:10" ht="21.75" customHeight="1" outlineLevel="3" x14ac:dyDescent="0.25">
      <c r="B193" s="529" t="s">
        <v>191</v>
      </c>
      <c r="C193" s="530"/>
      <c r="D193" s="530"/>
      <c r="E193" s="530"/>
      <c r="F193" s="530"/>
      <c r="G193" s="530"/>
      <c r="H193" s="530"/>
      <c r="I193" s="530"/>
      <c r="J193" s="531"/>
    </row>
    <row r="194" spans="1:10" outlineLevel="3" x14ac:dyDescent="0.25">
      <c r="A194" s="238"/>
      <c r="B194" s="339" t="s">
        <v>192</v>
      </c>
      <c r="C194" s="338"/>
      <c r="D194" s="268">
        <v>9230</v>
      </c>
      <c r="E194" s="388">
        <v>0</v>
      </c>
      <c r="F194" s="389">
        <v>0</v>
      </c>
      <c r="G194" s="267">
        <v>0</v>
      </c>
      <c r="H194" s="267">
        <v>0</v>
      </c>
      <c r="I194" s="267">
        <v>0</v>
      </c>
      <c r="J194" s="269">
        <v>0</v>
      </c>
    </row>
    <row r="195" spans="1:10" outlineLevel="3" x14ac:dyDescent="0.25">
      <c r="A195" s="238"/>
      <c r="B195" s="339" t="s">
        <v>193</v>
      </c>
      <c r="C195" s="308"/>
      <c r="D195" s="268">
        <v>0</v>
      </c>
      <c r="E195" s="388">
        <v>0</v>
      </c>
      <c r="F195" s="389">
        <v>0</v>
      </c>
      <c r="G195" s="267">
        <v>0</v>
      </c>
      <c r="H195" s="267">
        <v>0</v>
      </c>
      <c r="I195" s="267">
        <v>0</v>
      </c>
      <c r="J195" s="269">
        <v>0</v>
      </c>
    </row>
    <row r="196" spans="1:10" outlineLevel="3" x14ac:dyDescent="0.25">
      <c r="A196" s="238"/>
      <c r="B196" s="339" t="s">
        <v>194</v>
      </c>
      <c r="C196" s="308"/>
      <c r="D196" s="268">
        <v>0</v>
      </c>
      <c r="E196" s="388">
        <v>0</v>
      </c>
      <c r="F196" s="389">
        <v>0</v>
      </c>
      <c r="G196" s="267">
        <v>0</v>
      </c>
      <c r="H196" s="267">
        <v>0</v>
      </c>
      <c r="I196" s="267">
        <v>0</v>
      </c>
      <c r="J196" s="269">
        <v>0</v>
      </c>
    </row>
    <row r="197" spans="1:10" ht="15" customHeight="1" outlineLevel="3" x14ac:dyDescent="0.25">
      <c r="A197" s="238"/>
      <c r="B197" s="518"/>
      <c r="C197" s="519" t="s">
        <v>112</v>
      </c>
      <c r="D197" s="519">
        <f t="shared" ref="D197:J197" si="35">SUM(D194:D196)</f>
        <v>9230</v>
      </c>
      <c r="E197" s="519">
        <f t="shared" si="35"/>
        <v>0</v>
      </c>
      <c r="F197" s="519">
        <f t="shared" si="35"/>
        <v>0</v>
      </c>
      <c r="G197" s="519">
        <f t="shared" si="35"/>
        <v>0</v>
      </c>
      <c r="H197" s="519">
        <f t="shared" si="35"/>
        <v>0</v>
      </c>
      <c r="I197" s="519">
        <f t="shared" si="35"/>
        <v>0</v>
      </c>
      <c r="J197" s="520">
        <f t="shared" si="35"/>
        <v>0</v>
      </c>
    </row>
    <row r="198" spans="1:10" ht="21.75" customHeight="1" outlineLevel="3" x14ac:dyDescent="0.25">
      <c r="B198" s="529" t="s">
        <v>195</v>
      </c>
      <c r="C198" s="530"/>
      <c r="D198" s="530"/>
      <c r="E198" s="530"/>
      <c r="F198" s="530"/>
      <c r="G198" s="530"/>
      <c r="H198" s="530"/>
      <c r="I198" s="530"/>
      <c r="J198" s="531"/>
    </row>
    <row r="199" spans="1:10" outlineLevel="3" x14ac:dyDescent="0.25">
      <c r="A199" s="238"/>
      <c r="B199" s="339" t="s">
        <v>192</v>
      </c>
      <c r="C199" s="338"/>
      <c r="D199" s="268">
        <v>9857</v>
      </c>
      <c r="E199" s="388">
        <v>16773</v>
      </c>
      <c r="F199" s="389">
        <v>53193</v>
      </c>
      <c r="G199" s="267">
        <v>51516</v>
      </c>
      <c r="H199" s="267">
        <v>53133</v>
      </c>
      <c r="I199" s="267">
        <v>53991</v>
      </c>
      <c r="J199" s="269">
        <v>54290</v>
      </c>
    </row>
    <row r="200" spans="1:10" outlineLevel="3" x14ac:dyDescent="0.25">
      <c r="A200" s="238"/>
      <c r="B200" s="339" t="s">
        <v>193</v>
      </c>
      <c r="C200" s="308"/>
      <c r="D200" s="268">
        <v>0</v>
      </c>
      <c r="E200" s="388">
        <v>0</v>
      </c>
      <c r="F200" s="389">
        <v>0</v>
      </c>
      <c r="G200" s="267">
        <v>0</v>
      </c>
      <c r="H200" s="267">
        <v>0</v>
      </c>
      <c r="I200" s="267">
        <v>0</v>
      </c>
      <c r="J200" s="269">
        <v>0</v>
      </c>
    </row>
    <row r="201" spans="1:10" outlineLevel="3" x14ac:dyDescent="0.25">
      <c r="A201" s="238"/>
      <c r="B201" s="339" t="s">
        <v>194</v>
      </c>
      <c r="C201" s="308"/>
      <c r="D201" s="268">
        <v>6340</v>
      </c>
      <c r="E201" s="388">
        <v>4628</v>
      </c>
      <c r="F201" s="389">
        <v>14681</v>
      </c>
      <c r="G201" s="267">
        <v>14219</v>
      </c>
      <c r="H201" s="267">
        <v>14667</v>
      </c>
      <c r="I201" s="267">
        <v>14906</v>
      </c>
      <c r="J201" s="269">
        <v>14991</v>
      </c>
    </row>
    <row r="202" spans="1:10" ht="15" customHeight="1" outlineLevel="3" x14ac:dyDescent="0.25">
      <c r="A202" s="238"/>
      <c r="B202" s="518"/>
      <c r="C202" s="519" t="s">
        <v>112</v>
      </c>
      <c r="D202" s="519">
        <f t="shared" ref="D202:J202" si="36">SUM(D199:D201)</f>
        <v>16197</v>
      </c>
      <c r="E202" s="519">
        <f t="shared" si="36"/>
        <v>21401</v>
      </c>
      <c r="F202" s="519">
        <f t="shared" si="36"/>
        <v>67874</v>
      </c>
      <c r="G202" s="519">
        <f t="shared" si="36"/>
        <v>65735</v>
      </c>
      <c r="H202" s="519">
        <f t="shared" si="36"/>
        <v>67800</v>
      </c>
      <c r="I202" s="519">
        <f t="shared" si="36"/>
        <v>68897</v>
      </c>
      <c r="J202" s="520">
        <f t="shared" si="36"/>
        <v>69281</v>
      </c>
    </row>
    <row r="203" spans="1:10" ht="21.75" customHeight="1" outlineLevel="3" x14ac:dyDescent="0.25">
      <c r="B203" s="529" t="s">
        <v>196</v>
      </c>
      <c r="C203" s="530"/>
      <c r="D203" s="530"/>
      <c r="E203" s="530"/>
      <c r="F203" s="530"/>
      <c r="G203" s="530"/>
      <c r="H203" s="530"/>
      <c r="I203" s="530"/>
      <c r="J203" s="531"/>
    </row>
    <row r="204" spans="1:10" outlineLevel="3" x14ac:dyDescent="0.25">
      <c r="A204" s="238"/>
      <c r="B204" s="339" t="s">
        <v>192</v>
      </c>
      <c r="C204" s="338"/>
      <c r="D204" s="268">
        <v>0</v>
      </c>
      <c r="E204" s="388">
        <v>0</v>
      </c>
      <c r="F204" s="389">
        <v>0</v>
      </c>
      <c r="G204" s="267">
        <v>0</v>
      </c>
      <c r="H204" s="267">
        <v>0</v>
      </c>
      <c r="I204" s="267">
        <v>0</v>
      </c>
      <c r="J204" s="269">
        <v>0</v>
      </c>
    </row>
    <row r="205" spans="1:10" outlineLevel="3" x14ac:dyDescent="0.25">
      <c r="A205" s="238"/>
      <c r="B205" s="339" t="s">
        <v>193</v>
      </c>
      <c r="C205" s="308"/>
      <c r="D205" s="268">
        <v>0</v>
      </c>
      <c r="E205" s="388">
        <v>0</v>
      </c>
      <c r="F205" s="389">
        <v>0</v>
      </c>
      <c r="G205" s="267">
        <v>0</v>
      </c>
      <c r="H205" s="267">
        <v>0</v>
      </c>
      <c r="I205" s="267">
        <v>0</v>
      </c>
      <c r="J205" s="269">
        <v>0</v>
      </c>
    </row>
    <row r="206" spans="1:10" outlineLevel="3" x14ac:dyDescent="0.25">
      <c r="A206" s="238"/>
      <c r="B206" s="339" t="s">
        <v>194</v>
      </c>
      <c r="C206" s="308"/>
      <c r="D206" s="268">
        <v>4569</v>
      </c>
      <c r="E206" s="388">
        <v>646</v>
      </c>
      <c r="F206" s="389">
        <v>2050</v>
      </c>
      <c r="G206" s="267">
        <v>1986</v>
      </c>
      <c r="H206" s="267">
        <v>2049</v>
      </c>
      <c r="I206" s="267">
        <v>2082</v>
      </c>
      <c r="J206" s="269">
        <v>2094</v>
      </c>
    </row>
    <row r="207" spans="1:10" ht="15" customHeight="1" outlineLevel="3" x14ac:dyDescent="0.25">
      <c r="A207" s="238"/>
      <c r="B207" s="518"/>
      <c r="C207" s="519" t="s">
        <v>112</v>
      </c>
      <c r="D207" s="519">
        <f t="shared" ref="D207:J207" si="37">SUM(D204:D206)</f>
        <v>4569</v>
      </c>
      <c r="E207" s="519">
        <f t="shared" si="37"/>
        <v>646</v>
      </c>
      <c r="F207" s="519">
        <f t="shared" si="37"/>
        <v>2050</v>
      </c>
      <c r="G207" s="519">
        <f t="shared" si="37"/>
        <v>1986</v>
      </c>
      <c r="H207" s="519">
        <f t="shared" si="37"/>
        <v>2049</v>
      </c>
      <c r="I207" s="519">
        <f t="shared" si="37"/>
        <v>2082</v>
      </c>
      <c r="J207" s="520">
        <f t="shared" si="37"/>
        <v>2094</v>
      </c>
    </row>
    <row r="208" spans="1:10" ht="21.75" customHeight="1" outlineLevel="3" x14ac:dyDescent="0.25">
      <c r="B208" s="529" t="s">
        <v>197</v>
      </c>
      <c r="C208" s="530"/>
      <c r="D208" s="530"/>
      <c r="E208" s="530"/>
      <c r="F208" s="530"/>
      <c r="G208" s="530"/>
      <c r="H208" s="530"/>
      <c r="I208" s="530"/>
      <c r="J208" s="531"/>
    </row>
    <row r="209" spans="1:10" outlineLevel="3" x14ac:dyDescent="0.25">
      <c r="A209" s="238"/>
      <c r="B209" s="339" t="s">
        <v>192</v>
      </c>
      <c r="C209" s="338"/>
      <c r="D209" s="268">
        <v>110303</v>
      </c>
      <c r="E209" s="388">
        <v>6245</v>
      </c>
      <c r="F209" s="389">
        <v>20519</v>
      </c>
      <c r="G209" s="267">
        <v>20766</v>
      </c>
      <c r="H209" s="267">
        <v>21058</v>
      </c>
      <c r="I209" s="267">
        <v>21388</v>
      </c>
      <c r="J209" s="269">
        <v>21752</v>
      </c>
    </row>
    <row r="210" spans="1:10" outlineLevel="3" x14ac:dyDescent="0.25">
      <c r="A210" s="238"/>
      <c r="B210" s="339" t="s">
        <v>193</v>
      </c>
      <c r="C210" s="308"/>
      <c r="D210" s="268">
        <v>0</v>
      </c>
      <c r="E210" s="388"/>
      <c r="F210" s="389">
        <v>0</v>
      </c>
      <c r="G210" s="267">
        <v>0</v>
      </c>
      <c r="H210" s="267">
        <v>0</v>
      </c>
      <c r="I210" s="267">
        <v>0</v>
      </c>
      <c r="J210" s="269">
        <v>0</v>
      </c>
    </row>
    <row r="211" spans="1:10" outlineLevel="3" x14ac:dyDescent="0.25">
      <c r="A211" s="238"/>
      <c r="B211" s="339" t="s">
        <v>194</v>
      </c>
      <c r="C211" s="308"/>
      <c r="D211" s="268">
        <v>64776</v>
      </c>
      <c r="E211" s="388">
        <v>8708</v>
      </c>
      <c r="F211" s="389">
        <v>28617</v>
      </c>
      <c r="G211" s="267">
        <v>28965</v>
      </c>
      <c r="H211" s="267">
        <v>29376</v>
      </c>
      <c r="I211" s="267">
        <v>29843</v>
      </c>
      <c r="J211" s="269">
        <v>30356</v>
      </c>
    </row>
    <row r="212" spans="1:10" ht="15" customHeight="1" outlineLevel="3" x14ac:dyDescent="0.25">
      <c r="A212" s="238"/>
      <c r="B212" s="518"/>
      <c r="C212" s="519" t="s">
        <v>112</v>
      </c>
      <c r="D212" s="519">
        <f t="shared" ref="D212:J212" si="38">SUM(D209:D211)</f>
        <v>175079</v>
      </c>
      <c r="E212" s="519">
        <f t="shared" si="38"/>
        <v>14953</v>
      </c>
      <c r="F212" s="519">
        <f t="shared" si="38"/>
        <v>49136</v>
      </c>
      <c r="G212" s="519">
        <f t="shared" si="38"/>
        <v>49731</v>
      </c>
      <c r="H212" s="519">
        <f t="shared" si="38"/>
        <v>50434</v>
      </c>
      <c r="I212" s="519">
        <f t="shared" si="38"/>
        <v>51231</v>
      </c>
      <c r="J212" s="520">
        <f t="shared" si="38"/>
        <v>52108</v>
      </c>
    </row>
    <row r="213" spans="1:10" ht="21.75" customHeight="1" outlineLevel="3" x14ac:dyDescent="0.25">
      <c r="B213" s="529" t="s">
        <v>198</v>
      </c>
      <c r="C213" s="530"/>
      <c r="D213" s="530"/>
      <c r="E213" s="530"/>
      <c r="F213" s="530"/>
      <c r="G213" s="530"/>
      <c r="H213" s="530"/>
      <c r="I213" s="530"/>
      <c r="J213" s="531"/>
    </row>
    <row r="214" spans="1:10" outlineLevel="3" x14ac:dyDescent="0.25">
      <c r="A214" s="238"/>
      <c r="B214" s="339" t="s">
        <v>192</v>
      </c>
      <c r="C214" s="338"/>
      <c r="D214" s="268">
        <v>0</v>
      </c>
      <c r="E214" s="388">
        <v>0</v>
      </c>
      <c r="F214" s="389">
        <v>0</v>
      </c>
      <c r="G214" s="267">
        <v>0</v>
      </c>
      <c r="H214" s="267">
        <v>0</v>
      </c>
      <c r="I214" s="267">
        <v>0</v>
      </c>
      <c r="J214" s="269">
        <v>0</v>
      </c>
    </row>
    <row r="215" spans="1:10" outlineLevel="3" x14ac:dyDescent="0.25">
      <c r="A215" s="238"/>
      <c r="B215" s="339" t="s">
        <v>193</v>
      </c>
      <c r="C215" s="308"/>
      <c r="D215" s="268">
        <v>0</v>
      </c>
      <c r="E215" s="388">
        <v>0</v>
      </c>
      <c r="F215" s="389">
        <v>0</v>
      </c>
      <c r="G215" s="267">
        <v>0</v>
      </c>
      <c r="H215" s="267">
        <v>0</v>
      </c>
      <c r="I215" s="267">
        <v>0</v>
      </c>
      <c r="J215" s="269">
        <v>0</v>
      </c>
    </row>
    <row r="216" spans="1:10" outlineLevel="3" x14ac:dyDescent="0.25">
      <c r="A216" s="238"/>
      <c r="B216" s="540" t="s">
        <v>194</v>
      </c>
      <c r="C216" s="309"/>
      <c r="D216" s="304">
        <v>0</v>
      </c>
      <c r="E216" s="537">
        <v>0</v>
      </c>
      <c r="F216" s="391">
        <v>0</v>
      </c>
      <c r="G216" s="305">
        <v>0</v>
      </c>
      <c r="H216" s="305">
        <v>0</v>
      </c>
      <c r="I216" s="305">
        <v>0</v>
      </c>
      <c r="J216" s="538">
        <v>0</v>
      </c>
    </row>
    <row r="217" spans="1:10" ht="15" customHeight="1" outlineLevel="3" x14ac:dyDescent="0.25">
      <c r="A217" s="238"/>
      <c r="B217" s="518"/>
      <c r="C217" s="519" t="s">
        <v>112</v>
      </c>
      <c r="D217" s="519">
        <f t="shared" ref="D217:J217" si="39">SUM(D214:D216)</f>
        <v>0</v>
      </c>
      <c r="E217" s="519">
        <f t="shared" si="39"/>
        <v>0</v>
      </c>
      <c r="F217" s="519">
        <f t="shared" si="39"/>
        <v>0</v>
      </c>
      <c r="G217" s="519">
        <f t="shared" si="39"/>
        <v>0</v>
      </c>
      <c r="H217" s="519">
        <f t="shared" si="39"/>
        <v>0</v>
      </c>
      <c r="I217" s="519">
        <f t="shared" si="39"/>
        <v>0</v>
      </c>
      <c r="J217" s="520">
        <f t="shared" si="39"/>
        <v>0</v>
      </c>
    </row>
    <row r="218" spans="1:10" ht="21.75" customHeight="1" outlineLevel="3" x14ac:dyDescent="0.25">
      <c r="B218" s="529" t="s">
        <v>199</v>
      </c>
      <c r="C218" s="530"/>
      <c r="D218" s="530"/>
      <c r="E218" s="530"/>
      <c r="F218" s="530"/>
      <c r="G218" s="530"/>
      <c r="H218" s="530"/>
      <c r="I218" s="530"/>
      <c r="J218" s="531"/>
    </row>
    <row r="219" spans="1:10" outlineLevel="3" x14ac:dyDescent="0.25">
      <c r="A219" s="238"/>
      <c r="B219" s="339" t="s">
        <v>192</v>
      </c>
      <c r="C219" s="338"/>
      <c r="D219" s="268">
        <v>0</v>
      </c>
      <c r="E219" s="388">
        <v>0</v>
      </c>
      <c r="F219" s="389">
        <v>0</v>
      </c>
      <c r="G219" s="267">
        <v>0</v>
      </c>
      <c r="H219" s="267">
        <v>0</v>
      </c>
      <c r="I219" s="267">
        <v>0</v>
      </c>
      <c r="J219" s="269">
        <v>0</v>
      </c>
    </row>
    <row r="220" spans="1:10" outlineLevel="3" x14ac:dyDescent="0.25">
      <c r="A220" s="238"/>
      <c r="B220" s="339" t="s">
        <v>193</v>
      </c>
      <c r="C220" s="308"/>
      <c r="D220" s="268">
        <v>0</v>
      </c>
      <c r="E220" s="388">
        <v>0</v>
      </c>
      <c r="F220" s="389">
        <v>0</v>
      </c>
      <c r="G220" s="267">
        <v>0</v>
      </c>
      <c r="H220" s="267">
        <v>0</v>
      </c>
      <c r="I220" s="267">
        <v>0</v>
      </c>
      <c r="J220" s="269">
        <v>0</v>
      </c>
    </row>
    <row r="221" spans="1:10" outlineLevel="3" x14ac:dyDescent="0.25">
      <c r="A221" s="238"/>
      <c r="B221" s="540" t="s">
        <v>194</v>
      </c>
      <c r="C221" s="309"/>
      <c r="D221" s="304">
        <v>0</v>
      </c>
      <c r="E221" s="537">
        <v>0</v>
      </c>
      <c r="F221" s="391">
        <v>0</v>
      </c>
      <c r="G221" s="305">
        <v>0</v>
      </c>
      <c r="H221" s="305">
        <v>0</v>
      </c>
      <c r="I221" s="305">
        <v>0</v>
      </c>
      <c r="J221" s="538">
        <v>0</v>
      </c>
    </row>
    <row r="222" spans="1:10" ht="15" customHeight="1" outlineLevel="3" x14ac:dyDescent="0.25">
      <c r="A222" s="238"/>
      <c r="B222" s="518"/>
      <c r="C222" s="519" t="s">
        <v>112</v>
      </c>
      <c r="D222" s="519">
        <f t="shared" ref="D222:J222" si="40">SUM(D219:D221)</f>
        <v>0</v>
      </c>
      <c r="E222" s="519">
        <f t="shared" si="40"/>
        <v>0</v>
      </c>
      <c r="F222" s="519">
        <f t="shared" si="40"/>
        <v>0</v>
      </c>
      <c r="G222" s="519">
        <f t="shared" si="40"/>
        <v>0</v>
      </c>
      <c r="H222" s="519">
        <f t="shared" si="40"/>
        <v>0</v>
      </c>
      <c r="I222" s="519">
        <f t="shared" si="40"/>
        <v>0</v>
      </c>
      <c r="J222" s="520">
        <f t="shared" si="40"/>
        <v>0</v>
      </c>
    </row>
    <row r="223" spans="1:10" ht="15" customHeight="1" outlineLevel="3" x14ac:dyDescent="0.25">
      <c r="A223" s="238"/>
      <c r="B223" s="306"/>
      <c r="C223" s="2" t="s">
        <v>145</v>
      </c>
      <c r="D223" s="2">
        <f t="shared" ref="D223:J223" si="41">SUM(D217,D212,D207,D202,D197)</f>
        <v>205075</v>
      </c>
      <c r="E223" s="2">
        <f t="shared" si="41"/>
        <v>37000</v>
      </c>
      <c r="F223" s="2">
        <f t="shared" si="41"/>
        <v>119060</v>
      </c>
      <c r="G223" s="2">
        <f t="shared" si="41"/>
        <v>117452</v>
      </c>
      <c r="H223" s="2">
        <f t="shared" si="41"/>
        <v>120283</v>
      </c>
      <c r="I223" s="2">
        <f t="shared" si="41"/>
        <v>122210</v>
      </c>
      <c r="J223" s="532">
        <f t="shared" si="41"/>
        <v>123483</v>
      </c>
    </row>
    <row r="224" spans="1:10" outlineLevel="2" x14ac:dyDescent="0.25"/>
    <row r="225" spans="1:10" ht="15" customHeight="1" outlineLevel="1" x14ac:dyDescent="0.25"/>
    <row r="226" spans="1:10" ht="27.95" customHeight="1" x14ac:dyDescent="0.25">
      <c r="B226" s="31" t="s">
        <v>200</v>
      </c>
      <c r="C226" s="31"/>
      <c r="D226" s="31"/>
      <c r="E226" s="31"/>
      <c r="F226" s="31"/>
      <c r="G226" s="31"/>
      <c r="H226" s="31"/>
      <c r="I226" s="31"/>
      <c r="J226" s="31"/>
    </row>
    <row r="227" spans="1:10" ht="27" customHeight="1" outlineLevel="1" x14ac:dyDescent="0.25">
      <c r="A227" s="321"/>
      <c r="B227" s="232" t="s">
        <v>201</v>
      </c>
      <c r="C227" s="233"/>
      <c r="D227" s="233"/>
      <c r="E227" s="233"/>
      <c r="F227" s="233"/>
      <c r="G227" s="233"/>
      <c r="H227" s="233"/>
      <c r="I227" s="233"/>
      <c r="J227" s="233"/>
    </row>
    <row r="228" spans="1:10" ht="15" customHeight="1" outlineLevel="3" x14ac:dyDescent="0.25">
      <c r="A228" s="333"/>
      <c r="D228" s="1331" t="s">
        <v>202</v>
      </c>
      <c r="E228" s="1331"/>
      <c r="F228" s="1331"/>
      <c r="G228" s="1331"/>
      <c r="H228" s="1331"/>
      <c r="I228" s="1331"/>
      <c r="J228" s="1331"/>
    </row>
    <row r="229" spans="1:10" ht="15" customHeight="1" outlineLevel="3" x14ac:dyDescent="0.25">
      <c r="A229" s="333"/>
      <c r="D229" s="1331" t="str">
        <f ca="1">CONCATENATE("$, real ",dms_DollarReal)</f>
        <v>$, real June 2026</v>
      </c>
      <c r="E229" s="1331"/>
      <c r="F229" s="1331"/>
      <c r="G229" s="1331"/>
      <c r="H229" s="1331"/>
      <c r="I229" s="1331"/>
      <c r="J229" s="1331"/>
    </row>
    <row r="230" spans="1:10" ht="15" customHeight="1" outlineLevel="3" x14ac:dyDescent="0.25">
      <c r="A230" s="293"/>
      <c r="C230" s="334" t="s">
        <v>203</v>
      </c>
      <c r="D230" s="298" t="str">
        <f ca="1">dms_y1</f>
        <v>2024-25</v>
      </c>
      <c r="E230" s="298" t="str">
        <f ca="1">dms_y2</f>
        <v>2025-26</v>
      </c>
      <c r="F230" s="298" t="str">
        <f ca="1">dms_y3</f>
        <v>2026-27</v>
      </c>
      <c r="G230" s="298" t="str">
        <f ca="1">dms_y4</f>
        <v>2027-28</v>
      </c>
      <c r="H230" s="298" t="str">
        <f ca="1">dms_y5</f>
        <v>2028-29</v>
      </c>
      <c r="I230" s="298" t="str">
        <f ca="1">dms_y6</f>
        <v>2029-30</v>
      </c>
      <c r="J230" s="298" t="str">
        <f ca="1">dms_y7</f>
        <v>2030-31</v>
      </c>
    </row>
    <row r="231" spans="1:10" ht="20.25" customHeight="1" outlineLevel="3" x14ac:dyDescent="0.25">
      <c r="A231" s="293"/>
      <c r="B231" s="235" t="s">
        <v>204</v>
      </c>
      <c r="C231" s="236"/>
      <c r="D231" s="236"/>
      <c r="E231" s="236"/>
      <c r="F231" s="236"/>
      <c r="G231" s="236"/>
      <c r="H231" s="236"/>
      <c r="I231" s="236"/>
      <c r="J231" s="237"/>
    </row>
    <row r="232" spans="1:10" outlineLevel="3" x14ac:dyDescent="0.25">
      <c r="A232" s="293"/>
      <c r="B232" s="533" t="s">
        <v>192</v>
      </c>
      <c r="C232" s="335" t="s">
        <v>205</v>
      </c>
      <c r="D232" s="1469"/>
      <c r="E232" s="1470"/>
      <c r="F232" s="1471"/>
      <c r="G232" s="1472"/>
      <c r="H232" s="1472"/>
      <c r="I232" s="1472"/>
      <c r="J232" s="1473"/>
    </row>
    <row r="233" spans="1:10" outlineLevel="3" x14ac:dyDescent="0.25">
      <c r="A233" s="293"/>
      <c r="B233" s="534" t="s">
        <v>193</v>
      </c>
      <c r="C233" s="336" t="s">
        <v>206</v>
      </c>
      <c r="D233" s="1469"/>
      <c r="E233" s="1470"/>
      <c r="F233" s="1471"/>
      <c r="G233" s="1472"/>
      <c r="H233" s="1472"/>
      <c r="I233" s="1472"/>
      <c r="J233" s="1473"/>
    </row>
    <row r="234" spans="1:10" ht="15" customHeight="1" outlineLevel="3" x14ac:dyDescent="0.25">
      <c r="A234" s="293"/>
      <c r="B234" s="535" t="s">
        <v>194</v>
      </c>
      <c r="C234" s="337" t="s">
        <v>207</v>
      </c>
      <c r="D234" s="1469"/>
      <c r="E234" s="1470"/>
      <c r="F234" s="1471"/>
      <c r="G234" s="1472"/>
      <c r="H234" s="1472"/>
      <c r="I234" s="1472"/>
      <c r="J234" s="1473"/>
    </row>
    <row r="235" spans="1:10" ht="20.25" customHeight="1" outlineLevel="3" x14ac:dyDescent="0.25">
      <c r="A235" s="293"/>
      <c r="B235" s="235" t="s">
        <v>208</v>
      </c>
      <c r="C235" s="236"/>
      <c r="D235" s="236"/>
      <c r="E235" s="236"/>
      <c r="F235" s="236"/>
      <c r="G235" s="236"/>
      <c r="H235" s="236"/>
      <c r="I235" s="236"/>
      <c r="J235" s="237"/>
    </row>
    <row r="236" spans="1:10" outlineLevel="3" x14ac:dyDescent="0.25">
      <c r="A236" s="293"/>
      <c r="B236" s="533" t="s">
        <v>192</v>
      </c>
      <c r="C236" s="335" t="s">
        <v>205</v>
      </c>
      <c r="D236" s="1469"/>
      <c r="E236" s="1470"/>
      <c r="F236" s="1471"/>
      <c r="G236" s="1472"/>
      <c r="H236" s="1472"/>
      <c r="I236" s="1472"/>
      <c r="J236" s="1473"/>
    </row>
    <row r="237" spans="1:10" outlineLevel="3" x14ac:dyDescent="0.25">
      <c r="A237" s="293"/>
      <c r="B237" s="534" t="s">
        <v>193</v>
      </c>
      <c r="C237" s="336" t="s">
        <v>206</v>
      </c>
      <c r="D237" s="1469"/>
      <c r="E237" s="1470"/>
      <c r="F237" s="1471"/>
      <c r="G237" s="1472"/>
      <c r="H237" s="1472"/>
      <c r="I237" s="1472"/>
      <c r="J237" s="1473"/>
    </row>
    <row r="238" spans="1:10" ht="15" customHeight="1" outlineLevel="3" x14ac:dyDescent="0.25">
      <c r="A238" s="293"/>
      <c r="B238" s="535" t="s">
        <v>194</v>
      </c>
      <c r="C238" s="337" t="s">
        <v>207</v>
      </c>
      <c r="D238" s="1469"/>
      <c r="E238" s="1470"/>
      <c r="F238" s="1471"/>
      <c r="G238" s="1472"/>
      <c r="H238" s="1472"/>
      <c r="I238" s="1472"/>
      <c r="J238" s="1473"/>
    </row>
    <row r="239" spans="1:10" ht="20.25" customHeight="1" outlineLevel="3" x14ac:dyDescent="0.25">
      <c r="A239" s="293"/>
      <c r="B239" s="235" t="s">
        <v>209</v>
      </c>
      <c r="C239" s="236"/>
      <c r="D239" s="236"/>
      <c r="E239" s="236"/>
      <c r="F239" s="236"/>
      <c r="G239" s="236"/>
      <c r="H239" s="236"/>
      <c r="I239" s="236"/>
      <c r="J239" s="237"/>
    </row>
    <row r="240" spans="1:10" outlineLevel="3" x14ac:dyDescent="0.25">
      <c r="A240" s="293"/>
      <c r="B240" s="533" t="s">
        <v>192</v>
      </c>
      <c r="C240" s="335" t="s">
        <v>205</v>
      </c>
      <c r="D240" s="1469"/>
      <c r="E240" s="1470"/>
      <c r="F240" s="1471"/>
      <c r="G240" s="1472"/>
      <c r="H240" s="1472"/>
      <c r="I240" s="1472"/>
      <c r="J240" s="1473"/>
    </row>
    <row r="241" spans="1:10" outlineLevel="3" x14ac:dyDescent="0.25">
      <c r="A241" s="293"/>
      <c r="B241" s="534" t="s">
        <v>193</v>
      </c>
      <c r="C241" s="336" t="s">
        <v>206</v>
      </c>
      <c r="D241" s="1469"/>
      <c r="E241" s="1470"/>
      <c r="F241" s="1471"/>
      <c r="G241" s="1472"/>
      <c r="H241" s="1472"/>
      <c r="I241" s="1472"/>
      <c r="J241" s="1473"/>
    </row>
    <row r="242" spans="1:10" ht="15" customHeight="1" outlineLevel="3" x14ac:dyDescent="0.25">
      <c r="A242" s="293"/>
      <c r="B242" s="535" t="s">
        <v>194</v>
      </c>
      <c r="C242" s="337" t="s">
        <v>207</v>
      </c>
      <c r="D242" s="1469"/>
      <c r="E242" s="1470"/>
      <c r="F242" s="1471"/>
      <c r="G242" s="1472"/>
      <c r="H242" s="1472"/>
      <c r="I242" s="1472"/>
      <c r="J242" s="1473"/>
    </row>
    <row r="243" spans="1:10" ht="20.25" customHeight="1" outlineLevel="3" x14ac:dyDescent="0.25">
      <c r="A243" s="293"/>
      <c r="B243" s="235" t="s">
        <v>210</v>
      </c>
      <c r="C243" s="236"/>
      <c r="D243" s="236"/>
      <c r="E243" s="236"/>
      <c r="F243" s="236"/>
      <c r="G243" s="236"/>
      <c r="H243" s="236"/>
      <c r="I243" s="236"/>
      <c r="J243" s="237"/>
    </row>
    <row r="244" spans="1:10" outlineLevel="3" x14ac:dyDescent="0.25">
      <c r="A244" s="293"/>
      <c r="B244" s="533" t="s">
        <v>192</v>
      </c>
      <c r="C244" s="335" t="s">
        <v>205</v>
      </c>
      <c r="D244" s="1469"/>
      <c r="E244" s="1470"/>
      <c r="F244" s="1471"/>
      <c r="G244" s="1472"/>
      <c r="H244" s="1472"/>
      <c r="I244" s="1472"/>
      <c r="J244" s="1473"/>
    </row>
    <row r="245" spans="1:10" outlineLevel="3" x14ac:dyDescent="0.25">
      <c r="A245" s="293"/>
      <c r="B245" s="534" t="s">
        <v>193</v>
      </c>
      <c r="C245" s="336" t="s">
        <v>206</v>
      </c>
      <c r="D245" s="1469"/>
      <c r="E245" s="1470"/>
      <c r="F245" s="1471"/>
      <c r="G245" s="1472"/>
      <c r="H245" s="1472"/>
      <c r="I245" s="1472"/>
      <c r="J245" s="1473"/>
    </row>
    <row r="246" spans="1:10" ht="15" customHeight="1" outlineLevel="3" x14ac:dyDescent="0.25">
      <c r="A246" s="293"/>
      <c r="B246" s="535" t="s">
        <v>194</v>
      </c>
      <c r="C246" s="337" t="s">
        <v>207</v>
      </c>
      <c r="D246" s="1469"/>
      <c r="E246" s="1470"/>
      <c r="F246" s="1471"/>
      <c r="G246" s="1472"/>
      <c r="H246" s="1472"/>
      <c r="I246" s="1472"/>
      <c r="J246" s="1473"/>
    </row>
    <row r="247" spans="1:10" ht="20.25" customHeight="1" outlineLevel="3" x14ac:dyDescent="0.25">
      <c r="A247" s="293"/>
      <c r="B247" s="235" t="s">
        <v>211</v>
      </c>
      <c r="C247" s="236"/>
      <c r="D247" s="236"/>
      <c r="E247" s="236"/>
      <c r="F247" s="236"/>
      <c r="G247" s="236"/>
      <c r="H247" s="236"/>
      <c r="I247" s="236"/>
      <c r="J247" s="237"/>
    </row>
    <row r="248" spans="1:10" outlineLevel="3" x14ac:dyDescent="0.25">
      <c r="A248" s="293"/>
      <c r="B248" s="533" t="s">
        <v>192</v>
      </c>
      <c r="C248" s="335" t="s">
        <v>205</v>
      </c>
      <c r="D248" s="1469"/>
      <c r="E248" s="1470"/>
      <c r="F248" s="1471"/>
      <c r="G248" s="1472"/>
      <c r="H248" s="1472"/>
      <c r="I248" s="1472"/>
      <c r="J248" s="1473"/>
    </row>
    <row r="249" spans="1:10" outlineLevel="3" x14ac:dyDescent="0.25">
      <c r="A249" s="293"/>
      <c r="B249" s="534" t="s">
        <v>193</v>
      </c>
      <c r="C249" s="336" t="s">
        <v>206</v>
      </c>
      <c r="D249" s="1469"/>
      <c r="E249" s="1470"/>
      <c r="F249" s="1471"/>
      <c r="G249" s="1472"/>
      <c r="H249" s="1472"/>
      <c r="I249" s="1472"/>
      <c r="J249" s="1473"/>
    </row>
    <row r="250" spans="1:10" ht="15" customHeight="1" outlineLevel="3" x14ac:dyDescent="0.25">
      <c r="A250" s="293"/>
      <c r="B250" s="536" t="s">
        <v>194</v>
      </c>
      <c r="C250" s="337" t="s">
        <v>207</v>
      </c>
      <c r="D250" s="1474"/>
      <c r="E250" s="1475"/>
      <c r="F250" s="1476"/>
      <c r="G250" s="1477"/>
      <c r="H250" s="1477"/>
      <c r="I250" s="1477"/>
      <c r="J250" s="1478"/>
    </row>
    <row r="251" spans="1:10" ht="20.25" customHeight="1" outlineLevel="3" x14ac:dyDescent="0.25">
      <c r="A251" s="293"/>
      <c r="B251" s="235" t="s">
        <v>212</v>
      </c>
      <c r="C251" s="236"/>
      <c r="D251" s="236"/>
      <c r="E251" s="236"/>
      <c r="F251" s="236"/>
      <c r="G251" s="236"/>
      <c r="H251" s="236"/>
      <c r="I251" s="236"/>
      <c r="J251" s="237"/>
    </row>
    <row r="252" spans="1:10" outlineLevel="3" x14ac:dyDescent="0.25">
      <c r="A252" s="293"/>
      <c r="B252" s="533" t="s">
        <v>192</v>
      </c>
      <c r="C252" s="335" t="s">
        <v>205</v>
      </c>
      <c r="D252" s="1469"/>
      <c r="E252" s="1470"/>
      <c r="F252" s="1471"/>
      <c r="G252" s="1472"/>
      <c r="H252" s="1472"/>
      <c r="I252" s="1472"/>
      <c r="J252" s="1473"/>
    </row>
    <row r="253" spans="1:10" outlineLevel="3" x14ac:dyDescent="0.25">
      <c r="A253" s="293"/>
      <c r="B253" s="534" t="s">
        <v>193</v>
      </c>
      <c r="C253" s="336" t="s">
        <v>206</v>
      </c>
      <c r="D253" s="1469"/>
      <c r="E253" s="1470"/>
      <c r="F253" s="1471"/>
      <c r="G253" s="1472"/>
      <c r="H253" s="1472"/>
      <c r="I253" s="1472"/>
      <c r="J253" s="1473"/>
    </row>
    <row r="254" spans="1:10" ht="15" customHeight="1" outlineLevel="3" x14ac:dyDescent="0.25">
      <c r="A254" s="293"/>
      <c r="B254" s="536" t="s">
        <v>194</v>
      </c>
      <c r="C254" s="337" t="s">
        <v>207</v>
      </c>
      <c r="D254" s="1474"/>
      <c r="E254" s="1475"/>
      <c r="F254" s="1476"/>
      <c r="G254" s="1477"/>
      <c r="H254" s="1477"/>
      <c r="I254" s="1477"/>
      <c r="J254" s="1478"/>
    </row>
    <row r="255" spans="1:10" outlineLevel="3" x14ac:dyDescent="0.25"/>
    <row r="256" spans="1:10" outlineLevel="1" x14ac:dyDescent="0.25"/>
    <row r="258" spans="1:10" ht="15" customHeight="1" x14ac:dyDescent="0.25"/>
    <row r="259" spans="1:10" ht="27.95" customHeight="1" x14ac:dyDescent="0.25">
      <c r="B259" s="31" t="s">
        <v>213</v>
      </c>
      <c r="C259" s="31"/>
      <c r="D259" s="31"/>
      <c r="E259" s="31"/>
      <c r="F259" s="31"/>
      <c r="G259" s="31"/>
      <c r="H259" s="31"/>
      <c r="I259" s="31"/>
      <c r="J259" s="31"/>
    </row>
    <row r="260" spans="1:10" ht="22.5" customHeight="1" outlineLevel="1" x14ac:dyDescent="0.25">
      <c r="B260" s="232" t="s">
        <v>214</v>
      </c>
      <c r="C260" s="233"/>
      <c r="D260" s="233"/>
      <c r="E260" s="233"/>
      <c r="F260" s="233"/>
      <c r="G260" s="233"/>
      <c r="H260" s="233"/>
      <c r="I260" s="233"/>
      <c r="J260" s="233"/>
    </row>
    <row r="261" spans="1:10" outlineLevel="3" x14ac:dyDescent="0.25">
      <c r="B261" s="323"/>
      <c r="D261" s="1335" t="s">
        <v>158</v>
      </c>
      <c r="E261" s="1336"/>
      <c r="F261" s="1336"/>
      <c r="G261" s="1336"/>
      <c r="H261" s="1336"/>
      <c r="I261" s="1336"/>
      <c r="J261" s="1337"/>
    </row>
    <row r="262" spans="1:10" outlineLevel="3" x14ac:dyDescent="0.25">
      <c r="D262" s="1328" t="s">
        <v>159</v>
      </c>
      <c r="E262" s="1329"/>
      <c r="F262" s="1329"/>
      <c r="G262" s="1329"/>
      <c r="H262" s="1329"/>
      <c r="I262" s="1329"/>
      <c r="J262" s="1330"/>
    </row>
    <row r="263" spans="1:10" ht="15" customHeight="1" outlineLevel="3" x14ac:dyDescent="0.25">
      <c r="B263" s="324"/>
      <c r="C263" s="62"/>
      <c r="D263" s="386" t="str">
        <f ca="1">dms_y1</f>
        <v>2024-25</v>
      </c>
      <c r="E263" s="291" t="str">
        <f ca="1">dms_y2</f>
        <v>2025-26</v>
      </c>
      <c r="F263" s="290" t="str">
        <f ca="1">dms_y3</f>
        <v>2026-27</v>
      </c>
      <c r="G263" s="290" t="str">
        <f ca="1">dms_y4</f>
        <v>2027-28</v>
      </c>
      <c r="H263" s="290" t="str">
        <f ca="1">dms_y5</f>
        <v>2028-29</v>
      </c>
      <c r="I263" s="290" t="str">
        <f ca="1">dms_y6</f>
        <v>2029-30</v>
      </c>
      <c r="J263" s="387" t="str">
        <f ca="1">dms_y7</f>
        <v>2030-31</v>
      </c>
    </row>
    <row r="264" spans="1:10" outlineLevel="3" x14ac:dyDescent="0.25">
      <c r="B264" s="325" t="s">
        <v>215</v>
      </c>
      <c r="C264" s="326"/>
      <c r="D264" s="268">
        <v>0</v>
      </c>
      <c r="E264" s="388">
        <v>0</v>
      </c>
      <c r="F264" s="294">
        <v>0</v>
      </c>
      <c r="G264" s="267">
        <v>0</v>
      </c>
      <c r="H264" s="267">
        <v>0</v>
      </c>
      <c r="I264" s="267">
        <v>0</v>
      </c>
      <c r="J264" s="269">
        <v>0</v>
      </c>
    </row>
    <row r="265" spans="1:10" outlineLevel="3" x14ac:dyDescent="0.25">
      <c r="B265" s="327" t="s">
        <v>216</v>
      </c>
      <c r="C265" s="328"/>
      <c r="D265" s="268">
        <v>565.20000000000005</v>
      </c>
      <c r="E265" s="388">
        <v>265.97000000000003</v>
      </c>
      <c r="F265" s="389">
        <v>256.60000000000002</v>
      </c>
      <c r="G265" s="267">
        <v>245.47</v>
      </c>
      <c r="H265" s="267">
        <v>249.57</v>
      </c>
      <c r="I265" s="267">
        <v>249.57</v>
      </c>
      <c r="J265" s="269">
        <v>246.64</v>
      </c>
    </row>
    <row r="266" spans="1:10" outlineLevel="3" x14ac:dyDescent="0.25">
      <c r="B266" s="327" t="s">
        <v>217</v>
      </c>
      <c r="C266" s="328"/>
      <c r="D266" s="268">
        <v>139.19999999999999</v>
      </c>
      <c r="E266" s="388">
        <v>25.3</v>
      </c>
      <c r="F266" s="389">
        <v>24.41</v>
      </c>
      <c r="G266" s="267">
        <v>23.35</v>
      </c>
      <c r="H266" s="267">
        <v>23.74</v>
      </c>
      <c r="I266" s="267">
        <v>23.74</v>
      </c>
      <c r="J266" s="269">
        <v>23.46</v>
      </c>
    </row>
    <row r="267" spans="1:10" outlineLevel="3" x14ac:dyDescent="0.25">
      <c r="B267" s="327" t="s">
        <v>218</v>
      </c>
      <c r="C267" s="328"/>
      <c r="D267" s="268">
        <v>38.4</v>
      </c>
      <c r="E267" s="388">
        <v>9.4</v>
      </c>
      <c r="F267" s="389">
        <v>9.4</v>
      </c>
      <c r="G267" s="267">
        <v>9.4</v>
      </c>
      <c r="H267" s="267">
        <v>9.4</v>
      </c>
      <c r="I267" s="267">
        <v>9.4</v>
      </c>
      <c r="J267" s="269">
        <v>9.4</v>
      </c>
    </row>
    <row r="268" spans="1:10" outlineLevel="3" x14ac:dyDescent="0.25">
      <c r="B268" s="346" t="s">
        <v>219</v>
      </c>
      <c r="C268" s="347"/>
      <c r="D268" s="268">
        <v>0</v>
      </c>
      <c r="E268" s="388">
        <v>0</v>
      </c>
      <c r="F268" s="389">
        <v>0</v>
      </c>
      <c r="G268" s="267">
        <v>0</v>
      </c>
      <c r="H268" s="267">
        <v>0</v>
      </c>
      <c r="I268" s="267">
        <v>0</v>
      </c>
      <c r="J268" s="269">
        <v>0</v>
      </c>
    </row>
    <row r="269" spans="1:10" ht="15" customHeight="1" outlineLevel="3" x14ac:dyDescent="0.25">
      <c r="B269" s="346" t="s">
        <v>220</v>
      </c>
      <c r="C269" s="347"/>
      <c r="D269" s="268">
        <v>0</v>
      </c>
      <c r="E269" s="388">
        <v>0</v>
      </c>
      <c r="F269" s="389">
        <v>0</v>
      </c>
      <c r="G269" s="267">
        <v>0</v>
      </c>
      <c r="H269" s="267">
        <v>0</v>
      </c>
      <c r="I269" s="267">
        <v>0</v>
      </c>
      <c r="J269" s="269">
        <v>0</v>
      </c>
    </row>
    <row r="270" spans="1:10" ht="15" customHeight="1" outlineLevel="3" x14ac:dyDescent="0.25">
      <c r="B270" s="280"/>
      <c r="C270" s="281" t="s">
        <v>112</v>
      </c>
      <c r="D270" s="281">
        <f t="shared" ref="D270:J270" si="42">SUM(D264:D269)</f>
        <v>742.80000000000007</v>
      </c>
      <c r="E270" s="281">
        <f t="shared" si="42"/>
        <v>300.67</v>
      </c>
      <c r="F270" s="281">
        <f t="shared" si="42"/>
        <v>290.41000000000003</v>
      </c>
      <c r="G270" s="281">
        <f t="shared" si="42"/>
        <v>278.21999999999997</v>
      </c>
      <c r="H270" s="281">
        <f t="shared" si="42"/>
        <v>282.70999999999998</v>
      </c>
      <c r="I270" s="281">
        <f t="shared" si="42"/>
        <v>282.70999999999998</v>
      </c>
      <c r="J270" s="281">
        <f t="shared" si="42"/>
        <v>279.49999999999994</v>
      </c>
    </row>
    <row r="271" spans="1:10" ht="15" customHeight="1" outlineLevel="1" x14ac:dyDescent="0.25"/>
    <row r="272" spans="1:10" ht="27" customHeight="1" outlineLevel="1" x14ac:dyDescent="0.25">
      <c r="A272" s="321"/>
      <c r="B272" s="232" t="s">
        <v>221</v>
      </c>
      <c r="C272" s="233"/>
      <c r="D272" s="233"/>
      <c r="E272" s="233"/>
      <c r="F272" s="233"/>
      <c r="G272" s="233"/>
      <c r="H272" s="233"/>
      <c r="I272" s="233"/>
      <c r="J272" s="233"/>
    </row>
    <row r="273" spans="1:10" s="41" customFormat="1" outlineLevel="3" x14ac:dyDescent="0.2">
      <c r="A273" s="276"/>
      <c r="D273" s="1335" t="s">
        <v>158</v>
      </c>
      <c r="E273" s="1336"/>
      <c r="F273" s="1336"/>
      <c r="G273" s="1336"/>
      <c r="H273" s="1336"/>
      <c r="I273" s="1336"/>
      <c r="J273" s="1337"/>
    </row>
    <row r="274" spans="1:10" s="41" customFormat="1" outlineLevel="3" x14ac:dyDescent="0.2">
      <c r="A274" s="276"/>
      <c r="D274" s="1328" t="s">
        <v>159</v>
      </c>
      <c r="E274" s="1329"/>
      <c r="F274" s="1329"/>
      <c r="G274" s="1329"/>
      <c r="H274" s="1329"/>
      <c r="I274" s="1329"/>
      <c r="J274" s="1330"/>
    </row>
    <row r="275" spans="1:10" s="41" customFormat="1" ht="15" customHeight="1" outlineLevel="3" x14ac:dyDescent="0.2">
      <c r="A275" s="276"/>
      <c r="C275" s="329" t="s">
        <v>203</v>
      </c>
      <c r="D275" s="386" t="str">
        <f ca="1">dms_y1</f>
        <v>2024-25</v>
      </c>
      <c r="E275" s="291" t="str">
        <f ca="1">dms_y2</f>
        <v>2025-26</v>
      </c>
      <c r="F275" s="290" t="str">
        <f ca="1">dms_y3</f>
        <v>2026-27</v>
      </c>
      <c r="G275" s="290" t="str">
        <f ca="1">dms_y4</f>
        <v>2027-28</v>
      </c>
      <c r="H275" s="290" t="str">
        <f ca="1">dms_y5</f>
        <v>2028-29</v>
      </c>
      <c r="I275" s="290" t="str">
        <f ca="1">dms_y6</f>
        <v>2029-30</v>
      </c>
      <c r="J275" s="387" t="str">
        <f ca="1">dms_y7</f>
        <v>2030-31</v>
      </c>
    </row>
    <row r="276" spans="1:10" ht="20.25" customHeight="1" outlineLevel="3" x14ac:dyDescent="0.25">
      <c r="A276" s="293"/>
      <c r="B276" s="235" t="s">
        <v>204</v>
      </c>
      <c r="C276" s="236"/>
      <c r="D276" s="236"/>
      <c r="E276" s="236"/>
      <c r="F276" s="236"/>
      <c r="G276" s="236"/>
      <c r="H276" s="236"/>
      <c r="I276" s="236"/>
      <c r="J276" s="237"/>
    </row>
    <row r="277" spans="1:10" outlineLevel="3" x14ac:dyDescent="0.25">
      <c r="A277" s="293"/>
      <c r="B277" s="330" t="s">
        <v>192</v>
      </c>
      <c r="C277" s="335" t="s">
        <v>222</v>
      </c>
      <c r="D277" s="1469"/>
      <c r="E277" s="1470"/>
      <c r="F277" s="1471"/>
      <c r="G277" s="1472"/>
      <c r="H277" s="1472"/>
      <c r="I277" s="1472"/>
      <c r="J277" s="1473"/>
    </row>
    <row r="278" spans="1:10" outlineLevel="3" x14ac:dyDescent="0.25">
      <c r="A278" s="293"/>
      <c r="B278" s="331" t="s">
        <v>193</v>
      </c>
      <c r="C278" s="336" t="s">
        <v>207</v>
      </c>
      <c r="D278" s="1469"/>
      <c r="E278" s="1470"/>
      <c r="F278" s="1471"/>
      <c r="G278" s="1472"/>
      <c r="H278" s="1472"/>
      <c r="I278" s="1472"/>
      <c r="J278" s="1473"/>
    </row>
    <row r="279" spans="1:10" ht="15" customHeight="1" outlineLevel="3" x14ac:dyDescent="0.25">
      <c r="A279" s="293"/>
      <c r="B279" s="332" t="s">
        <v>194</v>
      </c>
      <c r="C279" s="337" t="s">
        <v>207</v>
      </c>
      <c r="D279" s="1469"/>
      <c r="E279" s="1470"/>
      <c r="F279" s="1471"/>
      <c r="G279" s="1472"/>
      <c r="H279" s="1472"/>
      <c r="I279" s="1472"/>
      <c r="J279" s="1473"/>
    </row>
    <row r="280" spans="1:10" ht="20.25" customHeight="1" outlineLevel="3" x14ac:dyDescent="0.25">
      <c r="A280" s="293"/>
      <c r="B280" s="235" t="s">
        <v>208</v>
      </c>
      <c r="C280" s="236"/>
      <c r="D280" s="236"/>
      <c r="E280" s="236"/>
      <c r="F280" s="236"/>
      <c r="G280" s="236"/>
      <c r="H280" s="236"/>
      <c r="I280" s="236"/>
      <c r="J280" s="237"/>
    </row>
    <row r="281" spans="1:10" outlineLevel="3" x14ac:dyDescent="0.25">
      <c r="A281" s="293"/>
      <c r="B281" s="330" t="s">
        <v>192</v>
      </c>
      <c r="C281" s="335" t="s">
        <v>222</v>
      </c>
      <c r="D281" s="1469"/>
      <c r="E281" s="1470"/>
      <c r="F281" s="1471"/>
      <c r="G281" s="1472"/>
      <c r="H281" s="1472"/>
      <c r="I281" s="1472"/>
      <c r="J281" s="1473"/>
    </row>
    <row r="282" spans="1:10" outlineLevel="3" x14ac:dyDescent="0.25">
      <c r="A282" s="293"/>
      <c r="B282" s="331" t="s">
        <v>193</v>
      </c>
      <c r="C282" s="336" t="s">
        <v>207</v>
      </c>
      <c r="D282" s="1469"/>
      <c r="E282" s="1470"/>
      <c r="F282" s="1471"/>
      <c r="G282" s="1472"/>
      <c r="H282" s="1472"/>
      <c r="I282" s="1472"/>
      <c r="J282" s="1473"/>
    </row>
    <row r="283" spans="1:10" ht="15" customHeight="1" outlineLevel="3" x14ac:dyDescent="0.25">
      <c r="A283" s="293"/>
      <c r="B283" s="332" t="s">
        <v>194</v>
      </c>
      <c r="C283" s="337" t="s">
        <v>207</v>
      </c>
      <c r="D283" s="1469"/>
      <c r="E283" s="1470"/>
      <c r="F283" s="1471"/>
      <c r="G283" s="1472"/>
      <c r="H283" s="1472"/>
      <c r="I283" s="1472"/>
      <c r="J283" s="1473"/>
    </row>
    <row r="284" spans="1:10" ht="20.25" customHeight="1" outlineLevel="3" x14ac:dyDescent="0.25">
      <c r="A284" s="293"/>
      <c r="B284" s="235" t="s">
        <v>209</v>
      </c>
      <c r="C284" s="236"/>
      <c r="D284" s="236"/>
      <c r="E284" s="236"/>
      <c r="F284" s="236"/>
      <c r="G284" s="236"/>
      <c r="H284" s="236"/>
      <c r="I284" s="236"/>
      <c r="J284" s="237"/>
    </row>
    <row r="285" spans="1:10" outlineLevel="3" x14ac:dyDescent="0.25">
      <c r="A285" s="293"/>
      <c r="B285" s="330" t="s">
        <v>192</v>
      </c>
      <c r="C285" s="335" t="s">
        <v>222</v>
      </c>
      <c r="D285" s="1469"/>
      <c r="E285" s="1470"/>
      <c r="F285" s="1471"/>
      <c r="G285" s="1472"/>
      <c r="H285" s="1472"/>
      <c r="I285" s="1472"/>
      <c r="J285" s="1473"/>
    </row>
    <row r="286" spans="1:10" outlineLevel="3" x14ac:dyDescent="0.25">
      <c r="A286" s="293"/>
      <c r="B286" s="331" t="s">
        <v>193</v>
      </c>
      <c r="C286" s="336" t="s">
        <v>207</v>
      </c>
      <c r="D286" s="1469"/>
      <c r="E286" s="1470"/>
      <c r="F286" s="1471"/>
      <c r="G286" s="1472"/>
      <c r="H286" s="1472"/>
      <c r="I286" s="1472"/>
      <c r="J286" s="1473"/>
    </row>
    <row r="287" spans="1:10" ht="15" customHeight="1" outlineLevel="3" x14ac:dyDescent="0.25">
      <c r="A287" s="293"/>
      <c r="B287" s="332" t="s">
        <v>194</v>
      </c>
      <c r="C287" s="337" t="s">
        <v>207</v>
      </c>
      <c r="D287" s="1469"/>
      <c r="E287" s="1470"/>
      <c r="F287" s="1471"/>
      <c r="G287" s="1472"/>
      <c r="H287" s="1472"/>
      <c r="I287" s="1472"/>
      <c r="J287" s="1473"/>
    </row>
    <row r="288" spans="1:10" ht="20.25" customHeight="1" outlineLevel="3" x14ac:dyDescent="0.25">
      <c r="A288" s="293"/>
      <c r="B288" s="235" t="s">
        <v>210</v>
      </c>
      <c r="C288" s="236"/>
      <c r="D288" s="236"/>
      <c r="E288" s="236"/>
      <c r="F288" s="236"/>
      <c r="G288" s="236"/>
      <c r="H288" s="236"/>
      <c r="I288" s="236"/>
      <c r="J288" s="237"/>
    </row>
    <row r="289" spans="1:10" outlineLevel="3" x14ac:dyDescent="0.25">
      <c r="A289" s="293"/>
      <c r="B289" s="330" t="s">
        <v>192</v>
      </c>
      <c r="C289" s="335" t="s">
        <v>222</v>
      </c>
      <c r="D289" s="1469"/>
      <c r="E289" s="1470"/>
      <c r="F289" s="1471"/>
      <c r="G289" s="1472"/>
      <c r="H289" s="1472"/>
      <c r="I289" s="1472"/>
      <c r="J289" s="1473"/>
    </row>
    <row r="290" spans="1:10" outlineLevel="3" x14ac:dyDescent="0.25">
      <c r="A290" s="293"/>
      <c r="B290" s="331" t="s">
        <v>193</v>
      </c>
      <c r="C290" s="336" t="s">
        <v>207</v>
      </c>
      <c r="D290" s="1469"/>
      <c r="E290" s="1470"/>
      <c r="F290" s="1471"/>
      <c r="G290" s="1472"/>
      <c r="H290" s="1472"/>
      <c r="I290" s="1472"/>
      <c r="J290" s="1473"/>
    </row>
    <row r="291" spans="1:10" ht="15" customHeight="1" outlineLevel="3" x14ac:dyDescent="0.25">
      <c r="A291" s="293"/>
      <c r="B291" s="332" t="s">
        <v>194</v>
      </c>
      <c r="C291" s="337" t="s">
        <v>207</v>
      </c>
      <c r="D291" s="1469"/>
      <c r="E291" s="1470"/>
      <c r="F291" s="1471"/>
      <c r="G291" s="1472"/>
      <c r="H291" s="1472"/>
      <c r="I291" s="1472"/>
      <c r="J291" s="1473"/>
    </row>
    <row r="292" spans="1:10" ht="20.25" customHeight="1" outlineLevel="3" x14ac:dyDescent="0.25">
      <c r="A292" s="293"/>
      <c r="B292" s="235" t="s">
        <v>211</v>
      </c>
      <c r="C292" s="236"/>
      <c r="D292" s="236"/>
      <c r="E292" s="236"/>
      <c r="F292" s="236"/>
      <c r="G292" s="236"/>
      <c r="H292" s="236"/>
      <c r="I292" s="236"/>
      <c r="J292" s="237"/>
    </row>
    <row r="293" spans="1:10" outlineLevel="3" x14ac:dyDescent="0.25">
      <c r="A293" s="293"/>
      <c r="B293" s="330" t="s">
        <v>192</v>
      </c>
      <c r="C293" s="335" t="s">
        <v>222</v>
      </c>
      <c r="D293" s="1469"/>
      <c r="E293" s="1470"/>
      <c r="F293" s="1471"/>
      <c r="G293" s="1472"/>
      <c r="H293" s="1472"/>
      <c r="I293" s="1472"/>
      <c r="J293" s="1473"/>
    </row>
    <row r="294" spans="1:10" outlineLevel="3" x14ac:dyDescent="0.25">
      <c r="A294" s="293"/>
      <c r="B294" s="331" t="s">
        <v>193</v>
      </c>
      <c r="C294" s="336" t="s">
        <v>207</v>
      </c>
      <c r="D294" s="1469"/>
      <c r="E294" s="1470"/>
      <c r="F294" s="1471"/>
      <c r="G294" s="1472"/>
      <c r="H294" s="1472"/>
      <c r="I294" s="1472"/>
      <c r="J294" s="1473"/>
    </row>
    <row r="295" spans="1:10" ht="15" customHeight="1" outlineLevel="3" x14ac:dyDescent="0.25">
      <c r="A295" s="293"/>
      <c r="B295" s="528" t="s">
        <v>194</v>
      </c>
      <c r="C295" s="337" t="s">
        <v>207</v>
      </c>
      <c r="D295" s="1474"/>
      <c r="E295" s="1475"/>
      <c r="F295" s="1476"/>
      <c r="G295" s="1477"/>
      <c r="H295" s="1477"/>
      <c r="I295" s="1477"/>
      <c r="J295" s="1478"/>
    </row>
    <row r="296" spans="1:10" ht="20.25" customHeight="1" outlineLevel="3" x14ac:dyDescent="0.25">
      <c r="A296" s="293"/>
      <c r="B296" s="235" t="s">
        <v>212</v>
      </c>
      <c r="C296" s="236"/>
      <c r="D296" s="236"/>
      <c r="E296" s="236"/>
      <c r="F296" s="236"/>
      <c r="G296" s="236"/>
      <c r="H296" s="236"/>
      <c r="I296" s="236"/>
      <c r="J296" s="237"/>
    </row>
    <row r="297" spans="1:10" outlineLevel="3" x14ac:dyDescent="0.25">
      <c r="A297" s="293"/>
      <c r="B297" s="330" t="s">
        <v>192</v>
      </c>
      <c r="C297" s="335" t="s">
        <v>222</v>
      </c>
      <c r="D297" s="1469"/>
      <c r="E297" s="1470"/>
      <c r="F297" s="1471"/>
      <c r="G297" s="1472"/>
      <c r="H297" s="1472"/>
      <c r="I297" s="1472"/>
      <c r="J297" s="1473"/>
    </row>
    <row r="298" spans="1:10" outlineLevel="3" x14ac:dyDescent="0.25">
      <c r="A298" s="293"/>
      <c r="B298" s="331" t="s">
        <v>193</v>
      </c>
      <c r="C298" s="336" t="s">
        <v>207</v>
      </c>
      <c r="D298" s="1469"/>
      <c r="E298" s="1470"/>
      <c r="F298" s="1471"/>
      <c r="G298" s="1472"/>
      <c r="H298" s="1472"/>
      <c r="I298" s="1472"/>
      <c r="J298" s="1473"/>
    </row>
    <row r="299" spans="1:10" ht="15" customHeight="1" outlineLevel="3" x14ac:dyDescent="0.25">
      <c r="A299" s="293"/>
      <c r="B299" s="528" t="s">
        <v>194</v>
      </c>
      <c r="C299" s="337" t="s">
        <v>207</v>
      </c>
      <c r="D299" s="1474"/>
      <c r="E299" s="1475"/>
      <c r="F299" s="1476"/>
      <c r="G299" s="1477"/>
      <c r="H299" s="1477"/>
      <c r="I299" s="1477"/>
      <c r="J299" s="1478"/>
    </row>
    <row r="300" spans="1:10" ht="20.25" customHeight="1" outlineLevel="1" x14ac:dyDescent="0.25"/>
    <row r="302" spans="1:10" ht="15" customHeight="1" x14ac:dyDescent="0.25">
      <c r="A302" s="238"/>
    </row>
    <row r="303" spans="1:10" s="322" customFormat="1" ht="27.95" customHeight="1" x14ac:dyDescent="0.2">
      <c r="A303" s="321"/>
      <c r="B303" s="31" t="s">
        <v>223</v>
      </c>
      <c r="C303" s="31"/>
      <c r="D303" s="31"/>
      <c r="E303" s="31"/>
      <c r="F303" s="31"/>
      <c r="G303" s="31"/>
      <c r="H303" s="31"/>
      <c r="I303" s="31"/>
      <c r="J303" s="31"/>
    </row>
    <row r="304" spans="1:10" ht="27" customHeight="1" outlineLevel="1" x14ac:dyDescent="0.25">
      <c r="A304" s="321"/>
      <c r="B304" s="232" t="s">
        <v>224</v>
      </c>
      <c r="C304" s="233"/>
      <c r="D304" s="233"/>
      <c r="E304" s="233"/>
      <c r="F304" s="233"/>
      <c r="G304" s="233"/>
      <c r="H304" s="233"/>
      <c r="I304" s="233"/>
      <c r="J304" s="233"/>
    </row>
    <row r="305" spans="1:10" outlineLevel="3" x14ac:dyDescent="0.25">
      <c r="D305" s="1331" t="s">
        <v>225</v>
      </c>
      <c r="E305" s="1331"/>
      <c r="F305" s="1331"/>
      <c r="G305" s="1331"/>
      <c r="H305" s="1331"/>
      <c r="I305" s="1331"/>
      <c r="J305" s="1331"/>
    </row>
    <row r="306" spans="1:10" ht="15" customHeight="1" outlineLevel="3" x14ac:dyDescent="0.25">
      <c r="D306" s="1331" t="str">
        <f ca="1">CONCATENATE("$, real ",dms_DollarReal)</f>
        <v>$, real June 2026</v>
      </c>
      <c r="E306" s="1331"/>
      <c r="F306" s="1331"/>
      <c r="G306" s="1331"/>
      <c r="H306" s="1331"/>
      <c r="I306" s="1331"/>
      <c r="J306" s="1331"/>
    </row>
    <row r="307" spans="1:10" ht="15" customHeight="1" outlineLevel="3" x14ac:dyDescent="0.25">
      <c r="D307" s="298" t="str">
        <f ca="1">dms_y1</f>
        <v>2024-25</v>
      </c>
      <c r="E307" s="298" t="str">
        <f ca="1">dms_y2</f>
        <v>2025-26</v>
      </c>
      <c r="F307" s="298" t="str">
        <f ca="1">dms_y3</f>
        <v>2026-27</v>
      </c>
      <c r="G307" s="298" t="str">
        <f ca="1">dms_y4</f>
        <v>2027-28</v>
      </c>
      <c r="H307" s="298" t="str">
        <f ca="1">dms_y5</f>
        <v>2028-29</v>
      </c>
      <c r="I307" s="298" t="str">
        <f ca="1">dms_y6</f>
        <v>2029-30</v>
      </c>
      <c r="J307" s="298" t="str">
        <f ca="1">dms_y7</f>
        <v>2030-31</v>
      </c>
    </row>
    <row r="308" spans="1:10" outlineLevel="3" x14ac:dyDescent="0.25">
      <c r="A308" s="276"/>
      <c r="B308" s="340" t="s">
        <v>215</v>
      </c>
      <c r="C308" s="341"/>
      <c r="D308" s="268">
        <v>9230</v>
      </c>
      <c r="E308" s="388">
        <v>0</v>
      </c>
      <c r="F308" s="389">
        <v>0</v>
      </c>
      <c r="G308" s="267">
        <v>0</v>
      </c>
      <c r="H308" s="267">
        <v>0</v>
      </c>
      <c r="I308" s="267">
        <v>0</v>
      </c>
      <c r="J308" s="269">
        <v>0</v>
      </c>
    </row>
    <row r="309" spans="1:10" outlineLevel="3" x14ac:dyDescent="0.25">
      <c r="A309" s="276"/>
      <c r="B309" s="342" t="s">
        <v>216</v>
      </c>
      <c r="C309" s="343"/>
      <c r="D309" s="270">
        <v>16196</v>
      </c>
      <c r="E309" s="292">
        <v>21401</v>
      </c>
      <c r="F309" s="295">
        <v>67874</v>
      </c>
      <c r="G309" s="256">
        <v>65735</v>
      </c>
      <c r="H309" s="256">
        <v>67800</v>
      </c>
      <c r="I309" s="256">
        <v>68897</v>
      </c>
      <c r="J309" s="257">
        <v>69280</v>
      </c>
    </row>
    <row r="310" spans="1:10" outlineLevel="3" x14ac:dyDescent="0.25">
      <c r="A310" s="276"/>
      <c r="B310" s="342" t="s">
        <v>217</v>
      </c>
      <c r="C310" s="343"/>
      <c r="D310" s="266">
        <v>4569</v>
      </c>
      <c r="E310" s="388">
        <v>646</v>
      </c>
      <c r="F310" s="389">
        <v>2050</v>
      </c>
      <c r="G310" s="267">
        <v>1986</v>
      </c>
      <c r="H310" s="267">
        <v>2049</v>
      </c>
      <c r="I310" s="267">
        <v>2082</v>
      </c>
      <c r="J310" s="269">
        <v>2094</v>
      </c>
    </row>
    <row r="311" spans="1:10" outlineLevel="3" x14ac:dyDescent="0.25">
      <c r="A311" s="276"/>
      <c r="B311" s="342" t="s">
        <v>226</v>
      </c>
      <c r="C311" s="343"/>
      <c r="D311" s="266">
        <v>175079</v>
      </c>
      <c r="E311" s="388">
        <v>14953</v>
      </c>
      <c r="F311" s="389">
        <v>49135</v>
      </c>
      <c r="G311" s="267">
        <v>49730</v>
      </c>
      <c r="H311" s="267">
        <v>50434</v>
      </c>
      <c r="I311" s="267">
        <v>51231</v>
      </c>
      <c r="J311" s="269">
        <v>52108</v>
      </c>
    </row>
    <row r="312" spans="1:10" outlineLevel="3" x14ac:dyDescent="0.25">
      <c r="A312" s="276"/>
      <c r="B312" s="342" t="s">
        <v>227</v>
      </c>
      <c r="C312" s="1445"/>
      <c r="D312" s="588">
        <v>0</v>
      </c>
      <c r="E312" s="1443">
        <v>0</v>
      </c>
      <c r="F312" s="1444">
        <v>0</v>
      </c>
      <c r="G312" s="589">
        <v>0</v>
      </c>
      <c r="H312" s="589">
        <v>0</v>
      </c>
      <c r="I312" s="589">
        <v>0</v>
      </c>
      <c r="J312" s="590">
        <v>0</v>
      </c>
    </row>
    <row r="313" spans="1:10" ht="15" customHeight="1" outlineLevel="3" x14ac:dyDescent="0.25">
      <c r="A313" s="276"/>
      <c r="B313" s="344" t="s">
        <v>220</v>
      </c>
      <c r="C313" s="345"/>
      <c r="D313" s="315">
        <v>0</v>
      </c>
      <c r="E313" s="390">
        <v>0</v>
      </c>
      <c r="F313" s="385">
        <v>0</v>
      </c>
      <c r="G313" s="316">
        <v>0</v>
      </c>
      <c r="H313" s="316">
        <v>0</v>
      </c>
      <c r="I313" s="316">
        <v>0</v>
      </c>
      <c r="J313" s="317">
        <v>0</v>
      </c>
    </row>
    <row r="314" spans="1:10" ht="15" customHeight="1" outlineLevel="3" x14ac:dyDescent="0.25">
      <c r="B314" s="513"/>
      <c r="C314" s="514" t="s">
        <v>112</v>
      </c>
      <c r="D314" s="514">
        <f t="shared" ref="D314:J314" si="43">SUM(D308:D313)</f>
        <v>205074</v>
      </c>
      <c r="E314" s="514">
        <f t="shared" si="43"/>
        <v>37000</v>
      </c>
      <c r="F314" s="514">
        <f t="shared" si="43"/>
        <v>119059</v>
      </c>
      <c r="G314" s="514">
        <f t="shared" si="43"/>
        <v>117451</v>
      </c>
      <c r="H314" s="514">
        <f t="shared" si="43"/>
        <v>120283</v>
      </c>
      <c r="I314" s="514">
        <f t="shared" si="43"/>
        <v>122210</v>
      </c>
      <c r="J314" s="515">
        <f t="shared" si="43"/>
        <v>123482</v>
      </c>
    </row>
    <row r="315" spans="1:10" ht="15" customHeight="1" outlineLevel="1" x14ac:dyDescent="0.25"/>
    <row r="316" spans="1:10" ht="27" customHeight="1" outlineLevel="1" x14ac:dyDescent="0.25">
      <c r="A316" s="321"/>
      <c r="B316" s="232" t="s">
        <v>228</v>
      </c>
      <c r="C316" s="233"/>
      <c r="D316" s="233"/>
      <c r="E316" s="233"/>
      <c r="F316" s="233"/>
      <c r="G316" s="233"/>
      <c r="H316" s="233"/>
      <c r="I316" s="233"/>
      <c r="J316" s="233"/>
    </row>
    <row r="317" spans="1:10" outlineLevel="3" x14ac:dyDescent="0.25">
      <c r="D317" s="1335" t="s">
        <v>158</v>
      </c>
      <c r="E317" s="1336"/>
      <c r="F317" s="1336"/>
      <c r="G317" s="1336"/>
      <c r="H317" s="1336"/>
      <c r="I317" s="1336"/>
      <c r="J317" s="1337"/>
    </row>
    <row r="318" spans="1:10" outlineLevel="3" x14ac:dyDescent="0.25">
      <c r="D318" s="1328" t="s">
        <v>229</v>
      </c>
      <c r="E318" s="1329"/>
      <c r="F318" s="1329"/>
      <c r="G318" s="1329"/>
      <c r="H318" s="1329"/>
      <c r="I318" s="1329"/>
      <c r="J318" s="1330"/>
    </row>
    <row r="319" spans="1:10" ht="15" customHeight="1" outlineLevel="3" x14ac:dyDescent="0.25">
      <c r="D319" s="386" t="str">
        <f ca="1">dms_y1</f>
        <v>2024-25</v>
      </c>
      <c r="E319" s="291" t="str">
        <f ca="1">dms_y2</f>
        <v>2025-26</v>
      </c>
      <c r="F319" s="290" t="str">
        <f ca="1">dms_y3</f>
        <v>2026-27</v>
      </c>
      <c r="G319" s="290" t="str">
        <f ca="1">dms_y4</f>
        <v>2027-28</v>
      </c>
      <c r="H319" s="290" t="str">
        <f ca="1">dms_y5</f>
        <v>2028-29</v>
      </c>
      <c r="I319" s="290" t="str">
        <f ca="1">dms_y6</f>
        <v>2029-30</v>
      </c>
      <c r="J319" s="387" t="str">
        <f ca="1">dms_y7</f>
        <v>2030-31</v>
      </c>
    </row>
    <row r="320" spans="1:10" outlineLevel="3" x14ac:dyDescent="0.25">
      <c r="A320" s="276"/>
      <c r="B320" s="340" t="s">
        <v>215</v>
      </c>
      <c r="C320" s="341"/>
      <c r="D320" s="264">
        <v>4</v>
      </c>
      <c r="E320" s="539">
        <v>0</v>
      </c>
      <c r="F320" s="294">
        <v>0</v>
      </c>
      <c r="G320" s="262">
        <v>0</v>
      </c>
      <c r="H320" s="262">
        <v>0</v>
      </c>
      <c r="I320" s="262">
        <v>0</v>
      </c>
      <c r="J320" s="265">
        <v>0</v>
      </c>
    </row>
    <row r="321" spans="1:10" outlineLevel="3" x14ac:dyDescent="0.25">
      <c r="A321" s="276"/>
      <c r="B321" s="342" t="s">
        <v>216</v>
      </c>
      <c r="C321" s="343"/>
      <c r="D321" s="270">
        <v>1</v>
      </c>
      <c r="E321" s="292">
        <v>1</v>
      </c>
      <c r="F321" s="295">
        <v>2</v>
      </c>
      <c r="G321" s="256">
        <v>2</v>
      </c>
      <c r="H321" s="256">
        <v>2</v>
      </c>
      <c r="I321" s="256">
        <v>2</v>
      </c>
      <c r="J321" s="257">
        <v>2</v>
      </c>
    </row>
    <row r="322" spans="1:10" outlineLevel="3" x14ac:dyDescent="0.25">
      <c r="A322" s="276"/>
      <c r="B322" s="342" t="s">
        <v>217</v>
      </c>
      <c r="C322" s="343"/>
      <c r="D322" s="266">
        <v>1</v>
      </c>
      <c r="E322" s="388">
        <v>0</v>
      </c>
      <c r="F322" s="389">
        <v>1</v>
      </c>
      <c r="G322" s="267">
        <v>1</v>
      </c>
      <c r="H322" s="267">
        <v>1</v>
      </c>
      <c r="I322" s="267">
        <v>1</v>
      </c>
      <c r="J322" s="269">
        <v>1</v>
      </c>
    </row>
    <row r="323" spans="1:10" outlineLevel="3" x14ac:dyDescent="0.25">
      <c r="A323" s="276"/>
      <c r="B323" s="342" t="s">
        <v>226</v>
      </c>
      <c r="C323" s="343"/>
      <c r="D323" s="266">
        <v>6</v>
      </c>
      <c r="E323" s="388">
        <v>1</v>
      </c>
      <c r="F323" s="389">
        <v>2</v>
      </c>
      <c r="G323" s="267">
        <v>2</v>
      </c>
      <c r="H323" s="267">
        <v>2</v>
      </c>
      <c r="I323" s="267">
        <v>2</v>
      </c>
      <c r="J323" s="269">
        <v>2</v>
      </c>
    </row>
    <row r="324" spans="1:10" outlineLevel="3" x14ac:dyDescent="0.25">
      <c r="A324" s="276"/>
      <c r="B324" s="342" t="s">
        <v>227</v>
      </c>
      <c r="C324" s="1445"/>
      <c r="D324" s="588">
        <v>0</v>
      </c>
      <c r="E324" s="1443">
        <v>0</v>
      </c>
      <c r="F324" s="1444">
        <v>0</v>
      </c>
      <c r="G324" s="589">
        <v>0</v>
      </c>
      <c r="H324" s="589">
        <v>0</v>
      </c>
      <c r="I324" s="589">
        <v>0</v>
      </c>
      <c r="J324" s="590">
        <v>0</v>
      </c>
    </row>
    <row r="325" spans="1:10" ht="15" customHeight="1" outlineLevel="3" x14ac:dyDescent="0.25">
      <c r="A325" s="276"/>
      <c r="B325" s="344" t="s">
        <v>220</v>
      </c>
      <c r="C325" s="345"/>
      <c r="D325" s="303">
        <v>0</v>
      </c>
      <c r="E325" s="537">
        <v>0</v>
      </c>
      <c r="F325" s="391">
        <v>0</v>
      </c>
      <c r="G325" s="305">
        <v>0</v>
      </c>
      <c r="H325" s="305">
        <v>0</v>
      </c>
      <c r="I325" s="305">
        <v>0</v>
      </c>
      <c r="J325" s="538">
        <v>0</v>
      </c>
    </row>
    <row r="326" spans="1:10" ht="15" customHeight="1" outlineLevel="3" x14ac:dyDescent="0.25">
      <c r="B326" s="513"/>
      <c r="C326" s="514" t="s">
        <v>112</v>
      </c>
      <c r="D326" s="514">
        <f t="shared" ref="D326:J326" si="44">SUM(D320:D325)</f>
        <v>12</v>
      </c>
      <c r="E326" s="514">
        <f t="shared" si="44"/>
        <v>2</v>
      </c>
      <c r="F326" s="514">
        <f t="shared" si="44"/>
        <v>5</v>
      </c>
      <c r="G326" s="514">
        <f t="shared" si="44"/>
        <v>5</v>
      </c>
      <c r="H326" s="514">
        <f t="shared" si="44"/>
        <v>5</v>
      </c>
      <c r="I326" s="514">
        <f t="shared" si="44"/>
        <v>5</v>
      </c>
      <c r="J326" s="515">
        <f t="shared" si="44"/>
        <v>5</v>
      </c>
    </row>
    <row r="327" spans="1:10" ht="20.25" customHeight="1" outlineLevel="1" x14ac:dyDescent="0.25"/>
  </sheetData>
  <sheetProtection algorithmName="SHA-256" hashValue="8tAh5omZC39ez+1tKJy1jPWJLarkzpJNd+UnyslQRnY=" saltValue="6lWGVqTK/XFrizSDEFWdgw=="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7375E"/>
  </sheetPr>
  <dimension ref="A1:K145"/>
  <sheetViews>
    <sheetView showGridLines="0" workbookViewId="0">
      <selection activeCell="B32" sqref="B32"/>
    </sheetView>
  </sheetViews>
  <sheetFormatPr defaultColWidth="9.140625" defaultRowHeight="15" outlineLevelRow="1" x14ac:dyDescent="0.25"/>
  <cols>
    <col min="1" max="1" width="23.28515625" customWidth="1"/>
    <col min="2" max="2" width="79.85546875" customWidth="1"/>
    <col min="3" max="9" width="20.7109375" customWidth="1"/>
  </cols>
  <sheetData>
    <row r="1" spans="1:11" ht="30" customHeight="1" x14ac:dyDescent="0.25">
      <c r="A1" s="1068"/>
      <c r="B1" s="1069" t="str">
        <f>INDEX(dms_Worksheet_List,MATCH(dms_Model,dms_Model_List))</f>
        <v>REGULATORY REPORTING STATEMENT</v>
      </c>
      <c r="C1" s="25"/>
      <c r="D1" s="25"/>
      <c r="E1" s="25"/>
      <c r="F1" s="25"/>
      <c r="G1" s="25"/>
      <c r="H1" s="25"/>
      <c r="I1" s="25"/>
    </row>
    <row r="2" spans="1:11" ht="30" customHeight="1" x14ac:dyDescent="0.25">
      <c r="A2" s="1069"/>
      <c r="B2" s="1069" t="str">
        <f>dms_TradingNameFull</f>
        <v>Icon Distribution Investments Limited (ABN 83 073 025 224) and Jemena Networks (ACT) Pty Ltd (ABN 24 008 552 663)</v>
      </c>
      <c r="C2" s="25"/>
      <c r="D2" s="25"/>
      <c r="E2" s="25"/>
      <c r="F2" s="25"/>
      <c r="G2" s="25"/>
      <c r="H2" s="25"/>
      <c r="I2" s="25"/>
    </row>
    <row r="3" spans="1:11" ht="30" customHeight="1" x14ac:dyDescent="0.25">
      <c r="A3" s="1071"/>
      <c r="B3" s="1071" t="str">
        <f ca="1">dms_Header_Span</f>
        <v>2024-25 to 2030-31</v>
      </c>
      <c r="C3" s="25"/>
      <c r="D3" s="25"/>
      <c r="E3" s="25"/>
      <c r="F3" s="25"/>
      <c r="G3" s="25"/>
      <c r="H3" s="25"/>
      <c r="I3" s="25"/>
    </row>
    <row r="4" spans="1:11" ht="30" customHeight="1" x14ac:dyDescent="0.25">
      <c r="A4" s="383"/>
      <c r="B4" s="383" t="s">
        <v>230</v>
      </c>
      <c r="C4" s="383"/>
      <c r="D4" s="383"/>
      <c r="E4" s="383"/>
      <c r="F4" s="383"/>
      <c r="G4" s="383"/>
      <c r="H4" s="383"/>
      <c r="I4" s="383"/>
    </row>
    <row r="5" spans="1:11" ht="30" customHeight="1" x14ac:dyDescent="0.25">
      <c r="B5" s="1440" t="s">
        <v>96</v>
      </c>
      <c r="C5" s="1440"/>
      <c r="D5" s="1440"/>
      <c r="E5" s="1440"/>
      <c r="F5" s="1440"/>
      <c r="G5" s="1440"/>
      <c r="H5" s="1440"/>
      <c r="I5" s="1440"/>
    </row>
    <row r="6" spans="1:11" ht="15" customHeight="1" x14ac:dyDescent="0.25"/>
    <row r="7" spans="1:11" ht="28.5" customHeight="1" x14ac:dyDescent="0.25">
      <c r="B7" s="31" t="s">
        <v>231</v>
      </c>
      <c r="C7" s="31"/>
      <c r="D7" s="31"/>
      <c r="E7" s="31"/>
      <c r="F7" s="31"/>
      <c r="G7" s="31"/>
      <c r="H7" s="31"/>
      <c r="I7" s="31"/>
      <c r="J7" s="299"/>
      <c r="K7" s="299"/>
    </row>
    <row r="9" spans="1:11" ht="18.600000000000001" customHeight="1" x14ac:dyDescent="0.3">
      <c r="B9" s="493" t="s">
        <v>125</v>
      </c>
    </row>
    <row r="10" spans="1:11" x14ac:dyDescent="0.25">
      <c r="B10" s="591" t="s">
        <v>163</v>
      </c>
    </row>
    <row r="11" spans="1:11" x14ac:dyDescent="0.25">
      <c r="B11" s="592"/>
    </row>
    <row r="12" spans="1:11" x14ac:dyDescent="0.25">
      <c r="B12" s="592"/>
    </row>
    <row r="13" spans="1:11" x14ac:dyDescent="0.25">
      <c r="B13" s="592"/>
    </row>
    <row r="14" spans="1:11" x14ac:dyDescent="0.25">
      <c r="B14" s="592"/>
    </row>
    <row r="15" spans="1:11" x14ac:dyDescent="0.25">
      <c r="B15" s="592"/>
    </row>
    <row r="16" spans="1:11" x14ac:dyDescent="0.25">
      <c r="B16" s="592"/>
    </row>
    <row r="17" spans="1:11" x14ac:dyDescent="0.25">
      <c r="B17" s="592"/>
    </row>
    <row r="18" spans="1:11" x14ac:dyDescent="0.25">
      <c r="B18" s="592"/>
    </row>
    <row r="19" spans="1:11" x14ac:dyDescent="0.25">
      <c r="B19" s="592"/>
    </row>
    <row r="20" spans="1:11" x14ac:dyDescent="0.25">
      <c r="B20" s="592"/>
    </row>
    <row r="21" spans="1:11" x14ac:dyDescent="0.25">
      <c r="B21" s="592"/>
    </row>
    <row r="22" spans="1:11" x14ac:dyDescent="0.25">
      <c r="B22" s="592"/>
    </row>
    <row r="23" spans="1:11" x14ac:dyDescent="0.25">
      <c r="B23" s="592"/>
    </row>
    <row r="24" spans="1:11" ht="15" customHeight="1" x14ac:dyDescent="0.25">
      <c r="B24" s="593"/>
    </row>
    <row r="26" spans="1:11" ht="15" customHeight="1" x14ac:dyDescent="0.25"/>
    <row r="27" spans="1:11" s="41" customFormat="1" ht="24" customHeight="1" x14ac:dyDescent="0.2">
      <c r="B27" s="232" t="s">
        <v>232</v>
      </c>
      <c r="C27" s="233"/>
      <c r="D27" s="233"/>
      <c r="E27" s="233"/>
      <c r="F27" s="233"/>
      <c r="G27" s="233"/>
      <c r="H27" s="233"/>
      <c r="I27" s="233"/>
      <c r="J27" s="299"/>
      <c r="K27" s="299"/>
    </row>
    <row r="28" spans="1:11" ht="21.75" customHeight="1" x14ac:dyDescent="0.25">
      <c r="B28" s="235" t="s">
        <v>135</v>
      </c>
      <c r="C28" s="236"/>
      <c r="D28" s="236"/>
      <c r="E28" s="236"/>
      <c r="F28" s="236"/>
      <c r="G28" s="236"/>
      <c r="H28" s="236"/>
      <c r="I28" s="236"/>
    </row>
    <row r="29" spans="1:11" s="41" customFormat="1" ht="15" hidden="1" customHeight="1" outlineLevel="1" x14ac:dyDescent="0.2">
      <c r="A29" s="276"/>
      <c r="C29" s="1331" t="s">
        <v>24</v>
      </c>
      <c r="D29" s="1331"/>
      <c r="E29" s="1331"/>
      <c r="F29" s="1331"/>
      <c r="G29" s="1331"/>
      <c r="H29" s="1331"/>
      <c r="I29" s="1331"/>
      <c r="J29" s="299"/>
      <c r="K29" s="299"/>
    </row>
    <row r="30" spans="1:11" s="41" customFormat="1" ht="15" hidden="1" customHeight="1" outlineLevel="1" x14ac:dyDescent="0.2">
      <c r="A30" s="276"/>
      <c r="C30" s="1331" t="str">
        <f ca="1">CONCATENATE("$, real ",dms_DollarReal)</f>
        <v>$, real June 2026</v>
      </c>
      <c r="D30" s="1331"/>
      <c r="E30" s="1331"/>
      <c r="F30" s="1331"/>
      <c r="G30" s="1331"/>
      <c r="H30" s="1331"/>
      <c r="I30" s="1331"/>
      <c r="J30" s="299"/>
      <c r="K30" s="299"/>
    </row>
    <row r="31" spans="1:11" s="41" customFormat="1" ht="15.75" hidden="1" customHeight="1" outlineLevel="1" x14ac:dyDescent="0.25">
      <c r="A31" s="276"/>
      <c r="B31" s="302"/>
      <c r="C31" s="298" t="str">
        <f ca="1">dms_y1</f>
        <v>2024-25</v>
      </c>
      <c r="D31" s="298" t="str">
        <f ca="1">dms_y2</f>
        <v>2025-26</v>
      </c>
      <c r="E31" s="298" t="str">
        <f ca="1">dms_y3</f>
        <v>2026-27</v>
      </c>
      <c r="F31" s="298" t="str">
        <f ca="1">dms_y4</f>
        <v>2027-28</v>
      </c>
      <c r="G31" s="298" t="str">
        <f ca="1">dms_y5</f>
        <v>2028-29</v>
      </c>
      <c r="H31" s="298" t="str">
        <f ca="1">dms_y6</f>
        <v>2029-30</v>
      </c>
      <c r="I31" s="298" t="str">
        <f ca="1">dms_y7</f>
        <v>2030-31</v>
      </c>
      <c r="K31" s="299"/>
    </row>
    <row r="32" spans="1:11" ht="15.75" hidden="1" customHeight="1" outlineLevel="1" x14ac:dyDescent="0.25">
      <c r="B32" s="527" t="s">
        <v>233</v>
      </c>
      <c r="C32" s="261"/>
      <c r="D32" s="263"/>
      <c r="E32" s="294"/>
      <c r="F32" s="262"/>
      <c r="G32" s="262"/>
      <c r="H32" s="262"/>
      <c r="I32" s="265"/>
    </row>
    <row r="33" spans="2:9" ht="15.75" hidden="1" customHeight="1" outlineLevel="1" x14ac:dyDescent="0.25">
      <c r="B33" s="506" t="s">
        <v>127</v>
      </c>
      <c r="C33" s="270"/>
      <c r="D33" s="271"/>
      <c r="E33" s="295"/>
      <c r="F33" s="256"/>
      <c r="G33" s="256"/>
      <c r="H33" s="256"/>
      <c r="I33" s="257"/>
    </row>
    <row r="34" spans="2:9" ht="15.75" hidden="1" customHeight="1" outlineLevel="1" x14ac:dyDescent="0.25">
      <c r="B34" s="506" t="s">
        <v>128</v>
      </c>
      <c r="C34" s="270"/>
      <c r="D34" s="271"/>
      <c r="E34" s="295"/>
      <c r="F34" s="256"/>
      <c r="G34" s="256"/>
      <c r="H34" s="256"/>
      <c r="I34" s="257"/>
    </row>
    <row r="35" spans="2:9" ht="15.75" hidden="1" customHeight="1" outlineLevel="1" x14ac:dyDescent="0.25">
      <c r="B35" s="506" t="s">
        <v>129</v>
      </c>
      <c r="C35" s="270"/>
      <c r="D35" s="271"/>
      <c r="E35" s="295"/>
      <c r="F35" s="256"/>
      <c r="G35" s="256"/>
      <c r="H35" s="256"/>
      <c r="I35" s="257"/>
    </row>
    <row r="36" spans="2:9" ht="15.75" hidden="1" customHeight="1" outlineLevel="1" x14ac:dyDescent="0.25">
      <c r="B36" s="506" t="s">
        <v>130</v>
      </c>
      <c r="C36" s="270"/>
      <c r="D36" s="271"/>
      <c r="E36" s="295"/>
      <c r="F36" s="256"/>
      <c r="G36" s="256"/>
      <c r="H36" s="256"/>
      <c r="I36" s="257"/>
    </row>
    <row r="37" spans="2:9" ht="15.75" hidden="1" customHeight="1" outlineLevel="1" x14ac:dyDescent="0.25">
      <c r="B37" s="506" t="s">
        <v>131</v>
      </c>
      <c r="C37" s="270"/>
      <c r="D37" s="271"/>
      <c r="E37" s="295"/>
      <c r="F37" s="256"/>
      <c r="G37" s="256"/>
      <c r="H37" s="256"/>
      <c r="I37" s="257"/>
    </row>
    <row r="38" spans="2:9" ht="15.75" hidden="1" customHeight="1" outlineLevel="1" x14ac:dyDescent="0.25">
      <c r="B38" s="506" t="s">
        <v>132</v>
      </c>
      <c r="C38" s="270"/>
      <c r="D38" s="271"/>
      <c r="E38" s="295"/>
      <c r="F38" s="256"/>
      <c r="G38" s="256"/>
      <c r="H38" s="256"/>
      <c r="I38" s="257"/>
    </row>
    <row r="39" spans="2:9" ht="15.75" hidden="1" customHeight="1" outlineLevel="1" x14ac:dyDescent="0.25">
      <c r="B39" s="506" t="s">
        <v>234</v>
      </c>
      <c r="C39" s="270"/>
      <c r="D39" s="271"/>
      <c r="E39" s="295"/>
      <c r="F39" s="256"/>
      <c r="G39" s="256"/>
      <c r="H39" s="256"/>
      <c r="I39" s="257"/>
    </row>
    <row r="40" spans="2:9" ht="15.75" hidden="1" customHeight="1" outlineLevel="1" x14ac:dyDescent="0.25">
      <c r="B40" s="506" t="s">
        <v>235</v>
      </c>
      <c r="C40" s="270"/>
      <c r="D40" s="271"/>
      <c r="E40" s="295"/>
      <c r="F40" s="256"/>
      <c r="G40" s="256"/>
      <c r="H40" s="256"/>
      <c r="I40" s="257"/>
    </row>
    <row r="41" spans="2:9" ht="15.75" hidden="1" customHeight="1" outlineLevel="1" x14ac:dyDescent="0.25">
      <c r="B41" s="506"/>
      <c r="C41" s="270"/>
      <c r="D41" s="271"/>
      <c r="E41" s="295"/>
      <c r="F41" s="256"/>
      <c r="G41" s="256"/>
      <c r="H41" s="256"/>
      <c r="I41" s="257"/>
    </row>
    <row r="42" spans="2:9" ht="15.75" hidden="1" customHeight="1" outlineLevel="1" x14ac:dyDescent="0.25">
      <c r="B42" s="506"/>
      <c r="C42" s="270"/>
      <c r="D42" s="271"/>
      <c r="E42" s="295"/>
      <c r="F42" s="256"/>
      <c r="G42" s="256"/>
      <c r="H42" s="256"/>
      <c r="I42" s="257"/>
    </row>
    <row r="43" spans="2:9" ht="15.75" hidden="1" customHeight="1" outlineLevel="1" x14ac:dyDescent="0.25">
      <c r="B43" s="506"/>
      <c r="C43" s="270"/>
      <c r="D43" s="271"/>
      <c r="E43" s="295"/>
      <c r="F43" s="256"/>
      <c r="G43" s="256"/>
      <c r="H43" s="256"/>
      <c r="I43" s="257"/>
    </row>
    <row r="44" spans="2:9" ht="15.75" hidden="1" customHeight="1" outlineLevel="1" x14ac:dyDescent="0.25">
      <c r="B44" s="506"/>
      <c r="C44" s="270"/>
      <c r="D44" s="271"/>
      <c r="E44" s="295"/>
      <c r="F44" s="256"/>
      <c r="G44" s="256"/>
      <c r="H44" s="256"/>
      <c r="I44" s="257"/>
    </row>
    <row r="45" spans="2:9" ht="15.75" hidden="1" customHeight="1" outlineLevel="1" x14ac:dyDescent="0.25">
      <c r="B45" s="506"/>
      <c r="C45" s="270"/>
      <c r="D45" s="271"/>
      <c r="E45" s="295"/>
      <c r="F45" s="256"/>
      <c r="G45" s="256"/>
      <c r="H45" s="256"/>
      <c r="I45" s="257"/>
    </row>
    <row r="46" spans="2:9" ht="15.75" hidden="1" customHeight="1" outlineLevel="1" x14ac:dyDescent="0.25">
      <c r="B46" s="506"/>
      <c r="C46" s="270"/>
      <c r="D46" s="271"/>
      <c r="E46" s="295"/>
      <c r="F46" s="256"/>
      <c r="G46" s="256"/>
      <c r="H46" s="256"/>
      <c r="I46" s="257"/>
    </row>
    <row r="47" spans="2:9" ht="15.75" hidden="1" customHeight="1" outlineLevel="1" x14ac:dyDescent="0.25">
      <c r="B47" s="611" t="s">
        <v>151</v>
      </c>
      <c r="C47" s="525"/>
      <c r="D47" s="626"/>
      <c r="E47" s="627"/>
      <c r="F47" s="526"/>
      <c r="G47" s="526"/>
      <c r="H47" s="526"/>
      <c r="I47" s="628"/>
    </row>
    <row r="48" spans="2:9" ht="15.75" hidden="1" customHeight="1" outlineLevel="1" x14ac:dyDescent="0.25">
      <c r="B48" s="280" t="s">
        <v>112</v>
      </c>
      <c r="C48" s="281">
        <f t="shared" ref="C48:I48" si="0">SUM(C32:C47)</f>
        <v>0</v>
      </c>
      <c r="D48" s="281">
        <f t="shared" si="0"/>
        <v>0</v>
      </c>
      <c r="E48" s="281">
        <f t="shared" si="0"/>
        <v>0</v>
      </c>
      <c r="F48" s="281">
        <f t="shared" si="0"/>
        <v>0</v>
      </c>
      <c r="G48" s="281">
        <f t="shared" si="0"/>
        <v>0</v>
      </c>
      <c r="H48" s="281">
        <f t="shared" si="0"/>
        <v>0</v>
      </c>
      <c r="I48" s="282">
        <f t="shared" si="0"/>
        <v>0</v>
      </c>
    </row>
    <row r="49" spans="2:9" ht="15.75" customHeight="1" collapsed="1" x14ac:dyDescent="0.25">
      <c r="B49" s="74"/>
    </row>
    <row r="50" spans="2:9" ht="21.75" customHeight="1" x14ac:dyDescent="0.25">
      <c r="B50" s="235" t="s">
        <v>137</v>
      </c>
      <c r="C50" s="236"/>
      <c r="D50" s="236"/>
      <c r="E50" s="236"/>
      <c r="F50" s="236"/>
      <c r="G50" s="236"/>
      <c r="H50" s="236"/>
      <c r="I50" s="236"/>
    </row>
    <row r="51" spans="2:9" ht="15.75" hidden="1" customHeight="1" outlineLevel="1" x14ac:dyDescent="0.25">
      <c r="B51" s="527" t="s">
        <v>233</v>
      </c>
      <c r="C51" s="261"/>
      <c r="D51" s="263"/>
      <c r="E51" s="294"/>
      <c r="F51" s="262"/>
      <c r="G51" s="262"/>
      <c r="H51" s="262"/>
      <c r="I51" s="265"/>
    </row>
    <row r="52" spans="2:9" ht="15.75" hidden="1" customHeight="1" outlineLevel="1" x14ac:dyDescent="0.25">
      <c r="B52" s="506" t="s">
        <v>127</v>
      </c>
      <c r="C52" s="270"/>
      <c r="D52" s="271"/>
      <c r="E52" s="295"/>
      <c r="F52" s="256"/>
      <c r="G52" s="256"/>
      <c r="H52" s="256"/>
      <c r="I52" s="257"/>
    </row>
    <row r="53" spans="2:9" ht="15.75" hidden="1" customHeight="1" outlineLevel="1" x14ac:dyDescent="0.25">
      <c r="B53" s="506" t="s">
        <v>128</v>
      </c>
      <c r="C53" s="270"/>
      <c r="D53" s="271"/>
      <c r="E53" s="295"/>
      <c r="F53" s="256"/>
      <c r="G53" s="256"/>
      <c r="H53" s="256"/>
      <c r="I53" s="257"/>
    </row>
    <row r="54" spans="2:9" ht="15.75" hidden="1" customHeight="1" outlineLevel="1" x14ac:dyDescent="0.25">
      <c r="B54" s="506" t="s">
        <v>129</v>
      </c>
      <c r="C54" s="270"/>
      <c r="D54" s="271"/>
      <c r="E54" s="295"/>
      <c r="F54" s="256"/>
      <c r="G54" s="256"/>
      <c r="H54" s="256"/>
      <c r="I54" s="257"/>
    </row>
    <row r="55" spans="2:9" ht="15.75" hidden="1" customHeight="1" outlineLevel="1" x14ac:dyDescent="0.25">
      <c r="B55" s="506" t="s">
        <v>130</v>
      </c>
      <c r="C55" s="270"/>
      <c r="D55" s="271"/>
      <c r="E55" s="295"/>
      <c r="F55" s="256"/>
      <c r="G55" s="256"/>
      <c r="H55" s="256"/>
      <c r="I55" s="257"/>
    </row>
    <row r="56" spans="2:9" ht="15.75" hidden="1" customHeight="1" outlineLevel="1" x14ac:dyDescent="0.25">
      <c r="B56" s="506" t="s">
        <v>131</v>
      </c>
      <c r="C56" s="270"/>
      <c r="D56" s="271"/>
      <c r="E56" s="295"/>
      <c r="F56" s="256"/>
      <c r="G56" s="256"/>
      <c r="H56" s="256"/>
      <c r="I56" s="257"/>
    </row>
    <row r="57" spans="2:9" ht="15.75" hidden="1" customHeight="1" outlineLevel="1" x14ac:dyDescent="0.25">
      <c r="B57" s="506" t="s">
        <v>132</v>
      </c>
      <c r="C57" s="270"/>
      <c r="D57" s="271"/>
      <c r="E57" s="295"/>
      <c r="F57" s="256"/>
      <c r="G57" s="256"/>
      <c r="H57" s="256"/>
      <c r="I57" s="257"/>
    </row>
    <row r="58" spans="2:9" ht="15.75" hidden="1" customHeight="1" outlineLevel="1" x14ac:dyDescent="0.25">
      <c r="B58" s="506" t="s">
        <v>234</v>
      </c>
      <c r="C58" s="270"/>
      <c r="D58" s="271"/>
      <c r="E58" s="295"/>
      <c r="F58" s="256"/>
      <c r="G58" s="256"/>
      <c r="H58" s="256"/>
      <c r="I58" s="257"/>
    </row>
    <row r="59" spans="2:9" ht="15.75" hidden="1" customHeight="1" outlineLevel="1" x14ac:dyDescent="0.25">
      <c r="B59" s="506" t="s">
        <v>235</v>
      </c>
      <c r="C59" s="270"/>
      <c r="D59" s="271"/>
      <c r="E59" s="295"/>
      <c r="F59" s="256"/>
      <c r="G59" s="256"/>
      <c r="H59" s="256"/>
      <c r="I59" s="257"/>
    </row>
    <row r="60" spans="2:9" ht="15.75" hidden="1" customHeight="1" outlineLevel="1" x14ac:dyDescent="0.25">
      <c r="B60" s="506"/>
      <c r="C60" s="270"/>
      <c r="D60" s="271"/>
      <c r="E60" s="295"/>
      <c r="F60" s="256"/>
      <c r="G60" s="256"/>
      <c r="H60" s="256"/>
      <c r="I60" s="257"/>
    </row>
    <row r="61" spans="2:9" ht="15.75" hidden="1" customHeight="1" outlineLevel="1" x14ac:dyDescent="0.25">
      <c r="B61" s="506"/>
      <c r="C61" s="270"/>
      <c r="D61" s="271"/>
      <c r="E61" s="295"/>
      <c r="F61" s="256"/>
      <c r="G61" s="256"/>
      <c r="H61" s="256"/>
      <c r="I61" s="257"/>
    </row>
    <row r="62" spans="2:9" ht="15.75" hidden="1" customHeight="1" outlineLevel="1" x14ac:dyDescent="0.25">
      <c r="B62" s="506"/>
      <c r="C62" s="270"/>
      <c r="D62" s="271"/>
      <c r="E62" s="295"/>
      <c r="F62" s="256"/>
      <c r="G62" s="256"/>
      <c r="H62" s="256"/>
      <c r="I62" s="257"/>
    </row>
    <row r="63" spans="2:9" ht="15.75" hidden="1" customHeight="1" outlineLevel="1" x14ac:dyDescent="0.25">
      <c r="B63" s="506"/>
      <c r="C63" s="270"/>
      <c r="D63" s="271"/>
      <c r="E63" s="295"/>
      <c r="F63" s="256"/>
      <c r="G63" s="256"/>
      <c r="H63" s="256"/>
      <c r="I63" s="257"/>
    </row>
    <row r="64" spans="2:9" ht="15.75" hidden="1" customHeight="1" outlineLevel="1" x14ac:dyDescent="0.25">
      <c r="B64" s="506"/>
      <c r="C64" s="270"/>
      <c r="D64" s="271"/>
      <c r="E64" s="295"/>
      <c r="F64" s="256"/>
      <c r="G64" s="256"/>
      <c r="H64" s="256"/>
      <c r="I64" s="257"/>
    </row>
    <row r="65" spans="2:9" ht="15.75" hidden="1" customHeight="1" outlineLevel="1" x14ac:dyDescent="0.25">
      <c r="B65" s="506"/>
      <c r="C65" s="270"/>
      <c r="D65" s="271"/>
      <c r="E65" s="295"/>
      <c r="F65" s="256"/>
      <c r="G65" s="256"/>
      <c r="H65" s="256"/>
      <c r="I65" s="257"/>
    </row>
    <row r="66" spans="2:9" ht="15.75" hidden="1" customHeight="1" outlineLevel="1" x14ac:dyDescent="0.25">
      <c r="B66" s="516" t="s">
        <v>151</v>
      </c>
      <c r="C66" s="283"/>
      <c r="D66" s="284"/>
      <c r="E66" s="384"/>
      <c r="F66" s="286"/>
      <c r="G66" s="286"/>
      <c r="H66" s="286"/>
      <c r="I66" s="287"/>
    </row>
    <row r="67" spans="2:9" ht="15.75" hidden="1" customHeight="1" outlineLevel="1" x14ac:dyDescent="0.25">
      <c r="B67" s="280" t="s">
        <v>112</v>
      </c>
      <c r="C67" s="281">
        <f t="shared" ref="C67:I67" si="1">SUM(C51:C66)</f>
        <v>0</v>
      </c>
      <c r="D67" s="281">
        <f t="shared" si="1"/>
        <v>0</v>
      </c>
      <c r="E67" s="281">
        <f t="shared" si="1"/>
        <v>0</v>
      </c>
      <c r="F67" s="281">
        <f t="shared" si="1"/>
        <v>0</v>
      </c>
      <c r="G67" s="281">
        <f t="shared" si="1"/>
        <v>0</v>
      </c>
      <c r="H67" s="281">
        <f t="shared" si="1"/>
        <v>0</v>
      </c>
      <c r="I67" s="282">
        <f t="shared" si="1"/>
        <v>0</v>
      </c>
    </row>
    <row r="68" spans="2:9" ht="21.75" customHeight="1" collapsed="1" x14ac:dyDescent="0.25"/>
    <row r="69" spans="2:9" ht="21.75" customHeight="1" x14ac:dyDescent="0.25">
      <c r="B69" s="235" t="s">
        <v>138</v>
      </c>
      <c r="C69" s="236"/>
      <c r="D69" s="236"/>
      <c r="E69" s="236"/>
      <c r="F69" s="236"/>
      <c r="G69" s="236"/>
      <c r="H69" s="236"/>
      <c r="I69" s="236"/>
    </row>
    <row r="70" spans="2:9" ht="15.75" hidden="1" customHeight="1" outlineLevel="1" x14ac:dyDescent="0.25">
      <c r="B70" s="527" t="s">
        <v>233</v>
      </c>
      <c r="C70" s="261"/>
      <c r="D70" s="263"/>
      <c r="E70" s="294"/>
      <c r="F70" s="262"/>
      <c r="G70" s="262"/>
      <c r="H70" s="262"/>
      <c r="I70" s="265"/>
    </row>
    <row r="71" spans="2:9" ht="15.75" hidden="1" customHeight="1" outlineLevel="1" x14ac:dyDescent="0.25">
      <c r="B71" s="506" t="s">
        <v>127</v>
      </c>
      <c r="C71" s="270"/>
      <c r="D71" s="271"/>
      <c r="E71" s="295"/>
      <c r="F71" s="256"/>
      <c r="G71" s="256"/>
      <c r="H71" s="256"/>
      <c r="I71" s="257"/>
    </row>
    <row r="72" spans="2:9" ht="15.75" hidden="1" customHeight="1" outlineLevel="1" x14ac:dyDescent="0.25">
      <c r="B72" s="506" t="s">
        <v>128</v>
      </c>
      <c r="C72" s="270"/>
      <c r="D72" s="271"/>
      <c r="E72" s="295"/>
      <c r="F72" s="256"/>
      <c r="G72" s="256"/>
      <c r="H72" s="256"/>
      <c r="I72" s="257"/>
    </row>
    <row r="73" spans="2:9" ht="15.75" hidden="1" customHeight="1" outlineLevel="1" x14ac:dyDescent="0.25">
      <c r="B73" s="506" t="s">
        <v>129</v>
      </c>
      <c r="C73" s="270"/>
      <c r="D73" s="271"/>
      <c r="E73" s="295"/>
      <c r="F73" s="256"/>
      <c r="G73" s="256"/>
      <c r="H73" s="256"/>
      <c r="I73" s="257"/>
    </row>
    <row r="74" spans="2:9" ht="15.75" hidden="1" customHeight="1" outlineLevel="1" x14ac:dyDescent="0.25">
      <c r="B74" s="506" t="s">
        <v>130</v>
      </c>
      <c r="C74" s="270"/>
      <c r="D74" s="271"/>
      <c r="E74" s="295"/>
      <c r="F74" s="256"/>
      <c r="G74" s="256"/>
      <c r="H74" s="256"/>
      <c r="I74" s="257"/>
    </row>
    <row r="75" spans="2:9" ht="15.75" hidden="1" customHeight="1" outlineLevel="1" x14ac:dyDescent="0.25">
      <c r="B75" s="506" t="s">
        <v>131</v>
      </c>
      <c r="C75" s="270"/>
      <c r="D75" s="271"/>
      <c r="E75" s="295"/>
      <c r="F75" s="256"/>
      <c r="G75" s="256"/>
      <c r="H75" s="256"/>
      <c r="I75" s="257"/>
    </row>
    <row r="76" spans="2:9" ht="15.75" hidden="1" customHeight="1" outlineLevel="1" x14ac:dyDescent="0.25">
      <c r="B76" s="506" t="s">
        <v>132</v>
      </c>
      <c r="C76" s="270"/>
      <c r="D76" s="271"/>
      <c r="E76" s="295"/>
      <c r="F76" s="256"/>
      <c r="G76" s="256"/>
      <c r="H76" s="256"/>
      <c r="I76" s="257"/>
    </row>
    <row r="77" spans="2:9" ht="15.75" hidden="1" customHeight="1" outlineLevel="1" x14ac:dyDescent="0.25">
      <c r="B77" s="506" t="s">
        <v>234</v>
      </c>
      <c r="C77" s="270"/>
      <c r="D77" s="271"/>
      <c r="E77" s="295"/>
      <c r="F77" s="256"/>
      <c r="G77" s="256"/>
      <c r="H77" s="256"/>
      <c r="I77" s="257"/>
    </row>
    <row r="78" spans="2:9" ht="15.75" hidden="1" customHeight="1" outlineLevel="1" x14ac:dyDescent="0.25">
      <c r="B78" s="506" t="s">
        <v>235</v>
      </c>
      <c r="C78" s="270"/>
      <c r="D78" s="271"/>
      <c r="E78" s="295"/>
      <c r="F78" s="256"/>
      <c r="G78" s="256"/>
      <c r="H78" s="256"/>
      <c r="I78" s="257"/>
    </row>
    <row r="79" spans="2:9" ht="15.75" hidden="1" customHeight="1" outlineLevel="1" x14ac:dyDescent="0.25">
      <c r="B79" s="506"/>
      <c r="C79" s="270"/>
      <c r="D79" s="271"/>
      <c r="E79" s="295"/>
      <c r="F79" s="256"/>
      <c r="G79" s="256"/>
      <c r="H79" s="256"/>
      <c r="I79" s="257"/>
    </row>
    <row r="80" spans="2:9" ht="15.75" hidden="1" customHeight="1" outlineLevel="1" x14ac:dyDescent="0.25">
      <c r="B80" s="506"/>
      <c r="C80" s="270"/>
      <c r="D80" s="271"/>
      <c r="E80" s="295"/>
      <c r="F80" s="256"/>
      <c r="G80" s="256"/>
      <c r="H80" s="256"/>
      <c r="I80" s="257"/>
    </row>
    <row r="81" spans="2:9" ht="15.75" hidden="1" customHeight="1" outlineLevel="1" x14ac:dyDescent="0.25">
      <c r="B81" s="506"/>
      <c r="C81" s="270"/>
      <c r="D81" s="271"/>
      <c r="E81" s="295"/>
      <c r="F81" s="256"/>
      <c r="G81" s="256"/>
      <c r="H81" s="256"/>
      <c r="I81" s="257"/>
    </row>
    <row r="82" spans="2:9" ht="15.75" hidden="1" customHeight="1" outlineLevel="1" x14ac:dyDescent="0.25">
      <c r="B82" s="506"/>
      <c r="C82" s="270"/>
      <c r="D82" s="271"/>
      <c r="E82" s="295"/>
      <c r="F82" s="256"/>
      <c r="G82" s="256"/>
      <c r="H82" s="256"/>
      <c r="I82" s="257"/>
    </row>
    <row r="83" spans="2:9" ht="15.75" hidden="1" customHeight="1" outlineLevel="1" x14ac:dyDescent="0.25">
      <c r="B83" s="506"/>
      <c r="C83" s="270"/>
      <c r="D83" s="271"/>
      <c r="E83" s="295"/>
      <c r="F83" s="256"/>
      <c r="G83" s="256"/>
      <c r="H83" s="256"/>
      <c r="I83" s="257"/>
    </row>
    <row r="84" spans="2:9" ht="15.75" hidden="1" customHeight="1" outlineLevel="1" x14ac:dyDescent="0.25">
      <c r="B84" s="506"/>
      <c r="C84" s="270"/>
      <c r="D84" s="271"/>
      <c r="E84" s="295"/>
      <c r="F84" s="256"/>
      <c r="G84" s="256"/>
      <c r="H84" s="256"/>
      <c r="I84" s="257"/>
    </row>
    <row r="85" spans="2:9" ht="15.75" hidden="1" customHeight="1" outlineLevel="1" x14ac:dyDescent="0.25">
      <c r="B85" s="516" t="s">
        <v>151</v>
      </c>
      <c r="C85" s="283"/>
      <c r="D85" s="284"/>
      <c r="E85" s="384"/>
      <c r="F85" s="286"/>
      <c r="G85" s="286"/>
      <c r="H85" s="286"/>
      <c r="I85" s="287"/>
    </row>
    <row r="86" spans="2:9" ht="15.75" hidden="1" customHeight="1" outlineLevel="1" x14ac:dyDescent="0.25">
      <c r="B86" s="514" t="s">
        <v>112</v>
      </c>
      <c r="C86" s="281">
        <f t="shared" ref="C86:I86" si="2">SUM(C70:C85)</f>
        <v>0</v>
      </c>
      <c r="D86" s="281">
        <f t="shared" si="2"/>
        <v>0</v>
      </c>
      <c r="E86" s="281">
        <f t="shared" si="2"/>
        <v>0</v>
      </c>
      <c r="F86" s="281">
        <f t="shared" si="2"/>
        <v>0</v>
      </c>
      <c r="G86" s="281">
        <f t="shared" si="2"/>
        <v>0</v>
      </c>
      <c r="H86" s="281">
        <f t="shared" si="2"/>
        <v>0</v>
      </c>
      <c r="I86" s="282">
        <f t="shared" si="2"/>
        <v>0</v>
      </c>
    </row>
    <row r="87" spans="2:9" ht="15.75" customHeight="1" collapsed="1" x14ac:dyDescent="0.25">
      <c r="B87" s="74"/>
    </row>
    <row r="88" spans="2:9" ht="21.75" customHeight="1" x14ac:dyDescent="0.25">
      <c r="B88" s="235" t="s">
        <v>139</v>
      </c>
      <c r="C88" s="236"/>
      <c r="D88" s="236"/>
      <c r="E88" s="236"/>
      <c r="F88" s="236"/>
      <c r="G88" s="236"/>
      <c r="H88" s="236"/>
      <c r="I88" s="236"/>
    </row>
    <row r="89" spans="2:9" ht="15.75" hidden="1" customHeight="1" outlineLevel="1" x14ac:dyDescent="0.25">
      <c r="B89" s="527" t="s">
        <v>233</v>
      </c>
      <c r="C89" s="261"/>
      <c r="D89" s="263"/>
      <c r="E89" s="294"/>
      <c r="F89" s="262"/>
      <c r="G89" s="262"/>
      <c r="H89" s="262"/>
      <c r="I89" s="265"/>
    </row>
    <row r="90" spans="2:9" ht="15.75" hidden="1" customHeight="1" outlineLevel="1" x14ac:dyDescent="0.25">
      <c r="B90" s="506" t="s">
        <v>127</v>
      </c>
      <c r="C90" s="270"/>
      <c r="D90" s="271"/>
      <c r="E90" s="295"/>
      <c r="F90" s="256"/>
      <c r="G90" s="256"/>
      <c r="H90" s="256"/>
      <c r="I90" s="257"/>
    </row>
    <row r="91" spans="2:9" ht="15.75" hidden="1" customHeight="1" outlineLevel="1" x14ac:dyDescent="0.25">
      <c r="B91" s="506" t="s">
        <v>128</v>
      </c>
      <c r="C91" s="270"/>
      <c r="D91" s="271"/>
      <c r="E91" s="295"/>
      <c r="F91" s="256"/>
      <c r="G91" s="256"/>
      <c r="H91" s="256"/>
      <c r="I91" s="257"/>
    </row>
    <row r="92" spans="2:9" ht="15.75" hidden="1" customHeight="1" outlineLevel="1" x14ac:dyDescent="0.25">
      <c r="B92" s="506" t="s">
        <v>129</v>
      </c>
      <c r="C92" s="270"/>
      <c r="D92" s="271"/>
      <c r="E92" s="295"/>
      <c r="F92" s="256"/>
      <c r="G92" s="256"/>
      <c r="H92" s="256"/>
      <c r="I92" s="257"/>
    </row>
    <row r="93" spans="2:9" ht="15.75" hidden="1" customHeight="1" outlineLevel="1" x14ac:dyDescent="0.25">
      <c r="B93" s="506" t="s">
        <v>130</v>
      </c>
      <c r="C93" s="270"/>
      <c r="D93" s="271"/>
      <c r="E93" s="295"/>
      <c r="F93" s="256"/>
      <c r="G93" s="256"/>
      <c r="H93" s="256"/>
      <c r="I93" s="257"/>
    </row>
    <row r="94" spans="2:9" ht="15.75" hidden="1" customHeight="1" outlineLevel="1" x14ac:dyDescent="0.25">
      <c r="B94" s="506" t="s">
        <v>131</v>
      </c>
      <c r="C94" s="270"/>
      <c r="D94" s="271"/>
      <c r="E94" s="295"/>
      <c r="F94" s="256"/>
      <c r="G94" s="256"/>
      <c r="H94" s="256"/>
      <c r="I94" s="257"/>
    </row>
    <row r="95" spans="2:9" ht="15.75" hidden="1" customHeight="1" outlineLevel="1" x14ac:dyDescent="0.25">
      <c r="B95" s="506" t="s">
        <v>132</v>
      </c>
      <c r="C95" s="270"/>
      <c r="D95" s="271"/>
      <c r="E95" s="295"/>
      <c r="F95" s="256"/>
      <c r="G95" s="256"/>
      <c r="H95" s="256"/>
      <c r="I95" s="257"/>
    </row>
    <row r="96" spans="2:9" ht="15.75" hidden="1" customHeight="1" outlineLevel="1" x14ac:dyDescent="0.25">
      <c r="B96" s="506" t="s">
        <v>234</v>
      </c>
      <c r="C96" s="270"/>
      <c r="D96" s="271"/>
      <c r="E96" s="295"/>
      <c r="F96" s="256"/>
      <c r="G96" s="256"/>
      <c r="H96" s="256"/>
      <c r="I96" s="257"/>
    </row>
    <row r="97" spans="2:9" ht="15.75" hidden="1" customHeight="1" outlineLevel="1" x14ac:dyDescent="0.25">
      <c r="B97" s="506" t="s">
        <v>235</v>
      </c>
      <c r="C97" s="270"/>
      <c r="D97" s="271"/>
      <c r="E97" s="295"/>
      <c r="F97" s="256"/>
      <c r="G97" s="256"/>
      <c r="H97" s="256"/>
      <c r="I97" s="257"/>
    </row>
    <row r="98" spans="2:9" ht="15.75" hidden="1" customHeight="1" outlineLevel="1" x14ac:dyDescent="0.25">
      <c r="B98" s="506"/>
      <c r="C98" s="270"/>
      <c r="D98" s="271"/>
      <c r="E98" s="295"/>
      <c r="F98" s="256"/>
      <c r="G98" s="256"/>
      <c r="H98" s="256"/>
      <c r="I98" s="257"/>
    </row>
    <row r="99" spans="2:9" ht="15.75" hidden="1" customHeight="1" outlineLevel="1" x14ac:dyDescent="0.25">
      <c r="B99" s="506"/>
      <c r="C99" s="270"/>
      <c r="D99" s="271"/>
      <c r="E99" s="295"/>
      <c r="F99" s="256"/>
      <c r="G99" s="256"/>
      <c r="H99" s="256"/>
      <c r="I99" s="257"/>
    </row>
    <row r="100" spans="2:9" ht="15.75" hidden="1" customHeight="1" outlineLevel="1" x14ac:dyDescent="0.25">
      <c r="B100" s="506"/>
      <c r="C100" s="270"/>
      <c r="D100" s="271"/>
      <c r="E100" s="295"/>
      <c r="F100" s="256"/>
      <c r="G100" s="256"/>
      <c r="H100" s="256"/>
      <c r="I100" s="257"/>
    </row>
    <row r="101" spans="2:9" ht="15.75" hidden="1" customHeight="1" outlineLevel="1" x14ac:dyDescent="0.25">
      <c r="B101" s="506"/>
      <c r="C101" s="270"/>
      <c r="D101" s="271"/>
      <c r="E101" s="295"/>
      <c r="F101" s="256"/>
      <c r="G101" s="256"/>
      <c r="H101" s="256"/>
      <c r="I101" s="257"/>
    </row>
    <row r="102" spans="2:9" ht="15.75" hidden="1" customHeight="1" outlineLevel="1" x14ac:dyDescent="0.25">
      <c r="B102" s="506"/>
      <c r="C102" s="270"/>
      <c r="D102" s="271"/>
      <c r="E102" s="295"/>
      <c r="F102" s="256"/>
      <c r="G102" s="256"/>
      <c r="H102" s="256"/>
      <c r="I102" s="257"/>
    </row>
    <row r="103" spans="2:9" ht="15.75" hidden="1" customHeight="1" outlineLevel="1" x14ac:dyDescent="0.25">
      <c r="B103" s="506"/>
      <c r="C103" s="270"/>
      <c r="D103" s="271"/>
      <c r="E103" s="295"/>
      <c r="F103" s="256"/>
      <c r="G103" s="256"/>
      <c r="H103" s="256"/>
      <c r="I103" s="257"/>
    </row>
    <row r="104" spans="2:9" ht="15.75" hidden="1" customHeight="1" outlineLevel="1" x14ac:dyDescent="0.25">
      <c r="B104" s="516" t="s">
        <v>151</v>
      </c>
      <c r="C104" s="283"/>
      <c r="D104" s="284"/>
      <c r="E104" s="384"/>
      <c r="F104" s="286"/>
      <c r="G104" s="286"/>
      <c r="H104" s="286"/>
      <c r="I104" s="287"/>
    </row>
    <row r="105" spans="2:9" ht="15.75" hidden="1" customHeight="1" outlineLevel="1" x14ac:dyDescent="0.25">
      <c r="B105" s="280" t="s">
        <v>112</v>
      </c>
      <c r="C105" s="281">
        <f t="shared" ref="C105:I105" si="3">SUM(C89:C104)</f>
        <v>0</v>
      </c>
      <c r="D105" s="281">
        <f t="shared" si="3"/>
        <v>0</v>
      </c>
      <c r="E105" s="281">
        <f t="shared" si="3"/>
        <v>0</v>
      </c>
      <c r="F105" s="281">
        <f t="shared" si="3"/>
        <v>0</v>
      </c>
      <c r="G105" s="281">
        <f t="shared" si="3"/>
        <v>0</v>
      </c>
      <c r="H105" s="281">
        <f t="shared" si="3"/>
        <v>0</v>
      </c>
      <c r="I105" s="282">
        <f t="shared" si="3"/>
        <v>0</v>
      </c>
    </row>
    <row r="106" spans="2:9" ht="15.75" customHeight="1" collapsed="1" x14ac:dyDescent="0.25">
      <c r="B106" s="74"/>
    </row>
    <row r="107" spans="2:9" ht="21.75" customHeight="1" x14ac:dyDescent="0.25">
      <c r="B107" s="235" t="s">
        <v>140</v>
      </c>
      <c r="C107" s="236"/>
      <c r="D107" s="236"/>
      <c r="E107" s="236"/>
      <c r="F107" s="236"/>
      <c r="G107" s="236"/>
      <c r="H107" s="236"/>
      <c r="I107" s="236"/>
    </row>
    <row r="108" spans="2:9" ht="15.75" hidden="1" customHeight="1" outlineLevel="1" x14ac:dyDescent="0.25">
      <c r="B108" s="516" t="s">
        <v>112</v>
      </c>
      <c r="C108" s="283"/>
      <c r="D108" s="284"/>
      <c r="E108" s="384"/>
      <c r="F108" s="286"/>
      <c r="G108" s="286"/>
      <c r="H108" s="286"/>
      <c r="I108" s="287"/>
    </row>
    <row r="109" spans="2:9" ht="15.75" hidden="1" customHeight="1" outlineLevel="1" x14ac:dyDescent="0.25">
      <c r="B109" s="280" t="s">
        <v>112</v>
      </c>
      <c r="C109" s="281">
        <f t="shared" ref="C109:I109" si="4">SUM(C108:C108)</f>
        <v>0</v>
      </c>
      <c r="D109" s="281">
        <f t="shared" si="4"/>
        <v>0</v>
      </c>
      <c r="E109" s="281">
        <f t="shared" si="4"/>
        <v>0</v>
      </c>
      <c r="F109" s="281">
        <f t="shared" si="4"/>
        <v>0</v>
      </c>
      <c r="G109" s="281">
        <f t="shared" si="4"/>
        <v>0</v>
      </c>
      <c r="H109" s="281">
        <f t="shared" si="4"/>
        <v>0</v>
      </c>
      <c r="I109" s="282">
        <f t="shared" si="4"/>
        <v>0</v>
      </c>
    </row>
    <row r="110" spans="2:9" ht="15.75" customHeight="1" collapsed="1" x14ac:dyDescent="0.25">
      <c r="B110" s="74"/>
    </row>
    <row r="111" spans="2:9" ht="21.75" customHeight="1" x14ac:dyDescent="0.25">
      <c r="B111" s="235" t="s">
        <v>141</v>
      </c>
      <c r="C111" s="236"/>
      <c r="D111" s="236"/>
      <c r="E111" s="236"/>
      <c r="F111" s="236"/>
      <c r="G111" s="236"/>
      <c r="H111" s="236"/>
      <c r="I111" s="236"/>
    </row>
    <row r="112" spans="2:9" ht="15.75" hidden="1" customHeight="1" outlineLevel="1" x14ac:dyDescent="0.25">
      <c r="B112" s="527" t="s">
        <v>233</v>
      </c>
      <c r="C112" s="261"/>
      <c r="D112" s="263"/>
      <c r="E112" s="294"/>
      <c r="F112" s="262"/>
      <c r="G112" s="262"/>
      <c r="H112" s="262"/>
      <c r="I112" s="265"/>
    </row>
    <row r="113" spans="2:9" ht="15.75" hidden="1" customHeight="1" outlineLevel="1" x14ac:dyDescent="0.25">
      <c r="B113" s="506" t="s">
        <v>127</v>
      </c>
      <c r="C113" s="270"/>
      <c r="D113" s="271"/>
      <c r="E113" s="295"/>
      <c r="F113" s="256"/>
      <c r="G113" s="256"/>
      <c r="H113" s="256"/>
      <c r="I113" s="257"/>
    </row>
    <row r="114" spans="2:9" ht="15.75" hidden="1" customHeight="1" outlineLevel="1" x14ac:dyDescent="0.25">
      <c r="B114" s="506" t="s">
        <v>128</v>
      </c>
      <c r="C114" s="270"/>
      <c r="D114" s="271"/>
      <c r="E114" s="295"/>
      <c r="F114" s="256"/>
      <c r="G114" s="256"/>
      <c r="H114" s="256"/>
      <c r="I114" s="257"/>
    </row>
    <row r="115" spans="2:9" ht="15.75" hidden="1" customHeight="1" outlineLevel="1" x14ac:dyDescent="0.25">
      <c r="B115" s="506" t="s">
        <v>129</v>
      </c>
      <c r="C115" s="270"/>
      <c r="D115" s="271"/>
      <c r="E115" s="295"/>
      <c r="F115" s="256"/>
      <c r="G115" s="256"/>
      <c r="H115" s="256"/>
      <c r="I115" s="257"/>
    </row>
    <row r="116" spans="2:9" ht="15.75" hidden="1" customHeight="1" outlineLevel="1" x14ac:dyDescent="0.25">
      <c r="B116" s="506" t="s">
        <v>130</v>
      </c>
      <c r="C116" s="270"/>
      <c r="D116" s="271"/>
      <c r="E116" s="295"/>
      <c r="F116" s="256"/>
      <c r="G116" s="256"/>
      <c r="H116" s="256"/>
      <c r="I116" s="257"/>
    </row>
    <row r="117" spans="2:9" ht="15.75" hidden="1" customHeight="1" outlineLevel="1" x14ac:dyDescent="0.25">
      <c r="B117" s="506" t="s">
        <v>131</v>
      </c>
      <c r="C117" s="270"/>
      <c r="D117" s="271"/>
      <c r="E117" s="295"/>
      <c r="F117" s="256"/>
      <c r="G117" s="256"/>
      <c r="H117" s="256"/>
      <c r="I117" s="257"/>
    </row>
    <row r="118" spans="2:9" ht="15.75" hidden="1" customHeight="1" outlineLevel="1" x14ac:dyDescent="0.25">
      <c r="B118" s="506" t="s">
        <v>132</v>
      </c>
      <c r="C118" s="270"/>
      <c r="D118" s="271"/>
      <c r="E118" s="295"/>
      <c r="F118" s="256"/>
      <c r="G118" s="256"/>
      <c r="H118" s="256"/>
      <c r="I118" s="257"/>
    </row>
    <row r="119" spans="2:9" ht="15.75" hidden="1" customHeight="1" outlineLevel="1" x14ac:dyDescent="0.25">
      <c r="B119" s="506" t="s">
        <v>234</v>
      </c>
      <c r="C119" s="270"/>
      <c r="D119" s="271"/>
      <c r="E119" s="295"/>
      <c r="F119" s="256"/>
      <c r="G119" s="256"/>
      <c r="H119" s="256"/>
      <c r="I119" s="257"/>
    </row>
    <row r="120" spans="2:9" ht="15.75" hidden="1" customHeight="1" outlineLevel="1" x14ac:dyDescent="0.25">
      <c r="B120" s="506" t="s">
        <v>235</v>
      </c>
      <c r="C120" s="270"/>
      <c r="D120" s="271"/>
      <c r="E120" s="295"/>
      <c r="F120" s="256"/>
      <c r="G120" s="256"/>
      <c r="H120" s="256"/>
      <c r="I120" s="257"/>
    </row>
    <row r="121" spans="2:9" ht="15.75" hidden="1" customHeight="1" outlineLevel="1" x14ac:dyDescent="0.25">
      <c r="B121" s="506"/>
      <c r="C121" s="270"/>
      <c r="D121" s="271"/>
      <c r="E121" s="295"/>
      <c r="F121" s="256"/>
      <c r="G121" s="256"/>
      <c r="H121" s="256"/>
      <c r="I121" s="257"/>
    </row>
    <row r="122" spans="2:9" ht="15.75" hidden="1" customHeight="1" outlineLevel="1" x14ac:dyDescent="0.25">
      <c r="B122" s="506"/>
      <c r="C122" s="270"/>
      <c r="D122" s="271"/>
      <c r="E122" s="295"/>
      <c r="F122" s="256"/>
      <c r="G122" s="256"/>
      <c r="H122" s="256"/>
      <c r="I122" s="257"/>
    </row>
    <row r="123" spans="2:9" ht="15.75" hidden="1" customHeight="1" outlineLevel="1" x14ac:dyDescent="0.25">
      <c r="B123" s="506"/>
      <c r="C123" s="270"/>
      <c r="D123" s="271"/>
      <c r="E123" s="295"/>
      <c r="F123" s="256"/>
      <c r="G123" s="256"/>
      <c r="H123" s="256"/>
      <c r="I123" s="257"/>
    </row>
    <row r="124" spans="2:9" ht="15.75" hidden="1" customHeight="1" outlineLevel="1" x14ac:dyDescent="0.25">
      <c r="B124" s="506"/>
      <c r="C124" s="270"/>
      <c r="D124" s="271"/>
      <c r="E124" s="295"/>
      <c r="F124" s="256"/>
      <c r="G124" s="256"/>
      <c r="H124" s="256"/>
      <c r="I124" s="257"/>
    </row>
    <row r="125" spans="2:9" ht="15.75" hidden="1" customHeight="1" outlineLevel="1" x14ac:dyDescent="0.25">
      <c r="B125" s="506"/>
      <c r="C125" s="270"/>
      <c r="D125" s="271"/>
      <c r="E125" s="295"/>
      <c r="F125" s="256"/>
      <c r="G125" s="256"/>
      <c r="H125" s="256"/>
      <c r="I125" s="257"/>
    </row>
    <row r="126" spans="2:9" ht="15.75" hidden="1" customHeight="1" outlineLevel="1" x14ac:dyDescent="0.25">
      <c r="B126" s="506"/>
      <c r="C126" s="270"/>
      <c r="D126" s="271"/>
      <c r="E126" s="295"/>
      <c r="F126" s="256"/>
      <c r="G126" s="256"/>
      <c r="H126" s="256"/>
      <c r="I126" s="257"/>
    </row>
    <row r="127" spans="2:9" ht="15.75" hidden="1" customHeight="1" outlineLevel="1" x14ac:dyDescent="0.25">
      <c r="B127" s="516" t="s">
        <v>151</v>
      </c>
      <c r="C127" s="283"/>
      <c r="D127" s="284"/>
      <c r="E127" s="384"/>
      <c r="F127" s="286"/>
      <c r="G127" s="286"/>
      <c r="H127" s="286"/>
      <c r="I127" s="287"/>
    </row>
    <row r="128" spans="2:9" ht="15.75" hidden="1" customHeight="1" outlineLevel="1" x14ac:dyDescent="0.25">
      <c r="B128" s="280" t="s">
        <v>112</v>
      </c>
      <c r="C128" s="281">
        <f t="shared" ref="C128:I128" si="5">SUM(C112:C127)</f>
        <v>0</v>
      </c>
      <c r="D128" s="281">
        <f t="shared" si="5"/>
        <v>0</v>
      </c>
      <c r="E128" s="281">
        <f t="shared" si="5"/>
        <v>0</v>
      </c>
      <c r="F128" s="281">
        <f t="shared" si="5"/>
        <v>0</v>
      </c>
      <c r="G128" s="281">
        <f t="shared" si="5"/>
        <v>0</v>
      </c>
      <c r="H128" s="281">
        <f t="shared" si="5"/>
        <v>0</v>
      </c>
      <c r="I128" s="282">
        <f t="shared" si="5"/>
        <v>0</v>
      </c>
    </row>
    <row r="129" spans="1:11" collapsed="1" x14ac:dyDescent="0.25"/>
    <row r="130" spans="1:11" ht="15.75" customHeight="1" x14ac:dyDescent="0.25">
      <c r="B130" s="74"/>
    </row>
    <row r="131" spans="1:11" x14ac:dyDescent="0.25">
      <c r="B131" s="74"/>
    </row>
    <row r="132" spans="1:11" ht="15" customHeight="1" x14ac:dyDescent="0.25"/>
    <row r="133" spans="1:11" s="41" customFormat="1" ht="24" customHeight="1" x14ac:dyDescent="0.2">
      <c r="B133" s="232" t="s">
        <v>236</v>
      </c>
      <c r="C133" s="233"/>
      <c r="D133" s="233"/>
      <c r="E133" s="233"/>
      <c r="F133" s="233"/>
      <c r="G133" s="233"/>
      <c r="H133" s="233"/>
      <c r="I133" s="233"/>
      <c r="J133" s="299"/>
      <c r="K133" s="299"/>
    </row>
    <row r="134" spans="1:11" s="41" customFormat="1" ht="15" customHeight="1" outlineLevel="1" x14ac:dyDescent="0.2">
      <c r="A134" s="276"/>
      <c r="C134" s="1331" t="s">
        <v>24</v>
      </c>
      <c r="D134" s="1331"/>
      <c r="E134" s="1331"/>
      <c r="F134" s="1331"/>
      <c r="G134" s="1331"/>
      <c r="H134" s="1331"/>
      <c r="I134" s="1331"/>
      <c r="J134" s="299"/>
      <c r="K134" s="299"/>
    </row>
    <row r="135" spans="1:11" s="41" customFormat="1" ht="15" customHeight="1" outlineLevel="1" x14ac:dyDescent="0.2">
      <c r="A135" s="276"/>
      <c r="C135" s="1331" t="str">
        <f ca="1">CONCATENATE("$, real ",dms_DollarReal)</f>
        <v>$, real June 2026</v>
      </c>
      <c r="D135" s="1331"/>
      <c r="E135" s="1331"/>
      <c r="F135" s="1331"/>
      <c r="G135" s="1331"/>
      <c r="H135" s="1331"/>
      <c r="I135" s="1331"/>
      <c r="J135" s="299"/>
      <c r="K135" s="299"/>
    </row>
    <row r="136" spans="1:11" s="41" customFormat="1" ht="15.75" customHeight="1" outlineLevel="1" x14ac:dyDescent="0.25">
      <c r="A136" s="276"/>
      <c r="B136" s="302"/>
      <c r="C136" s="298" t="str">
        <f ca="1">dms_y1</f>
        <v>2024-25</v>
      </c>
      <c r="D136" s="298" t="str">
        <f ca="1">dms_y2</f>
        <v>2025-26</v>
      </c>
      <c r="E136" s="298" t="str">
        <f ca="1">dms_y3</f>
        <v>2026-27</v>
      </c>
      <c r="F136" s="298" t="str">
        <f ca="1">dms_y4</f>
        <v>2027-28</v>
      </c>
      <c r="G136" s="298" t="str">
        <f ca="1">dms_y5</f>
        <v>2028-29</v>
      </c>
      <c r="H136" s="298" t="str">
        <f ca="1">dms_y6</f>
        <v>2029-30</v>
      </c>
      <c r="I136" s="298" t="str">
        <f ca="1">dms_y7</f>
        <v>2030-31</v>
      </c>
      <c r="K136" s="299"/>
    </row>
    <row r="137" spans="1:11" ht="21.75" customHeight="1" outlineLevel="1" x14ac:dyDescent="0.25">
      <c r="B137" s="235" t="s">
        <v>237</v>
      </c>
      <c r="C137" s="236"/>
      <c r="D137" s="236"/>
      <c r="E137" s="236"/>
      <c r="F137" s="236"/>
      <c r="G137" s="236"/>
      <c r="H137" s="236"/>
      <c r="I137" s="236"/>
    </row>
    <row r="138" spans="1:11" ht="15.75" customHeight="1" outlineLevel="1" x14ac:dyDescent="0.25">
      <c r="B138" s="527" t="s">
        <v>238</v>
      </c>
      <c r="C138" s="261"/>
      <c r="D138" s="263"/>
      <c r="E138" s="294"/>
      <c r="F138" s="262"/>
      <c r="G138" s="262"/>
      <c r="H138" s="262"/>
      <c r="I138" s="265"/>
    </row>
    <row r="139" spans="1:11" ht="15.75" customHeight="1" outlineLevel="1" x14ac:dyDescent="0.25">
      <c r="B139" s="506" t="s">
        <v>239</v>
      </c>
      <c r="C139" s="270"/>
      <c r="D139" s="271"/>
      <c r="E139" s="295"/>
      <c r="F139" s="256"/>
      <c r="G139" s="256"/>
      <c r="H139" s="256"/>
      <c r="I139" s="257"/>
    </row>
    <row r="140" spans="1:11" ht="15.75" customHeight="1" outlineLevel="1" x14ac:dyDescent="0.25">
      <c r="B140" s="280" t="s">
        <v>112</v>
      </c>
      <c r="C140" s="281">
        <f t="shared" ref="C140:I140" ca="1" si="6">SUM(C124:C139)</f>
        <v>0</v>
      </c>
      <c r="D140" s="281">
        <f t="shared" ca="1" si="6"/>
        <v>0</v>
      </c>
      <c r="E140" s="281">
        <f t="shared" ca="1" si="6"/>
        <v>0</v>
      </c>
      <c r="F140" s="281">
        <f t="shared" ca="1" si="6"/>
        <v>0</v>
      </c>
      <c r="G140" s="281">
        <f t="shared" ca="1" si="6"/>
        <v>0</v>
      </c>
      <c r="H140" s="281">
        <f t="shared" ca="1" si="6"/>
        <v>0</v>
      </c>
      <c r="I140" s="282">
        <f t="shared" ca="1" si="6"/>
        <v>0</v>
      </c>
    </row>
    <row r="141" spans="1:11" ht="21.75" customHeight="1" outlineLevel="1" x14ac:dyDescent="0.25">
      <c r="B141" s="235" t="s">
        <v>240</v>
      </c>
      <c r="C141" s="236"/>
      <c r="D141" s="236"/>
      <c r="E141" s="236"/>
      <c r="F141" s="236"/>
      <c r="G141" s="236"/>
      <c r="H141" s="236"/>
      <c r="I141" s="236"/>
    </row>
    <row r="142" spans="1:11" ht="15.75" customHeight="1" outlineLevel="1" x14ac:dyDescent="0.25">
      <c r="B142" s="527" t="s">
        <v>238</v>
      </c>
      <c r="C142" s="261"/>
      <c r="D142" s="263"/>
      <c r="E142" s="294"/>
      <c r="F142" s="262"/>
      <c r="G142" s="262"/>
      <c r="H142" s="262"/>
      <c r="I142" s="265"/>
    </row>
    <row r="143" spans="1:11" ht="15.75" customHeight="1" outlineLevel="1" x14ac:dyDescent="0.25">
      <c r="B143" s="506" t="s">
        <v>239</v>
      </c>
      <c r="C143" s="270"/>
      <c r="D143" s="271"/>
      <c r="E143" s="295"/>
      <c r="F143" s="256"/>
      <c r="G143" s="256"/>
      <c r="H143" s="256"/>
      <c r="I143" s="257"/>
    </row>
    <row r="144" spans="1:11" ht="15.75" customHeight="1" outlineLevel="1" x14ac:dyDescent="0.25">
      <c r="B144" s="280" t="s">
        <v>112</v>
      </c>
      <c r="C144" s="281">
        <f t="shared" ref="C144:I144" ca="1" si="7">SUM(C128:C143)</f>
        <v>0</v>
      </c>
      <c r="D144" s="281">
        <f t="shared" ca="1" si="7"/>
        <v>0</v>
      </c>
      <c r="E144" s="281">
        <f t="shared" ca="1" si="7"/>
        <v>0</v>
      </c>
      <c r="F144" s="281">
        <f t="shared" ca="1" si="7"/>
        <v>0</v>
      </c>
      <c r="G144" s="281">
        <f t="shared" ca="1" si="7"/>
        <v>0</v>
      </c>
      <c r="H144" s="281">
        <f t="shared" ca="1" si="7"/>
        <v>0</v>
      </c>
      <c r="I144" s="282">
        <f t="shared" ca="1" si="7"/>
        <v>0</v>
      </c>
    </row>
    <row r="145" outlineLevel="1" x14ac:dyDescent="0.25"/>
  </sheetData>
  <sheetProtection algorithmName="SHA-256" hashValue="rnK0jqBCGrhxeA04VfWGAd0JGi00iRwpf+/qmaiFyd8=" saltValue="v2S5jHkSBgFVZM+VHkCj+g==" spinCount="100000" sheet="1" objects="1" scenarios="1"/>
  <pageMargins left="0.7" right="0.7" top="0.75" bottom="0.75" header="0.3" footer="0.3"/>
  <pageSetup paperSize="9" orientation="portrait" r:id="rId1"/>
  <headerFooter>
    <oddFooter>&amp;C_x000D_&amp;1#&amp;"Calibri"&amp;10&amp;K000000 Ringfenced Confidential - Commercially 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F24BB75BCEF649A3A4EA2C8EA2DEE6" ma:contentTypeVersion="15" ma:contentTypeDescription="Create a new document." ma:contentTypeScope="" ma:versionID="f3a2c1669e6be8d5d6ac90f34d3e0791">
  <xsd:schema xmlns:xsd="http://www.w3.org/2001/XMLSchema" xmlns:xs="http://www.w3.org/2001/XMLSchema" xmlns:p="http://schemas.microsoft.com/office/2006/metadata/properties" xmlns:ns2="20e708b7-70c9-4619-8adb-98af544b7362" xmlns:ns3="d31dddaa-878a-4ea0-a049-155b52ca24f9" targetNamespace="http://schemas.microsoft.com/office/2006/metadata/properties" ma:root="true" ma:fieldsID="296f4dc2f06fa6070f284d8771c9a073" ns2:_="" ns3:_="">
    <xsd:import namespace="20e708b7-70c9-4619-8adb-98af544b7362"/>
    <xsd:import namespace="d31dddaa-878a-4ea0-a049-155b52ca2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708b7-70c9-4619-8adb-98af544b73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6dec70b-5686-468f-b815-f2accaae557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1dddaa-878a-4ea0-a049-155b52ca24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0432c59-4d96-4a01-9b84-7b4fb17f7643}" ma:internalName="TaxCatchAll" ma:showField="CatchAllData" ma:web="d31dddaa-878a-4ea0-a049-155b52ca24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31dddaa-878a-4ea0-a049-155b52ca24f9" xsi:nil="true"/>
    <lcf76f155ced4ddcb4097134ff3c332f xmlns="20e708b7-70c9-4619-8adb-98af544b736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DD7E68-3090-4AA3-A657-3B475AC57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e708b7-70c9-4619-8adb-98af544b7362"/>
    <ds:schemaRef ds:uri="d31dddaa-878a-4ea0-a049-155b52ca2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FAE6FA-70D2-4203-A2C4-D4D158516231}">
  <ds:schemaRefs>
    <ds:schemaRef ds:uri="http://schemas.microsoft.com/sharepoint/v3/contenttype/forms"/>
  </ds:schemaRefs>
</ds:datastoreItem>
</file>

<file path=customXml/itemProps3.xml><?xml version="1.0" encoding="utf-8"?>
<ds:datastoreItem xmlns:ds="http://schemas.openxmlformats.org/officeDocument/2006/customXml" ds:itemID="{E50ECFD1-CDA2-42AC-9913-A22BE47303E8}">
  <ds:schemaRefs>
    <ds:schemaRef ds:uri="http://schemas.microsoft.com/office/2006/documentManagement/types"/>
    <ds:schemaRef ds:uri="http://purl.org/dc/elements/1.1/"/>
    <ds:schemaRef ds:uri="20e708b7-70c9-4619-8adb-98af544b7362"/>
    <ds:schemaRef ds:uri="http://www.w3.org/XML/1998/namespace"/>
    <ds:schemaRef ds:uri="http://schemas.microsoft.com/office/infopath/2007/PartnerControls"/>
    <ds:schemaRef ds:uri="http://purl.org/dc/terms/"/>
    <ds:schemaRef ds:uri="http://schemas.openxmlformats.org/package/2006/metadata/core-properties"/>
    <ds:schemaRef ds:uri="d31dddaa-878a-4ea0-a049-155b52ca24f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762</vt:i4>
      </vt:variant>
    </vt:vector>
  </HeadingPairs>
  <TitlesOfParts>
    <vt:vector size="786" baseType="lpstr">
      <vt:lpstr>Instructions</vt:lpstr>
      <vt:lpstr>CONTENTS</vt:lpstr>
      <vt:lpstr>Business &amp; other details</vt:lpstr>
      <vt:lpstr>E1. Expenditure Summary</vt:lpstr>
      <vt:lpstr>E2. Mains Repex</vt:lpstr>
      <vt:lpstr>E3. Mains Augex</vt:lpstr>
      <vt:lpstr>E4. Meter replacement</vt:lpstr>
      <vt:lpstr>E5. Connections (gas)</vt:lpstr>
      <vt:lpstr>E6. Telemetry</vt:lpstr>
      <vt:lpstr>E10. Overheads</vt:lpstr>
      <vt:lpstr>E12. ICT</vt:lpstr>
      <vt:lpstr>E13. Other capex</vt:lpstr>
      <vt:lpstr>E17. Step changes</vt:lpstr>
      <vt:lpstr>E20. Opex</vt:lpstr>
      <vt:lpstr>E21. ARS</vt:lpstr>
      <vt:lpstr>E25. Escalators</vt:lpstr>
      <vt:lpstr>N1. Demand</vt:lpstr>
      <vt:lpstr>N2. Network characteristics</vt:lpstr>
      <vt:lpstr>S1. Cust. no.-by type</vt:lpstr>
      <vt:lpstr>S1.2 Cust. no.-by tariff</vt:lpstr>
      <vt:lpstr>S10. Supply Quality</vt:lpstr>
      <vt:lpstr>S11. Network reliability</vt:lpstr>
      <vt:lpstr>F3. Revenue</vt:lpstr>
      <vt:lpstr>Additional disclosures</vt:lpstr>
      <vt:lpstr>ARR</vt:lpstr>
      <vt:lpstr>ARR_Fmt2</vt:lpstr>
      <vt:lpstr>CA</vt:lpstr>
      <vt:lpstr>CA_Fmt2</vt:lpstr>
      <vt:lpstr>Calendar</vt:lpstr>
      <vt:lpstr>CESS</vt:lpstr>
      <vt:lpstr>CESS_Fmt2</vt:lpstr>
      <vt:lpstr>CPI</vt:lpstr>
      <vt:lpstr>CPI_Fmt2</vt:lpstr>
      <vt:lpstr>CRCP_final_year</vt:lpstr>
      <vt:lpstr>CRCP_start_year</vt:lpstr>
      <vt:lpstr>CRCP_y1</vt:lpstr>
      <vt:lpstr>CRCP_y10</vt:lpstr>
      <vt:lpstr>CRCP_y11</vt:lpstr>
      <vt:lpstr>CRCP_y12</vt:lpstr>
      <vt:lpstr>CRCP_y13</vt:lpstr>
      <vt:lpstr>CRCP_y14</vt:lpstr>
      <vt:lpstr>CRCP_y15</vt:lpstr>
      <vt:lpstr>CRCP_y16</vt:lpstr>
      <vt:lpstr>CRCP_y2</vt:lpstr>
      <vt:lpstr>CRCP_y3</vt:lpstr>
      <vt:lpstr>CRCP_y4</vt:lpstr>
      <vt:lpstr>CRCP_y5</vt:lpstr>
      <vt:lpstr>CRCP_y6</vt:lpstr>
      <vt:lpstr>CRCP_y7</vt:lpstr>
      <vt:lpstr>CRCP_y8</vt:lpstr>
      <vt:lpstr>CRCP_y9</vt:lpstr>
      <vt:lpstr>dms_020303_01_UOM</vt:lpstr>
      <vt:lpstr>dms_020501_01_UOM</vt:lpstr>
      <vt:lpstr>dms_020501_02_UOM</vt:lpstr>
      <vt:lpstr>dms_020501_03_UOM</vt:lpstr>
      <vt:lpstr>dms_020501_04_UOM</vt:lpstr>
      <vt:lpstr>dms_020603_01_UOM</vt:lpstr>
      <vt:lpstr>dms_020701_01_Rows</vt:lpstr>
      <vt:lpstr>dms_020701_01_UOM</vt:lpstr>
      <vt:lpstr>dms_020701_02_UOM</vt:lpstr>
      <vt:lpstr>dms_0306_Year</vt:lpstr>
      <vt:lpstr>dms_030601_01_UOM</vt:lpstr>
      <vt:lpstr>dms_030601_02_UOM</vt:lpstr>
      <vt:lpstr>dms_030605_UOM</vt:lpstr>
      <vt:lpstr>dms_03060703_UOM</vt:lpstr>
      <vt:lpstr>dms_030701_01_UOM</vt:lpstr>
      <vt:lpstr>dms_030702_01_UOM</vt:lpstr>
      <vt:lpstr>dms_030703_01_UOM</vt:lpstr>
      <vt:lpstr>dms_040102_01_UOM</vt:lpstr>
      <vt:lpstr>dms_040102_04_UOM</vt:lpstr>
      <vt:lpstr>dms_0502_Inst_Year</vt:lpstr>
      <vt:lpstr>dms_060101_Rows</vt:lpstr>
      <vt:lpstr>dms_060101_StartDateTxt</vt:lpstr>
      <vt:lpstr>dms_060101_StartDateVal</vt:lpstr>
      <vt:lpstr>dms_060102_Rows</vt:lpstr>
      <vt:lpstr>dms_0603_FeederList</vt:lpstr>
      <vt:lpstr>dms_060301_Avg_Duration_Sustained_Int_Row</vt:lpstr>
      <vt:lpstr>dms_060301_checkvalue</vt:lpstr>
      <vt:lpstr>dms_060301_CustNo_Affected_Row</vt:lpstr>
      <vt:lpstr>dms_060301_Effect_unplanned_SAIDI_Row</vt:lpstr>
      <vt:lpstr>dms_060301_Effect_unplanned_SAIFI_Row</vt:lpstr>
      <vt:lpstr>dms_060301_LastRow</vt:lpstr>
      <vt:lpstr>dms_060301_MaxRows</vt:lpstr>
      <vt:lpstr>dms_060701_ARR_MaxRows</vt:lpstr>
      <vt:lpstr>dms_060701_Feeder_Header_Lvl4</vt:lpstr>
      <vt:lpstr>dms_060701_MaxCols</vt:lpstr>
      <vt:lpstr>dms_060701_MaxRows</vt:lpstr>
      <vt:lpstr>dms_060701_OffsetRows</vt:lpstr>
      <vt:lpstr>dms_060701_Reset_MaxRows</vt:lpstr>
      <vt:lpstr>dms_060701_Rows</vt:lpstr>
      <vt:lpstr>dms_060701_StartDateTxt</vt:lpstr>
      <vt:lpstr>dms_060701_StartDateVal</vt:lpstr>
      <vt:lpstr>dms_0608_LastRow</vt:lpstr>
      <vt:lpstr>dms_0608_OffsetRows</vt:lpstr>
      <vt:lpstr>dms_060801_01_Rows</vt:lpstr>
      <vt:lpstr>dms_060801_02_Rows</vt:lpstr>
      <vt:lpstr>dms_060801_03_Rows</vt:lpstr>
      <vt:lpstr>dms_060801_04_Rows</vt:lpstr>
      <vt:lpstr>dms_060801_MaxRows</vt:lpstr>
      <vt:lpstr>dms_070904_01_Rows</vt:lpstr>
      <vt:lpstr>dms_070904_Start_Year</vt:lpstr>
      <vt:lpstr>dms_663</vt:lpstr>
      <vt:lpstr>dms_663_List</vt:lpstr>
      <vt:lpstr>dms_ABN</vt:lpstr>
      <vt:lpstr>dms_ABN_List</vt:lpstr>
      <vt:lpstr>dms_Addr1</vt:lpstr>
      <vt:lpstr>dms_Addr1_List</vt:lpstr>
      <vt:lpstr>dms_Addr2</vt:lpstr>
      <vt:lpstr>dms_Addr2_List</vt:lpstr>
      <vt:lpstr>dms_Amendment_Text</vt:lpstr>
      <vt:lpstr>dms_AmendmentReason</vt:lpstr>
      <vt:lpstr>dms_ARR</vt:lpstr>
      <vt:lpstr>dms_BaseStepTrend</vt:lpstr>
      <vt:lpstr>dms_BaseYear_Choice</vt:lpstr>
      <vt:lpstr>dms_BaseYear_List</vt:lpstr>
      <vt:lpstr>dms_BaseYear_List_CY</vt:lpstr>
      <vt:lpstr>dms_Beg</vt:lpstr>
      <vt:lpstr>dms_CA</vt:lpstr>
      <vt:lpstr>dms_Cal_Year_B4_CRY</vt:lpstr>
      <vt:lpstr>dms_CBD_flag</vt:lpstr>
      <vt:lpstr>dms_CBD_flag_NSP</vt:lpstr>
      <vt:lpstr>dms_CF_3.6.1</vt:lpstr>
      <vt:lpstr>dms_CF_3.6.5</vt:lpstr>
      <vt:lpstr>dms_CF_3.6.6.1</vt:lpstr>
      <vt:lpstr>dms_CF_3.6.6.2</vt:lpstr>
      <vt:lpstr>dms_CF_3.6.6.3</vt:lpstr>
      <vt:lpstr>dms_CF_3.6.7.1</vt:lpstr>
      <vt:lpstr>dms_CF_3.6.7.2</vt:lpstr>
      <vt:lpstr>dms_CF_3.6.7.3</vt:lpstr>
      <vt:lpstr>dms_CF_3.6.7.4</vt:lpstr>
      <vt:lpstr>dms_CF_3.6.8</vt:lpstr>
      <vt:lpstr>dms_CF_4.1</vt:lpstr>
      <vt:lpstr>dms_CF_4.4.1</vt:lpstr>
      <vt:lpstr>dms_CF_6.8</vt:lpstr>
      <vt:lpstr>dms_CF_7.12</vt:lpstr>
      <vt:lpstr>dms_CF_8.1_A</vt:lpstr>
      <vt:lpstr>dms_CF_8.1_B</vt:lpstr>
      <vt:lpstr>dms_CF_8.1_Neg</vt:lpstr>
      <vt:lpstr>dms_CF_F10</vt:lpstr>
      <vt:lpstr>dms_CF_TradingName</vt:lpstr>
      <vt:lpstr>dms_Classification</vt:lpstr>
      <vt:lpstr>dms_Confid_status_List</vt:lpstr>
      <vt:lpstr>dms_ContactEmail</vt:lpstr>
      <vt:lpstr>dms_ContactEmail2</vt:lpstr>
      <vt:lpstr>dms_ContactName1</vt:lpstr>
      <vt:lpstr>dms_ContactName2</vt:lpstr>
      <vt:lpstr>dms_ContactPh1</vt:lpstr>
      <vt:lpstr>dms_ContactPh2</vt:lpstr>
      <vt:lpstr>dms_CRCP_FinalYear_Result</vt:lpstr>
      <vt:lpstr>dms_CRCP_start_row</vt:lpstr>
      <vt:lpstr>dms_CRCPlength_List</vt:lpstr>
      <vt:lpstr>dms_CRCPlength_Num</vt:lpstr>
      <vt:lpstr>dms_CRY_RYE</vt:lpstr>
      <vt:lpstr>dms_CRY_start_row</vt:lpstr>
      <vt:lpstr>dms_CRY_start_year</vt:lpstr>
      <vt:lpstr>dms_DataQuality</vt:lpstr>
      <vt:lpstr>dms_DataQuality_List</vt:lpstr>
      <vt:lpstr>dms_Defined_Names_Used</vt:lpstr>
      <vt:lpstr>dms_DeterminationRef</vt:lpstr>
      <vt:lpstr>dms_DeterminationRef_List</vt:lpstr>
      <vt:lpstr>dms_DISCARD</vt:lpstr>
      <vt:lpstr>dms_DNSP_020301_ProjectTrigger</vt:lpstr>
      <vt:lpstr>dms_DNSP_020301_ProjectType</vt:lpstr>
      <vt:lpstr>dms_DNSP_020301_SubstationType</vt:lpstr>
      <vt:lpstr>dms_DNSP_020302_ProjectTrigger</vt:lpstr>
      <vt:lpstr>dms_DNSP_020302_ProjectType</vt:lpstr>
      <vt:lpstr>dms_dollar_nom_UOM</vt:lpstr>
      <vt:lpstr>dms_DollarReal</vt:lpstr>
      <vt:lpstr>dms_DollarReal_Prev</vt:lpstr>
      <vt:lpstr>dms_DollarReal_year</vt:lpstr>
      <vt:lpstr>dms_DQ_1</vt:lpstr>
      <vt:lpstr>dms_DQ_2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dms_E0201_ProjectNames</vt:lpstr>
      <vt:lpstr>dms_E020101_A_Values</vt:lpstr>
      <vt:lpstr>dms_E020101_B_Values</vt:lpstr>
      <vt:lpstr>dms_E020101_C_Values</vt:lpstr>
      <vt:lpstr>dms_E020101_D_Values</vt:lpstr>
      <vt:lpstr>dms_E020101_E2_Rows</vt:lpstr>
      <vt:lpstr>dms_E020101_E2_Values</vt:lpstr>
      <vt:lpstr>dms_E020101_F_Values</vt:lpstr>
      <vt:lpstr>dms_E020102_A_Values</vt:lpstr>
      <vt:lpstr>dms_E020102_B_Values</vt:lpstr>
      <vt:lpstr>dms_E020102_C_Values</vt:lpstr>
      <vt:lpstr>dms_E020102_D_Values</vt:lpstr>
      <vt:lpstr>dms_E020102_E_Values</vt:lpstr>
      <vt:lpstr>dms_E020102_F_Values</vt:lpstr>
      <vt:lpstr>dms_E020102_Rows</vt:lpstr>
      <vt:lpstr>dms_E020201_A_Values</vt:lpstr>
      <vt:lpstr>dms_E020201_B_Values</vt:lpstr>
      <vt:lpstr>dms_E020201_C_Values</vt:lpstr>
      <vt:lpstr>dms_E020201_D_Values</vt:lpstr>
      <vt:lpstr>dms_E020201_E_Values</vt:lpstr>
      <vt:lpstr>dms_E020201_F_Values</vt:lpstr>
      <vt:lpstr>dms_E020202_A_Values</vt:lpstr>
      <vt:lpstr>dms_E020202_B_Values</vt:lpstr>
      <vt:lpstr>dms_E020202_C_Values</vt:lpstr>
      <vt:lpstr>dms_E020202_D_Values</vt:lpstr>
      <vt:lpstr>dms_E020202_E_Values</vt:lpstr>
      <vt:lpstr>dms_E020202_F_Values</vt:lpstr>
      <vt:lpstr>dms_E020202_Rows</vt:lpstr>
      <vt:lpstr>dms_E020202_UOM</vt:lpstr>
      <vt:lpstr>dms_E0301_ProjectNames</vt:lpstr>
      <vt:lpstr>dms_E030101_A_Values</vt:lpstr>
      <vt:lpstr>dms_E030101_B_Values</vt:lpstr>
      <vt:lpstr>dms_E030101_C_Values</vt:lpstr>
      <vt:lpstr>dms_E030101_D_Values</vt:lpstr>
      <vt:lpstr>dms_E030101_E2_Rows</vt:lpstr>
      <vt:lpstr>dms_E030101_E2_Values</vt:lpstr>
      <vt:lpstr>dms_E030101_F_Values</vt:lpstr>
      <vt:lpstr>dms_E030201_A_Values</vt:lpstr>
      <vt:lpstr>dms_E030201_B_Values</vt:lpstr>
      <vt:lpstr>dms_E030201_C_Values</vt:lpstr>
      <vt:lpstr>dms_E030201_D_Values</vt:lpstr>
      <vt:lpstr>dms_E030201_E_Values</vt:lpstr>
      <vt:lpstr>dms_E030201_F_Values</vt:lpstr>
      <vt:lpstr>dms_E04_Rows</vt:lpstr>
      <vt:lpstr>dms_E040101_A_Values</vt:lpstr>
      <vt:lpstr>dms_E040101_B_Values</vt:lpstr>
      <vt:lpstr>dms_E040101_C_Values</vt:lpstr>
      <vt:lpstr>dms_E040101_D_Values</vt:lpstr>
      <vt:lpstr>dms_E040101_E_Values</vt:lpstr>
      <vt:lpstr>dms_E040101_F_Values</vt:lpstr>
      <vt:lpstr>dms_E040102_A_Values</vt:lpstr>
      <vt:lpstr>dms_E040102_B_Values</vt:lpstr>
      <vt:lpstr>dms_E040102_C_Values</vt:lpstr>
      <vt:lpstr>dms_E040102_D_Values</vt:lpstr>
      <vt:lpstr>dms_E040102_E_Values</vt:lpstr>
      <vt:lpstr>dms_E040102_F_Values</vt:lpstr>
      <vt:lpstr>dms_E040103_A_Values</vt:lpstr>
      <vt:lpstr>dms_E040103_B_Values</vt:lpstr>
      <vt:lpstr>dms_E040103_C_Values</vt:lpstr>
      <vt:lpstr>dms_E040103_D_Values</vt:lpstr>
      <vt:lpstr>dms_E040103_E_Values</vt:lpstr>
      <vt:lpstr>dms_E040103_F_Values</vt:lpstr>
      <vt:lpstr>dms_E040104_A_Values</vt:lpstr>
      <vt:lpstr>dms_E040104_B_Values</vt:lpstr>
      <vt:lpstr>dms_E040104_C_Values</vt:lpstr>
      <vt:lpstr>dms_E040104_D_Values</vt:lpstr>
      <vt:lpstr>dms_E040104_E_Values</vt:lpstr>
      <vt:lpstr>dms_E040104_F_Values</vt:lpstr>
      <vt:lpstr>dms_E040201_Values</vt:lpstr>
      <vt:lpstr>dms_E040202_A_Values</vt:lpstr>
      <vt:lpstr>dms_E040202_B_Values</vt:lpstr>
      <vt:lpstr>dms_E040203_Values</vt:lpstr>
      <vt:lpstr>dms_E040204_Values</vt:lpstr>
      <vt:lpstr>dms_E040205_Values</vt:lpstr>
      <vt:lpstr>dms_E05_Rows</vt:lpstr>
      <vt:lpstr>dms_E050101_A_i_Values</vt:lpstr>
      <vt:lpstr>dms_E050101_A_ii_Values</vt:lpstr>
      <vt:lpstr>dms_E050101_A_iii_Values</vt:lpstr>
      <vt:lpstr>dms_E050101_A_iv_Values</vt:lpstr>
      <vt:lpstr>dms_E050101_A_v_Values</vt:lpstr>
      <vt:lpstr>dms_E050101_A_vi_Values</vt:lpstr>
      <vt:lpstr>dms_E050101_B_i_Values</vt:lpstr>
      <vt:lpstr>dms_E050101_B_ii_Values</vt:lpstr>
      <vt:lpstr>dms_E050101_B_iii_Values</vt:lpstr>
      <vt:lpstr>dms_E050101_B_iv_Values</vt:lpstr>
      <vt:lpstr>dms_E050101_B_v_Values</vt:lpstr>
      <vt:lpstr>dms_E050101_B_vI_Values</vt:lpstr>
      <vt:lpstr>dms_E050101_C_i_Values</vt:lpstr>
      <vt:lpstr>dms_E050101_C_ii_Values</vt:lpstr>
      <vt:lpstr>dms_E050101_C_iii_Values</vt:lpstr>
      <vt:lpstr>dms_E050101_C_iv_Values</vt:lpstr>
      <vt:lpstr>dms_E050101_C_v_Values</vt:lpstr>
      <vt:lpstr>dms_E050101_C_vI_Values</vt:lpstr>
      <vt:lpstr>dms_E050101_D_i_Values</vt:lpstr>
      <vt:lpstr>dms_E050101_D_ii_Values</vt:lpstr>
      <vt:lpstr>dms_E050101_D_iii_Values</vt:lpstr>
      <vt:lpstr>dms_E050101_D_iv_Values</vt:lpstr>
      <vt:lpstr>dms_E050101_D_v_Values</vt:lpstr>
      <vt:lpstr>dms_E050101_D_vI_Values</vt:lpstr>
      <vt:lpstr>dms_E050101_E_i_Values</vt:lpstr>
      <vt:lpstr>dms_E050101_E_ii_Values</vt:lpstr>
      <vt:lpstr>dms_E050101_E_iii_Values</vt:lpstr>
      <vt:lpstr>dms_E050101_E_iv_Values</vt:lpstr>
      <vt:lpstr>dms_E050101_E_v_Values</vt:lpstr>
      <vt:lpstr>dms_E050101_E_vI_Values</vt:lpstr>
      <vt:lpstr>dms_E050101_F_i_Values</vt:lpstr>
      <vt:lpstr>dms_E050101_F_ii_Values</vt:lpstr>
      <vt:lpstr>dms_E050101_F_iii_Values</vt:lpstr>
      <vt:lpstr>dms_E050101_F_iv_Values</vt:lpstr>
      <vt:lpstr>dms_E050101_F_v_Values</vt:lpstr>
      <vt:lpstr>dms_E050101_F_vI_Values</vt:lpstr>
      <vt:lpstr>dms_E050201_A_Values</vt:lpstr>
      <vt:lpstr>dms_E050201_B_Values</vt:lpstr>
      <vt:lpstr>dms_E050201_C_Values</vt:lpstr>
      <vt:lpstr>dms_E050201_D_Values</vt:lpstr>
      <vt:lpstr>dms_E050201_E_Values</vt:lpstr>
      <vt:lpstr>dms_E050201_F_Values</vt:lpstr>
      <vt:lpstr>dms_E050201_UOM</vt:lpstr>
      <vt:lpstr>dms_E050202_UOM</vt:lpstr>
      <vt:lpstr>dms_E0503_Rows</vt:lpstr>
      <vt:lpstr>dms_E050301_Values</vt:lpstr>
      <vt:lpstr>dms_E050302_A_Values</vt:lpstr>
      <vt:lpstr>dms_E050302_B_Values</vt:lpstr>
      <vt:lpstr>dms_E050302_C_Values</vt:lpstr>
      <vt:lpstr>dms_E050302_D_Values</vt:lpstr>
      <vt:lpstr>dms_E050302_E_Values</vt:lpstr>
      <vt:lpstr>dms_E050302_F_Values</vt:lpstr>
      <vt:lpstr>dms_E0504_Rows</vt:lpstr>
      <vt:lpstr>dms_E050401_Values</vt:lpstr>
      <vt:lpstr>dms_E050402_Values</vt:lpstr>
      <vt:lpstr>dms_E0605_ProjectNames</vt:lpstr>
      <vt:lpstr>dms_E060501_A_Values</vt:lpstr>
      <vt:lpstr>dms_E060501_B_Values</vt:lpstr>
      <vt:lpstr>dms_E060501_C_Values</vt:lpstr>
      <vt:lpstr>dms_E060501_D_Values</vt:lpstr>
      <vt:lpstr>dms_E060501_E2_Rows</vt:lpstr>
      <vt:lpstr>dms_E060501_E2_Values</vt:lpstr>
      <vt:lpstr>dms_E060501_F_Values</vt:lpstr>
      <vt:lpstr>dms_E060502_01_Rows</vt:lpstr>
      <vt:lpstr>dms_E060502_01_Values</vt:lpstr>
      <vt:lpstr>dms_E060502_02_Rows</vt:lpstr>
      <vt:lpstr>dms_E060502_02_Values</vt:lpstr>
      <vt:lpstr>dms_E10_01_Rows</vt:lpstr>
      <vt:lpstr>dms_E10_02_Rows</vt:lpstr>
      <vt:lpstr>dms_E100101_01_Values</vt:lpstr>
      <vt:lpstr>dms_E100101_02_Values</vt:lpstr>
      <vt:lpstr>dms_E100102_01_Values</vt:lpstr>
      <vt:lpstr>dms_E100102_02_Values</vt:lpstr>
      <vt:lpstr>dms_E100201_01_Values</vt:lpstr>
      <vt:lpstr>dms_E100201_02_Values</vt:lpstr>
      <vt:lpstr>dms_E100202_01_Values</vt:lpstr>
      <vt:lpstr>dms_E100202_02_Values</vt:lpstr>
      <vt:lpstr>dms_E12_ProjectNames</vt:lpstr>
      <vt:lpstr>dms_E12_Projects_01</vt:lpstr>
      <vt:lpstr>dms_E12_Projects_02</vt:lpstr>
      <vt:lpstr>dms_E12_Projects_03</vt:lpstr>
      <vt:lpstr>dms_E12_Projects_04</vt:lpstr>
      <vt:lpstr>dms_E12_Projects_05</vt:lpstr>
      <vt:lpstr>dms_E12_Projects_06</vt:lpstr>
      <vt:lpstr>dms_E12_Projects_07</vt:lpstr>
      <vt:lpstr>dms_E12_Projects_08</vt:lpstr>
      <vt:lpstr>dms_E12_Projects_09</vt:lpstr>
      <vt:lpstr>dms_E12_Projects_10</vt:lpstr>
      <vt:lpstr>dms_E12_Projects_11</vt:lpstr>
      <vt:lpstr>dms_E12_Projects_12</vt:lpstr>
      <vt:lpstr>dms_E12_Projects_13</vt:lpstr>
      <vt:lpstr>dms_E12_Projects_14</vt:lpstr>
      <vt:lpstr>dms_E12_Projects_15</vt:lpstr>
      <vt:lpstr>dms_E1201_A_Values</vt:lpstr>
      <vt:lpstr>dms_E1201_B_Values</vt:lpstr>
      <vt:lpstr>dms_E1201_C_Values</vt:lpstr>
      <vt:lpstr>dms_E1201_D_Values</vt:lpstr>
      <vt:lpstr>dms_E1201_E2_Rows</vt:lpstr>
      <vt:lpstr>dms_E1201_E2_Values</vt:lpstr>
      <vt:lpstr>dms_E1201_F_Values</vt:lpstr>
      <vt:lpstr>dms_E120201_Rows</vt:lpstr>
      <vt:lpstr>dms_E120201_Values</vt:lpstr>
      <vt:lpstr>dms_E120202_Rows</vt:lpstr>
      <vt:lpstr>dms_E120202_Values</vt:lpstr>
      <vt:lpstr>dms_E13_ProjectNames</vt:lpstr>
      <vt:lpstr>dms_E13_Projects_01</vt:lpstr>
      <vt:lpstr>dms_E13_Projects_02</vt:lpstr>
      <vt:lpstr>dms_E13_Projects_03</vt:lpstr>
      <vt:lpstr>dms_E13_Projects_04</vt:lpstr>
      <vt:lpstr>dms_E13_Projects_05</vt:lpstr>
      <vt:lpstr>dms_E13_Projects_06</vt:lpstr>
      <vt:lpstr>dms_E13_Projects_07</vt:lpstr>
      <vt:lpstr>dms_E13_Projects_08</vt:lpstr>
      <vt:lpstr>dms_E13_Projects_09</vt:lpstr>
      <vt:lpstr>dms_E13_Projects_10</vt:lpstr>
      <vt:lpstr>dms_E13_Projects_11</vt:lpstr>
      <vt:lpstr>dms_E13_Projects_12</vt:lpstr>
      <vt:lpstr>dms_E13_Projects_13</vt:lpstr>
      <vt:lpstr>dms_E13_Projects_14</vt:lpstr>
      <vt:lpstr>dms_E13_Projects_15</vt:lpstr>
      <vt:lpstr>dms_E1301_A_Values</vt:lpstr>
      <vt:lpstr>dms_E1301_B_Values</vt:lpstr>
      <vt:lpstr>dms_E1301_C_Values</vt:lpstr>
      <vt:lpstr>dms_E1301_D_Values</vt:lpstr>
      <vt:lpstr>dms_E1301_E2_Rows</vt:lpstr>
      <vt:lpstr>dms_E1301_E2_Values</vt:lpstr>
      <vt:lpstr>dms_E1301_F_Values</vt:lpstr>
      <vt:lpstr>dms_E170101_Rows</vt:lpstr>
      <vt:lpstr>dms_E170101_Values</vt:lpstr>
      <vt:lpstr>dms_E170102_Rows</vt:lpstr>
      <vt:lpstr>dms_E170102_Values</vt:lpstr>
      <vt:lpstr>dms_E170201_Rows</vt:lpstr>
      <vt:lpstr>dms_E170201_Values</vt:lpstr>
      <vt:lpstr>dms_E2_Projects_01</vt:lpstr>
      <vt:lpstr>dms_E2_Projects_02</vt:lpstr>
      <vt:lpstr>dms_E2_Projects_03</vt:lpstr>
      <vt:lpstr>dms_E2_Projects_04</vt:lpstr>
      <vt:lpstr>dms_E2_Projects_05</vt:lpstr>
      <vt:lpstr>dms_E2_Projects_06</vt:lpstr>
      <vt:lpstr>dms_E2_Projects_07</vt:lpstr>
      <vt:lpstr>dms_E2_Projects_08</vt:lpstr>
      <vt:lpstr>dms_E2_Projects_09</vt:lpstr>
      <vt:lpstr>dms_E2_Projects_10</vt:lpstr>
      <vt:lpstr>dms_E2_Projects_11</vt:lpstr>
      <vt:lpstr>dms_E2_Projects_12</vt:lpstr>
      <vt:lpstr>dms_E2_Projects_13</vt:lpstr>
      <vt:lpstr>dms_E2_Projects_14</vt:lpstr>
      <vt:lpstr>dms_E2_Projects_15</vt:lpstr>
      <vt:lpstr>dms_E2_Projects_16</vt:lpstr>
      <vt:lpstr>dms_E2_Projects_17</vt:lpstr>
      <vt:lpstr>dms_E2_Projects_18</vt:lpstr>
      <vt:lpstr>dms_E2_Projects_19</vt:lpstr>
      <vt:lpstr>dms_E2_Projects_20</vt:lpstr>
      <vt:lpstr>dms_E2_Projects_21</vt:lpstr>
      <vt:lpstr>dms_E2_Projects_22</vt:lpstr>
      <vt:lpstr>dms_E2_Projects_23</vt:lpstr>
      <vt:lpstr>dms_E2_Projects_24</vt:lpstr>
      <vt:lpstr>dms_E2_Projects_25</vt:lpstr>
      <vt:lpstr>dms_E2_Projects_26</vt:lpstr>
      <vt:lpstr>dms_E2_Projects_27</vt:lpstr>
      <vt:lpstr>dms_E2_Projects_28</vt:lpstr>
      <vt:lpstr>dms_E2_Projects_29</vt:lpstr>
      <vt:lpstr>dms_E2_Projects_30</vt:lpstr>
      <vt:lpstr>dms_E2_Projects_31</vt:lpstr>
      <vt:lpstr>dms_E2_Projects_32</vt:lpstr>
      <vt:lpstr>dms_E2_Projects_33</vt:lpstr>
      <vt:lpstr>dms_E2_Projects_34</vt:lpstr>
      <vt:lpstr>dms_E2_Projects_35</vt:lpstr>
      <vt:lpstr>dms_E2_Projects_36</vt:lpstr>
      <vt:lpstr>dms_E2_Projects_37</vt:lpstr>
      <vt:lpstr>dms_E2_Projects_38</vt:lpstr>
      <vt:lpstr>dms_E2_Projects_39</vt:lpstr>
      <vt:lpstr>dms_E2_Projects_40</vt:lpstr>
      <vt:lpstr>dms_E2_Projects_41</vt:lpstr>
      <vt:lpstr>dms_E2_Projects_42</vt:lpstr>
      <vt:lpstr>dms_E2_Projects_43</vt:lpstr>
      <vt:lpstr>dms_E2_Projects_44</vt:lpstr>
      <vt:lpstr>dms_E2_Projects_45</vt:lpstr>
      <vt:lpstr>dms_E2_Projects_46</vt:lpstr>
      <vt:lpstr>dms_E2_Projects_47</vt:lpstr>
      <vt:lpstr>dms_E2_Projects_48</vt:lpstr>
      <vt:lpstr>dms_E2_Projects_49</vt:lpstr>
      <vt:lpstr>dms_E2_Projects_50</vt:lpstr>
      <vt:lpstr>dms_E20_flag</vt:lpstr>
      <vt:lpstr>dms_E200101_Actual_Values</vt:lpstr>
      <vt:lpstr>dms_E200101_Fcast_Values</vt:lpstr>
      <vt:lpstr>dms_E200101_Rows</vt:lpstr>
      <vt:lpstr>dms_E200102_Actual_Values</vt:lpstr>
      <vt:lpstr>dms_E200102_Fcast_Values</vt:lpstr>
      <vt:lpstr>dms_E200102_Rows</vt:lpstr>
      <vt:lpstr>dms_E200201_Rows</vt:lpstr>
      <vt:lpstr>dms_E200201_Values</vt:lpstr>
      <vt:lpstr>dms_E200202_Rows</vt:lpstr>
      <vt:lpstr>dms_E200202_Values</vt:lpstr>
      <vt:lpstr>dms_E200301_Values</vt:lpstr>
      <vt:lpstr>dms_E200302_Values</vt:lpstr>
      <vt:lpstr>dms_E2101_Rows</vt:lpstr>
      <vt:lpstr>dms_E2101_Values</vt:lpstr>
      <vt:lpstr>dms_E2103_Values</vt:lpstr>
      <vt:lpstr>dms_E250101_Rows</vt:lpstr>
      <vt:lpstr>dms_E250101_Values</vt:lpstr>
      <vt:lpstr>dms_E250102_Rows</vt:lpstr>
      <vt:lpstr>dms_E250102_Values</vt:lpstr>
      <vt:lpstr>dms_E3_Projects_01</vt:lpstr>
      <vt:lpstr>dms_E3_Projects_02</vt:lpstr>
      <vt:lpstr>dms_E3_Projects_03</vt:lpstr>
      <vt:lpstr>dms_E3_Projects_04</vt:lpstr>
      <vt:lpstr>dms_E3_Projects_05</vt:lpstr>
      <vt:lpstr>dms_E3_Projects_06</vt:lpstr>
      <vt:lpstr>dms_E3_Projects_07</vt:lpstr>
      <vt:lpstr>dms_E3_Projects_08</vt:lpstr>
      <vt:lpstr>dms_E3_Projects_09</vt:lpstr>
      <vt:lpstr>dms_E3_Projects_10</vt:lpstr>
      <vt:lpstr>dms_E3_Projects_11</vt:lpstr>
      <vt:lpstr>dms_E3_Projects_12</vt:lpstr>
      <vt:lpstr>dms_E3_Projects_13</vt:lpstr>
      <vt:lpstr>dms_E3_Projects_14</vt:lpstr>
      <vt:lpstr>dms_E3_Projects_15</vt:lpstr>
      <vt:lpstr>dms_E3_Projects_16</vt:lpstr>
      <vt:lpstr>dms_E3_Projects_17</vt:lpstr>
      <vt:lpstr>dms_E3_Projects_18</vt:lpstr>
      <vt:lpstr>dms_E3_Projects_19</vt:lpstr>
      <vt:lpstr>dms_E3_Projects_20</vt:lpstr>
      <vt:lpstr>dms_E3_Projects_21</vt:lpstr>
      <vt:lpstr>dms_E3_Projects_22</vt:lpstr>
      <vt:lpstr>dms_E3_Projects_23</vt:lpstr>
      <vt:lpstr>dms_E3_Projects_24</vt:lpstr>
      <vt:lpstr>dms_E3_Projects_25</vt:lpstr>
      <vt:lpstr>dms_E3_Projects_26</vt:lpstr>
      <vt:lpstr>dms_E3_Projects_27</vt:lpstr>
      <vt:lpstr>dms_E3_Projects_28</vt:lpstr>
      <vt:lpstr>dms_E3_Projects_29</vt:lpstr>
      <vt:lpstr>dms_E3_Projects_30</vt:lpstr>
      <vt:lpstr>dms_E3_Projects_31</vt:lpstr>
      <vt:lpstr>dms_E3_Projects_32</vt:lpstr>
      <vt:lpstr>dms_E3_Projects_33</vt:lpstr>
      <vt:lpstr>dms_E3_Projects_34</vt:lpstr>
      <vt:lpstr>dms_E3_Projects_35</vt:lpstr>
      <vt:lpstr>dms_E3_Projects_36</vt:lpstr>
      <vt:lpstr>dms_E3_Projects_37</vt:lpstr>
      <vt:lpstr>dms_E3_Projects_38</vt:lpstr>
      <vt:lpstr>dms_E3_Projects_39</vt:lpstr>
      <vt:lpstr>dms_E3_Projects_40</vt:lpstr>
      <vt:lpstr>dms_E3_Projects_41</vt:lpstr>
      <vt:lpstr>dms_E3_Projects_42</vt:lpstr>
      <vt:lpstr>dms_E3_Projects_43</vt:lpstr>
      <vt:lpstr>dms_E3_Projects_44</vt:lpstr>
      <vt:lpstr>dms_E3_Projects_45</vt:lpstr>
      <vt:lpstr>dms_E3_Projects_46</vt:lpstr>
      <vt:lpstr>dms_E3_Projects_47</vt:lpstr>
      <vt:lpstr>dms_E3_Projects_48</vt:lpstr>
      <vt:lpstr>dms_E3_Projects_49</vt:lpstr>
      <vt:lpstr>dms_E3_Projects_50</vt:lpstr>
      <vt:lpstr>dms_E65_Projects_01</vt:lpstr>
      <vt:lpstr>dms_E65_Projects_02</vt:lpstr>
      <vt:lpstr>dms_E65_Projects_03</vt:lpstr>
      <vt:lpstr>dms_E65_Projects_04</vt:lpstr>
      <vt:lpstr>dms_E65_Projects_05</vt:lpstr>
      <vt:lpstr>dms_E65_Projects_06</vt:lpstr>
      <vt:lpstr>dms_E65_Projects_07</vt:lpstr>
      <vt:lpstr>dms_E65_Projects_08</vt:lpstr>
      <vt:lpstr>dms_E65_Projects_09</vt:lpstr>
      <vt:lpstr>dms_E65_Projects_10</vt:lpstr>
      <vt:lpstr>dms_E65_Projects_11</vt:lpstr>
      <vt:lpstr>dms_E65_Projects_12</vt:lpstr>
      <vt:lpstr>dms_E65_Projects_13</vt:lpstr>
      <vt:lpstr>dms_E65_Projects_14</vt:lpstr>
      <vt:lpstr>dms_E65_Projects_15</vt:lpstr>
      <vt:lpstr>dms_EB</vt:lpstr>
      <vt:lpstr>dms_EB_RAB_PIT</vt:lpstr>
      <vt:lpstr>dms_End</vt:lpstr>
      <vt:lpstr>dms_F030101_Rows</vt:lpstr>
      <vt:lpstr>dms_F030101_Values</vt:lpstr>
      <vt:lpstr>dms_F030102_Rows</vt:lpstr>
      <vt:lpstr>dms_F030102_Values</vt:lpstr>
      <vt:lpstr>dms_F030103_Rows</vt:lpstr>
      <vt:lpstr>dms_F030103_Values</vt:lpstr>
      <vt:lpstr>dms_F0302_Rows</vt:lpstr>
      <vt:lpstr>dms_F0302_Values</vt:lpstr>
      <vt:lpstr>dms_F0303_Rows</vt:lpstr>
      <vt:lpstr>dms_F0303_Values</vt:lpstr>
      <vt:lpstr>dms_F0304_Rows</vt:lpstr>
      <vt:lpstr>dms_F0304_Values</vt:lpstr>
      <vt:lpstr>dms_F0305_Rows</vt:lpstr>
      <vt:lpstr>dms_F0305_Values</vt:lpstr>
      <vt:lpstr>dms_FeederName_1</vt:lpstr>
      <vt:lpstr>dms_FeederName_2</vt:lpstr>
      <vt:lpstr>dms_FeederName_3</vt:lpstr>
      <vt:lpstr>dms_FeederName_4</vt:lpstr>
      <vt:lpstr>dms_FeederName_5</vt:lpstr>
      <vt:lpstr>dms_FeederType_5_flag</vt:lpstr>
      <vt:lpstr>dms_FifthFeeder_flag_NSP</vt:lpstr>
      <vt:lpstr>dms_FormControl</vt:lpstr>
      <vt:lpstr>dms_FormControl_Choices</vt:lpstr>
      <vt:lpstr>dms_FormControl_List</vt:lpstr>
      <vt:lpstr>dms_FRCP_start_row</vt:lpstr>
      <vt:lpstr>dms_FRCP_y1</vt:lpstr>
      <vt:lpstr>dms_FRCPlength_List</vt:lpstr>
      <vt:lpstr>dms_FRCPlength_Num</vt:lpstr>
      <vt:lpstr>dms_Header_Span</vt:lpstr>
      <vt:lpstr>dms_Jurisdiction</vt:lpstr>
      <vt:lpstr>dms_JurisdictionList</vt:lpstr>
      <vt:lpstr>dms_LeapYear_Result</vt:lpstr>
      <vt:lpstr>dms_LongRural_flag</vt:lpstr>
      <vt:lpstr>dms_LongRural_flag_NSP</vt:lpstr>
      <vt:lpstr>dms_Mid</vt:lpstr>
      <vt:lpstr>dms_Model</vt:lpstr>
      <vt:lpstr>dms_Model_List</vt:lpstr>
      <vt:lpstr>dms_Model_Name_Format1</vt:lpstr>
      <vt:lpstr>dms_Model_Span</vt:lpstr>
      <vt:lpstr>dms_Model_Span_List</vt:lpstr>
      <vt:lpstr>dms_Multi_RYE_flag</vt:lpstr>
      <vt:lpstr>dms_MultiYear_ABC_RIN</vt:lpstr>
      <vt:lpstr>dms_MultiYear_FinalYear_Result</vt:lpstr>
      <vt:lpstr>dms_MultiYear_Flag</vt:lpstr>
      <vt:lpstr>dms_MultiYear_ResponseFlag</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dms_N0205_AssetType</vt:lpstr>
      <vt:lpstr>dms_PAddr1</vt:lpstr>
      <vt:lpstr>dms_PAddr1_List</vt:lpstr>
      <vt:lpstr>dms_PAddr2</vt:lpstr>
      <vt:lpstr>dms_PAddr2_List</vt:lpstr>
      <vt:lpstr>dms_Partial</vt:lpstr>
      <vt:lpstr>dms_PostCode</vt:lpstr>
      <vt:lpstr>dms_PostCode_List</vt:lpstr>
      <vt:lpstr>dms_PPostCode</vt:lpstr>
      <vt:lpstr>dms_PPostCode_List</vt:lpstr>
      <vt:lpstr>dms_PRCP_start_row</vt:lpstr>
      <vt:lpstr>dms_PRCPlength_List</vt:lpstr>
      <vt:lpstr>dms_PRCPlength_Num</vt:lpstr>
      <vt:lpstr>dms_Previous_DollarReal_year</vt:lpstr>
      <vt:lpstr>dms_PState</vt:lpstr>
      <vt:lpstr>dms_PState_List</vt:lpstr>
      <vt:lpstr>dms_PSuburb</vt:lpstr>
      <vt:lpstr>dms_PSuburb_List</vt:lpstr>
      <vt:lpstr>dms_PTRM_RAB_PIT</vt:lpstr>
      <vt:lpstr>dms_PTRM_TAB_PIT</vt:lpstr>
      <vt:lpstr>dms_Public_Lighting</vt:lpstr>
      <vt:lpstr>dms_Public_Lighting_List</vt:lpstr>
      <vt:lpstr>dms_Reason_Interruption</vt:lpstr>
      <vt:lpstr>dms_Reset_final_year</vt:lpstr>
      <vt:lpstr>dms_Reset_RYE</vt:lpstr>
      <vt:lpstr>dms_Reset_Span</vt:lpstr>
      <vt:lpstr>dms_RPT</vt:lpstr>
      <vt:lpstr>dms_RPT_List</vt:lpstr>
      <vt:lpstr>dms_RPTMonth</vt:lpstr>
      <vt:lpstr>dms_RPTMonth_List</vt:lpstr>
      <vt:lpstr>dms_RYE</vt:lpstr>
      <vt:lpstr>dms_RYE_01</vt:lpstr>
      <vt:lpstr>dms_RYE_02</vt:lpstr>
      <vt:lpstr>dms_RYE_03</vt:lpstr>
      <vt:lpstr>dms_RYE_04</vt:lpstr>
      <vt:lpstr>dms_RYE_05</vt:lpstr>
      <vt:lpstr>dms_RYE_06</vt:lpstr>
      <vt:lpstr>dms_RYE_07</vt:lpstr>
      <vt:lpstr>dms_RYE_08</vt:lpstr>
      <vt:lpstr>dms_RYE_09</vt:lpstr>
      <vt:lpstr>dms_RYE_result</vt:lpstr>
      <vt:lpstr>dms_RYE_start_row</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dms_S0103_Rows</vt:lpstr>
      <vt:lpstr>dms_S010301_Values</vt:lpstr>
      <vt:lpstr>dms_S010302_Values</vt:lpstr>
      <vt:lpstr>dms_S010303_Values</vt:lpstr>
      <vt:lpstr>dms_S0104_Rows</vt:lpstr>
      <vt:lpstr>dms_S010401_Values</vt:lpstr>
      <vt:lpstr>dms_S010402_Values</vt:lpstr>
      <vt:lpstr>dms_S010403_Values</vt:lpstr>
      <vt:lpstr>dms_S0105_Rows</vt:lpstr>
      <vt:lpstr>dms_S010501_Values</vt:lpstr>
      <vt:lpstr>dms_S010502_Values</vt:lpstr>
      <vt:lpstr>dms_S010503_Values</vt:lpstr>
      <vt:lpstr>dms_S100101_Rows</vt:lpstr>
      <vt:lpstr>dms_S100101_Values</vt:lpstr>
      <vt:lpstr>dms_S1101_Rows</vt:lpstr>
      <vt:lpstr>dms_S110101_Values</vt:lpstr>
      <vt:lpstr>dms_S110102_Values</vt:lpstr>
      <vt:lpstr>dms_S1103_Rows</vt:lpstr>
      <vt:lpstr>dms_S1103_Values</vt:lpstr>
      <vt:lpstr>dms_S140101_UOM</vt:lpstr>
      <vt:lpstr>dms_S140201_UOM</vt:lpstr>
      <vt:lpstr>dms_Sector</vt:lpstr>
      <vt:lpstr>dms_Sector_List</vt:lpstr>
      <vt:lpstr>dms_Segment</vt:lpstr>
      <vt:lpstr>dms_Segment_List</vt:lpstr>
      <vt:lpstr>dms_Selected_Quality</vt:lpstr>
      <vt:lpstr>dms_Selected_Source</vt:lpstr>
      <vt:lpstr>dms_Selected_Status</vt:lpstr>
      <vt:lpstr>dms_ShortRural_flag</vt:lpstr>
      <vt:lpstr>dms_ShortRural_flag_NSP</vt:lpstr>
      <vt:lpstr>dms_SingleYear_FinalYear_Result</vt:lpstr>
      <vt:lpstr>dms_SingleYear_Model</vt:lpstr>
      <vt:lpstr>dms_SingleYearModel</vt:lpstr>
      <vt:lpstr>dms_Source</vt:lpstr>
      <vt:lpstr>dms_SourceList</vt:lpstr>
      <vt:lpstr>dms_Specified_FinalYear</vt:lpstr>
      <vt:lpstr>dms_Specified_RYE</vt:lpstr>
      <vt:lpstr>dms_SpecifiedYear_final_year</vt:lpstr>
      <vt:lpstr>dms_SpecifiedYear_Span</vt:lpstr>
      <vt:lpstr>dms_start_year</vt:lpstr>
      <vt:lpstr>dms_State</vt:lpstr>
      <vt:lpstr>dms_State_List</vt:lpstr>
      <vt:lpstr>dms_STPIS_Exclusion_List</vt:lpstr>
      <vt:lpstr>dms_SubmissionDate</vt:lpstr>
      <vt:lpstr>dms_Suburb</vt:lpstr>
      <vt:lpstr>dms_Suburb_List</vt:lpstr>
      <vt:lpstr>dms_TemplateNumber</vt:lpstr>
      <vt:lpstr>dms_TNSP_0203_ProjectTrigger</vt:lpstr>
      <vt:lpstr>dms_TNSP_0203_SubstationType</vt:lpstr>
      <vt:lpstr>dms_TNSP_020301_ProjectTrigger</vt:lpstr>
      <vt:lpstr>dms_TNSP_020301_ProjectType</vt:lpstr>
      <vt:lpstr>dms_TNSP_020302_ProjectType</vt:lpstr>
      <vt:lpstr>dms_Today</vt:lpstr>
      <vt:lpstr>dms_TradingName</vt:lpstr>
      <vt:lpstr>dms_TradingName_List</vt:lpstr>
      <vt:lpstr>dms_TradingNameFull</vt:lpstr>
      <vt:lpstr>dms_TradingNameFull_List</vt:lpstr>
      <vt:lpstr>dms_Typed_Submission_Date</vt:lpstr>
      <vt:lpstr>dms_UID</vt:lpstr>
      <vt:lpstr>'AER ETL'!dms_UniqueID</vt:lpstr>
      <vt:lpstr>dms_UniqueID_List</vt:lpstr>
      <vt:lpstr>dms_Urban_flag</vt:lpstr>
      <vt:lpstr>dms_Urban_flag_NSP</vt:lpstr>
      <vt:lpstr>dms_Worksheet_List</vt:lpstr>
      <vt:lpstr>DMS_Xfactor</vt:lpstr>
      <vt:lpstr>dms_y1</vt:lpstr>
      <vt:lpstr>dms_y10</vt:lpstr>
      <vt:lpstr>dms_y11</vt:lpstr>
      <vt:lpstr>dms_y12</vt:lpstr>
      <vt:lpstr>dms_y13</vt:lpstr>
      <vt:lpstr>dms_y14</vt:lpstr>
      <vt:lpstr>dms_y15</vt:lpstr>
      <vt:lpstr>dms_y16</vt:lpstr>
      <vt:lpstr>dms_y2</vt:lpstr>
      <vt:lpstr>dms_y26</vt:lpstr>
      <vt:lpstr>dms_y27</vt:lpstr>
      <vt:lpstr>dms_y28</vt:lpstr>
      <vt:lpstr>dms_y3</vt:lpstr>
      <vt:lpstr>dms_y4</vt:lpstr>
      <vt:lpstr>dms_y5</vt:lpstr>
      <vt:lpstr>dms_y6</vt:lpstr>
      <vt:lpstr>dms_y7</vt:lpstr>
      <vt:lpstr>dms_y8</vt:lpstr>
      <vt:lpstr>dms_y9</vt:lpstr>
      <vt:lpstr>EB</vt:lpstr>
      <vt:lpstr>EB_Fmt2</vt:lpstr>
      <vt:lpstr>Financial</vt:lpstr>
      <vt:lpstr>FRCP_final_year</vt:lpstr>
      <vt:lpstr>FRCP_start_year</vt:lpstr>
      <vt:lpstr>FRCP_y1</vt:lpstr>
      <vt:lpstr>FRCP_y10</vt:lpstr>
      <vt:lpstr>FRCP_y11</vt:lpstr>
      <vt:lpstr>FRCP_y12</vt:lpstr>
      <vt:lpstr>FRCP_y13</vt:lpstr>
      <vt:lpstr>FRCP_y14</vt:lpstr>
      <vt:lpstr>FRCP_y2</vt:lpstr>
      <vt:lpstr>FRCP_y3</vt:lpstr>
      <vt:lpstr>FRCP_y4</vt:lpstr>
      <vt:lpstr>FRCP_y5</vt:lpstr>
      <vt:lpstr>FRCP_y6</vt:lpstr>
      <vt:lpstr>FRCP_y7</vt:lpstr>
      <vt:lpstr>FRCP_y8</vt:lpstr>
      <vt:lpstr>FRCP_y9</vt:lpstr>
      <vt:lpstr>FRY</vt:lpstr>
      <vt:lpstr>JurisdictionList</vt:lpstr>
      <vt:lpstr>PRCP_final_year</vt:lpstr>
      <vt:lpstr>PRCP_start_year</vt:lpstr>
      <vt:lpstr>PRCP_y1</vt:lpstr>
      <vt:lpstr>PRCP_y10</vt:lpstr>
      <vt:lpstr>PRCP_y11</vt:lpstr>
      <vt:lpstr>PRCP_y12</vt:lpstr>
      <vt:lpstr>PRCP_y13</vt:lpstr>
      <vt:lpstr>PRCP_y14</vt:lpstr>
      <vt:lpstr>PRCP_y15</vt:lpstr>
      <vt:lpstr>PRCP_y16</vt:lpstr>
      <vt:lpstr>PRCP_y2</vt:lpstr>
      <vt:lpstr>PRCP_y3</vt:lpstr>
      <vt:lpstr>PRCP_y4</vt:lpstr>
      <vt:lpstr>PRCP_y5</vt:lpstr>
      <vt:lpstr>PRCP_y6</vt:lpstr>
      <vt:lpstr>PRCP_y7</vt:lpstr>
      <vt:lpstr>PRCP_y8</vt:lpstr>
      <vt:lpstr>PRCP_y9</vt:lpstr>
      <vt:lpstr>Pricing</vt:lpstr>
      <vt:lpstr>Pricing_Fmt2</vt:lpstr>
      <vt:lpstr>CONTENTS!Print_Area</vt:lpstr>
      <vt:lpstr>PTRM</vt:lpstr>
      <vt:lpstr>PTRM_Fmt2</vt:lpstr>
      <vt:lpstr>Reset</vt:lpstr>
      <vt:lpstr>Reset_Fmt2</vt:lpstr>
      <vt:lpstr>RFM</vt:lpstr>
      <vt:lpstr>RFM_Fmt2</vt:lpstr>
      <vt:lpstr>Sector</vt:lpstr>
      <vt:lpstr>Segment</vt:lpstr>
      <vt:lpstr>WACC</vt:lpstr>
      <vt:lpstr>WACC_Fmt2</vt:lpstr>
    </vt:vector>
  </TitlesOfParts>
  <Manager/>
  <Company>AER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AER</dc:creator>
  <cp:keywords>DNSP; Reset; Gas; 2027-31</cp:keywords>
  <dc:description>based on JGN (NSW) 2026-30 final RIN -- for AGN (SA) &amp; Evoenergy</dc:description>
  <cp:lastModifiedBy>Yolanda Mchao</cp:lastModifiedBy>
  <dcterms:created xsi:type="dcterms:W3CDTF">2018-09-12T03:49:40Z</dcterms:created>
  <dcterms:modified xsi:type="dcterms:W3CDTF">2025-06-27T04:19:19Z</dcterms:modified>
  <cp:category>DNSP;Reset;Gas;2027-31</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2024-07-29T03:57:49Z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831a9524-ab3e-43e3-87af-830062e30b57</vt:lpwstr>
  </property>
  <property fmtid="{D5CDD505-2E9C-101B-9397-08002B2CF9AE}" pid="8" name="MSIP_Label_d9d5a995-dfdf-4407-9a97-edbbc68c9f53_ContentBits">
    <vt:lpwstr>0</vt:lpwstr>
  </property>
  <property fmtid="{D5CDD505-2E9C-101B-9397-08002B2CF9AE}" pid="9" name="MSIP_Label_0ff90ac2-05f6-41f9-9160-8854fab2ec53_Enabled">
    <vt:lpwstr>true</vt:lpwstr>
  </property>
  <property fmtid="{D5CDD505-2E9C-101B-9397-08002B2CF9AE}" pid="10" name="MSIP_Label_0ff90ac2-05f6-41f9-9160-8854fab2ec53_SetDate">
    <vt:lpwstr>2025-06-25T01:41:36Z</vt:lpwstr>
  </property>
  <property fmtid="{D5CDD505-2E9C-101B-9397-08002B2CF9AE}" pid="11" name="MSIP_Label_0ff90ac2-05f6-41f9-9160-8854fab2ec53_Method">
    <vt:lpwstr>Privileged</vt:lpwstr>
  </property>
  <property fmtid="{D5CDD505-2E9C-101B-9397-08002B2CF9AE}" pid="12" name="MSIP_Label_0ff90ac2-05f6-41f9-9160-8854fab2ec53_Name">
    <vt:lpwstr>Ringfenced Confidential – Commercially Sensitive</vt:lpwstr>
  </property>
  <property fmtid="{D5CDD505-2E9C-101B-9397-08002B2CF9AE}" pid="13" name="MSIP_Label_0ff90ac2-05f6-41f9-9160-8854fab2ec53_SiteId">
    <vt:lpwstr>2a61d4c5-077b-4aba-8d42-5cd0ebd862ef</vt:lpwstr>
  </property>
  <property fmtid="{D5CDD505-2E9C-101B-9397-08002B2CF9AE}" pid="14" name="MSIP_Label_0ff90ac2-05f6-41f9-9160-8854fab2ec53_ActionId">
    <vt:lpwstr>5e0d05ec-1a61-4e74-ade8-697488f6be42</vt:lpwstr>
  </property>
  <property fmtid="{D5CDD505-2E9C-101B-9397-08002B2CF9AE}" pid="15" name="MSIP_Label_0ff90ac2-05f6-41f9-9160-8854fab2ec53_ContentBits">
    <vt:lpwstr>2</vt:lpwstr>
  </property>
  <property fmtid="{D5CDD505-2E9C-101B-9397-08002B2CF9AE}" pid="16" name="MSIP_Label_0ff90ac2-05f6-41f9-9160-8854fab2ec53_Tag">
    <vt:lpwstr>10, 0, 1, 1</vt:lpwstr>
  </property>
  <property fmtid="{D5CDD505-2E9C-101B-9397-08002B2CF9AE}" pid="17" name="ContentTypeId">
    <vt:lpwstr>0x010100C8F24BB75BCEF649A3A4EA2C8EA2DEE6</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y fmtid="{D5CDD505-2E9C-101B-9397-08002B2CF9AE}" pid="20" name="MediaServiceImageTags">
    <vt:lpwstr/>
  </property>
</Properties>
</file>