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https://actewagl.sharepoint.com/teams/GN26/Shared Documents/Access Arrangement Proposal June 2025/GN26 AAP FINAL DOCUMENTS/FINAL RIN RESPONSE/RIN Attachments_Public/"/>
    </mc:Choice>
  </mc:AlternateContent>
  <xr:revisionPtr revIDLastSave="4" documentId="13_ncr:1_{AB782434-AA5C-4F2E-9FD1-127C4051EAD3}" xr6:coauthVersionLast="47" xr6:coauthVersionMax="47" xr10:uidLastSave="{3BA4372D-C257-45C9-AD7B-CA4DAAC6BA02}"/>
  <bookViews>
    <workbookView xWindow="-28920" yWindow="6885" windowWidth="29040" windowHeight="15720" firstSheet="1" activeTab="1" xr2:uid="{00000000-000D-0000-FFFF-FFFF00000000}"/>
  </bookViews>
  <sheets>
    <sheet name="AER only" sheetId="1" state="veryHidden" r:id="rId1"/>
    <sheet name="Business &amp; other details" sheetId="2" r:id="rId2"/>
    <sheet name="ECM" sheetId="3" r:id="rId3"/>
  </sheets>
  <definedNames>
    <definedName name="anscount">1</definedName>
    <definedName name="CRCP_span" localSheetId="2">CONCATENATE(CRCP_y1, " to ",CRCP_y5)</definedName>
    <definedName name="CRCP_span">CONCATENATE(CRCP_y1, " to ",CRCP_y5)</definedName>
    <definedName name="CRCP_y1">'Business &amp; other details'!$C$39</definedName>
    <definedName name="CRCP_y10">#REF!</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#REF!</definedName>
    <definedName name="CRCP_y9">#REF!</definedName>
    <definedName name="CRY">'Business &amp; other details'!$C$46</definedName>
    <definedName name="CRY_calendar">'AER only'!$R$101:$R$120</definedName>
    <definedName name="CRY_financial">'AER only'!$P$101:$P$120</definedName>
    <definedName name="dms_0203_ProjectType">'AER only'!$N$25:$N$32</definedName>
    <definedName name="dms_020301_ProjectType_List">'AER only'!$F$62:$F$65</definedName>
    <definedName name="dms_020302_ProjectType_List">'AER only'!$G$62:$G$74</definedName>
    <definedName name="dms_020303_01_UOM">'AER only'!$O$25:$O$31</definedName>
    <definedName name="dms_020501_01_UOM">'AER only'!$P$25:$P$37</definedName>
    <definedName name="dms_020501_02_UOM">'AER only'!$Q$25:$Q$33</definedName>
    <definedName name="dms_020501_03_UOM">'AER only'!$R$25:$R$34</definedName>
    <definedName name="dms_020501_04_UOM">'AER only'!$S$25:$S$33</definedName>
    <definedName name="dms_020603_01_UOM">'AER only'!$T$25:$T$29</definedName>
    <definedName name="dms_020701_01_Rows">'AER only'!$W$25:$W$30</definedName>
    <definedName name="dms_020701_01_UOM">'AER only'!$U$25:$U$30</definedName>
    <definedName name="dms_020701_02_UOM">'AER only'!$V$25:$V$30</definedName>
    <definedName name="dms_0306_Year">'Business &amp; other details'!$C$93</definedName>
    <definedName name="dms_030601_01_UOM">'AER only'!$Z$25:$Z$28</definedName>
    <definedName name="dms_030601_02_UOM">'AER only'!$AA$25:$AA$28</definedName>
    <definedName name="dms_030605_UOM">'AER only'!$AE$25:$AE$38</definedName>
    <definedName name="dms_03060703_UOM">'AER only'!$AF$25:$AF$29</definedName>
    <definedName name="dms_030701_01_UOM">'AER only'!$AB$25:$AB$27</definedName>
    <definedName name="dms_030702_01_UOM">'AER only'!$AC$25:$AC$38</definedName>
    <definedName name="dms_030703_01_UOM">'AER only'!$AD$25</definedName>
    <definedName name="dms_040102_01_UOM">'AER only'!$X$25:$X$28</definedName>
    <definedName name="dms_040102_04_UOM">'AER only'!$Y$25:$Y$28</definedName>
    <definedName name="dms_0502_Inst_Year">'Business &amp; other details'!$C$91</definedName>
    <definedName name="dms_060101_Rows">'AER only'!$C$153</definedName>
    <definedName name="dms_060101_StartDateTxt" localSheetId="1">'Business &amp; other details'!$C$113</definedName>
    <definedName name="dms_060101_StartDateTxt">'AER only'!$E$153</definedName>
    <definedName name="dms_060101_StartDateVal">'Business &amp; other details'!$C$114</definedName>
    <definedName name="dms_060102_Rows">'AER only'!$D$153</definedName>
    <definedName name="dms_0603_FeederList">'AER only'!$I$157:$M$157</definedName>
    <definedName name="dms_060301_Avg_Duration_Sustained_Int_Row">'AER only'!$D$147</definedName>
    <definedName name="dms_060301_checkvalue">'Business &amp; other details'!$C$97</definedName>
    <definedName name="dms_060301_CustNo_Affected_Row">'AER only'!$C$147</definedName>
    <definedName name="dms_060301_Effect_unplanned_SAIDI_Row">'AER only'!$E$147</definedName>
    <definedName name="dms_060301_Effect_unplanned_SAIFI_Row">'AER only'!$F$147</definedName>
    <definedName name="dms_060301_LastRow">'Business &amp; other details'!$C$99</definedName>
    <definedName name="dms_060301_MaxRows">'Business &amp; other details'!$C$100</definedName>
    <definedName name="dms_060701_ARR_MaxRows">'Business &amp; other details'!$C$107</definedName>
    <definedName name="dms_060701_Feeder_Header_Lvl4">'AER only'!$C$160:$N$160</definedName>
    <definedName name="dms_060701_MaxCols">'Business &amp; other details'!$C$110</definedName>
    <definedName name="dms_060701_MaxRows">'Business &amp; other details'!$C$108</definedName>
    <definedName name="dms_060701_OffsetRows">'Business &amp; other details'!$C$111</definedName>
    <definedName name="dms_060701_Reset_MaxRows">'Business &amp; other details'!$C$106</definedName>
    <definedName name="dms_060701_Rows">'AER only'!$C$162:$N$162</definedName>
    <definedName name="dms_060701_StartDateTxt">'Business &amp; other details'!$C$113</definedName>
    <definedName name="dms_060701_StartDateVal">'Business &amp; other details'!$C$114</definedName>
    <definedName name="dms_0608_LastRow">'Business &amp; other details'!$C$119</definedName>
    <definedName name="dms_0608_OffsetRows">'Business &amp; other details'!$C$118</definedName>
    <definedName name="dms_060801_01_Rows">'AER only'!$C$170</definedName>
    <definedName name="dms_060801_02_Rows">'AER only'!$D$170</definedName>
    <definedName name="dms_060801_03_Rows">'AER only'!$E$170</definedName>
    <definedName name="dms_060801_04_Rows">'AER only'!$F$170</definedName>
    <definedName name="dms_060801_MaxRows">'Business &amp; other details'!$C$120</definedName>
    <definedName name="dms_060801_StartCell">#REF!</definedName>
    <definedName name="dms_070904_01_Rows">'AER only'!$C$176:$D$176</definedName>
    <definedName name="dms_070904_Start_Year">'Business &amp; other details'!$C$123</definedName>
    <definedName name="dms_663">'Business &amp; other details'!$C$101</definedName>
    <definedName name="dms_663_List">'AER only'!$M$11:$M$19</definedName>
    <definedName name="dms_ABN">'Business &amp; other details'!$C$16</definedName>
    <definedName name="dms_ABN_List">'AER only'!$D$11:$D$19</definedName>
    <definedName name="dms_Addr1">'Business &amp; other details'!$E$19</definedName>
    <definedName name="dms_Addr1_List">'AER only'!$O$11:$O$19</definedName>
    <definedName name="dms_Addr2">'Business &amp; other details'!$E$20</definedName>
    <definedName name="dms_Addr2_List">'AER only'!$P$11:$P$19</definedName>
    <definedName name="dms_AmendmentReason">'Business &amp; other details'!$C$55</definedName>
    <definedName name="dms_ARR">'Business &amp; other details'!$C$74</definedName>
    <definedName name="dms_BaseStepTrend">#REF!</definedName>
    <definedName name="dms_CA">'Business &amp; other details'!$C$73</definedName>
    <definedName name="dms_Cal_Year_B4_CRY">'Business &amp; other details'!$C$67</definedName>
    <definedName name="dms_Calendar_Years">'AER only'!$M$101:$M$131</definedName>
    <definedName name="dms_CalYears">'AER only'!$S$101:$S$120</definedName>
    <definedName name="dms_CBD_flag">'AER only'!$AB$11:$AB$19</definedName>
    <definedName name="dms_CBD_flag_NSP">'Business &amp; other details'!$C$129</definedName>
    <definedName name="dms_CFinalYear_List">'AER only'!$E$101:$E$115</definedName>
    <definedName name="dms_Classification">'Business &amp; other details'!$C$64</definedName>
    <definedName name="dms_ContactEmail">'Business &amp; other details'!$C$32</definedName>
    <definedName name="dms_ContactEmail_List">'AER only'!$AA$11:$AA$19</definedName>
    <definedName name="dms_ContactEmail2">'Business &amp; other details'!$F$32</definedName>
    <definedName name="dms_ContactName1">'Business &amp; other details'!$C$30</definedName>
    <definedName name="dms_ContactName1_List">'AER only'!$Y$11:$Y$19</definedName>
    <definedName name="dms_ContactName2">'Business &amp; other details'!$F$30</definedName>
    <definedName name="dms_ContactPh1">'Business &amp; other details'!$C$31</definedName>
    <definedName name="dms_ContactPh1_List">'AER only'!$Z$11:$Z$19</definedName>
    <definedName name="dms_ContactPh2">'Business &amp; other details'!$F$31</definedName>
    <definedName name="dms_crcp_cy1">'AER only'!$H$119</definedName>
    <definedName name="dms_crcp_cy10">'AER only'!$H$128</definedName>
    <definedName name="dms_crcp_cy11">'AER only'!$H$129</definedName>
    <definedName name="dms_crcp_cy12">'AER only'!$H$130</definedName>
    <definedName name="dms_crcp_cy13">'AER only'!$H$131</definedName>
    <definedName name="dms_crcp_cy14">'AER only'!$H$132</definedName>
    <definedName name="dms_crcp_cy15">'AER only'!$H$133</definedName>
    <definedName name="dms_crcp_cy2">'AER only'!$H$120</definedName>
    <definedName name="dms_crcp_cy3">'AER only'!$H$121</definedName>
    <definedName name="dms_crcp_cy4">'AER only'!$H$122</definedName>
    <definedName name="dms_crcp_cy5">'AER only'!$H$123</definedName>
    <definedName name="dms_crcp_cy6">'AER only'!$H$124</definedName>
    <definedName name="dms_crcp_cy7">'AER only'!$H$125</definedName>
    <definedName name="dms_crcp_cy8">'AER only'!$H$126</definedName>
    <definedName name="dms_crcp_cy9">'AER only'!$H$127</definedName>
    <definedName name="dms_CRCP_FinalYear_Ref">'Business &amp; other details'!$C$82</definedName>
    <definedName name="dms_CRCP_FinalYear_Result">'Business &amp; other details'!$C$84</definedName>
    <definedName name="dms_CRCP_FirstYear_Result">'Business &amp; other details'!$C$83</definedName>
    <definedName name="dms_CRCP_index">'AER only'!$J$101:$J$115</definedName>
    <definedName name="dms_CRCP_years">'AER only'!$H$101:$H$115</definedName>
    <definedName name="dms_CRCP_yL">'AER only'!$H$115</definedName>
    <definedName name="dms_CRCP_yM">'AER only'!$H$114</definedName>
    <definedName name="dms_CRCP_yN">'AER only'!$H$113</definedName>
    <definedName name="dms_CRCP_yO">'AER only'!$H$112</definedName>
    <definedName name="dms_CRCP_yP">'AER only'!$H$111</definedName>
    <definedName name="dms_CRCP_yQ">'AER only'!$H$110</definedName>
    <definedName name="dms_CRCP_yR">'AER only'!$H$109</definedName>
    <definedName name="dms_CRCP_yS">'AER only'!$H$108</definedName>
    <definedName name="dms_CRCP_yT">'AER only'!$H$107</definedName>
    <definedName name="dms_CRCP_yU">'AER only'!$H$106</definedName>
    <definedName name="dms_CRCP_yV">'AER only'!$H$105</definedName>
    <definedName name="dms_CRCP_yW">'AER only'!$H$104</definedName>
    <definedName name="dms_CRCP_yX">'AER only'!$H$103</definedName>
    <definedName name="dms_CRCP_yY">'AER only'!$H$102</definedName>
    <definedName name="dms_CRCP_yZ">'AER only'!$H$101</definedName>
    <definedName name="dms_CRCPlength_List">'AER only'!$K$11:$K$19</definedName>
    <definedName name="dms_CRCPlength_Num">'Business &amp; other details'!$C$81</definedName>
    <definedName name="dms_CRCPlength_Num_List">'AER only'!$D$101:$D$115</definedName>
    <definedName name="dms_CRY_ListC">'AER only'!$D$119:$D$138</definedName>
    <definedName name="dms_CRY_ListF">'AER only'!$C$119:$C$138</definedName>
    <definedName name="dms_CRYc_y1">'AER only'!$R$101</definedName>
    <definedName name="dms_CRYc_y10">'AER only'!$R$110</definedName>
    <definedName name="dms_CRYc_y11">'AER only'!$R$111</definedName>
    <definedName name="dms_CRYc_y12">'AER only'!$R$112</definedName>
    <definedName name="dms_CRYc_y13">'AER only'!$R$113</definedName>
    <definedName name="dms_CRYc_y14">'AER only'!$R$114</definedName>
    <definedName name="dms_CRYc_y15">'AER only'!$R$115</definedName>
    <definedName name="dms_CRYc_y16">'AER only'!$R$116</definedName>
    <definedName name="dms_CRYc_y17">'AER only'!$R$117</definedName>
    <definedName name="dms_CRYc_y18">'AER only'!$R$118</definedName>
    <definedName name="dms_CRYc_y19">'AER only'!$R$119</definedName>
    <definedName name="dms_CRYc_y2">'AER only'!$R$102</definedName>
    <definedName name="dms_CRYc_y20">'AER only'!$R$120</definedName>
    <definedName name="dms_CRYc_y3">'AER only'!$R$103</definedName>
    <definedName name="dms_CRYc_y4">'AER only'!$R$104</definedName>
    <definedName name="dms_CRYc_y5">'AER only'!$R$105</definedName>
    <definedName name="dms_CRYc_y6">'AER only'!$R$106</definedName>
    <definedName name="dms_CRYc_y7">'AER only'!$R$107</definedName>
    <definedName name="dms_CRYc_y8">'AER only'!$R$108</definedName>
    <definedName name="dms_CRYc_y9">'AER only'!$R$109</definedName>
    <definedName name="dms_CRYf_y1">'AER only'!$P$101</definedName>
    <definedName name="dms_CRYf_y10">'AER only'!$P$110</definedName>
    <definedName name="dms_CRYf_y11">'AER only'!$P$111</definedName>
    <definedName name="dms_CRYf_y12">'AER only'!$P$112</definedName>
    <definedName name="dms_CRYf_y13">'AER only'!$P$113</definedName>
    <definedName name="dms_CRYf_y14">'AER only'!$P$114</definedName>
    <definedName name="dms_CRYf_y15">'AER only'!$P$115</definedName>
    <definedName name="dms_CRYf_y16">'AER only'!$P$116</definedName>
    <definedName name="dms_CRYf_y17">'AER only'!$P$117</definedName>
    <definedName name="dms_CRYf_y18">'AER only'!$P$118</definedName>
    <definedName name="dms_CRYf_y19">'AER only'!$P$119</definedName>
    <definedName name="dms_CRYf_y2">'AER only'!$P$102</definedName>
    <definedName name="dms_CRYf_y20">'AER only'!$P$120</definedName>
    <definedName name="dms_CRYf_y3">'AER only'!$P$103</definedName>
    <definedName name="dms_CRYf_y4">'AER only'!$P$104</definedName>
    <definedName name="dms_CRYf_y5">'AER only'!$P$105</definedName>
    <definedName name="dms_CRYf_y6">'AER only'!$P$106</definedName>
    <definedName name="dms_CRYf_y7">'AER only'!$P$107</definedName>
    <definedName name="dms_CRYf_y8">'AER only'!$P$108</definedName>
    <definedName name="dms_CRYf_y9">'AER only'!$P$109</definedName>
    <definedName name="dms_cy1">'AER only'!$D$119</definedName>
    <definedName name="dms_cy10">'AER only'!$D$128</definedName>
    <definedName name="dms_cy11">'AER only'!$D$129</definedName>
    <definedName name="dms_cy12">'AER only'!$D$130</definedName>
    <definedName name="dms_cy13">'AER only'!$D$131</definedName>
    <definedName name="dms_cy14">'AER only'!$D$132</definedName>
    <definedName name="dms_cy15">'AER only'!$D$133</definedName>
    <definedName name="dms_cy16">'AER only'!$D$134</definedName>
    <definedName name="dms_cy17">'AER only'!$D$135</definedName>
    <definedName name="dms_cy18">'AER only'!$D$136</definedName>
    <definedName name="dms_cy19">'AER only'!$D$137</definedName>
    <definedName name="dms_cy2">'AER only'!$D$120</definedName>
    <definedName name="dms_cy20">'AER only'!$D$138</definedName>
    <definedName name="dms_cy3">'AER only'!$D$121</definedName>
    <definedName name="dms_cy4">'AER only'!$D$122</definedName>
    <definedName name="dms_cy5">'AER only'!$D$123</definedName>
    <definedName name="dms_cy6">'AER only'!$D$124</definedName>
    <definedName name="dms_cy7">'AER only'!$D$125</definedName>
    <definedName name="dms_cy8">'AER only'!$D$126</definedName>
    <definedName name="dms_cy9">'AER only'!$D$127</definedName>
    <definedName name="dms_DataQuality">'Business &amp; other details'!$C$54</definedName>
    <definedName name="dms_DataQuality_List">'AER only'!$B$35:$B$39</definedName>
    <definedName name="dms_Defined_Names_Used">'Business &amp; other details'!$C$138</definedName>
    <definedName name="dms_DeterminationRef">'Business &amp; other details'!$C$127</definedName>
    <definedName name="dms_DeterminationRef_List">'AER only'!$N$11:$N$19</definedName>
    <definedName name="dms_DISCARD">'Business &amp; other details'!$C$136</definedName>
    <definedName name="dms_dollar_nom_UOM">'Business &amp; other details'!$C$63</definedName>
    <definedName name="dms_DollarReal">'Business &amp; other details'!$C$69</definedName>
    <definedName name="dms_DollarReal_Prev">'Business &amp; other details'!$C$70</definedName>
    <definedName name="dms_EB">'Business &amp; other details'!$C$72</definedName>
    <definedName name="dms_EBSS_status">'Business &amp; other details'!$C$57</definedName>
    <definedName name="dms_FeederName_1">'AER only'!$AH$11:$AH$19</definedName>
    <definedName name="dms_FeederName_2">'AER only'!$AI$11:$AI$19</definedName>
    <definedName name="dms_FeederName_3">'AER only'!$AJ$11:$AJ$19</definedName>
    <definedName name="dms_FeederName_4">'AER only'!$AK$11:$AK$19</definedName>
    <definedName name="dms_FeederName_5">'AER only'!$AL$11:$AL$19</definedName>
    <definedName name="dms_FeederType_5_flag">'AER only'!$AF$11:$AF$19</definedName>
    <definedName name="dms_FifthFeeder_flag_NSP">'Business &amp; other details'!$C$133</definedName>
    <definedName name="dms_FinalYear_List">'AER only'!$C$101:$C$115</definedName>
    <definedName name="dms_Financial_Years">'AER only'!$L$101:$L$131</definedName>
    <definedName name="dms_FinYears">'AER only'!$Q$101:$Q$120</definedName>
    <definedName name="dms_FormControl">'Business &amp; other details'!$C$86</definedName>
    <definedName name="dms_FormControl_Choices">'AER only'!$C$43:$C$45</definedName>
    <definedName name="dms_FormControl_List">'AER only'!$H$11:$H$19</definedName>
    <definedName name="dms_FRCP_cyear_list">'AER only'!$I$119:$I$133</definedName>
    <definedName name="dms_frcp_fy1">'AER only'!$G$119</definedName>
    <definedName name="dms_frcp_fy10">'AER only'!$G$128</definedName>
    <definedName name="dms_frcp_fy11">'AER only'!$G$129</definedName>
    <definedName name="dms_frcp_fy12">'AER only'!$G$130</definedName>
    <definedName name="dms_frcp_fy13">'AER only'!$G$131</definedName>
    <definedName name="dms_frcp_fy14">'AER only'!$G$132</definedName>
    <definedName name="dms_frcp_fy15">'AER only'!$G$133</definedName>
    <definedName name="dms_frcp_fy2">'AER only'!$G$120</definedName>
    <definedName name="dms_frcp_fy3">'AER only'!$G$121</definedName>
    <definedName name="dms_frcp_fy4">'AER only'!$G$122</definedName>
    <definedName name="dms_frcp_fy5">'AER only'!$G$123</definedName>
    <definedName name="dms_frcp_fy6">'AER only'!$G$124</definedName>
    <definedName name="dms_frcp_fy7">'AER only'!$G$125</definedName>
    <definedName name="dms_frcp_fy8">'AER only'!$G$126</definedName>
    <definedName name="dms_frcp_fy9">'AER only'!$G$127</definedName>
    <definedName name="dms_FRCP_fyear_list">'AER only'!$F$119:$F$133</definedName>
    <definedName name="dms_FRCP_ListC">'AER only'!$H$119:$H$133</definedName>
    <definedName name="dms_FRCP_ListF">'AER only'!$G$119:$G$133</definedName>
    <definedName name="dms_FRCP_y1">'AER only'!$F$101</definedName>
    <definedName name="dms_FRCP_y10">'AER only'!$F$110</definedName>
    <definedName name="dms_FRCP_y11">'AER only'!$F$111</definedName>
    <definedName name="dms_FRCP_y12">'AER only'!$F$112</definedName>
    <definedName name="dms_FRCP_y13">'AER only'!$F$113</definedName>
    <definedName name="dms_FRCP_y14">'AER only'!$F$114</definedName>
    <definedName name="dms_FRCP_y15">'AER only'!$F$115</definedName>
    <definedName name="dms_FRCP_y2">'AER only'!$F$102</definedName>
    <definedName name="dms_FRCP_y3">'AER only'!$F$103</definedName>
    <definedName name="dms_FRCP_y4">'AER only'!$F$104</definedName>
    <definedName name="dms_FRCP_y5">'AER only'!$F$105</definedName>
    <definedName name="dms_FRCP_y6">'AER only'!$F$106</definedName>
    <definedName name="dms_FRCP_y7">'AER only'!$F$107</definedName>
    <definedName name="dms_FRCP_y8">'AER only'!$F$108</definedName>
    <definedName name="dms_FRCP_y9">'AER only'!$F$109</definedName>
    <definedName name="dms_FRCP_years">'AER only'!$F$101:$F$115</definedName>
    <definedName name="dms_FRCPlength_List">'AER only'!$L$11:$L$19</definedName>
    <definedName name="dms_FRCPlength_Num">'Business &amp; other details'!$C$78</definedName>
    <definedName name="dms_FRCPlength_Num_List">'AER only'!$B$101:$B$115</definedName>
    <definedName name="dms_fy1">'AER only'!$C$119</definedName>
    <definedName name="dms_fy10">'AER only'!$C$128</definedName>
    <definedName name="dms_fy11">'AER only'!$C$129</definedName>
    <definedName name="dms_fy12">'AER only'!$C$130</definedName>
    <definedName name="dms_fy13">'AER only'!$C$131</definedName>
    <definedName name="dms_fy14">'AER only'!$C$132</definedName>
    <definedName name="dms_fy15">'AER only'!$C$133</definedName>
    <definedName name="dms_fy16">'AER only'!$C$134</definedName>
    <definedName name="dms_fy17">'AER only'!$C$135</definedName>
    <definedName name="dms_fy18">'AER only'!$C$136</definedName>
    <definedName name="dms_fy19">'AER only'!$C$137</definedName>
    <definedName name="dms_fy2">'AER only'!$C$120</definedName>
    <definedName name="dms_fy20">'AER only'!$C$138</definedName>
    <definedName name="dms_fy3">'AER only'!$C$121</definedName>
    <definedName name="dms_fy4">'AER only'!$C$122</definedName>
    <definedName name="dms_fy5">'AER only'!$C$123</definedName>
    <definedName name="dms_fy6">'AER only'!$C$124</definedName>
    <definedName name="dms_fy7">'AER only'!$C$125</definedName>
    <definedName name="dms_fy8">'AER only'!$C$126</definedName>
    <definedName name="dms_fy9">'AER only'!$C$127</definedName>
    <definedName name="dms_Jurisdiction">'Business &amp; other details'!$C$65</definedName>
    <definedName name="dms_JurisdictionList">'AER only'!$E$11:$E$19</definedName>
    <definedName name="dms_LeapYear_Result">'Business &amp; other details'!$C$105</definedName>
    <definedName name="dms_LongRural_flag">'AER only'!$AE$11:$AE$19</definedName>
    <definedName name="dms_LongRural_flag_NSP">'Business &amp; other details'!$C$132</definedName>
    <definedName name="dms_MAIFI_flag">#REF!</definedName>
    <definedName name="dms_MAIFI_flag_List">'AER only'!$AG$11:$AG$19</definedName>
    <definedName name="dms_Model">'Business &amp; other details'!$C$62</definedName>
    <definedName name="dms_Model_List">'AER only'!$B$25:$B$32</definedName>
    <definedName name="dms_Multi_RYE_flag">'Business &amp; other details'!$C$141</definedName>
    <definedName name="dms_MultiYear_FinalYear_Ref">'Business &amp; other details'!$C$79</definedName>
    <definedName name="dms_MultiYear_FinalYear_Result">'Business &amp; other details'!$C$80</definedName>
    <definedName name="dms_MultiYear_Flag">'Business &amp; other details'!$C$89</definedName>
    <definedName name="dms_MultiYear_ResponseFlag">'Business &amp; other details'!$C$88</definedName>
    <definedName name="dms_PAddr1">'Business &amp; other details'!$E$24</definedName>
    <definedName name="dms_PAddr1_List">'AER only'!$T$11:$T$19</definedName>
    <definedName name="dms_PAddr2">'Business &amp; other details'!$E$25</definedName>
    <definedName name="dms_PAddr2_List">'AER only'!$U$11:$U$19</definedName>
    <definedName name="dms_Partial">'Business &amp; other details'!$C$125</definedName>
    <definedName name="dms_PostCode">'Business &amp; other details'!$G$22</definedName>
    <definedName name="dms_PostCode_List">'AER only'!$S$11:$S$19</definedName>
    <definedName name="dms_PPostCode">'Business &amp; other details'!$G$27</definedName>
    <definedName name="dms_PPostCode_List">'AER only'!$X$11:$X$19</definedName>
    <definedName name="dms_PRCP_BaseYear">ECM!$C$23</definedName>
    <definedName name="dms_PRCPlength_Num">'Business &amp; other details'!$C$80</definedName>
    <definedName name="dms_PState">'Business &amp; other details'!$E$27</definedName>
    <definedName name="dms_PState_List">'AER only'!$W$11:$W$19</definedName>
    <definedName name="dms_PSuburb">'Business &amp; other details'!$E$26</definedName>
    <definedName name="dms_PSuburb_List">'AER only'!$V$11:$V$19</definedName>
    <definedName name="dms_Public_Lighting">'Business &amp; other details'!$C$128</definedName>
    <definedName name="dms_Public_Lighting_List">'AER only'!$AM$11:$AM$19</definedName>
    <definedName name="dms_RCP_cyear_list">'AER only'!$E$119:$E$138</definedName>
    <definedName name="dms_RCP_fyear_list">'AER only'!$B$119:$B$138</definedName>
    <definedName name="dms_Reason_Interruption">'AER only'!$D$62:$D$77</definedName>
    <definedName name="dms_Reason_Interruption_Detailed">'AER only'!$C$62:$C$84</definedName>
    <definedName name="dms_Reg_Year_Span">'Business &amp; other details'!$B$3</definedName>
    <definedName name="dms_RPT">'Business &amp; other details'!$C$61</definedName>
    <definedName name="dms_RPT_List">'AER only'!$I$11:$I$19</definedName>
    <definedName name="dms_RPTMonth">'Business &amp; other details'!$C$68</definedName>
    <definedName name="dms_RPTMonth_List">'AER only'!$J$11:$J$19</definedName>
    <definedName name="DMS_RSwapc2">'AER only'!$O$43</definedName>
    <definedName name="dms_RYE">'Business &amp; other details'!$C$60</definedName>
    <definedName name="dms_RYE_01">'Business &amp; other details'!$C$143</definedName>
    <definedName name="dms_RYE_02">'Business &amp; other details'!$C$144</definedName>
    <definedName name="dms_RYE_03">'Business &amp; other details'!$C$145</definedName>
    <definedName name="dms_RYE_04">'Business &amp; other details'!$C$146</definedName>
    <definedName name="dms_RYE_05">'Business &amp; other details'!$C$147</definedName>
    <definedName name="dms_RYE_Formula_Result">'AER only'!$E$25:$E$32</definedName>
    <definedName name="dms_Sector">'Business &amp; other details'!$C$58</definedName>
    <definedName name="dms_Sector_List">'AER only'!$F$11:$F$19</definedName>
    <definedName name="dms_Segment">'Business &amp; other details'!$C$59</definedName>
    <definedName name="dms_Segment_List">'AER only'!$G$11:$G$19</definedName>
    <definedName name="dms_ShortRural_flag">'AER only'!$AD$11:$AD$19</definedName>
    <definedName name="dms_ShortRural_flag_NSP">'Business &amp; other details'!$C$131</definedName>
    <definedName name="dms_SingleYear_FinalYear_Ref">'Business &amp; other details'!$C$76</definedName>
    <definedName name="dms_SingleYear_FinalYear_Result">'Business &amp; other details'!$C$77</definedName>
    <definedName name="dms_SingleYear_Model">'Business &amp; other details'!$C$72:$C$74</definedName>
    <definedName name="dms_Source">'Business &amp; other details'!$C$53</definedName>
    <definedName name="dms_SourceList">'AER only'!$B$43:$B$55</definedName>
    <definedName name="dms_Specified_FinalYear">'Business &amp; other details'!$C$90</definedName>
    <definedName name="dms_State">'Business &amp; other details'!$E$22</definedName>
    <definedName name="dms_State_List">'AER only'!$R$11:$R$19</definedName>
    <definedName name="dms_STPIS_Detail">#REF!</definedName>
    <definedName name="dms_STPIS_Exclusion_List">'AER only'!$E$62:$E$71</definedName>
    <definedName name="dms_STPIS_Reasons">#REF!</definedName>
    <definedName name="dms_SubmissionDate">'Business &amp; other details'!$C$56</definedName>
    <definedName name="dms_Suburb">'Business &amp; other details'!$E$21</definedName>
    <definedName name="dms_Suburb_List">'AER only'!$Q$11:$Q$19</definedName>
    <definedName name="dms_TemplateNumber" localSheetId="2">#REF!</definedName>
    <definedName name="dms_TemplateNumber">#REF!</definedName>
    <definedName name="dms_TradingName">'Business &amp; other details'!$C$14</definedName>
    <definedName name="dms_TradingName_List">'AER only'!$B$11:$B$19</definedName>
    <definedName name="dms_TradingNameFull">'Business &amp; other details'!$B$2</definedName>
    <definedName name="dms_TradingNameFull_List">'AER only'!$C$11:$C$19</definedName>
    <definedName name="dms_Urban_flag">'AER only'!$AC$11:$AC$19</definedName>
    <definedName name="dms_Urban_flag_NSP">'Business &amp; other details'!$C$130</definedName>
    <definedName name="dms_Worksheet_List">'AER only'!$C$25:$C$32</definedName>
    <definedName name="DMS_Xfactor">'AER only'!$O$43</definedName>
    <definedName name="dms_y1">'AER only'!$C$119</definedName>
    <definedName name="dms_y10">'AER only'!$C$128</definedName>
    <definedName name="dms_y11">'AER only'!$C$129</definedName>
    <definedName name="dms_y12">'AER only'!$C$130</definedName>
    <definedName name="dms_y13">'AER only'!$C$131</definedName>
    <definedName name="dms_y14">'AER only'!$C$132</definedName>
    <definedName name="dms_y15">'AER only'!$C$133</definedName>
    <definedName name="dms_y16">'AER only'!$C$134</definedName>
    <definedName name="dms_y17">'AER only'!$C$135</definedName>
    <definedName name="dms_y18">'AER only'!$C$136</definedName>
    <definedName name="dms_y19">'AER only'!$C$137</definedName>
    <definedName name="dms_y2">'AER only'!$C$120</definedName>
    <definedName name="dms_y20">'AER only'!$C$138</definedName>
    <definedName name="dms_y3">'AER only'!$C$121</definedName>
    <definedName name="dms_y4">'AER only'!$C$122</definedName>
    <definedName name="dms_y5">'AER only'!$C$123</definedName>
    <definedName name="dms_y6">'AER only'!$C$124</definedName>
    <definedName name="dms_y7">'AER only'!$C$125</definedName>
    <definedName name="dms_y8">'AER only'!$C$126</definedName>
    <definedName name="dms_y9">'AER only'!$C$127</definedName>
    <definedName name="FRCP_1to5">"2015-16 to 2019-20"</definedName>
    <definedName name="FRCP_span" localSheetId="2">CONCATENATE(FRCP_y1, " to ", [0]!FRCP_y5)</definedName>
    <definedName name="FRCP_span">CONCATENATE(FRCP_y1, " to ", FRCP_y5)</definedName>
    <definedName name="FRCP_y1">'Business &amp; other details'!$C$36</definedName>
    <definedName name="FRCP_y10">#REF!</definedName>
    <definedName name="FRCP_y2">'Business &amp; other details'!$D$36</definedName>
    <definedName name="FRCP_y3">'Business &amp; other details'!$E$36</definedName>
    <definedName name="FRCP_y4">'Business &amp; other details'!$F$36</definedName>
    <definedName name="FRCP_y5">'Business &amp; other details'!$G$36</definedName>
    <definedName name="FRCP_y6">'Business &amp; other details'!$H$36</definedName>
    <definedName name="FRCP_y7">'Business &amp; other details'!$I$36</definedName>
    <definedName name="FRCP_y8">#REF!</definedName>
    <definedName name="FRCP_y9">#REF!</definedName>
    <definedName name="FRY">'Business &amp; other details'!$C$48</definedName>
    <definedName name="MAIFI_flag">'AER only'!$AG$9</definedName>
    <definedName name="PRCP_y1">'Business &amp; other details'!$C$42</definedName>
    <definedName name="PRCP_y10">'Business &amp; other details'!$G$43</definedName>
    <definedName name="PRCP_y2">'Business &amp; other details'!$D$42</definedName>
    <definedName name="PRCP_y3">'Business &amp; other details'!$E$42</definedName>
    <definedName name="PRCP_y4">'Business &amp; other details'!$F$42</definedName>
    <definedName name="PRCP_y5">'Business &amp; other details'!$G$42</definedName>
    <definedName name="PRCP_y6">'Business &amp; other details'!$C$43</definedName>
    <definedName name="PRCP_y7">'Business &amp; other details'!$D$43</definedName>
    <definedName name="PRCP_y8">'Business &amp; other details'!$E$43</definedName>
    <definedName name="PRCP_y9">'Business &amp; other details'!$F$43</definedName>
    <definedName name="RCP_1to5">"2015-16 to 2019-20"</definedName>
    <definedName name="Reason_for_interruption">'AER only'!$B$62:$B$91</definedName>
    <definedName name="SheetHeader">'Business &amp; other details'!$B$1</definedName>
    <definedName name="Years">'Business &amp; other details'!$C$39:$H$39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3" l="1"/>
  <c r="F80" i="3"/>
  <c r="E80" i="3"/>
  <c r="D80" i="3"/>
  <c r="C80" i="3"/>
  <c r="H79" i="3"/>
  <c r="H78" i="3"/>
  <c r="H77" i="3"/>
  <c r="H76" i="3"/>
  <c r="H74" i="3"/>
  <c r="H80" i="3" s="1"/>
  <c r="C73" i="3"/>
  <c r="U60" i="3"/>
  <c r="K50" i="3"/>
  <c r="J50" i="3"/>
  <c r="I50" i="3"/>
  <c r="H50" i="3"/>
  <c r="G50" i="3"/>
  <c r="F50" i="3"/>
  <c r="E50" i="3"/>
  <c r="D50" i="3"/>
  <c r="C50" i="3"/>
  <c r="V46" i="3"/>
  <c r="N41" i="3"/>
  <c r="L36" i="3"/>
  <c r="K36" i="3"/>
  <c r="J36" i="3"/>
  <c r="I36" i="3"/>
  <c r="H36" i="3"/>
  <c r="G36" i="3"/>
  <c r="F36" i="3"/>
  <c r="E36" i="3"/>
  <c r="D36" i="3"/>
  <c r="C36" i="3"/>
  <c r="N27" i="3"/>
  <c r="N16" i="3"/>
  <c r="M17" i="3" s="1"/>
  <c r="M16" i="3"/>
  <c r="L16" i="3"/>
  <c r="K16" i="3"/>
  <c r="J16" i="3"/>
  <c r="I16" i="3"/>
  <c r="H16" i="3"/>
  <c r="G16" i="3"/>
  <c r="F16" i="3"/>
  <c r="E16" i="3"/>
  <c r="D16" i="3"/>
  <c r="B7" i="3"/>
  <c r="C133" i="2"/>
  <c r="C110" i="2" s="1"/>
  <c r="C132" i="2"/>
  <c r="C131" i="2"/>
  <c r="C130" i="2"/>
  <c r="C129" i="2"/>
  <c r="C128" i="2"/>
  <c r="C127" i="2"/>
  <c r="C120" i="2"/>
  <c r="C111" i="2"/>
  <c r="C105" i="2"/>
  <c r="C106" i="2" s="1"/>
  <c r="C108" i="2" s="1"/>
  <c r="C104" i="2"/>
  <c r="C101" i="2"/>
  <c r="C100" i="2"/>
  <c r="C99" i="2"/>
  <c r="C97" i="2"/>
  <c r="C98" i="2" s="1"/>
  <c r="C96" i="2"/>
  <c r="C89" i="2"/>
  <c r="C86" i="2"/>
  <c r="C82" i="2"/>
  <c r="C81" i="2"/>
  <c r="C78" i="2"/>
  <c r="C79" i="2" s="1"/>
  <c r="C74" i="2"/>
  <c r="C73" i="2"/>
  <c r="C72" i="2"/>
  <c r="C68" i="2"/>
  <c r="C65" i="2"/>
  <c r="C61" i="2"/>
  <c r="C59" i="2"/>
  <c r="C58" i="2"/>
  <c r="G27" i="2"/>
  <c r="E26" i="2"/>
  <c r="E25" i="2"/>
  <c r="E24" i="2"/>
  <c r="G22" i="2"/>
  <c r="E21" i="2"/>
  <c r="E20" i="2"/>
  <c r="E19" i="2"/>
  <c r="C16" i="2"/>
  <c r="C15" i="2"/>
  <c r="B2" i="2"/>
  <c r="B2" i="3" s="1"/>
  <c r="B1" i="2"/>
  <c r="L160" i="1"/>
  <c r="K160" i="1"/>
  <c r="J160" i="1"/>
  <c r="I160" i="1"/>
  <c r="H160" i="1"/>
  <c r="G160" i="1"/>
  <c r="F160" i="1"/>
  <c r="E160" i="1"/>
  <c r="D160" i="1"/>
  <c r="C160" i="1"/>
  <c r="L157" i="1"/>
  <c r="K157" i="1"/>
  <c r="J157" i="1"/>
  <c r="I157" i="1"/>
  <c r="C120" i="1"/>
  <c r="C121" i="1" s="1"/>
  <c r="C122" i="1" s="1"/>
  <c r="C123" i="1" s="1"/>
  <c r="C124" i="1" s="1"/>
  <c r="C119" i="1"/>
  <c r="R101" i="1"/>
  <c r="R102" i="1" s="1"/>
  <c r="R103" i="1" s="1"/>
  <c r="R104" i="1" s="1"/>
  <c r="R105" i="1" s="1"/>
  <c r="R106" i="1" s="1"/>
  <c r="R107" i="1" s="1"/>
  <c r="R108" i="1" s="1"/>
  <c r="R109" i="1" s="1"/>
  <c r="R110" i="1" s="1"/>
  <c r="R111" i="1" s="1"/>
  <c r="R112" i="1" s="1"/>
  <c r="R113" i="1" s="1"/>
  <c r="R114" i="1" s="1"/>
  <c r="R115" i="1" s="1"/>
  <c r="R116" i="1" s="1"/>
  <c r="R117" i="1" s="1"/>
  <c r="R118" i="1" s="1"/>
  <c r="R119" i="1" s="1"/>
  <c r="R120" i="1" s="1"/>
  <c r="P101" i="1"/>
  <c r="P102" i="1" s="1"/>
  <c r="P103" i="1" s="1"/>
  <c r="P104" i="1" s="1"/>
  <c r="P105" i="1" s="1"/>
  <c r="P106" i="1" s="1"/>
  <c r="P107" i="1" s="1"/>
  <c r="P108" i="1" s="1"/>
  <c r="P109" i="1" s="1"/>
  <c r="P110" i="1" s="1"/>
  <c r="P111" i="1" s="1"/>
  <c r="P112" i="1" s="1"/>
  <c r="P113" i="1" s="1"/>
  <c r="P114" i="1" s="1"/>
  <c r="P115" i="1" s="1"/>
  <c r="P116" i="1" s="1"/>
  <c r="P117" i="1" s="1"/>
  <c r="P118" i="1" s="1"/>
  <c r="P119" i="1" s="1"/>
  <c r="P120" i="1" s="1"/>
  <c r="O101" i="1"/>
  <c r="F101" i="1"/>
  <c r="H101" i="1" s="1"/>
  <c r="H102" i="1" l="1"/>
  <c r="H103" i="1" s="1"/>
  <c r="H104" i="1" s="1"/>
  <c r="H105" i="1" s="1"/>
  <c r="C84" i="2"/>
  <c r="E31" i="1" s="1"/>
  <c r="S45" i="3"/>
  <c r="S42" i="3"/>
  <c r="S49" i="3"/>
  <c r="L17" i="3"/>
  <c r="S48" i="3"/>
  <c r="S47" i="3"/>
  <c r="S46" i="3"/>
  <c r="S44" i="3"/>
  <c r="C90" i="2"/>
  <c r="C107" i="2"/>
  <c r="C91" i="2"/>
  <c r="C75" i="2"/>
  <c r="F102" i="1"/>
  <c r="C125" i="1"/>
  <c r="C126" i="1" s="1"/>
  <c r="C127" i="1" s="1"/>
  <c r="C128" i="1" s="1"/>
  <c r="C129" i="1" s="1"/>
  <c r="C130" i="1" s="1"/>
  <c r="C131" i="1" s="1"/>
  <c r="C132" i="1" s="1"/>
  <c r="C133" i="1" s="1"/>
  <c r="C134" i="1" s="1"/>
  <c r="C135" i="1" s="1"/>
  <c r="C136" i="1" s="1"/>
  <c r="C137" i="1" s="1"/>
  <c r="C138" i="1" s="1"/>
  <c r="C77" i="2"/>
  <c r="C93" i="2" s="1"/>
  <c r="C109" i="2"/>
  <c r="C99" i="1"/>
  <c r="C69" i="2"/>
  <c r="N68" i="3" l="1"/>
  <c r="P59" i="3"/>
  <c r="C72" i="3"/>
  <c r="N66" i="3"/>
  <c r="N25" i="3"/>
  <c r="N54" i="3"/>
  <c r="N39" i="3"/>
  <c r="S50" i="3"/>
  <c r="F103" i="1"/>
  <c r="D36" i="2"/>
  <c r="R49" i="3"/>
  <c r="R47" i="3"/>
  <c r="R45" i="3"/>
  <c r="R42" i="3"/>
  <c r="K17" i="3"/>
  <c r="R46" i="3"/>
  <c r="R44" i="3"/>
  <c r="R48" i="3"/>
  <c r="C67" i="2"/>
  <c r="E28" i="1"/>
  <c r="E26" i="1"/>
  <c r="E25" i="1"/>
  <c r="C83" i="2"/>
  <c r="H106" i="1"/>
  <c r="H107" i="1" s="1"/>
  <c r="H108" i="1" s="1"/>
  <c r="H109" i="1" s="1"/>
  <c r="H110" i="1" s="1"/>
  <c r="H111" i="1" s="1"/>
  <c r="H112" i="1" s="1"/>
  <c r="H113" i="1" s="1"/>
  <c r="H114" i="1" s="1"/>
  <c r="H115" i="1" s="1"/>
  <c r="F104" i="1" l="1"/>
  <c r="E36" i="2"/>
  <c r="Q49" i="3"/>
  <c r="Q47" i="3"/>
  <c r="Q45" i="3"/>
  <c r="Q42" i="3"/>
  <c r="J17" i="3"/>
  <c r="Q48" i="3"/>
  <c r="Q46" i="3"/>
  <c r="Q44" i="3"/>
  <c r="C39" i="2"/>
  <c r="C70" i="2"/>
  <c r="D73" i="3"/>
  <c r="V60" i="3"/>
  <c r="R50" i="3"/>
  <c r="F41" i="2" l="1"/>
  <c r="D39" i="2"/>
  <c r="E41" i="2"/>
  <c r="N61" i="3"/>
  <c r="D41" i="2"/>
  <c r="C41" i="2"/>
  <c r="D40" i="2"/>
  <c r="J14" i="3"/>
  <c r="H41" i="3"/>
  <c r="H27" i="3"/>
  <c r="F40" i="2"/>
  <c r="C40" i="2"/>
  <c r="P41" i="3"/>
  <c r="P27" i="3"/>
  <c r="F39" i="2"/>
  <c r="P60" i="3"/>
  <c r="G42" i="2"/>
  <c r="E40" i="2"/>
  <c r="G39" i="2"/>
  <c r="G41" i="2"/>
  <c r="E39" i="2"/>
  <c r="G40" i="2"/>
  <c r="P49" i="3"/>
  <c r="P47" i="3"/>
  <c r="P45" i="3"/>
  <c r="P42" i="3"/>
  <c r="P46" i="3"/>
  <c r="I17" i="3"/>
  <c r="P48" i="3"/>
  <c r="P44" i="3"/>
  <c r="Q50" i="3"/>
  <c r="E73" i="3"/>
  <c r="W60" i="3"/>
  <c r="F36" i="2"/>
  <c r="F105" i="1"/>
  <c r="C80" i="2"/>
  <c r="E29" i="1" l="1"/>
  <c r="B3" i="2"/>
  <c r="B3" i="3" s="1"/>
  <c r="E30" i="1"/>
  <c r="C60" i="2" s="1"/>
  <c r="E32" i="1"/>
  <c r="F106" i="1"/>
  <c r="G36" i="2"/>
  <c r="B17" i="3"/>
  <c r="N14" i="3"/>
  <c r="N65" i="3"/>
  <c r="L41" i="3"/>
  <c r="L27" i="3"/>
  <c r="T60" i="3"/>
  <c r="B80" i="3"/>
  <c r="T41" i="3"/>
  <c r="T27" i="3"/>
  <c r="I14" i="3"/>
  <c r="F42" i="2"/>
  <c r="O41" i="3"/>
  <c r="G41" i="3"/>
  <c r="G27" i="3"/>
  <c r="O27" i="3"/>
  <c r="H25" i="3"/>
  <c r="F73" i="3"/>
  <c r="X60" i="3"/>
  <c r="N63" i="3"/>
  <c r="L14" i="3"/>
  <c r="J41" i="3"/>
  <c r="J27" i="3"/>
  <c r="R41" i="3"/>
  <c r="R27" i="3"/>
  <c r="R60" i="3"/>
  <c r="T34" i="3"/>
  <c r="Q31" i="3"/>
  <c r="S28" i="3"/>
  <c r="S34" i="3"/>
  <c r="P31" i="3"/>
  <c r="R28" i="3"/>
  <c r="R34" i="3"/>
  <c r="T32" i="3"/>
  <c r="Q28" i="3"/>
  <c r="O46" i="3"/>
  <c r="S31" i="3"/>
  <c r="O49" i="3"/>
  <c r="O47" i="3"/>
  <c r="Q34" i="3"/>
  <c r="S32" i="3"/>
  <c r="P28" i="3"/>
  <c r="O45" i="3"/>
  <c r="O42" i="3"/>
  <c r="P34" i="3"/>
  <c r="R32" i="3"/>
  <c r="T30" i="3"/>
  <c r="T35" i="3"/>
  <c r="Q32" i="3"/>
  <c r="S30" i="3"/>
  <c r="R35" i="3"/>
  <c r="T33" i="3"/>
  <c r="Q30" i="3"/>
  <c r="H17" i="3"/>
  <c r="G17" i="3" s="1"/>
  <c r="F17" i="3" s="1"/>
  <c r="E17" i="3" s="1"/>
  <c r="D17" i="3" s="1"/>
  <c r="Q35" i="3"/>
  <c r="Q33" i="3"/>
  <c r="P33" i="3"/>
  <c r="T28" i="3"/>
  <c r="S35" i="3"/>
  <c r="P32" i="3"/>
  <c r="R30" i="3"/>
  <c r="R31" i="3"/>
  <c r="S33" i="3"/>
  <c r="P30" i="3"/>
  <c r="O48" i="3"/>
  <c r="P35" i="3"/>
  <c r="R33" i="3"/>
  <c r="T31" i="3"/>
  <c r="O44" i="3"/>
  <c r="M14" i="3"/>
  <c r="K41" i="3"/>
  <c r="K27" i="3"/>
  <c r="N64" i="3"/>
  <c r="S41" i="3"/>
  <c r="S27" i="3"/>
  <c r="S60" i="3"/>
  <c r="C113" i="2"/>
  <c r="P50" i="3"/>
  <c r="K14" i="3"/>
  <c r="I41" i="3"/>
  <c r="I27" i="3"/>
  <c r="N62" i="3"/>
  <c r="Q60" i="3"/>
  <c r="Q41" i="3"/>
  <c r="Q27" i="3"/>
  <c r="S36" i="3" l="1"/>
  <c r="G73" i="3"/>
  <c r="Y60" i="3"/>
  <c r="P36" i="3"/>
  <c r="F41" i="3"/>
  <c r="F27" i="3"/>
  <c r="E42" i="2"/>
  <c r="H14" i="3"/>
  <c r="F107" i="1"/>
  <c r="C37" i="2"/>
  <c r="T36" i="3"/>
  <c r="C114" i="2"/>
  <c r="E153" i="1"/>
  <c r="Q36" i="3"/>
  <c r="O33" i="3"/>
  <c r="O31" i="3"/>
  <c r="O28" i="3"/>
  <c r="O34" i="3"/>
  <c r="O32" i="3"/>
  <c r="O30" i="3"/>
  <c r="O35" i="3"/>
  <c r="O50" i="3"/>
  <c r="R36" i="3"/>
  <c r="R55" i="3" s="1"/>
  <c r="G14" i="3" l="1"/>
  <c r="E27" i="3"/>
  <c r="C123" i="2"/>
  <c r="E41" i="3"/>
  <c r="D42" i="2"/>
  <c r="S63" i="3"/>
  <c r="T63" i="3"/>
  <c r="W63" i="3"/>
  <c r="V63" i="3"/>
  <c r="U63" i="3"/>
  <c r="T50" i="3"/>
  <c r="T55" i="3" s="1"/>
  <c r="O36" i="3"/>
  <c r="Q55" i="3"/>
  <c r="D37" i="2"/>
  <c r="F108" i="1"/>
  <c r="S55" i="3"/>
  <c r="U65" i="3" l="1"/>
  <c r="X65" i="3"/>
  <c r="W65" i="3"/>
  <c r="V65" i="3"/>
  <c r="Y65" i="3"/>
  <c r="Y66" i="3" s="1"/>
  <c r="Y68" i="3" s="1"/>
  <c r="D41" i="3"/>
  <c r="C42" i="2"/>
  <c r="F14" i="3"/>
  <c r="D27" i="3"/>
  <c r="X64" i="3"/>
  <c r="X66" i="3" s="1"/>
  <c r="X68" i="3" s="1"/>
  <c r="W64" i="3"/>
  <c r="W66" i="3" s="1"/>
  <c r="W68" i="3" s="1"/>
  <c r="V64" i="3"/>
  <c r="U64" i="3"/>
  <c r="T64" i="3"/>
  <c r="F109" i="1"/>
  <c r="E37" i="2"/>
  <c r="N44" i="3"/>
  <c r="N49" i="3"/>
  <c r="N47" i="3"/>
  <c r="N45" i="3"/>
  <c r="N42" i="3"/>
  <c r="N48" i="3"/>
  <c r="N46" i="3"/>
  <c r="N35" i="3"/>
  <c r="N30" i="3"/>
  <c r="N34" i="3"/>
  <c r="N33" i="3"/>
  <c r="N28" i="3"/>
  <c r="N31" i="3"/>
  <c r="N32" i="3"/>
  <c r="V62" i="3"/>
  <c r="V66" i="3" s="1"/>
  <c r="V68" i="3" s="1"/>
  <c r="U62" i="3"/>
  <c r="T62" i="3"/>
  <c r="S62" i="3"/>
  <c r="R62" i="3"/>
  <c r="N36" i="3" l="1"/>
  <c r="F37" i="2"/>
  <c r="F110" i="1"/>
  <c r="N50" i="3"/>
  <c r="C41" i="3"/>
  <c r="C27" i="3"/>
  <c r="E14" i="3"/>
  <c r="D14" i="3" s="1"/>
  <c r="C14" i="3" s="1"/>
  <c r="C25" i="3"/>
  <c r="G37" i="2" l="1"/>
  <c r="F111" i="1"/>
  <c r="F112" i="1" s="1"/>
  <c r="F113" i="1" s="1"/>
  <c r="F114" i="1" s="1"/>
  <c r="F115" i="1" s="1"/>
  <c r="P55" i="3"/>
  <c r="Q61" i="3" l="1"/>
  <c r="S61" i="3"/>
  <c r="R61" i="3"/>
  <c r="U61" i="3"/>
  <c r="U66" i="3" s="1"/>
  <c r="T61" i="3"/>
  <c r="Z66" i="3" l="1"/>
  <c r="U68" i="3"/>
  <c r="Z6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F101" authorId="0" shapeId="0" xr:uid="{00000000-0006-0000-0000-000001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 ref="H101" authorId="0" shapeId="0" xr:uid="{00000000-0006-0000-0000-000002000000}">
      <text>
        <r>
          <rPr>
            <b/>
            <sz val="9"/>
            <color rgb="FF000000"/>
            <rFont val="Tahoma"/>
            <family val="2"/>
          </rPr>
          <t>Hogan, Susan:</t>
        </r>
        <r>
          <rPr>
            <sz val="9"/>
            <color rgb="FF000000"/>
            <rFont val="Tahoma"/>
            <family val="2"/>
          </rPr>
          <t xml:space="preserve">
This is the last year in the CRCP. The years count backward from FRCP_y1.
</t>
        </r>
      </text>
    </comment>
  </commentList>
</comments>
</file>

<file path=xl/sharedStrings.xml><?xml version="1.0" encoding="utf-8"?>
<sst xmlns="http://schemas.openxmlformats.org/spreadsheetml/2006/main" count="1293" uniqueCount="853">
  <si>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</si>
  <si>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</si>
  <si>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</si>
  <si>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</si>
  <si>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</si>
  <si>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</si>
  <si>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FOR ELECTRICITY BUSINESSES ONLY</t>
  </si>
  <si>
    <t>major changes to accommodate STPIS</t>
  </si>
  <si>
    <t>Template Version</t>
  </si>
  <si>
    <t>Feeder Types</t>
  </si>
  <si>
    <t>TasNetworks (D)</t>
  </si>
  <si>
    <t>MAIFI flag</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</si>
  <si>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</si>
  <si>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</si>
  <si>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</si>
  <si>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</si>
  <si>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</si>
  <si>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</si>
  <si>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</si>
  <si>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</si>
  <si>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</si>
  <si>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</si>
  <si>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</si>
  <si>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</si>
  <si>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</si>
  <si>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</si>
  <si>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</si>
  <si>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</si>
  <si>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</si>
  <si>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</si>
  <si>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</si>
  <si>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</si>
  <si>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</si>
  <si>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</si>
  <si>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</si>
  <si>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</si>
  <si>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</si>
  <si>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</si>
  <si>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</si>
  <si>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</si>
  <si>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</si>
  <si>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dms_ContactName1_List</t>
  </si>
  <si>
    <t>dms_ContactPh1_List</t>
  </si>
  <si>
    <t>dms_ContactEmail_List</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</si>
  <si>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</si>
  <si>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</si>
  <si>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</si>
  <si>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</si>
  <si>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</si>
  <si>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</si>
  <si>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</si>
  <si>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</si>
  <si>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</si>
  <si>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</si>
  <si>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</si>
  <si>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dms_Public_Lighting_List</t>
  </si>
  <si>
    <t>Column1</t>
  </si>
  <si>
    <t>AGN (Albury and Victoria)</t>
  </si>
  <si>
    <t>Australian Gas Networks Limited (reporting data for Albury and Victoria)</t>
  </si>
  <si>
    <t>Vic</t>
  </si>
  <si>
    <t>Gas</t>
  </si>
  <si>
    <t>Distribution</t>
  </si>
  <si>
    <t>Weighted average price cap</t>
  </si>
  <si>
    <t>Calendar</t>
  </si>
  <si>
    <t>December</t>
  </si>
  <si>
    <t>x</t>
  </si>
  <si>
    <t>Level 6</t>
  </si>
  <si>
    <t>400 King William Street</t>
  </si>
  <si>
    <t>ADELAIDE</t>
  </si>
  <si>
    <t>SA</t>
  </si>
  <si>
    <t>PO Box 6468</t>
  </si>
  <si>
    <t>Halifax Street</t>
  </si>
  <si>
    <t>Craig de Laine</t>
  </si>
  <si>
    <t xml:space="preserve">08 8418 1129 </t>
  </si>
  <si>
    <t>craig.delaine@agn.com.au</t>
  </si>
  <si>
    <t>NO</t>
  </si>
  <si>
    <t>Long rural</t>
  </si>
  <si>
    <t>AGN (Albury)</t>
  </si>
  <si>
    <t>Australian Gas Networks Limited (reporting data for Albury)</t>
  </si>
  <si>
    <t>AGN (SA)</t>
  </si>
  <si>
    <t>Australian Gas Networks Limited (reporting data for SA)</t>
  </si>
  <si>
    <t>Financial</t>
  </si>
  <si>
    <t>June</t>
  </si>
  <si>
    <t>distribution determination</t>
  </si>
  <si>
    <t>AGN (Victoria)</t>
  </si>
  <si>
    <t>Australian Gas Networks Limited (reporting data for Victoria)</t>
  </si>
  <si>
    <t>AusNet (Gas)</t>
  </si>
  <si>
    <t>AusNet Gas Services</t>
  </si>
  <si>
    <t>086015036</t>
  </si>
  <si>
    <t>X</t>
  </si>
  <si>
    <t>Level 19, HSBC Building</t>
  </si>
  <si>
    <t>580 George Street</t>
  </si>
  <si>
    <t>SYDNEY</t>
  </si>
  <si>
    <t>NSW</t>
  </si>
  <si>
    <t>PO Box R41</t>
  </si>
  <si>
    <t>ROYAL EXCHANGE</t>
  </si>
  <si>
    <t>Alexandra Curran</t>
  </si>
  <si>
    <t>02 9275 0020</t>
  </si>
  <si>
    <t>alexandra.curran@apa.com.au</t>
  </si>
  <si>
    <t>Australian Distribution Co. (Gas)</t>
  </si>
  <si>
    <t xml:space="preserve">Australian Gas Distribution Co. </t>
  </si>
  <si>
    <t>123 Straight Street</t>
  </si>
  <si>
    <t>PO Box 123</t>
  </si>
  <si>
    <t>Bob Smith</t>
  </si>
  <si>
    <t>02 1234 5678</t>
  </si>
  <si>
    <t>bob@auselec.net.au</t>
  </si>
  <si>
    <t>Australian Distribution Co. (Vic)</t>
  </si>
  <si>
    <t>Evoenergy Gas</t>
  </si>
  <si>
    <t>ACT</t>
  </si>
  <si>
    <t>40 Bunda Street</t>
  </si>
  <si>
    <t>CANBERRA</t>
  </si>
  <si>
    <t>GPO BOX 366</t>
  </si>
  <si>
    <t>Philip Deamer</t>
  </si>
  <si>
    <t>02 6248 3438</t>
  </si>
  <si>
    <t>GasAAReview@actewagl.com.au</t>
  </si>
  <si>
    <t>ActewAGL Gas</t>
  </si>
  <si>
    <t>JGN</t>
  </si>
  <si>
    <t>Jemena Gas Networks (NSW) Ltd</t>
  </si>
  <si>
    <t>003 004 322</t>
  </si>
  <si>
    <t>please provide contact details</t>
  </si>
  <si>
    <t>Multinet Gas</t>
  </si>
  <si>
    <t>Multinet Gas (DB No.1) Pty Ltd (ACN 086 026 986), Multinet Gas (DB No.2) Pty Ltd (ACN 086 230 122)</t>
  </si>
  <si>
    <t>086026986</t>
  </si>
  <si>
    <t>43-45 Centreway</t>
  </si>
  <si>
    <t>MT WAVERLEY</t>
  </si>
  <si>
    <t>Andrew Schille</t>
  </si>
  <si>
    <t>03 8846 9860</t>
  </si>
  <si>
    <t>andrew.schille@ue.com.au</t>
  </si>
  <si>
    <t>For EB &amp; Reset RINs only</t>
  </si>
  <si>
    <t>For AARs only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</si>
  <si>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</si>
  <si>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Drop down selector box for CA &amp; Reset RINs.</t>
  </si>
  <si>
    <t>For CA &amp; Reset RINs only</t>
  </si>
  <si>
    <t>for DNSP only</t>
  </si>
  <si>
    <t>For DNSPs only</t>
  </si>
  <si>
    <t xml:space="preserve">dms_Model_List </t>
  </si>
  <si>
    <t>dms_Worksheet_List</t>
  </si>
  <si>
    <t>dms_RYE_Formula_Result</t>
  </si>
  <si>
    <t>dms_0203_ProjectType</t>
  </si>
  <si>
    <t>dms_020303_01_UOM</t>
  </si>
  <si>
    <t>dms_020501_01_UOM</t>
  </si>
  <si>
    <t>dms_020501_02_UOM</t>
  </si>
  <si>
    <t>dms_020501_03_UOM</t>
  </si>
  <si>
    <t>dms_020501_04_UOM</t>
  </si>
  <si>
    <t>dms_020603_01_UOM</t>
  </si>
  <si>
    <t>dms_020701_01_UOM</t>
  </si>
  <si>
    <t>dms_020701_02_UOM</t>
  </si>
  <si>
    <t>dms_020701_01_Rows</t>
  </si>
  <si>
    <t>dms_040102_01_UOM</t>
  </si>
  <si>
    <t>dms_040102_04_UOM</t>
  </si>
  <si>
    <t>dms_030601_01_UOM</t>
  </si>
  <si>
    <t>dms_030601_02_UOM</t>
  </si>
  <si>
    <t>dms_030701_01_UOM</t>
  </si>
  <si>
    <t>dms_030702_01_UOM</t>
  </si>
  <si>
    <t>dms_030703_01_UOM</t>
  </si>
  <si>
    <t>dms_030605_UOM</t>
  </si>
  <si>
    <t>dms_03060703_UOM</t>
  </si>
  <si>
    <t>ARR</t>
  </si>
  <si>
    <t>ANNUAL REPORTING STATEMENT</t>
  </si>
  <si>
    <t>=LEFT(dms_SingleYear_FinalYear_Result,2)&amp;RIGHT(dms_SingleYear_FinalYear_Result,2)</t>
  </si>
  <si>
    <t>Formula errors are OK</t>
  </si>
  <si>
    <t>New line on new route - single circuit</t>
  </si>
  <si>
    <t>Circuit line length in km</t>
  </si>
  <si>
    <t>0's</t>
  </si>
  <si>
    <t>km</t>
  </si>
  <si>
    <t>Route line length within zone</t>
  </si>
  <si>
    <t>days</t>
  </si>
  <si>
    <t>minutes/customer</t>
  </si>
  <si>
    <t>Customer / km</t>
  </si>
  <si>
    <t>%</t>
  </si>
  <si>
    <t>number</t>
  </si>
  <si>
    <t>CA</t>
  </si>
  <si>
    <t>CATEGORY ANALYSIS</t>
  </si>
  <si>
    <t>New line on new route - dual circuit</t>
  </si>
  <si>
    <t>Number of maintenance spans</t>
  </si>
  <si>
    <t>MWh/customer</t>
  </si>
  <si>
    <t>Number of spans</t>
  </si>
  <si>
    <t>CPI</t>
  </si>
  <si>
    <t>New line on new route - other</t>
  </si>
  <si>
    <t>MVA added</t>
  </si>
  <si>
    <t>Total length of maintenance spans</t>
  </si>
  <si>
    <t>$0s</t>
  </si>
  <si>
    <t>interruptions/customer</t>
  </si>
  <si>
    <t>kVA / customer</t>
  </si>
  <si>
    <t>EB</t>
  </si>
  <si>
    <t>ECONOMIC BENCHMARKING</t>
  </si>
  <si>
    <t>Line rebuild over existing route - single circuit</t>
  </si>
  <si>
    <t>Length of vegetation corridors</t>
  </si>
  <si>
    <t>PTRM</t>
  </si>
  <si>
    <t>POST TAX REVENUE MODEL</t>
  </si>
  <si>
    <t>=LEFT(dms_MultiYear_FinalYear_Result,2)&amp;RIGHT(dms_MultiYear_FinalYear_Result,2)</t>
  </si>
  <si>
    <t>Line rebuild over existing route - dual circuit</t>
  </si>
  <si>
    <t>Number</t>
  </si>
  <si>
    <t>total spend $0s</t>
  </si>
  <si>
    <t>(per cent)</t>
  </si>
  <si>
    <t>Average number of trees per maintenance span</t>
  </si>
  <si>
    <t>Reset</t>
  </si>
  <si>
    <t>REGULATORY REPORTING STATEMENT</t>
  </si>
  <si>
    <t>Reconductor - Single circuit</t>
  </si>
  <si>
    <t>net circuit km added</t>
  </si>
  <si>
    <t>years</t>
  </si>
  <si>
    <t>Average frequency of cutting cycle</t>
  </si>
  <si>
    <t>Years</t>
  </si>
  <si>
    <t>RFM</t>
  </si>
  <si>
    <t>ROLL FORWARD MODEL</t>
  </si>
  <si>
    <t>=LEFT(dms_CRCP_FinalYear_Result,2)&amp;RIGHT(dms_CRCP_FinalYear_Result,2)</t>
  </si>
  <si>
    <t>Reconductor - Dual circuit</t>
  </si>
  <si>
    <t>WACC</t>
  </si>
  <si>
    <t>WEIGHTED AVERAGE COST OF CAPITAL</t>
  </si>
  <si>
    <t>Other</t>
  </si>
  <si>
    <t>Trees</t>
  </si>
  <si>
    <t>dms_DataQuality_List</t>
  </si>
  <si>
    <t>Defects</t>
  </si>
  <si>
    <t>Actual</t>
  </si>
  <si>
    <t>Estimate</t>
  </si>
  <si>
    <t>Spans</t>
  </si>
  <si>
    <t>Consolidated</t>
  </si>
  <si>
    <t>Recast</t>
  </si>
  <si>
    <t>Public</t>
  </si>
  <si>
    <t>For all files either AER or business needs to be able to specify the type of submission</t>
  </si>
  <si>
    <t>For PTRM &amp; RFM templates we must provide a choice in case they change their form of control - otherwise it is drawn from the business specific lookup table above.</t>
  </si>
  <si>
    <t xml:space="preserve">For PTRM files - this field set the text for the named range "DMS_Xfactor" which in all cases is simply the text "x factors" - this saves putting in each old gas PTRM file </t>
  </si>
  <si>
    <t>for TNSP only</t>
  </si>
  <si>
    <t>dms_SourceList</t>
  </si>
  <si>
    <t>dms_FormControl_Choices</t>
  </si>
  <si>
    <t>DMS_Xfactor</t>
  </si>
  <si>
    <t>After appeal</t>
  </si>
  <si>
    <t>Revenue cap</t>
  </si>
  <si>
    <t>x factors</t>
  </si>
  <si>
    <t>Draft decision</t>
  </si>
  <si>
    <t>Revenue yield</t>
  </si>
  <si>
    <t>Final decision</t>
  </si>
  <si>
    <t>PTRM update 1</t>
  </si>
  <si>
    <t>PTRM update 2</t>
  </si>
  <si>
    <t>PTRM update 3</t>
  </si>
  <si>
    <t>PTRM update 4</t>
  </si>
  <si>
    <t>PTRM update 5</t>
  </si>
  <si>
    <t>PTRM update 6</t>
  </si>
  <si>
    <t>PTRM update 7</t>
  </si>
  <si>
    <t>Regulatory proposal</t>
  </si>
  <si>
    <t>Reporting</t>
  </si>
  <si>
    <t>Revised regulatory proposal</t>
  </si>
  <si>
    <t>Reason for interruption</t>
  </si>
  <si>
    <t>dms_Reason_Interruption_Detailed</t>
  </si>
  <si>
    <t>dms_Reason_Interruption</t>
  </si>
  <si>
    <t>dms_STPIS_Exclusion_List</t>
  </si>
  <si>
    <t>dms_020301_ProjectType_List</t>
  </si>
  <si>
    <t>dms_020302_ProjectType_List</t>
  </si>
  <si>
    <t>Animal</t>
  </si>
  <si>
    <t>Animal impact</t>
  </si>
  <si>
    <t>Weather</t>
  </si>
  <si>
    <t>New substation establishment</t>
  </si>
  <si>
    <t>Animal nesting/burrowing, etc and other</t>
  </si>
  <si>
    <t>Asset failure</t>
  </si>
  <si>
    <t>Equipment failure</t>
  </si>
  <si>
    <t>Capacity upgrade</t>
  </si>
  <si>
    <t>Operational error</t>
  </si>
  <si>
    <t>Voltage upgrade</t>
  </si>
  <si>
    <t>LV</t>
  </si>
  <si>
    <t>Overloads</t>
  </si>
  <si>
    <t>Vegetation</t>
  </si>
  <si>
    <t>Distribution substation</t>
  </si>
  <si>
    <t>Planned</t>
  </si>
  <si>
    <t>Animals</t>
  </si>
  <si>
    <t>HV</t>
  </si>
  <si>
    <t>Network business</t>
  </si>
  <si>
    <t>Third party impacts</t>
  </si>
  <si>
    <t>Zone substation</t>
  </si>
  <si>
    <t>Third party</t>
  </si>
  <si>
    <t>Transmission failure</t>
  </si>
  <si>
    <t>Subtransmission</t>
  </si>
  <si>
    <t>Unknown</t>
  </si>
  <si>
    <t>Load shedding</t>
  </si>
  <si>
    <t>Reconductor - Other</t>
  </si>
  <si>
    <t>insert description of 'other'</t>
  </si>
  <si>
    <t>Inter-distributor connection failure</t>
  </si>
  <si>
    <t>Line upgrade - raising/retensoring</t>
  </si>
  <si>
    <t>-</t>
  </si>
  <si>
    <t>Line upgrade - voltage upgrade</t>
  </si>
  <si>
    <t>2 - STPIS Exclusion (3.3)(a)</t>
  </si>
  <si>
    <t>Line upgrade - capacity</t>
  </si>
  <si>
    <t>Network error</t>
  </si>
  <si>
    <t>3 - STPIS Exclusion (3.3)(a)</t>
  </si>
  <si>
    <t>String spare circuit</t>
  </si>
  <si>
    <t>Switching and protection error</t>
  </si>
  <si>
    <t>4 - STPIS Exclusion (3.3)(a)</t>
  </si>
  <si>
    <t>Fire</t>
  </si>
  <si>
    <t>5 - STPIS Exclusion (3.3)(a)</t>
  </si>
  <si>
    <t>6 - STPIS Exclusion (3.3)(a)</t>
  </si>
  <si>
    <t>Dig-in</t>
  </si>
  <si>
    <t>7 - STPIS Exclusion (3.3)(a)</t>
  </si>
  <si>
    <t>Unauthorised access</t>
  </si>
  <si>
    <t>Vehicle impact</t>
  </si>
  <si>
    <t>Blow-in/Fall-in - NSP responsibility</t>
  </si>
  <si>
    <t>Grow-in - NSP responsibility</t>
  </si>
  <si>
    <t>Blow-in/Fall-in - Other responsible party</t>
  </si>
  <si>
    <t>Grow-in - Other responsible party</t>
  </si>
  <si>
    <t>These are indeces and lookup values for various dates. All step from the value placed in FRCP_y1 on the business and other details worksheet</t>
  </si>
  <si>
    <t>These date tables are currently used in the Recast templates to provide column headings and conditional formatting</t>
  </si>
  <si>
    <t>dms_FRCPlength_Num_List</t>
  </si>
  <si>
    <t>dms_FinalYear_List</t>
  </si>
  <si>
    <t>dms_CRCPlength_Num_List</t>
  </si>
  <si>
    <t>dms_CFinalYear_List</t>
  </si>
  <si>
    <t>dms_FRCP_years</t>
  </si>
  <si>
    <t>dms_CRCP_years</t>
  </si>
  <si>
    <t>dms_CRCP_index</t>
  </si>
  <si>
    <t>dms_Financial_Years</t>
  </si>
  <si>
    <t>dms_Calendar_Years</t>
  </si>
  <si>
    <t>CRY from input cell on business sheet</t>
  </si>
  <si>
    <t>CRY - financial</t>
  </si>
  <si>
    <t>dms_FinYears</t>
  </si>
  <si>
    <t>CRY calendar</t>
  </si>
  <si>
    <t>dms_CalYears</t>
  </si>
  <si>
    <t>dms_FRCP_y1</t>
  </si>
  <si>
    <t>CRCP_y1</t>
  </si>
  <si>
    <t>dms_CRCP_yZ</t>
  </si>
  <si>
    <t>2005-06</t>
  </si>
  <si>
    <t>2006</t>
  </si>
  <si>
    <t>dms_CRYf_y1</t>
  </si>
  <si>
    <t>dms_CRYc_y1</t>
  </si>
  <si>
    <t>dms_FRCP_y2</t>
  </si>
  <si>
    <t>CRCP_y2</t>
  </si>
  <si>
    <t>dms_CRCP_yY</t>
  </si>
  <si>
    <t>2006-07</t>
  </si>
  <si>
    <t>2007</t>
  </si>
  <si>
    <t>dms_CRYf_y2</t>
  </si>
  <si>
    <t>dms_CRYc_y2</t>
  </si>
  <si>
    <t>dms_FRCP_y3</t>
  </si>
  <si>
    <t>CRCP_y3</t>
  </si>
  <si>
    <t>dms_CRCP_yX</t>
  </si>
  <si>
    <t>2007-08</t>
  </si>
  <si>
    <t>2008</t>
  </si>
  <si>
    <t>dms_CRYf_y3</t>
  </si>
  <si>
    <t>dms_CRYc_y3</t>
  </si>
  <si>
    <t>dms_FRCP_y4</t>
  </si>
  <si>
    <t>CRCP_y4</t>
  </si>
  <si>
    <t>dms_CRCP_yW</t>
  </si>
  <si>
    <t>2008-09</t>
  </si>
  <si>
    <t>2009</t>
  </si>
  <si>
    <t>dms_CRYf_y4</t>
  </si>
  <si>
    <t>dms_CRYc_y4</t>
  </si>
  <si>
    <t>dms_FRCP_y5</t>
  </si>
  <si>
    <t>CRCP_y5</t>
  </si>
  <si>
    <t>dms_CRCP_yV</t>
  </si>
  <si>
    <t>2009-10</t>
  </si>
  <si>
    <t>dms_CRYf_y5</t>
  </si>
  <si>
    <t>dms_CRYc_y5</t>
  </si>
  <si>
    <t>dms_FRCP_y6</t>
  </si>
  <si>
    <t>CRCP_y6</t>
  </si>
  <si>
    <t>dms_CRCP_yU</t>
  </si>
  <si>
    <t>2010-11</t>
  </si>
  <si>
    <t>dms_CRYf_y6</t>
  </si>
  <si>
    <t>dms_CRYc_y6</t>
  </si>
  <si>
    <t>dms_FRCP_y7</t>
  </si>
  <si>
    <t>CRCP_y7</t>
  </si>
  <si>
    <t>dms_CRCP_yT</t>
  </si>
  <si>
    <t>2011-12</t>
  </si>
  <si>
    <t>dms_CRYf_y7</t>
  </si>
  <si>
    <t>dms_CRYc_y7</t>
  </si>
  <si>
    <t>dms_FRCP_y8</t>
  </si>
  <si>
    <t>CRCP_y8</t>
  </si>
  <si>
    <t>dms_CRCP_yS</t>
  </si>
  <si>
    <t>2012-13</t>
  </si>
  <si>
    <t>dms_CRYf_y8</t>
  </si>
  <si>
    <t>dms_CRYc_y8</t>
  </si>
  <si>
    <t>dms_FRCP_y9</t>
  </si>
  <si>
    <t>CRCP_y9</t>
  </si>
  <si>
    <t>dms_CRCP_yR</t>
  </si>
  <si>
    <t>2013-14</t>
  </si>
  <si>
    <t>dms_CRYf_y9</t>
  </si>
  <si>
    <t>dms_CRYc_y9</t>
  </si>
  <si>
    <t>dms_FRCP_y10</t>
  </si>
  <si>
    <t>CRCP_y10</t>
  </si>
  <si>
    <t>dms_CRCP_yQ</t>
  </si>
  <si>
    <t>2014-15</t>
  </si>
  <si>
    <t>dms_CRYf_y10</t>
  </si>
  <si>
    <t>dms_CRYc_y10</t>
  </si>
  <si>
    <t>dms_FRCP_y11</t>
  </si>
  <si>
    <t>CRCP_y11</t>
  </si>
  <si>
    <t>dms_CRCP_yP</t>
  </si>
  <si>
    <t>2015-16</t>
  </si>
  <si>
    <t>dms_CRYf_y11</t>
  </si>
  <si>
    <t>dms_CRYc_y11</t>
  </si>
  <si>
    <t>dms_FRCP_y12</t>
  </si>
  <si>
    <t>CRCP_y12</t>
  </si>
  <si>
    <t>dms_CRCP_yO</t>
  </si>
  <si>
    <t>2016-17</t>
  </si>
  <si>
    <t>dms_CRYf_y12</t>
  </si>
  <si>
    <t>dms_CRYc_y12</t>
  </si>
  <si>
    <t>dms_FRCP_y13</t>
  </si>
  <si>
    <t>CRCP_y13</t>
  </si>
  <si>
    <t>dms_CRCP_yN</t>
  </si>
  <si>
    <t>2017-18</t>
  </si>
  <si>
    <t>dms_CRYf_y13</t>
  </si>
  <si>
    <t>dms_CRYc_y13</t>
  </si>
  <si>
    <t>dms_FRCP_y14</t>
  </si>
  <si>
    <t>CRCP_y14</t>
  </si>
  <si>
    <t>dms_CRCP_yM</t>
  </si>
  <si>
    <t>2018-19</t>
  </si>
  <si>
    <t>dms_CRYf_y14</t>
  </si>
  <si>
    <t>dms_CRYc_y14</t>
  </si>
  <si>
    <t>dms_FRCP_y15</t>
  </si>
  <si>
    <t>CRCP_y15</t>
  </si>
  <si>
    <t>dms_CRCP_yL</t>
  </si>
  <si>
    <t>2019-20</t>
  </si>
  <si>
    <t>dms_CRYf_y15</t>
  </si>
  <si>
    <t>dms_CRYc_y15</t>
  </si>
  <si>
    <t>2020-21</t>
  </si>
  <si>
    <t>dms_CRYf_y16</t>
  </si>
  <si>
    <t>dms_CRYc_y16</t>
  </si>
  <si>
    <t>These are drop down lists for businesses to select the correct FRCP_y1 on the business and other details worksheet.
This also populates the column headings in the worksheets</t>
  </si>
  <si>
    <t>2021-22</t>
  </si>
  <si>
    <t>dms_CRYf_y17</t>
  </si>
  <si>
    <t>dms_CRYc_y17</t>
  </si>
  <si>
    <t>dms_RCP_fyear_list</t>
  </si>
  <si>
    <t>dms_CRY_ListF</t>
  </si>
  <si>
    <t>dms_CRY_ListC</t>
  </si>
  <si>
    <t>dms_RCP_cyear_list</t>
  </si>
  <si>
    <t>dms_FRCP_fyear_list</t>
  </si>
  <si>
    <t>dms_FRCP_ListF</t>
  </si>
  <si>
    <t>dms_FRCP_ListC</t>
  </si>
  <si>
    <t>dms_FRCP_cyear_list</t>
  </si>
  <si>
    <t>2022-23</t>
  </si>
  <si>
    <t>dms_CRYf_y18</t>
  </si>
  <si>
    <t>dms_CRYc_y18</t>
  </si>
  <si>
    <t>dms_y1</t>
  </si>
  <si>
    <t>dms_cy1</t>
  </si>
  <si>
    <t>dms_frcp_fy1</t>
  </si>
  <si>
    <t>dms_crcp_cy1</t>
  </si>
  <si>
    <t>2023-24</t>
  </si>
  <si>
    <t>dms_CRYf_y19</t>
  </si>
  <si>
    <t>dms_CRYc_y19</t>
  </si>
  <si>
    <t>dms_y2</t>
  </si>
  <si>
    <t>dms_cy2</t>
  </si>
  <si>
    <t>dms_frcp_fy2</t>
  </si>
  <si>
    <t>dms_crcp_cy2</t>
  </si>
  <si>
    <t>2024-25</t>
  </si>
  <si>
    <t>dms_CRYf_y20</t>
  </si>
  <si>
    <t>dms_CRYc_y20</t>
  </si>
  <si>
    <t>dms_y3</t>
  </si>
  <si>
    <t>dms_cy3</t>
  </si>
  <si>
    <t>dms_frcp_fy3</t>
  </si>
  <si>
    <t>dms_crcp_cy3</t>
  </si>
  <si>
    <t>2025-26</t>
  </si>
  <si>
    <t>dms_y4</t>
  </si>
  <si>
    <t>dms_cy4</t>
  </si>
  <si>
    <t>dms_frcp_fy4</t>
  </si>
  <si>
    <t>dms_crcp_cy4</t>
  </si>
  <si>
    <t>2026-27</t>
  </si>
  <si>
    <t>dms_y5</t>
  </si>
  <si>
    <t>dms_cy5</t>
  </si>
  <si>
    <t>dms_frcp_fy5</t>
  </si>
  <si>
    <t>dms_crcp_cy5</t>
  </si>
  <si>
    <t>2027-28</t>
  </si>
  <si>
    <t>dms_y6</t>
  </si>
  <si>
    <t>dms_cy6</t>
  </si>
  <si>
    <t>dms_frcp_fy6</t>
  </si>
  <si>
    <t>dms_crcp_cy6</t>
  </si>
  <si>
    <t>2028-29</t>
  </si>
  <si>
    <t>dms_y7</t>
  </si>
  <si>
    <t>dms_cy7</t>
  </si>
  <si>
    <t>dms_frcp_fy7</t>
  </si>
  <si>
    <t>dms_crcp_cy7</t>
  </si>
  <si>
    <t>2029-30</t>
  </si>
  <si>
    <t>dms_y8</t>
  </si>
  <si>
    <t>dms_cy8</t>
  </si>
  <si>
    <t>dms_frcp_fy8</t>
  </si>
  <si>
    <t>dms_crcp_cy8</t>
  </si>
  <si>
    <t>2030-31</t>
  </si>
  <si>
    <t>dms_y9</t>
  </si>
  <si>
    <t>dms_cy9</t>
  </si>
  <si>
    <t>dms_frcp_fy9</t>
  </si>
  <si>
    <t>dms_crcp_cy9</t>
  </si>
  <si>
    <t>2031-32</t>
  </si>
  <si>
    <t>dms_y10</t>
  </si>
  <si>
    <t>dms_cy10</t>
  </si>
  <si>
    <t>dms_frcp_fy10</t>
  </si>
  <si>
    <t>dms_crcp_cy10</t>
  </si>
  <si>
    <t>2032-33</t>
  </si>
  <si>
    <t>dms_y11</t>
  </si>
  <si>
    <t>dms_cy11</t>
  </si>
  <si>
    <t>dms_frcp_fy11</t>
  </si>
  <si>
    <t>dms_crcp_cy11</t>
  </si>
  <si>
    <t>2033-34</t>
  </si>
  <si>
    <t>dms_y12</t>
  </si>
  <si>
    <t>dms_cy12</t>
  </si>
  <si>
    <t>dms_frcp_fy12</t>
  </si>
  <si>
    <t>dms_crcp_cy12</t>
  </si>
  <si>
    <t>2034-35</t>
  </si>
  <si>
    <t>dms_y13</t>
  </si>
  <si>
    <t>dms_cy13</t>
  </si>
  <si>
    <t>dms_frcp_fy13</t>
  </si>
  <si>
    <t>dms_crcp_cy13</t>
  </si>
  <si>
    <t>2035-36</t>
  </si>
  <si>
    <t>dms_y14</t>
  </si>
  <si>
    <t>dms_cy14</t>
  </si>
  <si>
    <t>dms_frcp_fy14</t>
  </si>
  <si>
    <t>dms_crcp_cy14</t>
  </si>
  <si>
    <t>dms_y15</t>
  </si>
  <si>
    <t>dms_cy15</t>
  </si>
  <si>
    <t>dms_frcp_fy15</t>
  </si>
  <si>
    <t>dms_crcp_cy15</t>
  </si>
  <si>
    <t>dms_y16</t>
  </si>
  <si>
    <t>dms_cy16</t>
  </si>
  <si>
    <t>dms_y17</t>
  </si>
  <si>
    <t>dms_cy17</t>
  </si>
  <si>
    <t>dms_y18</t>
  </si>
  <si>
    <t>dms_cy18</t>
  </si>
  <si>
    <t>dms_y19</t>
  </si>
  <si>
    <t>dms_cy19</t>
  </si>
  <si>
    <t>dms_y20</t>
  </si>
  <si>
    <t>dms_cy20</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</si>
  <si>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</si>
  <si>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</si>
  <si>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</si>
  <si>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</si>
  <si>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</si>
  <si>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</si>
  <si>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</si>
  <si>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</si>
  <si>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</si>
  <si>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</si>
  <si>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</si>
  <si>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</si>
  <si>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</si>
  <si>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</si>
  <si>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</si>
  <si>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</si>
  <si>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dms_0603_FeederList</t>
  </si>
  <si>
    <t>Table 6.7.1 - daily performance data - unplanned - MAIFI  -- row descriptions and header named range values</t>
  </si>
  <si>
    <t>These headings (Lists) are determined from the INDEX/MATCH function on the NSP selected on the Business &amp; other details sheet</t>
  </si>
  <si>
    <t>dms_060701_Feeder_Header_Lvl4</t>
  </si>
  <si>
    <t>Network</t>
  </si>
  <si>
    <t>dms_060701_Rows</t>
  </si>
  <si>
    <t>All events</t>
  </si>
  <si>
    <t>After removing excluded events</t>
  </si>
  <si>
    <t>the number of column headings changes from 10 to 12 depending on the number of feeder categories for the NSP</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</si>
  <si>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</si>
  <si>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</si>
  <si>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</si>
  <si>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</si>
  <si>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</si>
  <si>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</si>
  <si>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</si>
  <si>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</si>
  <si>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</si>
  <si>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</si>
  <si>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</si>
  <si>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</si>
  <si>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</si>
  <si>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Use this to add to existing files</t>
  </si>
  <si>
    <t>ARRs 6.7 STPIS daily performance</t>
  </si>
  <si>
    <t>dms_060101_Values</t>
  </si>
  <si>
    <t>dms_060102_Values</t>
  </si>
  <si>
    <t>dms_060701_Values</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</si>
  <si>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</si>
  <si>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</si>
  <si>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</si>
  <si>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</si>
  <si>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</si>
  <si>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</si>
  <si>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</si>
  <si>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</si>
  <si>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</si>
  <si>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</si>
  <si>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</si>
  <si>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</si>
  <si>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</si>
  <si>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</si>
  <si>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</si>
  <si>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</si>
  <si>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</si>
  <si>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</si>
  <si>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</si>
  <si>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</si>
  <si>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</si>
  <si>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</si>
  <si>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</si>
  <si>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</si>
  <si>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t>BUSINESS &amp; OTHER DETAILS</t>
  </si>
  <si>
    <t>Instructions</t>
  </si>
  <si>
    <r>
      <t xml:space="preserve">Complete the following business details regulatory template </t>
    </r>
    <r>
      <rPr>
        <b/>
        <sz val="10"/>
        <color rgb="FFFF0000"/>
        <rFont val="Arial"/>
        <family val="2"/>
      </rPr>
      <t>before</t>
    </r>
    <r>
      <rPr>
        <sz val="10"/>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</si>
  <si>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</si>
  <si>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</si>
  <si>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</si>
  <si>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Select business name from drop down list first</t>
  </si>
  <si>
    <t>Full name</t>
  </si>
  <si>
    <t>ACN / ABN</t>
  </si>
  <si>
    <t>Business address</t>
  </si>
  <si>
    <t>Address 1</t>
  </si>
  <si>
    <t>Address 2</t>
  </si>
  <si>
    <t>Suburb</t>
  </si>
  <si>
    <t>State</t>
  </si>
  <si>
    <t>p/code</t>
  </si>
  <si>
    <t>Postal address</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</si>
  <si>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</si>
  <si>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</si>
  <si>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</si>
  <si>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</si>
  <si>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</si>
  <si>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</si>
  <si>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</si>
  <si>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</si>
  <si>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</si>
  <si>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</si>
  <si>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</si>
  <si>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Source</t>
  </si>
  <si>
    <t>Please select the correct submission type from the dropdown list.</t>
  </si>
  <si>
    <t>Data quality (actual, estimate, public, consolidated)</t>
  </si>
  <si>
    <r>
      <t xml:space="preserve">Use </t>
    </r>
    <r>
      <rPr>
        <b/>
        <u/>
        <sz val="11"/>
        <color rgb="FF000000"/>
        <rFont val="Arial"/>
        <family val="2"/>
      </rPr>
      <t>Consolidated</t>
    </r>
    <r>
      <rPr>
        <b/>
        <sz val="11"/>
        <color rgb="FF000000"/>
        <rFont val="Arial"/>
        <family val="2"/>
      </rPr>
      <t xml:space="preserve"> for </t>
    </r>
    <r>
      <rPr>
        <b/>
        <i/>
        <sz val="11"/>
        <color rgb="FF000000"/>
        <rFont val="Arial"/>
        <family val="2"/>
      </rPr>
      <t>Consolidated Confidential</t>
    </r>
    <r>
      <rPr>
        <b/>
        <sz val="11"/>
        <color rgb="FF000000"/>
        <rFont val="Arial"/>
        <family val="2"/>
      </rPr>
      <t xml:space="preserve"> version
Use </t>
    </r>
    <r>
      <rPr>
        <b/>
        <u/>
        <sz val="11"/>
        <color rgb="FF000000"/>
        <rFont val="Arial"/>
        <family val="2"/>
      </rPr>
      <t>Public</t>
    </r>
    <r>
      <rPr>
        <b/>
        <sz val="11"/>
        <color rgb="FF000000"/>
        <rFont val="Arial"/>
        <family val="2"/>
      </rPr>
      <t xml:space="preserve"> for </t>
    </r>
    <r>
      <rPr>
        <b/>
        <i/>
        <sz val="11"/>
        <color rgb="FF000000"/>
        <rFont val="Arial"/>
        <family val="2"/>
      </rPr>
      <t>Consolidated Public</t>
    </r>
    <r>
      <rPr>
        <b/>
        <sz val="11"/>
        <color rgb="FF000000"/>
        <rFont val="Arial"/>
        <family val="2"/>
      </rPr>
      <t xml:space="preserve"> version</t>
    </r>
  </si>
  <si>
    <t>Amended RIN submission - amendment reason</t>
  </si>
  <si>
    <t>.</t>
  </si>
  <si>
    <t>Submission Date</t>
  </si>
  <si>
    <t>dms_SubmissionDate</t>
  </si>
  <si>
    <t>Please enter date this file submitted to AER (dd/mm/yyyy)</t>
  </si>
  <si>
    <t>ECM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</si>
  <si>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</si>
  <si>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</si>
  <si>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</si>
  <si>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</si>
  <si>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</si>
  <si>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</si>
  <si>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</si>
  <si>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</si>
  <si>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</si>
  <si>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</si>
  <si>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</si>
  <si>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</si>
  <si>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</si>
  <si>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</si>
  <si>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dms_Model</t>
  </si>
  <si>
    <t>Drop down selection</t>
  </si>
  <si>
    <t>EB/CA Unit of Measure for Monetary Values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</si>
  <si>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</si>
  <si>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</si>
  <si>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</si>
  <si>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</si>
  <si>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</si>
  <si>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</si>
  <si>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</si>
  <si>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</si>
  <si>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FORECAST and MultiYear RINS</t>
  </si>
  <si>
    <t>CRY-1  (last full calendar year before CRY)</t>
  </si>
  <si>
    <t>dms_Cal_Year_B4_CRY</t>
  </si>
  <si>
    <t>'=IF(dms_RPT="financial",VALUE(LEFT(dms_SingleYear_FinalYear_Result,4)),VALUE(LEFT(dms_SingleYear_FinalYear_Result,4)-1))</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</si>
  <si>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</si>
  <si>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</si>
  <si>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</si>
  <si>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</si>
  <si>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</si>
  <si>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</si>
  <si>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Dollar $ real previous year (PRCP_y5)</t>
  </si>
  <si>
    <t>dms_DollarReal_Prev</t>
  </si>
  <si>
    <t>=IF(SUM(dms_SingleYear_Model)&gt;0,CONCATENATE(dms_RPTMonth)&amp;" "&amp;VALUE(((LEFT(CRY,2))&amp;RIGHT(CRY,2))-1),CONCATENATE(dms_RPTMonth)&amp;" "&amp;VALUE(((LEFT(dms_CRCP_FirstYear_Result,2)&amp;RIGHT(dms_CRCP_FirstYear_Result,2))))-1)</t>
  </si>
  <si>
    <t>This block works out the various RYE's for ALL RIN types and MODELS</t>
  </si>
  <si>
    <t>Single Year Model T/F</t>
  </si>
  <si>
    <t>dms_EB</t>
  </si>
  <si>
    <t>dms_CA</t>
  </si>
  <si>
    <t>=dms_SingleYear_Model</t>
  </si>
  <si>
    <t>dms_ARR</t>
  </si>
  <si>
    <t>Is this a single Year RIN?</t>
  </si>
  <si>
    <t>=IF(SUM(dms_SingleYear_Model)=1,"yes","no")</t>
  </si>
  <si>
    <t>Single Year Final Year Reference</t>
  </si>
  <si>
    <t>dms_SingleYear_FinalYear_Ref</t>
  </si>
  <si>
    <t>This is the reference for EB, CA &amp; ARR RINs</t>
  </si>
  <si>
    <t>Single Year Final Year Result</t>
  </si>
  <si>
    <t>dms_SingleYear_FinalYear_Result</t>
  </si>
  <si>
    <t>=IFERROR(IF(SUM(dms_SingleYear_Model)&lt;&gt;0,(INDIRECT(dms_SingleYear_FinalYear_Ref)),"not a single year RIN"),"CRY not present")</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</si>
  <si>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</si>
  <si>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</si>
  <si>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</si>
  <si>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</si>
  <si>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</si>
  <si>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</si>
  <si>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</si>
  <si>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</si>
  <si>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</si>
  <si>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Formula errors OK</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</si>
  <si>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</si>
  <si>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</si>
  <si>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</si>
  <si>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</si>
  <si>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</si>
  <si>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</si>
  <si>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</si>
  <si>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</si>
  <si>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</si>
  <si>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</si>
  <si>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</si>
  <si>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</si>
  <si>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PTRM/ RFMs</t>
  </si>
  <si>
    <t>Form of control</t>
  </si>
  <si>
    <t>dms_FormControl</t>
  </si>
  <si>
    <t>=INDEX(dms_FormControl_List,MATCH(dms_TradingName,dms_TradingName_List))</t>
  </si>
  <si>
    <t>ABC RINS THAT SPAN MULTIPLE YEARS</t>
  </si>
  <si>
    <t>Is this a multi year ABC RIN?</t>
  </si>
  <si>
    <t>Multiyear EB, CA or ARR?</t>
  </si>
  <si>
    <t>dms_MultiYear_Flag</t>
  </si>
  <si>
    <t>This is set from the answer provided above</t>
  </si>
  <si>
    <t>dms_Specified_FinalYear</t>
  </si>
  <si>
    <t>The result here is returned to dms_CRCP_FinalYear_Result if response to Q in C73 is "yes" and dms_MultiYear_Flag is set to 1</t>
  </si>
  <si>
    <t xml:space="preserve"> Start year for 5.2 in Multi year RINS</t>
  </si>
  <si>
    <t>dms_0502_Inst_Year</t>
  </si>
  <si>
    <t>=IF(dms_MultiYear_Flag=1,FRY,CRY)</t>
  </si>
  <si>
    <t>For single year RINS this is CRY - multi year RINS need to start a the end of the span of years (ie. FRY)</t>
  </si>
  <si>
    <t>EB RINS</t>
  </si>
  <si>
    <t>Calendar Year for table 3.6 data</t>
  </si>
  <si>
    <t>dms_0306_Year</t>
  </si>
  <si>
    <t>=IF(dms_RPT="financial",VALUE(LEFT(dms_SingleYear_FinalYear_Result,4)),VALUE(LEFT(dms_SingleYear_FinalYear_Result,4)-1))</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</si>
  <si>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</si>
  <si>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</si>
  <si>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</si>
  <si>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</si>
  <si>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</si>
  <si>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</si>
  <si>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</si>
  <si>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</si>
  <si>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</si>
  <si>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</si>
  <si>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</si>
  <si>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</si>
  <si>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</si>
  <si>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</si>
  <si>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</si>
  <si>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</si>
  <si>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</si>
  <si>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</si>
  <si>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</si>
  <si>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rgb="FF808080"/>
        <rFont val="Arial"/>
        <family val="2"/>
      </rPr>
      <t>dms_LeapYear</t>
    </r>
    <r>
      <rPr>
        <i/>
        <sz val="10"/>
        <color rgb="FF808080"/>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</si>
  <si>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</si>
  <si>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</si>
  <si>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</si>
  <si>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</si>
  <si>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</si>
  <si>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</si>
  <si>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</si>
  <si>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</si>
  <si>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</si>
  <si>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</si>
  <si>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</si>
  <si>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</si>
  <si>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</si>
  <si>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</si>
  <si>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</si>
  <si>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</si>
  <si>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</si>
  <si>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</si>
  <si>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</si>
  <si>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</si>
  <si>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</si>
  <si>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</si>
  <si>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</si>
  <si>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</si>
  <si>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rgb="FF254061"/>
        <rFont val="Arial"/>
        <family val="2"/>
      </rPr>
      <t xml:space="preserve"> 060101</t>
    </r>
    <r>
      <rPr>
        <sz val="10"/>
        <color rgb="FF254061"/>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</si>
  <si>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</si>
  <si>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</si>
  <si>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</si>
  <si>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</si>
  <si>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</si>
  <si>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</si>
  <si>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</si>
  <si>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</si>
  <si>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rgb="FF808080"/>
        <rFont val="Arial"/>
        <family val="2"/>
      </rPr>
      <t>is only found on worksheet 6.8 and is used to determine the starting date for the date range</t>
    </r>
  </si>
  <si>
    <t>Is dms_060801_StartCell named range present?</t>
  </si>
  <si>
    <t>yes</t>
  </si>
  <si>
    <t>=IFERROR(IF((ROW(dms_060801_StartCell)-1)=1,"yes","yes"),"no")</t>
  </si>
  <si>
    <t>Table 6.8 - Number of offset rows</t>
  </si>
  <si>
    <t>dms_0608_OffsetRows</t>
  </si>
  <si>
    <t>=IFERROR(IF(dms_Model="ARR",(ROW(dms_060801_StartCell)-1),"not an ARR"),"6.8 error")</t>
  </si>
  <si>
    <t>Table 6.8 - Last row</t>
  </si>
  <si>
    <t>6.8 not present</t>
  </si>
  <si>
    <t>dms_0608_LastRow</t>
  </si>
  <si>
    <t>=IFERROR(IF(dms_060801_StartCell&lt;&gt;"",IF(dms_Model="ARR",(LOOKUP(2,1/(dms_060801_01_Values&lt;&gt;""),(ROW(dms_060801_01_Values)))),"not an ARR"),0),"6.8 not present")</t>
  </si>
  <si>
    <t>Table 6.8 - MaxRows</t>
  </si>
  <si>
    <t>dms_060801_MaxRows</t>
  </si>
  <si>
    <t>=IFERROR(IF(dms_Model="ARR",(MAX(0,dms_0608_LastRow-dms_0608_OffsetRows)),"not an ARR"),"6.8 not present")</t>
  </si>
  <si>
    <t>TNSP RESET RINS</t>
  </si>
  <si>
    <t>Table 7.9.4 only appears in TNSPs Reset RIN</t>
  </si>
  <si>
    <t>Table 7.9.4 - first year</t>
  </si>
  <si>
    <t>dms_070904_Start_Year</t>
  </si>
  <si>
    <t>=LEFT(PRCP_y3,4)</t>
  </si>
  <si>
    <t>SUBSET FILES</t>
  </si>
  <si>
    <t>Is this Submission File a Subset File</t>
  </si>
  <si>
    <t>dms_Partial</t>
  </si>
  <si>
    <t>MISC</t>
  </si>
  <si>
    <t>Distribution Determination Reference</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</si>
  <si>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</si>
  <si>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</si>
  <si>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</si>
  <si>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</si>
  <si>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</si>
  <si>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</si>
  <si>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</si>
  <si>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</si>
  <si>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</si>
  <si>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</si>
  <si>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</si>
  <si>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</si>
  <si>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</si>
  <si>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</si>
  <si>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</si>
  <si>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</si>
  <si>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</si>
  <si>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</si>
  <si>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</si>
  <si>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USES NAMED RANGES FLAG</t>
  </si>
  <si>
    <t>dms_Defined_Names_Used</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</si>
  <si>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</si>
  <si>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</si>
  <si>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</si>
  <si>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</si>
  <si>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</si>
  <si>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</si>
  <si>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</si>
  <si>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</si>
  <si>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</si>
  <si>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</si>
  <si>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</si>
  <si>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</si>
  <si>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</si>
  <si>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</si>
  <si>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EFFICIENCY CARRYOVER MECHANISM</t>
  </si>
  <si>
    <t>Intstructions</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</si>
  <si>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rgb="FF000000"/>
        <rFont val="Arial"/>
        <family val="2"/>
      </rPr>
      <t>n</t>
    </r>
    <r>
      <rPr>
        <sz val="12"/>
        <color rgb="FF000000"/>
        <rFont val="Arial"/>
        <family val="2"/>
      </rPr>
      <t xml:space="preserve"> = (F</t>
    </r>
    <r>
      <rPr>
        <vertAlign val="subscript"/>
        <sz val="14"/>
        <color rgb="FF000000"/>
        <rFont val="Arial"/>
        <family val="2"/>
      </rPr>
      <t>n</t>
    </r>
    <r>
      <rPr>
        <sz val="12"/>
        <color rgb="FF000000"/>
        <rFont val="Arial"/>
        <family val="2"/>
      </rPr>
      <t xml:space="preserve"> – A</t>
    </r>
    <r>
      <rPr>
        <vertAlign val="subscript"/>
        <sz val="14"/>
        <color rgb="FF000000"/>
        <rFont val="Arial"/>
        <family val="2"/>
      </rPr>
      <t>n</t>
    </r>
    <r>
      <rPr>
        <sz val="12"/>
        <color rgb="FF000000"/>
        <rFont val="Arial"/>
        <family val="2"/>
      </rPr>
      <t>) – (F</t>
    </r>
    <r>
      <rPr>
        <vertAlign val="subscript"/>
        <sz val="14"/>
        <color rgb="FF000000"/>
        <rFont val="Arial"/>
        <family val="2"/>
      </rPr>
      <t>n-1</t>
    </r>
    <r>
      <rPr>
        <sz val="12"/>
        <color rgb="FF000000"/>
        <rFont val="Arial"/>
        <family val="2"/>
      </rPr>
      <t xml:space="preserve"> – A</t>
    </r>
    <r>
      <rPr>
        <vertAlign val="subscript"/>
        <sz val="14"/>
        <color rgb="FF000000"/>
        <rFont val="Arial"/>
        <family val="2"/>
      </rPr>
      <t>n-1</t>
    </r>
    <r>
      <rPr>
        <sz val="12"/>
        <color rgb="FF000000"/>
        <rFont val="Arial"/>
        <family val="2"/>
      </rPr>
      <t>) + (F</t>
    </r>
    <r>
      <rPr>
        <vertAlign val="subscript"/>
        <sz val="14"/>
        <color rgb="FF000000"/>
        <rFont val="Arial"/>
        <family val="2"/>
      </rPr>
      <t>b</t>
    </r>
    <r>
      <rPr>
        <sz val="12"/>
        <color rgb="FF000000"/>
        <rFont val="Arial"/>
        <family val="2"/>
      </rPr>
      <t xml:space="preserve"> – A</t>
    </r>
    <r>
      <rPr>
        <vertAlign val="subscript"/>
        <sz val="14"/>
        <color rgb="FF000000"/>
        <rFont val="Arial"/>
        <family val="2"/>
      </rPr>
      <t>b</t>
    </r>
    <r>
      <rPr>
        <sz val="12"/>
        <color rgb="FF000000"/>
        <rFont val="Arial"/>
        <family val="2"/>
      </rPr>
      <t>)
where F</t>
    </r>
    <r>
      <rPr>
        <vertAlign val="subscript"/>
        <sz val="14"/>
        <color rgb="FF000000"/>
        <rFont val="Arial"/>
        <family val="2"/>
      </rPr>
      <t>n</t>
    </r>
    <r>
      <rPr>
        <sz val="12"/>
        <color rgb="FF000000"/>
        <rFont val="Arial"/>
        <family val="2"/>
      </rPr>
      <t xml:space="preserve"> is the forecast opex we approved for the first year, and A</t>
    </r>
    <r>
      <rPr>
        <vertAlign val="subscript"/>
        <sz val="14"/>
        <color rgb="FF000000"/>
        <rFont val="Arial"/>
        <family val="2"/>
      </rPr>
      <t>n</t>
    </r>
    <r>
      <rPr>
        <sz val="12"/>
        <color rgb="FF000000"/>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</si>
  <si>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Actual and estimated inflation</t>
  </si>
  <si>
    <t>Estimated</t>
  </si>
  <si>
    <t>ABS CPI index - June (rebased)</t>
  </si>
  <si>
    <t xml:space="preserve">Inflation rate (per cent) </t>
  </si>
  <si>
    <t>1.51%</t>
  </si>
  <si>
    <t>7.5.1 -  The carryover amounts that arise from applying the ECM during the current regulatory control period</t>
  </si>
  <si>
    <r>
      <t xml:space="preserve">Base year for the previous period </t>
    </r>
    <r>
      <rPr>
        <b/>
        <sz val="9"/>
        <color rgb="FFFF0000"/>
        <rFont val="Calibri"/>
        <family val="2"/>
      </rPr>
      <t>(drop down menu)</t>
    </r>
  </si>
  <si>
    <t>7.5.1.1 - Opex allowance applicable to ECM (ECM target)</t>
  </si>
  <si>
    <t>Previous period</t>
  </si>
  <si>
    <t>Total opex allowance</t>
  </si>
  <si>
    <t xml:space="preserve">Approved excludable costs - allowance </t>
  </si>
  <si>
    <t>Debt raising costs</t>
  </si>
  <si>
    <t>Any cost category that is not forecast using a single year revealed cost approach for the 2021-26 access arrangement period (clause 5.1(h)(i))</t>
  </si>
  <si>
    <t>Approved pass through event costs (clause 5.1(i))</t>
  </si>
  <si>
    <t>Capitalisation policy changes (clause 5.1(j))</t>
  </si>
  <si>
    <t>Forecast opex for ECM purposes</t>
  </si>
  <si>
    <t>7.5.1.2 - Actual and estimated opex applicable to ECM</t>
  </si>
  <si>
    <t xml:space="preserve">$m, Actual </t>
  </si>
  <si>
    <t xml:space="preserve">Total opex </t>
  </si>
  <si>
    <t>Approved excludable costs</t>
  </si>
  <si>
    <t>Movements in provisions related to opex</t>
  </si>
  <si>
    <t>Actual opex for ECM purposes</t>
  </si>
  <si>
    <t>Base year non-recurrent efficiency gain ($m)</t>
  </si>
  <si>
    <t>Carryover</t>
  </si>
  <si>
    <t>Total</t>
  </si>
  <si>
    <t>7.5.2 - Proposed forecast opex for the ECM for the forthcoming regulatory control period</t>
  </si>
  <si>
    <t>Forecast opex</t>
  </si>
  <si>
    <t>Less excluded costs</t>
  </si>
  <si>
    <t>UAG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</si>
</sst>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 ####"/>
    <numFmt numFmtId="165" formatCode="0.0"/>
    <numFmt numFmtId="166" formatCode="_(* #,##0.00_);_(* \(#,##0.00\);_(* &quot;-&quot;??_);_(@_)"/>
    <numFmt numFmtId="167" formatCode="_-* #,##0_-;\-* #,##0_-;_-* &quot;-&quot;??_-;_-@_-"/>
    <numFmt numFmtId="168" formatCode="#,##0_ ;\(#,##0\)_ "/>
    <numFmt numFmtId="169" formatCode="#,##0.0_ ;\-#,##0.0\ "/>
    <numFmt numFmtId="170" formatCode="##\ ###\ ###\ ###\ ##0"/>
    <numFmt numFmtId="171" formatCode="0###"/>
    <numFmt numFmtId="172" formatCode="#,##0.00000"/>
    <numFmt numFmtId="173" formatCode="#,##0.0000"/>
    <numFmt numFmtId="174" formatCode="#,##0;\(#,##0\)"/>
    <numFmt numFmtId="175" formatCode="_-* #,##0.0000_-;\-* #,##0.0000_-;_-* &quot;-&quot;??_-;_-@_-"/>
    <numFmt numFmtId="176" formatCode="0.0000"/>
    <numFmt numFmtId="177" formatCode="_-* #,##0.0_-;\-* #,##0.0_-;_-* &quot;-&quot;??_-;_-@_-"/>
  </numFmts>
  <fonts count="79" x14ac:knownFonts="1">
    <font>
      <sz val="11"/>
      <color rgb="FF000000"/>
      <name val="Calibri"/>
      <scheme val="minor"/>
    </font>
    <font>
      <sz val="10"/>
      <color rgb="FF000000"/>
      <name val="Arial"/>
      <family val="2"/>
    </font>
    <font>
      <sz val="11"/>
      <color rgb="FF000000"/>
      <name val="Arial"/>
      <family val="2"/>
    </font>
    <font>
      <b/>
      <sz val="10"/>
      <color rgb="FF000000"/>
      <name val="Arial"/>
      <family val="2"/>
    </font>
    <font>
      <b/>
      <sz val="11"/>
      <color rgb="FF000000"/>
      <name val="Arial"/>
      <family val="2"/>
    </font>
    <font>
      <sz val="9"/>
      <color rgb="FF000000"/>
      <name val="Arial"/>
      <family val="2"/>
    </font>
    <font>
      <b/>
      <sz val="11"/>
      <color rgb="FFFF0000"/>
      <name val="Arial"/>
      <family val="2"/>
    </font>
    <font>
      <sz val="10"/>
      <color rgb="FF808080"/>
      <name val="Arial"/>
      <family val="2"/>
    </font>
    <font>
      <sz val="9"/>
      <color rgb="FF808080"/>
      <name val="Arial"/>
      <family val="2"/>
    </font>
    <font>
      <b/>
      <sz val="10"/>
      <color rgb="FFFF0000"/>
      <name val="Arial"/>
      <family val="2"/>
    </font>
    <font>
      <b/>
      <sz val="16"/>
      <color rgb="FFFFFFFF"/>
      <name val="Arial"/>
      <family val="2"/>
    </font>
    <font>
      <b/>
      <sz val="16"/>
      <color rgb="FF000000"/>
      <name val="Arial"/>
      <family val="2"/>
    </font>
    <font>
      <b/>
      <sz val="12"/>
      <color rgb="FFFFFFFF"/>
      <name val="Arial"/>
      <family val="2"/>
    </font>
    <font>
      <sz val="10"/>
      <color rgb="FFFFFFFF"/>
      <name val="Arial"/>
      <family val="2"/>
    </font>
    <font>
      <b/>
      <sz val="12"/>
      <color rgb="FFFF0000"/>
      <name val="Calibri"/>
      <family val="2"/>
      <scheme val="minor"/>
    </font>
    <font>
      <b/>
      <sz val="10"/>
      <color rgb="FF262626"/>
      <name val="Arial"/>
      <family val="2"/>
    </font>
    <font>
      <sz val="11"/>
      <color rgb="FF953735"/>
      <name val="Arial"/>
      <family val="2"/>
    </font>
    <font>
      <sz val="10"/>
      <color rgb="FF953735"/>
      <name val="Arial"/>
      <family val="2"/>
    </font>
    <font>
      <b/>
      <sz val="12"/>
      <color rgb="FF000000"/>
      <name val="Arial"/>
      <family val="2"/>
    </font>
    <font>
      <b/>
      <sz val="14"/>
      <color rgb="FFFFFFFF"/>
      <name val="Calibri"/>
      <family val="2"/>
      <scheme val="minor"/>
    </font>
    <font>
      <sz val="14"/>
      <color rgb="FF000000"/>
      <name val="Calibri"/>
      <family val="2"/>
      <scheme val="minor"/>
    </font>
    <font>
      <b/>
      <sz val="12"/>
      <color rgb="FF000000"/>
      <name val="Calibri"/>
      <family val="2"/>
    </font>
    <font>
      <sz val="12"/>
      <color rgb="FF000000"/>
      <name val="Calibri"/>
      <family val="2"/>
      <scheme val="minor"/>
    </font>
    <font>
      <i/>
      <sz val="10"/>
      <color rgb="FF000000"/>
      <name val="Arial"/>
      <family val="2"/>
    </font>
    <font>
      <i/>
      <sz val="11"/>
      <color rgb="FF000000"/>
      <name val="Arial"/>
      <family val="2"/>
    </font>
    <font>
      <b/>
      <sz val="14"/>
      <color rgb="FF000000"/>
      <name val="Arial"/>
      <family val="2"/>
    </font>
    <font>
      <b/>
      <sz val="11"/>
      <color rgb="FF000000"/>
      <name val="Calibri"/>
      <family val="2"/>
      <scheme val="minor"/>
    </font>
    <font>
      <b/>
      <sz val="10"/>
      <color rgb="FFFFFFFF"/>
      <name val="Arial"/>
      <family val="2"/>
    </font>
    <font>
      <vertAlign val="superscript"/>
      <sz val="5"/>
      <color rgb="FF000000"/>
      <name val="Arial"/>
      <family val="2"/>
    </font>
    <font>
      <sz val="11"/>
      <color rgb="FFFF0000"/>
      <name val="Calibri"/>
      <family val="2"/>
      <scheme val="minor"/>
    </font>
    <font>
      <b/>
      <sz val="14"/>
      <color rgb="FFFFFFFF"/>
      <name val="Arial"/>
      <family val="2"/>
    </font>
    <font>
      <b/>
      <sz val="11"/>
      <color rgb="FFFFFFFF"/>
      <name val="Arial"/>
      <family val="2"/>
    </font>
    <font>
      <sz val="5"/>
      <color rgb="FF000000"/>
      <name val="Arial"/>
      <family val="2"/>
    </font>
    <font>
      <sz val="10"/>
      <color rgb="FFFF0000"/>
      <name val="Arial"/>
      <family val="2"/>
    </font>
    <font>
      <sz val="10"/>
      <color rgb="FFB8CCE4"/>
      <name val="Arial"/>
      <family val="2"/>
    </font>
    <font>
      <sz val="12"/>
      <color rgb="FF000000"/>
      <name val="Arial"/>
      <family val="2"/>
    </font>
    <font>
      <b/>
      <sz val="12"/>
      <color rgb="FF000000"/>
      <name val="Calibri"/>
      <family val="2"/>
      <scheme val="minor"/>
    </font>
    <font>
      <sz val="11"/>
      <color rgb="FF376093"/>
      <name val="Calibri"/>
      <family val="2"/>
      <scheme val="minor"/>
    </font>
    <font>
      <sz val="11"/>
      <color rgb="FF31869B"/>
      <name val="Arial"/>
      <family val="2"/>
    </font>
    <font>
      <sz val="10"/>
      <color rgb="FF5F497A"/>
      <name val="Arial"/>
      <family val="2"/>
    </font>
    <font>
      <sz val="11"/>
      <color rgb="FFA6A6A6"/>
      <name val="Arial"/>
      <family val="2"/>
    </font>
    <font>
      <sz val="11"/>
      <color rgb="FF000000"/>
      <name val="Calibri"/>
      <family val="2"/>
    </font>
    <font>
      <sz val="10"/>
      <color rgb="FFA6A6A6"/>
      <name val="Arial"/>
      <family val="2"/>
    </font>
    <font>
      <strike/>
      <sz val="11"/>
      <color rgb="FF000000"/>
      <name val="Arial"/>
      <family val="2"/>
    </font>
    <font>
      <strike/>
      <sz val="11"/>
      <color rgb="FF000000"/>
      <name val="Calibri"/>
      <family val="2"/>
      <scheme val="minor"/>
    </font>
    <font>
      <strike/>
      <sz val="10"/>
      <color rgb="FF000000"/>
      <name val="Arial"/>
      <family val="2"/>
    </font>
    <font>
      <sz val="11"/>
      <color rgb="FF4F81BD"/>
      <name val="Calibri"/>
      <family val="2"/>
      <scheme val="minor"/>
    </font>
    <font>
      <sz val="10"/>
      <color rgb="FF4F81BD"/>
      <name val="Arial"/>
      <family val="2"/>
    </font>
    <font>
      <sz val="11"/>
      <color rgb="FF0070C0"/>
      <name val="Calibri"/>
      <family val="2"/>
      <scheme val="minor"/>
    </font>
    <font>
      <sz val="10"/>
      <color rgb="FF0070C0"/>
      <name val="Arial"/>
      <family val="2"/>
    </font>
    <font>
      <i/>
      <sz val="10"/>
      <color rgb="FFFF0000"/>
      <name val="Arial"/>
      <family val="2"/>
    </font>
    <font>
      <b/>
      <i/>
      <sz val="10"/>
      <color rgb="FF000000"/>
      <name val="Arial"/>
      <family val="2"/>
    </font>
    <font>
      <b/>
      <i/>
      <sz val="11"/>
      <color rgb="FF000000"/>
      <name val="Calibri"/>
      <family val="2"/>
      <scheme val="minor"/>
    </font>
    <font>
      <sz val="16"/>
      <color rgb="FFFFCC00"/>
      <name val="Arial"/>
      <family val="2"/>
    </font>
    <font>
      <sz val="10"/>
      <color rgb="FFFFCC00"/>
      <name val="Arial"/>
      <family val="2"/>
    </font>
    <font>
      <b/>
      <sz val="10"/>
      <color rgb="FFF2F2F2"/>
      <name val="Arial"/>
      <family val="2"/>
    </font>
    <font>
      <b/>
      <i/>
      <sz val="12"/>
      <color rgb="FFFFFFFF"/>
      <name val="Arial"/>
      <family val="2"/>
    </font>
    <font>
      <b/>
      <sz val="10"/>
      <color rgb="FFFFCC00"/>
      <name val="Arial"/>
      <family val="2"/>
    </font>
    <font>
      <sz val="10"/>
      <color rgb="FF366092"/>
      <name val="Arial"/>
      <family val="2"/>
    </font>
    <font>
      <sz val="10"/>
      <color rgb="FF254061"/>
      <name val="Arial"/>
      <family val="2"/>
    </font>
    <font>
      <sz val="11"/>
      <color rgb="FFFF0000"/>
      <name val="Arial"/>
      <family val="2"/>
    </font>
    <font>
      <sz val="11"/>
      <color rgb="FF376093"/>
      <name val="Arial"/>
      <family val="2"/>
    </font>
    <font>
      <i/>
      <sz val="10"/>
      <color rgb="FF376093"/>
      <name val="Arial"/>
      <family val="2"/>
    </font>
    <font>
      <sz val="10"/>
      <color rgb="FF376093"/>
      <name val="Arial"/>
      <family val="2"/>
    </font>
    <font>
      <i/>
      <sz val="10"/>
      <color rgb="FF808080"/>
      <name val="Arial"/>
      <family val="2"/>
    </font>
    <font>
      <i/>
      <sz val="10"/>
      <color rgb="FF254061"/>
      <name val="Arial"/>
      <family val="2"/>
    </font>
    <font>
      <b/>
      <sz val="10"/>
      <color rgb="FF808080"/>
      <name val="Arial"/>
      <family val="2"/>
    </font>
    <font>
      <sz val="16"/>
      <color rgb="FFFF0000"/>
      <name val="Arial"/>
      <family val="2"/>
    </font>
    <font>
      <sz val="14"/>
      <color rgb="FFFF0000"/>
      <name val="Arial"/>
      <family val="2"/>
    </font>
    <font>
      <b/>
      <sz val="11"/>
      <color rgb="FFFF0000"/>
      <name val="Calibri"/>
      <family val="2"/>
      <scheme val="minor"/>
    </font>
    <font>
      <b/>
      <sz val="9"/>
      <color rgb="FFFF0000"/>
      <name val="Arial"/>
      <family val="2"/>
    </font>
    <font>
      <b/>
      <sz val="16"/>
      <color rgb="FFF2F2F2"/>
      <name val="Arial"/>
      <family val="2"/>
    </font>
    <font>
      <b/>
      <u/>
      <sz val="11"/>
      <color rgb="FF000000"/>
      <name val="Arial"/>
      <family val="2"/>
    </font>
    <font>
      <b/>
      <i/>
      <sz val="11"/>
      <color rgb="FF000000"/>
      <name val="Arial"/>
      <family val="2"/>
    </font>
    <font>
      <i/>
      <u/>
      <sz val="10"/>
      <color rgb="FF808080"/>
      <name val="Arial"/>
      <family val="2"/>
    </font>
    <font>
      <vertAlign val="subscript"/>
      <sz val="14"/>
      <color rgb="FF000000"/>
      <name val="Arial"/>
      <family val="2"/>
    </font>
    <font>
      <b/>
      <sz val="9"/>
      <color rgb="FFFF0000"/>
      <name val="Calibri"/>
      <family val="2"/>
    </font>
    <font>
      <b/>
      <sz val="9"/>
      <color rgb="FF000000"/>
      <name val="Tahoma"/>
      <family val="2"/>
    </font>
    <font>
      <sz val="9"/>
      <color rgb="FF000000"/>
      <name val="Tahoma"/>
      <family val="2"/>
    </font>
  </fonts>
  <fills count="50">
    <fill>
      <patternFill patternType="none"/>
    </fill>
    <fill>
      <patternFill patternType="gray125"/>
    </fill>
    <fill>
      <patternFill patternType="solid">
        <fgColor rgb="FFFFFFFF"/>
        <bgColor rgb="FFFFFFFF"/>
      </patternFill>
    </fill>
    <fill>
      <patternFill patternType="solid">
        <fgColor rgb="FFC3D69B"/>
        <bgColor rgb="FFFFFFFF"/>
      </patternFill>
    </fill>
    <fill>
      <patternFill patternType="solid">
        <fgColor rgb="FFD9D9D9"/>
        <bgColor rgb="FFFFFFFF"/>
      </patternFill>
    </fill>
    <fill>
      <patternFill patternType="solid">
        <fgColor rgb="FF93CEDD"/>
        <bgColor rgb="FFFFFFFF"/>
      </patternFill>
    </fill>
    <fill>
      <patternFill patternType="solid">
        <fgColor rgb="FFEBF1DE"/>
        <bgColor rgb="FFFFFFFF"/>
      </patternFill>
    </fill>
    <fill>
      <patternFill patternType="solid">
        <fgColor rgb="FFDAEEF3"/>
        <bgColor rgb="FF000000"/>
      </patternFill>
    </fill>
    <fill>
      <patternFill patternType="solid">
        <fgColor rgb="FFDBE5F2"/>
        <bgColor rgb="FFFFFFFF"/>
      </patternFill>
    </fill>
    <fill>
      <patternFill patternType="solid">
        <fgColor rgb="FF000000"/>
        <bgColor rgb="FFFFFFFF"/>
      </patternFill>
    </fill>
    <fill>
      <patternFill patternType="solid">
        <fgColor rgb="FFB8CCE4"/>
        <bgColor rgb="FF000000"/>
      </patternFill>
    </fill>
    <fill>
      <patternFill patternType="solid">
        <fgColor rgb="FFFABF8F"/>
        <bgColor rgb="FF000000"/>
      </patternFill>
    </fill>
    <fill>
      <patternFill patternType="solid">
        <fgColor rgb="FFDDD9C3"/>
        <bgColor rgb="FFFFFFFF"/>
      </patternFill>
    </fill>
    <fill>
      <patternFill patternType="solid">
        <fgColor rgb="FFC4BE98"/>
        <bgColor rgb="FFFFFFFF"/>
      </patternFill>
    </fill>
    <fill>
      <patternFill patternType="solid">
        <fgColor rgb="FFFDEADA"/>
        <bgColor rgb="FFFFFFFF"/>
      </patternFill>
    </fill>
    <fill>
      <patternFill patternType="solid">
        <fgColor rgb="FFFCD5B4"/>
        <bgColor rgb="FF000000"/>
      </patternFill>
    </fill>
    <fill>
      <patternFill patternType="solid">
        <fgColor rgb="FFFFFFFF"/>
        <bgColor rgb="FF000000"/>
      </patternFill>
    </fill>
    <fill>
      <patternFill patternType="solid">
        <fgColor rgb="FFC3D69B"/>
        <bgColor rgb="FF000000"/>
      </patternFill>
    </fill>
    <fill>
      <patternFill patternType="solid">
        <fgColor rgb="FFCCC1DA"/>
        <bgColor rgb="FF000000"/>
      </patternFill>
    </fill>
    <fill>
      <patternFill patternType="solid">
        <fgColor rgb="FFEBF1DE"/>
        <bgColor rgb="FF000000"/>
      </patternFill>
    </fill>
    <fill>
      <patternFill patternType="solid">
        <fgColor rgb="FFE4DFEC"/>
        <bgColor rgb="FF000000"/>
      </patternFill>
    </fill>
    <fill>
      <patternFill patternType="solid">
        <fgColor rgb="FFCCC0DA"/>
        <bgColor rgb="FF000000"/>
      </patternFill>
    </fill>
    <fill>
      <patternFill patternType="solid">
        <fgColor rgb="FFE6E0ED"/>
        <bgColor rgb="FF000000"/>
      </patternFill>
    </fill>
    <fill>
      <patternFill patternType="solid">
        <fgColor rgb="FFD9D9D9"/>
        <bgColor rgb="FF000000"/>
      </patternFill>
    </fill>
    <fill>
      <patternFill patternType="solid">
        <fgColor rgb="FFA6A6A6"/>
        <bgColor rgb="FFFFFFFF"/>
      </patternFill>
    </fill>
    <fill>
      <patternFill patternType="solid">
        <fgColor rgb="FFC0C0C0"/>
        <bgColor rgb="FFFFFFFF"/>
      </patternFill>
    </fill>
    <fill>
      <patternFill patternType="solid">
        <fgColor rgb="FFBFBFBF"/>
        <bgColor rgb="FFFFFFFF"/>
      </patternFill>
    </fill>
    <fill>
      <patternFill patternType="solid">
        <fgColor rgb="FFFFFFCC"/>
        <bgColor rgb="FFFFFFFF"/>
      </patternFill>
    </fill>
    <fill>
      <patternFill patternType="solid">
        <fgColor rgb="FFFFFFCC"/>
        <bgColor rgb="FF000000"/>
      </patternFill>
    </fill>
    <fill>
      <patternFill patternType="solid">
        <fgColor rgb="FFB8CCE4"/>
        <bgColor rgb="FFFFFFFF"/>
      </patternFill>
    </fill>
    <fill>
      <patternFill patternType="solid">
        <fgColor rgb="FFCCC1DA"/>
        <bgColor rgb="FFFFFFFF"/>
      </patternFill>
    </fill>
    <fill>
      <patternFill patternType="solid">
        <fgColor rgb="FF808080"/>
        <bgColor rgb="FFFFFFFF"/>
      </patternFill>
    </fill>
    <fill>
      <patternFill patternType="solid">
        <fgColor rgb="FFE6E0ED"/>
        <bgColor rgb="FFFFFFFF"/>
      </patternFill>
    </fill>
    <fill>
      <patternFill patternType="solid">
        <fgColor rgb="FF96B3D8"/>
        <bgColor rgb="FFFFFFFF"/>
      </patternFill>
    </fill>
    <fill>
      <patternFill patternType="solid">
        <fgColor rgb="FF8DB4E3"/>
        <bgColor rgb="FFFFFFFF"/>
      </patternFill>
    </fill>
    <fill>
      <patternFill patternType="solid">
        <fgColor rgb="FF404040"/>
        <bgColor rgb="FFFFFFFF"/>
      </patternFill>
    </fill>
    <fill>
      <patternFill patternType="solid">
        <fgColor rgb="FFCCCCFF"/>
        <bgColor rgb="FFFFFFFF"/>
      </patternFill>
    </fill>
    <fill>
      <patternFill patternType="solid">
        <fgColor rgb="FFF2DBDB"/>
        <bgColor rgb="FFFFFFFF"/>
      </patternFill>
    </fill>
    <fill>
      <patternFill patternType="solid">
        <fgColor rgb="FFFCD5B6"/>
        <bgColor rgb="FFFFFFFF"/>
      </patternFill>
    </fill>
    <fill>
      <patternFill patternType="solid">
        <fgColor rgb="FF948A54"/>
        <bgColor rgb="FFFFFFFF"/>
      </patternFill>
    </fill>
    <fill>
      <patternFill patternType="solid">
        <fgColor rgb="FFD7E4BD"/>
        <bgColor rgb="FFFFFFFF"/>
      </patternFill>
    </fill>
    <fill>
      <patternFill patternType="solid">
        <fgColor rgb="FFB6DEE8"/>
        <bgColor rgb="FFFFFFFF"/>
      </patternFill>
    </fill>
    <fill>
      <patternFill patternType="solid">
        <fgColor rgb="FFDBE5F2"/>
        <bgColor rgb="FFDBE5F2"/>
      </patternFill>
    </fill>
    <fill>
      <patternFill patternType="solid">
        <fgColor rgb="FFE6B9B8"/>
        <bgColor rgb="FFFFFFFF"/>
      </patternFill>
    </fill>
    <fill>
      <patternFill patternType="solid">
        <fgColor rgb="FF254061"/>
        <bgColor rgb="FFFFFFFF"/>
      </patternFill>
    </fill>
    <fill>
      <patternFill patternType="solid">
        <fgColor rgb="FFA6A6A6"/>
        <bgColor rgb="FF000000"/>
      </patternFill>
    </fill>
    <fill>
      <patternFill patternType="solid">
        <fgColor rgb="FF254061"/>
        <bgColor rgb="FF000000"/>
      </patternFill>
    </fill>
    <fill>
      <patternFill patternType="solid">
        <fgColor rgb="FFBFBFBF"/>
        <bgColor rgb="FF000000"/>
      </patternFill>
    </fill>
    <fill>
      <patternFill patternType="solid">
        <fgColor rgb="FFDBEFF4"/>
        <bgColor rgb="FFFFFFFF"/>
      </patternFill>
    </fill>
    <fill>
      <patternFill patternType="solid">
        <fgColor rgb="FFFFC7CE"/>
        <bgColor rgb="FFFFFFFF"/>
      </patternFill>
    </fill>
  </fills>
  <borders count="306">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style="thin">
        <color rgb="FFBFBFBF"/>
      </left>
      <right/>
      <top style="medium">
        <color rgb="FF000000"/>
      </top>
      <bottom style="medium">
        <color rgb="FF000000"/>
      </bottom>
      <diagonal/>
    </border>
    <border>
      <left style="medium">
        <color rgb="FFFF0000"/>
      </left>
      <right style="thin">
        <color rgb="FF000000"/>
      </right>
      <top style="medium">
        <color rgb="FF000000"/>
      </top>
      <bottom style="medium">
        <color rgb="FF000000"/>
      </bottom>
      <diagonal/>
    </border>
    <border>
      <left style="thin">
        <color rgb="FFBFBFBF"/>
      </left>
      <right style="thin">
        <color rgb="FF000000"/>
      </right>
      <top style="medium">
        <color rgb="FF000000"/>
      </top>
      <bottom style="medium">
        <color rgb="FF000000"/>
      </bottom>
      <diagonal/>
    </border>
    <border>
      <left style="thin">
        <color rgb="FFBFBFBF"/>
      </left>
      <right style="medium">
        <color rgb="FFFF0000"/>
      </right>
      <top style="medium">
        <color rgb="FF000000"/>
      </top>
      <bottom style="medium">
        <color rgb="FF000000"/>
      </bottom>
      <diagonal/>
    </border>
    <border>
      <left style="medium">
        <color rgb="FF000000"/>
      </left>
      <right style="medium">
        <color rgb="FF000000"/>
      </right>
      <top style="medium">
        <color rgb="FF000000"/>
      </top>
      <bottom style="thin">
        <color rgb="FFBFBFBF"/>
      </bottom>
      <diagonal/>
    </border>
    <border>
      <left style="thin">
        <color rgb="FFBFBFBF"/>
      </left>
      <right style="thin">
        <color rgb="FFBFBFBF"/>
      </right>
      <top/>
      <bottom style="thin">
        <color rgb="FFBFBFBF"/>
      </bottom>
      <diagonal/>
    </border>
    <border>
      <left style="medium">
        <color rgb="FFFF0000"/>
      </left>
      <right/>
      <top/>
      <bottom/>
      <diagonal/>
    </border>
    <border>
      <left style="thin">
        <color rgb="FFBFBFBF"/>
      </left>
      <right style="medium">
        <color rgb="FFFF0000"/>
      </right>
      <top/>
      <bottom style="thin">
        <color rgb="FFBFBFBF"/>
      </bottom>
      <diagonal/>
    </border>
    <border>
      <left style="medium">
        <color rgb="FF000000"/>
      </left>
      <right style="medium">
        <color rgb="FF000000"/>
      </right>
      <top style="thin">
        <color rgb="FFBFBFBF"/>
      </top>
      <bottom style="thin">
        <color rgb="FFBFBFBF"/>
      </bottom>
      <diagonal/>
    </border>
    <border>
      <left style="thin">
        <color rgb="FFBFBFBF"/>
      </left>
      <right style="medium">
        <color rgb="FFFF0000"/>
      </right>
      <top style="thin">
        <color rgb="FFBFBFBF"/>
      </top>
      <bottom style="thin">
        <color rgb="FFBFBFBF"/>
      </bottom>
      <diagonal/>
    </border>
    <border>
      <left style="medium">
        <color rgb="FF000000"/>
      </left>
      <right style="medium">
        <color rgb="FF000000"/>
      </right>
      <top style="thin">
        <color rgb="FFBFBFBF"/>
      </top>
      <bottom/>
      <diagonal/>
    </border>
    <border>
      <left style="thin">
        <color rgb="FFBFBFBF"/>
      </left>
      <right/>
      <top style="thin">
        <color rgb="FFBFBFBF"/>
      </top>
      <bottom style="thin">
        <color rgb="FFBFBFBF"/>
      </bottom>
      <diagonal/>
    </border>
    <border>
      <left style="medium">
        <color rgb="FFFF0000"/>
      </left>
      <right style="thin">
        <color rgb="FFBFBFBF"/>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thin">
        <color rgb="FFBFBFBF"/>
      </right>
      <top style="thin">
        <color rgb="FFBFBFBF"/>
      </top>
      <bottom style="thin">
        <color rgb="FFBFBFBF"/>
      </bottom>
      <diagonal/>
    </border>
    <border>
      <left style="medium">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top style="thin">
        <color rgb="FFBFBFBF"/>
      </top>
      <bottom style="medium">
        <color rgb="FF000000"/>
      </bottom>
      <diagonal/>
    </border>
    <border>
      <left style="medium">
        <color rgb="FFFF0000"/>
      </left>
      <right style="thin">
        <color rgb="FFBFBFBF"/>
      </right>
      <top style="thin">
        <color rgb="FFBFBFBF"/>
      </top>
      <bottom style="medium">
        <color rgb="FF000000"/>
      </bottom>
      <diagonal/>
    </border>
    <border>
      <left style="thin">
        <color rgb="FFBFBFBF"/>
      </left>
      <right style="medium">
        <color rgb="FFFF0000"/>
      </right>
      <top style="thin">
        <color rgb="FFBFBFBF"/>
      </top>
      <bottom style="medium">
        <color rgb="FF000000"/>
      </bottom>
      <diagonal/>
    </border>
    <border>
      <left style="medium">
        <color rgb="FF000000"/>
      </left>
      <right style="thin">
        <color rgb="FF000000"/>
      </right>
      <top style="thin">
        <color rgb="FFBFBFBF"/>
      </top>
      <bottom style="medium">
        <color rgb="FF000000"/>
      </bottom>
      <diagonal/>
    </border>
    <border>
      <left/>
      <right style="medium">
        <color rgb="FFFF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A6A6A6"/>
      </bottom>
      <diagonal/>
    </border>
    <border>
      <left/>
      <right style="medium">
        <color rgb="FF000000"/>
      </right>
      <top style="medium">
        <color rgb="FF000000"/>
      </top>
      <bottom style="thin">
        <color rgb="FFA6A6A6"/>
      </bottom>
      <diagonal/>
    </border>
    <border>
      <left style="medium">
        <color rgb="FFFF0000"/>
      </left>
      <right style="thin">
        <color rgb="FFBFBFBF"/>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thin">
        <color rgb="FFBFBFBF"/>
      </left>
      <right style="thin">
        <color rgb="FF000000"/>
      </right>
      <top style="medium">
        <color rgb="FF000000"/>
      </top>
      <bottom style="thin">
        <color rgb="FFBFBFBF"/>
      </bottom>
      <diagonal/>
    </border>
    <border>
      <left style="medium">
        <color rgb="FF000000"/>
      </left>
      <right/>
      <top style="thin">
        <color rgb="FF000000"/>
      </top>
      <bottom/>
      <diagonal/>
    </border>
    <border>
      <left style="medium">
        <color rgb="FF000000"/>
      </left>
      <right style="medium">
        <color rgb="FF000000"/>
      </right>
      <top style="thin">
        <color rgb="FFA6A6A6"/>
      </top>
      <bottom style="thin">
        <color rgb="FFA6A6A6"/>
      </bottom>
      <diagonal/>
    </border>
    <border>
      <left/>
      <right style="medium">
        <color rgb="FF000000"/>
      </right>
      <top style="thin">
        <color rgb="FFA6A6A6"/>
      </top>
      <bottom style="thin">
        <color rgb="FFA6A6A6"/>
      </bottom>
      <diagonal/>
    </border>
    <border>
      <left style="medium">
        <color rgb="FF000000"/>
      </left>
      <right/>
      <top/>
      <bottom/>
      <diagonal/>
    </border>
    <border>
      <left/>
      <right style="medium">
        <color rgb="FF000000"/>
      </right>
      <top style="thin">
        <color rgb="FFA6A6A6"/>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A6A6A6"/>
      </top>
      <bottom style="medium">
        <color rgb="FF000000"/>
      </bottom>
      <diagonal/>
    </border>
    <border>
      <left style="medium">
        <color rgb="FFFF0000"/>
      </left>
      <right style="thin">
        <color rgb="FFBFBFBF"/>
      </right>
      <top style="thin">
        <color rgb="FFBFBFBF"/>
      </top>
      <bottom style="medium">
        <color rgb="FFFF0000"/>
      </bottom>
      <diagonal/>
    </border>
    <border>
      <left style="thin">
        <color rgb="FFBFBFBF"/>
      </left>
      <right style="thin">
        <color rgb="FFBFBFBF"/>
      </right>
      <top style="thin">
        <color rgb="FFBFBFBF"/>
      </top>
      <bottom style="medium">
        <color rgb="FFFF0000"/>
      </bottom>
      <diagonal/>
    </border>
    <border>
      <left style="thin">
        <color rgb="FFBFBFBF"/>
      </left>
      <right style="thin">
        <color rgb="FF000000"/>
      </right>
      <top style="thin">
        <color rgb="FFBFBFBF"/>
      </top>
      <bottom style="medium">
        <color rgb="FFFF0000"/>
      </bottom>
      <diagonal/>
    </border>
    <border>
      <left/>
      <right style="medium">
        <color rgb="FFFF0000"/>
      </right>
      <top/>
      <bottom style="medium">
        <color rgb="FFFF0000"/>
      </bottom>
      <diagonal/>
    </border>
    <border>
      <left style="medium">
        <color rgb="FFE46C0A"/>
      </left>
      <right/>
      <top style="medium">
        <color rgb="FFE46C0A"/>
      </top>
      <bottom/>
      <diagonal/>
    </border>
    <border>
      <left/>
      <right/>
      <top style="medium">
        <color rgb="FFE46C0A"/>
      </top>
      <bottom/>
      <diagonal/>
    </border>
    <border>
      <left/>
      <right style="medium">
        <color rgb="FFE46C0A"/>
      </right>
      <top style="medium">
        <color rgb="FFE46C0A"/>
      </top>
      <bottom/>
      <diagonal/>
    </border>
    <border>
      <left style="medium">
        <color rgb="FF31869B"/>
      </left>
      <right/>
      <top style="medium">
        <color rgb="FF31869B"/>
      </top>
      <bottom/>
      <diagonal/>
    </border>
    <border>
      <left/>
      <right/>
      <top style="medium">
        <color rgb="FF31869B"/>
      </top>
      <bottom/>
      <diagonal/>
    </border>
    <border>
      <left/>
      <right style="medium">
        <color rgb="FF31869B"/>
      </right>
      <top style="medium">
        <color rgb="FF31869B"/>
      </top>
      <bottom/>
      <diagonal/>
    </border>
    <border>
      <left style="medium">
        <color rgb="FFE46C0A"/>
      </left>
      <right style="thin">
        <color rgb="FFA6A6A6"/>
      </right>
      <top style="medium">
        <color rgb="FF000000"/>
      </top>
      <bottom style="medium">
        <color rgb="FF000000"/>
      </bottom>
      <diagonal/>
    </border>
    <border>
      <left style="thin">
        <color rgb="FFA6A6A6"/>
      </left>
      <right style="thin">
        <color rgb="FFA6A6A6"/>
      </right>
      <top style="medium">
        <color rgb="FF000000"/>
      </top>
      <bottom style="medium">
        <color rgb="FF000000"/>
      </bottom>
      <diagonal/>
    </border>
    <border>
      <left style="medium">
        <color rgb="FF000000"/>
      </left>
      <right style="thin">
        <color rgb="FFA6A6A6"/>
      </right>
      <top style="medium">
        <color rgb="FF000000"/>
      </top>
      <bottom style="medium">
        <color rgb="FF000000"/>
      </bottom>
      <diagonal/>
    </border>
    <border>
      <left style="thin">
        <color rgb="FFBFBFBF"/>
      </left>
      <right style="medium">
        <color rgb="FFE46C0A"/>
      </right>
      <top style="medium">
        <color rgb="FF000000"/>
      </top>
      <bottom style="medium">
        <color rgb="FF000000"/>
      </bottom>
      <diagonal/>
    </border>
    <border>
      <left style="medium">
        <color rgb="FF31869B"/>
      </left>
      <right style="thin">
        <color rgb="FFBFBFBF"/>
      </right>
      <top style="medium">
        <color rgb="FF000000"/>
      </top>
      <bottom style="medium">
        <color rgb="FF000000"/>
      </bottom>
      <diagonal/>
    </border>
    <border>
      <left/>
      <right/>
      <top style="medium">
        <color rgb="FF000000"/>
      </top>
      <bottom style="medium">
        <color rgb="FF000000"/>
      </bottom>
      <diagonal/>
    </border>
    <border>
      <left/>
      <right style="medium">
        <color rgb="FF31869B"/>
      </right>
      <top style="medium">
        <color rgb="FF000000"/>
      </top>
      <bottom style="medium">
        <color rgb="FF000000"/>
      </bottom>
      <diagonal/>
    </border>
    <border>
      <left style="medium">
        <color rgb="FFE46C0A"/>
      </left>
      <right style="thin">
        <color rgb="FFA6A6A6"/>
      </right>
      <top/>
      <bottom style="thin">
        <color rgb="FFA6A6A6"/>
      </bottom>
      <diagonal/>
    </border>
    <border>
      <left style="thin">
        <color rgb="FFA6A6A6"/>
      </left>
      <right style="thin">
        <color rgb="FFA6A6A6"/>
      </right>
      <top/>
      <bottom style="thin">
        <color rgb="FFA6A6A6"/>
      </bottom>
      <diagonal/>
    </border>
    <border>
      <left style="medium">
        <color rgb="FF000000"/>
      </left>
      <right style="thin">
        <color rgb="FFA6A6A6"/>
      </right>
      <top/>
      <bottom style="thin">
        <color rgb="FFA6A6A6"/>
      </bottom>
      <diagonal/>
    </border>
    <border>
      <left style="medium">
        <color rgb="FF000000"/>
      </left>
      <right style="thin">
        <color rgb="FFBFBFBF"/>
      </right>
      <top/>
      <bottom style="thin">
        <color rgb="FFBFBFBF"/>
      </bottom>
      <diagonal/>
    </border>
    <border>
      <left style="thin">
        <color rgb="FFBFBFBF"/>
      </left>
      <right style="medium">
        <color rgb="FFE46C0A"/>
      </right>
      <top/>
      <bottom style="thin">
        <color rgb="FFBFBFBF"/>
      </bottom>
      <diagonal/>
    </border>
    <border>
      <left style="medium">
        <color rgb="FF31869B"/>
      </left>
      <right/>
      <top/>
      <bottom/>
      <diagonal/>
    </border>
    <border>
      <left style="thin">
        <color rgb="FFBFBFBF"/>
      </left>
      <right style="thin">
        <color rgb="FF000000"/>
      </right>
      <top/>
      <bottom style="thin">
        <color rgb="FFBFBFBF"/>
      </bottom>
      <diagonal/>
    </border>
    <border>
      <left/>
      <right style="medium">
        <color rgb="FF31869B"/>
      </right>
      <top/>
      <bottom/>
      <diagonal/>
    </border>
    <border>
      <left style="medium">
        <color rgb="FFE46C0A"/>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medium">
        <color rgb="FF000000"/>
      </left>
      <right style="thin">
        <color rgb="FFA6A6A6"/>
      </right>
      <top style="thin">
        <color rgb="FFA6A6A6"/>
      </top>
      <bottom style="thin">
        <color rgb="FFA6A6A6"/>
      </bottom>
      <diagonal/>
    </border>
    <border>
      <left style="thin">
        <color rgb="FFBFBFBF"/>
      </left>
      <right style="medium">
        <color rgb="FFE46C0A"/>
      </right>
      <top style="thin">
        <color rgb="FFBFBFBF"/>
      </top>
      <bottom style="thin">
        <color rgb="FFBFBFBF"/>
      </bottom>
      <diagonal/>
    </border>
    <border>
      <left style="medium">
        <color rgb="FFE46C0A"/>
      </left>
      <right style="thin">
        <color rgb="FFA6A6A6"/>
      </right>
      <top style="thin">
        <color rgb="FFA6A6A6"/>
      </top>
      <bottom style="thin">
        <color rgb="FFBFBFBF"/>
      </bottom>
      <diagonal/>
    </border>
    <border>
      <left style="thin">
        <color rgb="FFA6A6A6"/>
      </left>
      <right style="thin">
        <color rgb="FFA6A6A6"/>
      </right>
      <top style="thin">
        <color rgb="FFA6A6A6"/>
      </top>
      <bottom style="thin">
        <color rgb="FFBFBFBF"/>
      </bottom>
      <diagonal/>
    </border>
    <border>
      <left style="medium">
        <color rgb="FF000000"/>
      </left>
      <right style="thin">
        <color rgb="FFA6A6A6"/>
      </right>
      <top style="thin">
        <color rgb="FFA6A6A6"/>
      </top>
      <bottom style="thin">
        <color rgb="FFBFBFBF"/>
      </bottom>
      <diagonal/>
    </border>
    <border>
      <left style="medium">
        <color rgb="FFE46C0A"/>
      </left>
      <right/>
      <top/>
      <bottom/>
      <diagonal/>
    </border>
    <border>
      <left/>
      <right style="medium">
        <color rgb="FFE46C0A"/>
      </right>
      <top/>
      <bottom/>
      <diagonal/>
    </border>
    <border>
      <left style="medium">
        <color rgb="FFE46C0A"/>
      </left>
      <right style="thin">
        <color rgb="FFBFBFBF"/>
      </right>
      <top style="medium">
        <color rgb="FF000000"/>
      </top>
      <bottom style="thin">
        <color rgb="FFBFBFBF"/>
      </bottom>
      <diagonal/>
    </border>
    <border>
      <left/>
      <right style="medium">
        <color rgb="FF000000"/>
      </right>
      <top style="medium">
        <color rgb="FF000000"/>
      </top>
      <bottom style="medium">
        <color rgb="FF000000"/>
      </bottom>
      <diagonal/>
    </border>
    <border>
      <left style="medium">
        <color rgb="FFE46C0A"/>
      </left>
      <right style="thin">
        <color rgb="FFBFBFBF"/>
      </right>
      <top style="thin">
        <color rgb="FFBFBFBF"/>
      </top>
      <bottom style="thin">
        <color rgb="FFBFBFBF"/>
      </bottom>
      <diagonal/>
    </border>
    <border>
      <left/>
      <right/>
      <top style="medium">
        <color rgb="FF000000"/>
      </top>
      <bottom style="thin">
        <color rgb="FFBFBFBF"/>
      </bottom>
      <diagonal/>
    </border>
    <border>
      <left style="medium">
        <color rgb="FF000000"/>
      </left>
      <right style="thin">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medium">
        <color rgb="FF000000"/>
      </left>
      <right style="medium">
        <color rgb="FF000000"/>
      </right>
      <top/>
      <bottom style="thin">
        <color rgb="FFBFBFBF"/>
      </bottom>
      <diagonal/>
    </border>
    <border>
      <left/>
      <right/>
      <top style="thin">
        <color rgb="FFBFBFBF"/>
      </top>
      <bottom style="thin">
        <color rgb="FFBFBFBF"/>
      </bottom>
      <diagonal/>
    </border>
    <border>
      <left style="medium">
        <color rgb="FF31869B"/>
      </left>
      <right/>
      <top/>
      <bottom style="medium">
        <color rgb="FF31869B"/>
      </bottom>
      <diagonal/>
    </border>
    <border>
      <left style="medium">
        <color rgb="FF000000"/>
      </left>
      <right style="thin">
        <color rgb="FFBFBFBF"/>
      </right>
      <top style="thin">
        <color rgb="FFBFBFBF"/>
      </top>
      <bottom style="medium">
        <color rgb="FF31869B"/>
      </bottom>
      <diagonal/>
    </border>
    <border>
      <left style="thin">
        <color rgb="FFBFBFBF"/>
      </left>
      <right style="thin">
        <color rgb="FF000000"/>
      </right>
      <top style="thin">
        <color rgb="FFBFBFBF"/>
      </top>
      <bottom style="medium">
        <color rgb="FF31869B"/>
      </bottom>
      <diagonal/>
    </border>
    <border>
      <left/>
      <right/>
      <top/>
      <bottom style="medium">
        <color rgb="FF31869B"/>
      </bottom>
      <diagonal/>
    </border>
    <border>
      <left/>
      <right style="medium">
        <color rgb="FF31869B"/>
      </right>
      <top/>
      <bottom style="medium">
        <color rgb="FF31869B"/>
      </bottom>
      <diagonal/>
    </border>
    <border>
      <left/>
      <right/>
      <top/>
      <bottom style="thin">
        <color rgb="FFBFBFBF"/>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right/>
      <top/>
      <bottom style="medium">
        <color rgb="FF000000"/>
      </bottom>
      <diagonal/>
    </border>
    <border>
      <left style="thin">
        <color rgb="FF000000"/>
      </left>
      <right style="medium">
        <color rgb="FF000000"/>
      </right>
      <top style="thin">
        <color rgb="FFBFBFBF"/>
      </top>
      <bottom style="medium">
        <color rgb="FF000000"/>
      </bottom>
      <diagonal/>
    </border>
    <border>
      <left style="medium">
        <color rgb="FF000000"/>
      </left>
      <right style="medium">
        <color rgb="FF000000"/>
      </right>
      <top/>
      <bottom style="medium">
        <color rgb="FF000000"/>
      </bottom>
      <diagonal/>
    </border>
    <border>
      <left style="medium">
        <color rgb="FFE46C0A"/>
      </left>
      <right style="thin">
        <color rgb="FFBFBFBF"/>
      </right>
      <top style="thin">
        <color rgb="FFBFBFBF"/>
      </top>
      <bottom style="medium">
        <color rgb="FFE46C0A"/>
      </bottom>
      <diagonal/>
    </border>
    <border>
      <left style="thin">
        <color rgb="FFBFBFBF"/>
      </left>
      <right style="thin">
        <color rgb="FFBFBFBF"/>
      </right>
      <top style="thin">
        <color rgb="FFBFBFBF"/>
      </top>
      <bottom style="medium">
        <color rgb="FFE46C0A"/>
      </bottom>
      <diagonal/>
    </border>
    <border>
      <left style="thin">
        <color rgb="FFBFBFBF"/>
      </left>
      <right style="thin">
        <color rgb="FF000000"/>
      </right>
      <top style="thin">
        <color rgb="FFBFBFBF"/>
      </top>
      <bottom style="medium">
        <color rgb="FFE46C0A"/>
      </bottom>
      <diagonal/>
    </border>
    <border>
      <left/>
      <right style="medium">
        <color rgb="FFE46C0A"/>
      </right>
      <top/>
      <bottom style="medium">
        <color rgb="FFE46C0A"/>
      </bottom>
      <diagonal/>
    </border>
    <border>
      <left style="thin">
        <color rgb="FFBFBFBF"/>
      </left>
      <right style="medium">
        <color rgb="FF000000"/>
      </right>
      <top style="thin">
        <color rgb="FFBFBFBF"/>
      </top>
      <bottom style="medium">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thin">
        <color rgb="FFA6A6A6"/>
      </bottom>
      <diagonal/>
    </border>
    <border>
      <left/>
      <right style="thin">
        <color rgb="FFBFBFBF"/>
      </right>
      <top/>
      <bottom/>
      <diagonal/>
    </border>
    <border>
      <left style="medium">
        <color rgb="FF000000"/>
      </left>
      <right/>
      <top style="thin">
        <color rgb="FFA6A6A6"/>
      </top>
      <bottom style="thin">
        <color rgb="FFA6A6A6"/>
      </bottom>
      <diagonal/>
    </border>
    <border>
      <left/>
      <right style="medium">
        <color rgb="FF000000"/>
      </right>
      <top/>
      <bottom/>
      <diagonal/>
    </border>
    <border>
      <left style="medium">
        <color rgb="FF000000"/>
      </left>
      <right/>
      <top style="thin">
        <color rgb="FFA6A6A6"/>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BFBFBF"/>
      </left>
      <right/>
      <top style="medium">
        <color rgb="FF000000"/>
      </top>
      <bottom style="thin">
        <color rgb="FFBFBFBF"/>
      </bottom>
      <diagonal/>
    </border>
    <border>
      <left/>
      <right/>
      <top style="thin">
        <color rgb="FFBFBFBF"/>
      </top>
      <bottom style="medium">
        <color rgb="FF000000"/>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BFBFBF"/>
      </right>
      <top/>
      <bottom/>
      <diagonal/>
    </border>
    <border>
      <left style="thin">
        <color rgb="FFBFBFBF"/>
      </left>
      <right/>
      <top/>
      <bottom style="thin">
        <color rgb="FFBFBFBF"/>
      </bottom>
      <diagonal/>
    </border>
    <border>
      <left/>
      <right style="medium">
        <color rgb="FF000000"/>
      </right>
      <top/>
      <bottom style="thin">
        <color rgb="FFBFBFBF"/>
      </bottom>
      <diagonal/>
    </border>
    <border>
      <left style="medium">
        <color rgb="FF000000"/>
      </left>
      <right style="thin">
        <color rgb="FFBFBFBF"/>
      </right>
      <top style="thin">
        <color rgb="FFBFBFBF"/>
      </top>
      <bottom/>
      <diagonal/>
    </border>
    <border>
      <left/>
      <right/>
      <top style="thin">
        <color rgb="FFBFBFBF"/>
      </top>
      <bottom/>
      <diagonal/>
    </border>
    <border>
      <left style="medium">
        <color rgb="FF000000"/>
      </left>
      <right style="thin">
        <color rgb="FF000000"/>
      </right>
      <top/>
      <bottom/>
      <diagonal/>
    </border>
    <border>
      <left style="thin">
        <color rgb="FFA6A6A6"/>
      </left>
      <right style="thin">
        <color rgb="FFA6A6A6"/>
      </right>
      <top style="thin">
        <color rgb="FF000000"/>
      </top>
      <bottom style="medium">
        <color rgb="FF000000"/>
      </bottom>
      <diagonal/>
    </border>
    <border>
      <left style="thin">
        <color rgb="FFA6A6A6"/>
      </left>
      <right style="medium">
        <color rgb="FF000000"/>
      </right>
      <top style="thin">
        <color rgb="FF000000"/>
      </top>
      <bottom style="medium">
        <color rgb="FF000000"/>
      </bottom>
      <diagonal/>
    </border>
    <border>
      <left style="medium">
        <color rgb="FF000000"/>
      </left>
      <right style="thin">
        <color rgb="FFA6A6A6"/>
      </right>
      <top/>
      <bottom/>
      <diagonal/>
    </border>
    <border>
      <left style="medium">
        <color rgb="FF000000"/>
      </left>
      <right/>
      <top style="thin">
        <color rgb="FFA6A6A6"/>
      </top>
      <bottom style="medium">
        <color rgb="FF000000"/>
      </bottom>
      <diagonal/>
    </border>
    <border>
      <left style="medium">
        <color rgb="FF000000"/>
      </left>
      <right style="thin">
        <color rgb="FFA6A6A6"/>
      </right>
      <top/>
      <bottom style="medium">
        <color rgb="FF000000"/>
      </bottom>
      <diagonal/>
    </border>
    <border>
      <left style="thin">
        <color rgb="FFA6A6A6"/>
      </left>
      <right style="thin">
        <color rgb="FF000000"/>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style="thin">
        <color rgb="FFA6A6A6"/>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medium">
        <color rgb="FF000000"/>
      </left>
      <right style="thin">
        <color rgb="FFBFBFBF"/>
      </right>
      <top style="thin">
        <color rgb="FF000000"/>
      </top>
      <bottom style="medium">
        <color rgb="FF000000"/>
      </bottom>
      <diagonal/>
    </border>
    <border>
      <left style="thin">
        <color rgb="FFBFBFBF"/>
      </left>
      <right style="thin">
        <color rgb="FFBFBFBF"/>
      </right>
      <top style="thin">
        <color rgb="FF000000"/>
      </top>
      <bottom style="medium">
        <color rgb="FF000000"/>
      </bottom>
      <diagonal/>
    </border>
    <border>
      <left style="thin">
        <color rgb="FFBFBFBF"/>
      </left>
      <right style="medium">
        <color rgb="FF000000"/>
      </right>
      <top style="thin">
        <color rgb="FF000000"/>
      </top>
      <bottom style="medium">
        <color rgb="FF000000"/>
      </bottom>
      <diagonal/>
    </border>
    <border>
      <left/>
      <right/>
      <top/>
      <bottom style="thin">
        <color rgb="FFA6A6A6"/>
      </bottom>
      <diagonal/>
    </border>
    <border>
      <left style="medium">
        <color rgb="FF000000"/>
      </left>
      <right style="thin">
        <color rgb="FFA6A6A6"/>
      </right>
      <top style="thin">
        <color rgb="FFA6A6A6"/>
      </top>
      <bottom style="medium">
        <color rgb="FF000000"/>
      </bottom>
      <diagonal/>
    </border>
    <border>
      <left/>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style="thin">
        <color rgb="FFA6A6A6"/>
      </top>
      <bottom style="medium">
        <color rgb="FF000000"/>
      </bottom>
      <diagonal/>
    </border>
    <border>
      <left/>
      <right/>
      <top style="thin">
        <color rgb="FFA6A6A6"/>
      </top>
      <bottom style="medium">
        <color rgb="FF000000"/>
      </bottom>
      <diagonal/>
    </border>
    <border>
      <left style="thin">
        <color rgb="FFA6A6A6"/>
      </left>
      <right/>
      <top style="thin">
        <color rgb="FFA6A6A6"/>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style="medium">
        <color rgb="FF000000"/>
      </top>
      <bottom style="medium">
        <color rgb="FF000000"/>
      </bottom>
      <diagonal/>
    </border>
    <border>
      <left/>
      <right style="thin">
        <color rgb="FFA6A6A6"/>
      </right>
      <top/>
      <bottom style="medium">
        <color rgb="FF000000"/>
      </bottom>
      <diagonal/>
    </border>
    <border>
      <left style="thin">
        <color rgb="FFA6A6A6"/>
      </left>
      <right style="thin">
        <color rgb="FFA6A6A6"/>
      </right>
      <top/>
      <bottom style="medium">
        <color rgb="FF000000"/>
      </bottom>
      <diagonal/>
    </border>
    <border>
      <left style="medium">
        <color rgb="FF000000"/>
      </left>
      <right style="thin">
        <color rgb="FF000000"/>
      </right>
      <top style="medium">
        <color rgb="FF000000"/>
      </top>
      <bottom style="thin">
        <color rgb="FFA6A6A6"/>
      </bottom>
      <diagonal/>
    </border>
    <border>
      <left/>
      <right style="thin">
        <color rgb="FFA6A6A6"/>
      </right>
      <top style="medium">
        <color rgb="FF000000"/>
      </top>
      <bottom style="thin">
        <color rgb="FFA6A6A6"/>
      </bottom>
      <diagonal/>
    </border>
    <border>
      <left style="thin">
        <color rgb="FFA6A6A6"/>
      </left>
      <right style="thin">
        <color rgb="FFA6A6A6"/>
      </right>
      <top style="medium">
        <color rgb="FF000000"/>
      </top>
      <bottom style="thin">
        <color rgb="FFA6A6A6"/>
      </bottom>
      <diagonal/>
    </border>
    <border>
      <left style="medium">
        <color rgb="FF000000"/>
      </left>
      <right style="thin">
        <color rgb="FF000000"/>
      </right>
      <top style="thin">
        <color rgb="FFA6A6A6"/>
      </top>
      <bottom style="thin">
        <color rgb="FFA6A6A6"/>
      </bottom>
      <diagonal/>
    </border>
    <border>
      <left style="medium">
        <color rgb="FF000000"/>
      </left>
      <right style="thin">
        <color rgb="FF000000"/>
      </right>
      <top style="medium">
        <color rgb="FF000000"/>
      </top>
      <bottom style="medium">
        <color rgb="FF000000"/>
      </bottom>
      <diagonal/>
    </border>
    <border>
      <left/>
      <right style="thin">
        <color rgb="FFA6A6A6"/>
      </right>
      <top style="medium">
        <color rgb="FF000000"/>
      </top>
      <bottom style="medium">
        <color rgb="FF000000"/>
      </bottom>
      <diagonal/>
    </border>
    <border>
      <left style="medium">
        <color rgb="FF000000"/>
      </left>
      <right/>
      <top style="thin">
        <color rgb="FFBFBFBF"/>
      </top>
      <bottom/>
      <diagonal/>
    </border>
    <border>
      <left style="medium">
        <color rgb="FF000000"/>
      </left>
      <right style="medium">
        <color rgb="FF000000"/>
      </right>
      <top style="medium">
        <color rgb="FF000000"/>
      </top>
      <bottom style="thin">
        <color rgb="FF000000"/>
      </bottom>
      <diagonal/>
    </border>
    <border>
      <left/>
      <right/>
      <top/>
      <bottom style="medium">
        <color rgb="FFFF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A6A6A6"/>
      </right>
      <top style="thin">
        <color rgb="FFA6A6A6"/>
      </top>
      <bottom style="medium">
        <color rgb="FF000000"/>
      </bottom>
      <diagonal/>
    </border>
    <border>
      <left style="thin">
        <color rgb="FFA6A6A6"/>
      </left>
      <right style="thin">
        <color rgb="FF000000"/>
      </right>
      <top style="thin">
        <color rgb="FFA6A6A6"/>
      </top>
      <bottom style="medium">
        <color rgb="FF000000"/>
      </bottom>
      <diagonal/>
    </border>
    <border>
      <left/>
      <right/>
      <top style="thin">
        <color rgb="FFA6A6A6"/>
      </top>
      <bottom style="thin">
        <color rgb="FF000000"/>
      </bottom>
      <diagonal/>
    </border>
    <border>
      <left style="thin">
        <color rgb="FFA6A6A6"/>
      </left>
      <right style="thin">
        <color rgb="FFA6A6A6"/>
      </right>
      <top style="thin">
        <color rgb="FFA6A6A6"/>
      </top>
      <bottom style="thin">
        <color rgb="FF000000"/>
      </bottom>
      <diagonal/>
    </border>
    <border>
      <left style="medium">
        <color rgb="FF000000"/>
      </left>
      <right/>
      <top style="thin">
        <color rgb="FFA6A6A6"/>
      </top>
      <bottom style="thin">
        <color rgb="FF000000"/>
      </bottom>
      <diagonal/>
    </border>
    <border>
      <left/>
      <right style="medium">
        <color rgb="FF000000"/>
      </right>
      <top style="medium">
        <color rgb="FF000000"/>
      </top>
      <bottom style="thin">
        <color rgb="FFBFBFBF"/>
      </bottom>
      <diagonal/>
    </border>
    <border>
      <left style="thin">
        <color rgb="FFBFBFBF"/>
      </left>
      <right style="medium">
        <color rgb="FF000000"/>
      </right>
      <top style="thin">
        <color rgb="FFBFBFBF"/>
      </top>
      <bottom/>
      <diagonal/>
    </border>
    <border>
      <left style="thin">
        <color rgb="FFA6A6A6"/>
      </left>
      <right style="medium">
        <color rgb="FF000000"/>
      </right>
      <top/>
      <bottom style="medium">
        <color rgb="FF000000"/>
      </bottom>
      <diagonal/>
    </border>
    <border>
      <left style="thin">
        <color rgb="FFA6A6A6"/>
      </left>
      <right style="medium">
        <color rgb="FF000000"/>
      </right>
      <top style="medium">
        <color rgb="FF000000"/>
      </top>
      <bottom style="thin">
        <color rgb="FFA6A6A6"/>
      </bottom>
      <diagonal/>
    </border>
    <border>
      <left/>
      <right/>
      <top style="medium">
        <color rgb="FF000000"/>
      </top>
      <bottom style="thin">
        <color rgb="FFA6A6A6"/>
      </bottom>
      <diagonal/>
    </border>
    <border>
      <left style="thin">
        <color rgb="FFA6A6A6"/>
      </left>
      <right/>
      <top style="medium">
        <color rgb="FF000000"/>
      </top>
      <bottom style="thin">
        <color rgb="FFA6A6A6"/>
      </bottom>
      <diagonal/>
    </border>
    <border>
      <left style="medium">
        <color rgb="FF000000"/>
      </left>
      <right/>
      <top/>
      <bottom style="thin">
        <color rgb="FF000000"/>
      </bottom>
      <diagonal/>
    </border>
    <border>
      <left style="thin">
        <color rgb="FF000000"/>
      </left>
      <right/>
      <top style="medium">
        <color rgb="FF000000"/>
      </top>
      <bottom/>
      <diagonal/>
    </border>
    <border>
      <left style="thin">
        <color rgb="FFBFBFBF"/>
      </left>
      <right/>
      <top style="medium">
        <color rgb="FF000000"/>
      </top>
      <bottom/>
      <diagonal/>
    </border>
    <border>
      <left style="thin">
        <color rgb="FFBFBFBF"/>
      </left>
      <right style="medium">
        <color rgb="FF000000"/>
      </right>
      <top style="medium">
        <color rgb="FF000000"/>
      </top>
      <bottom style="medium">
        <color rgb="FF000000"/>
      </bottom>
      <diagonal/>
    </border>
    <border>
      <left/>
      <right/>
      <top style="thin">
        <color rgb="FF4F81BD"/>
      </top>
      <bottom/>
      <diagonal/>
    </border>
    <border>
      <left style="thin">
        <color rgb="FFA6A6A6"/>
      </left>
      <right/>
      <top style="thin">
        <color rgb="FFA6A6A6"/>
      </top>
      <bottom/>
      <diagonal/>
    </border>
    <border>
      <left style="thin">
        <color rgb="FF000000"/>
      </left>
      <right/>
      <top style="thin">
        <color rgb="FFBFBFBF"/>
      </top>
      <bottom/>
      <diagonal/>
    </border>
    <border>
      <left/>
      <right style="thin">
        <color rgb="FFA6A6A6"/>
      </right>
      <top style="thin">
        <color rgb="FFA6A6A6"/>
      </top>
      <bottom/>
      <diagonal/>
    </border>
    <border>
      <left style="medium">
        <color rgb="FFFF0000"/>
      </left>
      <right style="thin">
        <color rgb="FFBFBFBF"/>
      </right>
      <top/>
      <bottom style="thin">
        <color rgb="FFBFBFBF"/>
      </bottom>
      <diagonal/>
    </border>
    <border>
      <left style="medium">
        <color rgb="FFFF0000"/>
      </left>
      <right style="thin">
        <color rgb="FFBFBFBF"/>
      </right>
      <top style="medium">
        <color rgb="FF000000"/>
      </top>
      <bottom/>
      <diagonal/>
    </border>
    <border>
      <left style="medium">
        <color rgb="FF000000"/>
      </left>
      <right style="thin">
        <color rgb="FFBFBFBF"/>
      </right>
      <top style="medium">
        <color rgb="FF000000"/>
      </top>
      <bottom/>
      <diagonal/>
    </border>
    <border>
      <left style="thin">
        <color rgb="FFBFBFBF"/>
      </left>
      <right style="medium">
        <color rgb="FF000000"/>
      </right>
      <top style="medium">
        <color rgb="FF000000"/>
      </top>
      <bottom/>
      <diagonal/>
    </border>
    <border>
      <left style="medium">
        <color rgb="FFFF0000"/>
      </left>
      <right/>
      <top/>
      <bottom style="medium">
        <color rgb="FFFF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right/>
      <top/>
      <bottom style="medium">
        <color rgb="FFE46C0A"/>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thin">
        <color rgb="FF4F81BD"/>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right style="thin">
        <color rgb="FFBFBFBF"/>
      </right>
      <top style="medium">
        <color rgb="FF000000"/>
      </top>
      <bottom/>
      <diagonal/>
    </border>
    <border>
      <left style="medium">
        <color rgb="FF000000"/>
      </left>
      <right style="thin">
        <color rgb="FFBFBFBF"/>
      </right>
      <top style="medium">
        <color rgb="FF000000"/>
      </top>
      <bottom style="mediumDashed">
        <color rgb="FF000000"/>
      </bottom>
      <diagonal/>
    </border>
    <border>
      <left style="thin">
        <color rgb="FFBFBFBF"/>
      </left>
      <right style="thin">
        <color rgb="FFBFBFBF"/>
      </right>
      <top style="medium">
        <color rgb="FF000000"/>
      </top>
      <bottom style="mediumDashed">
        <color rgb="FF000000"/>
      </bottom>
      <diagonal/>
    </border>
    <border>
      <left style="thin">
        <color rgb="FFBFBFBF"/>
      </left>
      <right style="medium">
        <color rgb="FF000000"/>
      </right>
      <top style="medium">
        <color rgb="FF000000"/>
      </top>
      <bottom style="mediumDashed">
        <color rgb="FF000000"/>
      </bottom>
      <diagonal/>
    </border>
    <border>
      <left style="thin">
        <color rgb="FFBFBFBF"/>
      </left>
      <right style="thin">
        <color rgb="FFBFBFBF"/>
      </right>
      <top style="thin">
        <color rgb="FFBFBFBF"/>
      </top>
      <bottom style="thin">
        <color rgb="FF000000"/>
      </bottom>
      <diagonal/>
    </border>
    <border>
      <left style="thin">
        <color rgb="FFBFBFBF"/>
      </left>
      <right/>
      <top style="thin">
        <color rgb="FFBFBFBF"/>
      </top>
      <bottom style="thin">
        <color rgb="FF000000"/>
      </bottom>
      <diagonal/>
    </border>
    <border>
      <left/>
      <right style="medium">
        <color rgb="FF000000"/>
      </right>
      <top style="thin">
        <color rgb="FFBFBFBF"/>
      </top>
      <bottom/>
      <diagonal/>
    </border>
    <border>
      <left style="thin">
        <color rgb="FFBFBFBF"/>
      </left>
      <right style="thin">
        <color rgb="FFBFBFBF"/>
      </right>
      <top/>
      <bottom/>
      <diagonal/>
    </border>
    <border>
      <left style="thin">
        <color rgb="FFBFBFBF"/>
      </left>
      <right/>
      <top/>
      <bottom/>
      <diagonal/>
    </border>
    <border>
      <left style="thin">
        <color rgb="FFBFBFBF"/>
      </left>
      <right style="thin">
        <color rgb="FFBFBFBF"/>
      </right>
      <top/>
      <bottom style="thin">
        <color rgb="FF000000"/>
      </bottom>
      <diagonal/>
    </border>
    <border>
      <left style="thin">
        <color rgb="FFBFBFBF"/>
      </left>
      <right/>
      <top/>
      <bottom style="thin">
        <color rgb="FF000000"/>
      </bottom>
      <diagonal/>
    </border>
    <border>
      <left style="medium">
        <color rgb="FF000000"/>
      </left>
      <right style="thin">
        <color rgb="FFBFBFBF"/>
      </right>
      <top/>
      <bottom style="mediumDashed">
        <color rgb="FFA6A6A6"/>
      </bottom>
      <diagonal/>
    </border>
    <border>
      <left style="thin">
        <color rgb="FFBFBFBF"/>
      </left>
      <right style="thin">
        <color rgb="FFBFBFBF"/>
      </right>
      <top/>
      <bottom style="mediumDashed">
        <color rgb="FFA6A6A6"/>
      </bottom>
      <diagonal/>
    </border>
    <border>
      <left style="thin">
        <color rgb="FFBFBFBF"/>
      </left>
      <right/>
      <top/>
      <bottom style="mediumDashed">
        <color rgb="FFA6A6A6"/>
      </bottom>
      <diagonal/>
    </border>
    <border>
      <left/>
      <right/>
      <top/>
      <bottom style="mediumDashed">
        <color rgb="FFA6A6A6"/>
      </bottom>
      <diagonal/>
    </border>
    <border>
      <left/>
      <right style="medium">
        <color rgb="FF000000"/>
      </right>
      <top/>
      <bottom style="mediumDashed">
        <color rgb="FFA6A6A6"/>
      </bottom>
      <diagonal/>
    </border>
    <border>
      <left style="medium">
        <color rgb="FF000000"/>
      </left>
      <right style="thin">
        <color rgb="FFBFBFBF"/>
      </right>
      <top/>
      <bottom style="medium">
        <color rgb="FF000000"/>
      </bottom>
      <diagonal/>
    </border>
    <border>
      <left style="thin">
        <color rgb="FFBFBFBF"/>
      </left>
      <right style="thin">
        <color rgb="FFBFBFBF"/>
      </right>
      <top/>
      <bottom style="medium">
        <color rgb="FF000000"/>
      </bottom>
      <diagonal/>
    </border>
    <border>
      <left style="medium">
        <color rgb="FF000000"/>
      </left>
      <right style="thin">
        <color rgb="FFBFBFBF"/>
      </right>
      <top/>
      <bottom style="thin">
        <color rgb="FFD9D9D9"/>
      </bottom>
      <diagonal/>
    </border>
    <border>
      <left/>
      <right/>
      <top/>
      <bottom style="thin">
        <color rgb="FFD9D9D9"/>
      </bottom>
      <diagonal/>
    </border>
    <border>
      <left/>
      <right style="medium">
        <color rgb="FF000000"/>
      </right>
      <top/>
      <bottom style="thin">
        <color rgb="FFD9D9D9"/>
      </bottom>
      <diagonal/>
    </border>
    <border>
      <left style="thin">
        <color rgb="FFBFBFBF"/>
      </left>
      <right/>
      <top/>
      <bottom style="medium">
        <color rgb="FF000000"/>
      </bottom>
      <diagonal/>
    </border>
    <border>
      <left style="medium">
        <color rgb="FF000000"/>
      </left>
      <right style="thin">
        <color rgb="FFBFBFBF"/>
      </right>
      <top style="mediumDashed">
        <color rgb="FF000000"/>
      </top>
      <bottom style="thin">
        <color rgb="FF000000"/>
      </bottom>
      <diagonal/>
    </border>
    <border>
      <left style="thin">
        <color rgb="FFBFBFBF"/>
      </left>
      <right style="thin">
        <color rgb="FFBFBFBF"/>
      </right>
      <top style="mediumDashed">
        <color rgb="FF000000"/>
      </top>
      <bottom style="thin">
        <color rgb="FF000000"/>
      </bottom>
      <diagonal/>
    </border>
    <border>
      <left style="thin">
        <color rgb="FFBFBFBF"/>
      </left>
      <right/>
      <top style="mediumDashed">
        <color rgb="FF000000"/>
      </top>
      <bottom style="thin">
        <color rgb="FF000000"/>
      </bottom>
      <diagonal/>
    </border>
    <border>
      <left/>
      <right/>
      <top style="mediumDashed">
        <color rgb="FF000000"/>
      </top>
      <bottom style="thin">
        <color rgb="FF000000"/>
      </bottom>
      <diagonal/>
    </border>
    <border>
      <left/>
      <right style="medium">
        <color rgb="FF000000"/>
      </right>
      <top style="mediumDashed">
        <color rgb="FF000000"/>
      </top>
      <bottom style="thin">
        <color rgb="FF000000"/>
      </bottom>
      <diagonal/>
    </border>
    <border>
      <left style="medium">
        <color rgb="FF000000"/>
      </left>
      <right style="thin">
        <color rgb="FFBFBFBF"/>
      </right>
      <top style="thin">
        <color rgb="FF000000"/>
      </top>
      <bottom style="thin">
        <color rgb="FF000000"/>
      </bottom>
      <diagonal/>
    </border>
    <border>
      <left style="thin">
        <color rgb="FFBFBFBF"/>
      </left>
      <right style="thin">
        <color rgb="FFBFBFBF"/>
      </right>
      <top style="thin">
        <color rgb="FF000000"/>
      </top>
      <bottom style="thin">
        <color rgb="FF000000"/>
      </bottom>
      <diagonal/>
    </border>
    <border>
      <left style="thin">
        <color rgb="FFBFBFBF"/>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BFBFBF"/>
      </left>
      <right style="medium">
        <color rgb="FF000000"/>
      </right>
      <top/>
      <bottom style="thin">
        <color rgb="FFBFBFBF"/>
      </bottom>
      <diagonal/>
    </border>
    <border>
      <left style="medium">
        <color rgb="FF000000"/>
      </left>
      <right style="thin">
        <color rgb="FFBFBFBF"/>
      </right>
      <top style="thin">
        <color rgb="FFBFBFBF"/>
      </top>
      <bottom style="hair">
        <color rgb="FF000000"/>
      </bottom>
      <diagonal/>
    </border>
    <border>
      <left style="thin">
        <color rgb="FFBFBFBF"/>
      </left>
      <right style="thin">
        <color rgb="FFBFBFBF"/>
      </right>
      <top style="thin">
        <color rgb="FFBFBFBF"/>
      </top>
      <bottom style="hair">
        <color rgb="FF000000"/>
      </bottom>
      <diagonal/>
    </border>
    <border>
      <left style="thin">
        <color rgb="FFBFBFBF"/>
      </left>
      <right style="medium">
        <color rgb="FF000000"/>
      </right>
      <top style="thin">
        <color rgb="FFBFBFBF"/>
      </top>
      <bottom style="hair">
        <color rgb="FF000000"/>
      </bottom>
      <diagonal/>
    </border>
    <border>
      <left style="thin">
        <color rgb="FFBFBFBF"/>
      </left>
      <right style="medium">
        <color rgb="FF000000"/>
      </right>
      <top/>
      <bottom style="medium">
        <color rgb="FF000000"/>
      </bottom>
      <diagonal/>
    </border>
    <border>
      <left style="medium">
        <color rgb="FF000000"/>
      </left>
      <right style="thin">
        <color rgb="FFA6A6A6"/>
      </right>
      <top style="thin">
        <color rgb="FFA6A6A6"/>
      </top>
      <bottom/>
      <diagonal/>
    </border>
    <border>
      <left/>
      <right/>
      <top style="thin">
        <color rgb="FFA6A6A6"/>
      </top>
      <bottom/>
      <diagonal/>
    </border>
    <border>
      <left style="thin">
        <color rgb="FFA6A6A6"/>
      </left>
      <right style="thin">
        <color rgb="FF000000"/>
      </right>
      <top style="thin">
        <color rgb="FFA6A6A6"/>
      </top>
      <bottom/>
      <diagonal/>
    </border>
    <border>
      <left style="thin">
        <color rgb="FF000000"/>
      </left>
      <right style="thin">
        <color rgb="FFBFBFBF"/>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style="thin">
        <color rgb="FF000000"/>
      </left>
      <right style="thin">
        <color rgb="FFBFBFBF"/>
      </right>
      <top style="thin">
        <color rgb="FFBFBFBF"/>
      </top>
      <bottom style="thin">
        <color rgb="FFBFBFBF"/>
      </bottom>
      <diagonal/>
    </border>
    <border>
      <left style="thin">
        <color rgb="FF000000"/>
      </left>
      <right style="thin">
        <color rgb="FFBFBFBF"/>
      </right>
      <top style="thin">
        <color rgb="FFBFBFBF"/>
      </top>
      <bottom style="thin">
        <color rgb="FF000000"/>
      </bottom>
      <diagonal/>
    </border>
    <border>
      <left style="thin">
        <color rgb="FFBFBFBF"/>
      </left>
      <right style="thin">
        <color rgb="FF000000"/>
      </right>
      <top style="thin">
        <color rgb="FFBFBFBF"/>
      </top>
      <bottom style="thin">
        <color rgb="FF000000"/>
      </bottom>
      <diagonal/>
    </border>
    <border>
      <left style="thin">
        <color rgb="FFBFBFBF"/>
      </left>
      <right/>
      <top style="thin">
        <color rgb="FF000000"/>
      </top>
      <bottom style="thin">
        <color rgb="FFBFBFBF"/>
      </bottom>
      <diagonal/>
    </border>
    <border>
      <left/>
      <right style="thin">
        <color rgb="FFA6A6A6"/>
      </right>
      <top/>
      <bottom/>
      <diagonal/>
    </border>
    <border>
      <left style="thin">
        <color rgb="FFA6A6A6"/>
      </left>
      <right style="thin">
        <color rgb="FFA6A6A6"/>
      </right>
      <top/>
      <bottom/>
      <diagonal/>
    </border>
    <border>
      <left style="thin">
        <color rgb="FFA6A6A6"/>
      </left>
      <right style="medium">
        <color rgb="FF000000"/>
      </right>
      <top/>
      <bottom/>
      <diagonal/>
    </border>
    <border>
      <left/>
      <right style="thin">
        <color rgb="FF000000"/>
      </right>
      <top style="thin">
        <color rgb="FFA6A6A6"/>
      </top>
      <bottom style="thin">
        <color rgb="FFA6A6A6"/>
      </bottom>
      <diagonal/>
    </border>
    <border>
      <left/>
      <right style="thin">
        <color rgb="FF000000"/>
      </right>
      <top style="thin">
        <color rgb="FFA6A6A6"/>
      </top>
      <bottom style="medium">
        <color rgb="FF000000"/>
      </bottom>
      <diagonal/>
    </border>
    <border>
      <left style="thin">
        <color rgb="FF000000"/>
      </left>
      <right style="thin">
        <color rgb="FFBFBFBF"/>
      </right>
      <top style="thin">
        <color rgb="FFBFBFBF"/>
      </top>
      <bottom/>
      <diagonal/>
    </border>
    <border>
      <left style="thin">
        <color rgb="FFBFBFBF"/>
      </left>
      <right style="thin">
        <color rgb="FF000000"/>
      </right>
      <top style="thin">
        <color rgb="FFBFBFBF"/>
      </top>
      <bottom/>
      <diagonal/>
    </border>
    <border>
      <left/>
      <right style="thin">
        <color rgb="FF000000"/>
      </right>
      <top/>
      <bottom style="thin">
        <color rgb="FFA6A6A6"/>
      </bottom>
      <diagonal/>
    </border>
    <border>
      <left style="thin">
        <color rgb="FF000000"/>
      </left>
      <right style="thin">
        <color rgb="FFA6A6A6"/>
      </right>
      <top style="thin">
        <color rgb="FFA6A6A6"/>
      </top>
      <bottom style="thin">
        <color rgb="FFA6A6A6"/>
      </bottom>
      <diagonal/>
    </border>
    <border>
      <left style="thin">
        <color rgb="FF000000"/>
      </left>
      <right style="thin">
        <color rgb="FFA6A6A6"/>
      </right>
      <top style="thin">
        <color rgb="FFA6A6A6"/>
      </top>
      <bottom style="medium">
        <color rgb="FF000000"/>
      </bottom>
      <diagonal/>
    </border>
    <border>
      <left/>
      <right style="thin">
        <color rgb="FFA6A6A6"/>
      </right>
      <top/>
      <bottom style="thin">
        <color rgb="FFA6A6A6"/>
      </bottom>
      <diagonal/>
    </border>
    <border>
      <left style="thin">
        <color rgb="FFA6A6A6"/>
      </left>
      <right style="thin">
        <color rgb="FF000000"/>
      </right>
      <top/>
      <bottom style="thin">
        <color rgb="FFA6A6A6"/>
      </bottom>
      <diagonal/>
    </border>
    <border>
      <left style="thin">
        <color rgb="FF000000"/>
      </left>
      <right style="thin">
        <color rgb="FFA6A6A6"/>
      </right>
      <top/>
      <bottom style="thin">
        <color rgb="FFA6A6A6"/>
      </bottom>
      <diagonal/>
    </border>
    <border>
      <left style="thin">
        <color rgb="FFA6A6A6"/>
      </left>
      <right style="medium">
        <color rgb="FF000000"/>
      </right>
      <top/>
      <bottom style="thin">
        <color rgb="FFA6A6A6"/>
      </bottom>
      <diagonal/>
    </border>
    <border>
      <left style="thin">
        <color rgb="FF000000"/>
      </left>
      <right style="thin">
        <color rgb="FFA6A6A6"/>
      </right>
      <top style="medium">
        <color rgb="FF000000"/>
      </top>
      <bottom style="thin">
        <color rgb="FFA6A6A6"/>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BFBFBF"/>
      </right>
      <top style="medium">
        <color rgb="FF000000"/>
      </top>
      <bottom style="thin">
        <color rgb="FFBFBFBF"/>
      </bottom>
      <diagonal/>
    </border>
    <border>
      <left/>
      <right style="thin">
        <color rgb="FFBFBFBF"/>
      </right>
      <top style="thin">
        <color rgb="FFBFBFBF"/>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top style="medium">
        <color rgb="FF000000"/>
      </top>
      <bottom style="thin">
        <color rgb="FF000000"/>
      </bottom>
      <diagonal/>
    </border>
    <border>
      <left style="thin">
        <color rgb="FFA6A6A6"/>
      </left>
      <right style="thin">
        <color rgb="FF000000"/>
      </right>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A6A6A6"/>
      </bottom>
      <diagonal/>
    </border>
    <border>
      <left/>
      <right/>
      <top style="thin">
        <color rgb="FF000000"/>
      </top>
      <bottom style="thin">
        <color rgb="FFA6A6A6"/>
      </bottom>
      <diagonal/>
    </border>
    <border>
      <left/>
      <right style="thin">
        <color rgb="FF000000"/>
      </right>
      <top style="thin">
        <color rgb="FF000000"/>
      </top>
      <bottom style="thin">
        <color rgb="FFA6A6A6"/>
      </bottom>
      <diagonal/>
    </border>
    <border>
      <left style="thin">
        <color rgb="FF000000"/>
      </left>
      <right/>
      <top style="thin">
        <color rgb="FF000000"/>
      </top>
      <bottom style="thin">
        <color rgb="FFA6A6A6"/>
      </bottom>
      <diagonal/>
    </border>
    <border>
      <left/>
      <right style="medium">
        <color rgb="FF000000"/>
      </right>
      <top style="thin">
        <color rgb="FF000000"/>
      </top>
      <bottom style="thin">
        <color rgb="FFA6A6A6"/>
      </bottom>
      <diagonal/>
    </border>
    <border>
      <left style="thin">
        <color rgb="FFA6A6A6"/>
      </left>
      <right style="medium">
        <color rgb="FF000000"/>
      </right>
      <top style="thin">
        <color rgb="FFA6A6A6"/>
      </top>
      <bottom style="medium">
        <color rgb="FF000000"/>
      </bottom>
      <diagonal/>
    </border>
    <border>
      <left style="medium">
        <color rgb="FF000000"/>
      </left>
      <right/>
      <top style="medium">
        <color rgb="FF000000"/>
      </top>
      <bottom style="medium">
        <color rgb="FFFF0000"/>
      </bottom>
      <diagonal/>
    </border>
    <border>
      <left/>
      <right/>
      <top style="medium">
        <color rgb="FF000000"/>
      </top>
      <bottom style="medium">
        <color rgb="FFFF0000"/>
      </bottom>
      <diagonal/>
    </border>
    <border>
      <left/>
      <right style="medium">
        <color rgb="FF000000"/>
      </right>
      <top style="medium">
        <color rgb="FF000000"/>
      </top>
      <bottom style="medium">
        <color rgb="FFFF0000"/>
      </bottom>
      <diagonal/>
    </border>
    <border>
      <left style="medium">
        <color rgb="FFFF0000"/>
      </left>
      <right/>
      <top style="medium">
        <color rgb="FFFF0000"/>
      </top>
      <bottom style="medium">
        <color rgb="FF000000"/>
      </bottom>
      <diagonal/>
    </border>
    <border>
      <left/>
      <right/>
      <top style="medium">
        <color rgb="FFFF0000"/>
      </top>
      <bottom style="medium">
        <color rgb="FF000000"/>
      </bottom>
      <diagonal/>
    </border>
    <border>
      <left/>
      <right style="medium">
        <color rgb="FFFF0000"/>
      </right>
      <top style="medium">
        <color rgb="FFFF0000"/>
      </top>
      <bottom style="medium">
        <color rgb="FF000000"/>
      </bottom>
      <diagonal/>
    </border>
    <border>
      <left style="medium">
        <color rgb="FFFF0000"/>
      </left>
      <right/>
      <top/>
      <bottom style="medium">
        <color rgb="FF000000"/>
      </bottom>
      <diagonal/>
    </border>
    <border>
      <left/>
      <right style="medium">
        <color rgb="FFFF0000"/>
      </right>
      <top/>
      <bottom style="medium">
        <color rgb="FF000000"/>
      </bottom>
      <diagonal/>
    </border>
    <border>
      <left style="medium">
        <color rgb="FFFF0000"/>
      </left>
      <right/>
      <top style="medium">
        <color rgb="FF000000"/>
      </top>
      <bottom style="medium">
        <color rgb="FF000000"/>
      </bottom>
      <diagonal/>
    </border>
    <border>
      <left/>
      <right style="thin">
        <color rgb="FF000000"/>
      </right>
      <top/>
      <bottom/>
      <diagonal/>
    </border>
    <border>
      <left style="thin">
        <color rgb="FF000000"/>
      </left>
      <right/>
      <top style="thin">
        <color rgb="FF000000"/>
      </top>
      <bottom style="thin">
        <color rgb="FFBFBFBF"/>
      </bottom>
      <diagonal/>
    </border>
    <border>
      <left/>
      <right/>
      <top style="thin">
        <color rgb="FF000000"/>
      </top>
      <bottom style="thin">
        <color rgb="FFBFBFBF"/>
      </bottom>
      <diagonal/>
    </border>
    <border>
      <left/>
      <right style="thin">
        <color rgb="FF000000"/>
      </right>
      <top style="thin">
        <color rgb="FF000000"/>
      </top>
      <bottom style="thin">
        <color rgb="FFBFBFBF"/>
      </bottom>
      <diagonal/>
    </border>
    <border>
      <left style="thin">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thin">
        <color rgb="FF000000"/>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A6A6A6"/>
      </right>
      <top style="medium">
        <color rgb="FF000000"/>
      </top>
      <bottom style="thin">
        <color rgb="FFA6A6A6"/>
      </bottom>
      <diagonal/>
    </border>
    <border>
      <left style="thin">
        <color rgb="FFA6A6A6"/>
      </left>
      <right style="thin">
        <color rgb="FF000000"/>
      </right>
      <top style="medium">
        <color rgb="FF000000"/>
      </top>
      <bottom style="thin">
        <color rgb="FFA6A6A6"/>
      </bottom>
      <diagonal/>
    </border>
  </borders>
  <cellStyleXfs count="1">
    <xf numFmtId="0" fontId="0" fillId="0" borderId="0"/>
  </cellStyleXfs>
  <cellXfs count="1104">
    <xf numFmtId="0" fontId="0" fillId="0" borderId="0" xfId="0"/>
    <xf numFmtId="0" fontId="1" fillId="0" borderId="0" xfId="0" applyFont="1"/>
    <xf numFmtId="0" fontId="1" fillId="0" borderId="0" xfId="0" applyFont="1" applyAlignment="1">
      <alignment vertical="center"/>
    </xf>
    <xf numFmtId="0" fontId="2" fillId="2" borderId="0" xfId="0" applyFont="1" applyFill="1"/>
    <xf numFmtId="0" fontId="2" fillId="2" borderId="0" xfId="0" applyFont="1" applyFill="1" applyAlignment="1">
      <alignment horizontal="center"/>
    </xf>
    <xf numFmtId="1" fontId="2" fillId="2" borderId="0" xfId="0" applyNumberFormat="1" applyFont="1" applyFill="1"/>
    <xf numFmtId="49" fontId="2" fillId="2" borderId="0" xfId="0" applyNumberFormat="1" applyFont="1" applyFill="1"/>
    <xf numFmtId="0" fontId="1" fillId="0" borderId="1" xfId="0" applyFont="1" applyBorder="1"/>
    <xf numFmtId="0" fontId="1" fillId="0" borderId="2" xfId="0" applyFont="1" applyBorder="1"/>
    <xf numFmtId="0" fontId="1" fillId="0" borderId="3" xfId="0" applyFont="1" applyBorder="1"/>
    <xf numFmtId="0" fontId="2" fillId="2" borderId="4" xfId="0" applyFont="1" applyFill="1" applyBorder="1"/>
    <xf numFmtId="0" fontId="3" fillId="3" borderId="0" xfId="0" applyFont="1" applyFill="1" applyAlignment="1">
      <alignment vertical="center" wrapText="1"/>
    </xf>
    <xf numFmtId="0" fontId="3" fillId="2"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2" borderId="0" xfId="0" applyFont="1" applyFill="1" applyAlignment="1">
      <alignment vertical="center"/>
    </xf>
    <xf numFmtId="1" fontId="2" fillId="2" borderId="0" xfId="0" applyNumberFormat="1" applyFont="1" applyFill="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wrapText="1"/>
    </xf>
    <xf numFmtId="0" fontId="3" fillId="5" borderId="13" xfId="0" applyFont="1" applyFill="1" applyBorder="1" applyAlignment="1">
      <alignment vertical="center" wrapText="1"/>
    </xf>
    <xf numFmtId="0" fontId="0" fillId="0" borderId="0" xfId="0" applyAlignment="1">
      <alignment vertical="center"/>
    </xf>
    <xf numFmtId="0" fontId="1" fillId="0" borderId="14" xfId="0" applyFont="1" applyBorder="1" applyAlignment="1">
      <alignment horizontal="left" vertical="center"/>
    </xf>
    <xf numFmtId="0" fontId="1" fillId="0" borderId="0" xfId="0" applyFont="1" applyAlignment="1">
      <alignment horizontal="center"/>
    </xf>
    <xf numFmtId="0" fontId="1" fillId="6" borderId="14" xfId="0" applyFont="1" applyFill="1" applyBorder="1"/>
    <xf numFmtId="0" fontId="1" fillId="7" borderId="15" xfId="0" applyFont="1" applyFill="1" applyBorder="1" applyAlignment="1">
      <alignment horizontal="center" wrapText="1"/>
    </xf>
    <xf numFmtId="0" fontId="5" fillId="7" borderId="15" xfId="0" applyFont="1" applyFill="1" applyBorder="1" applyAlignment="1">
      <alignment horizontal="center" vertical="center"/>
    </xf>
    <xf numFmtId="0" fontId="1" fillId="8" borderId="16" xfId="0" applyFont="1" applyFill="1" applyBorder="1" applyAlignment="1">
      <alignment horizontal="center"/>
    </xf>
    <xf numFmtId="0" fontId="1" fillId="8" borderId="0" xfId="0" applyFont="1" applyFill="1" applyAlignment="1">
      <alignment horizontal="center"/>
    </xf>
    <xf numFmtId="0" fontId="1" fillId="8" borderId="15"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0" borderId="18" xfId="0" applyFont="1" applyBorder="1" applyAlignment="1">
      <alignment horizontal="left" vertical="center"/>
    </xf>
    <xf numFmtId="0" fontId="1" fillId="6" borderId="18" xfId="0" applyFont="1" applyFill="1" applyBorder="1"/>
    <xf numFmtId="0" fontId="1" fillId="7" borderId="1" xfId="0" applyFont="1" applyFill="1" applyBorder="1" applyAlignment="1">
      <alignment horizontal="center" wrapText="1"/>
    </xf>
    <xf numFmtId="0" fontId="1" fillId="8" borderId="1" xfId="0" applyFont="1" applyFill="1" applyBorder="1" applyAlignment="1">
      <alignment horizontal="center" vertical="center" wrapText="1"/>
    </xf>
    <xf numFmtId="0" fontId="1" fillId="0" borderId="19" xfId="0" applyFont="1" applyBorder="1"/>
    <xf numFmtId="0" fontId="1" fillId="0" borderId="20" xfId="0" applyFont="1" applyBorder="1"/>
    <xf numFmtId="0" fontId="1" fillId="0" borderId="14" xfId="0" applyFont="1" applyBorder="1"/>
    <xf numFmtId="0" fontId="1" fillId="0" borderId="21" xfId="0" applyFont="1" applyBorder="1"/>
    <xf numFmtId="0" fontId="1" fillId="0" borderId="22" xfId="0" applyFont="1" applyBorder="1" applyAlignment="1">
      <alignment vertical="center"/>
    </xf>
    <xf numFmtId="0" fontId="1" fillId="0" borderId="1" xfId="0" applyFont="1" applyBorder="1" applyAlignment="1">
      <alignment vertical="center"/>
    </xf>
    <xf numFmtId="0" fontId="1" fillId="0" borderId="23" xfId="0" applyFont="1" applyBorder="1"/>
    <xf numFmtId="0" fontId="1" fillId="6" borderId="23" xfId="0" applyFont="1" applyFill="1" applyBorder="1"/>
    <xf numFmtId="0" fontId="1" fillId="0" borderId="24" xfId="0" applyFont="1" applyBorder="1" applyAlignment="1">
      <alignment vertical="center"/>
    </xf>
    <xf numFmtId="0" fontId="1" fillId="2" borderId="22" xfId="0" applyFont="1" applyFill="1" applyBorder="1"/>
    <xf numFmtId="0" fontId="1" fillId="2" borderId="25" xfId="0" applyFont="1" applyFill="1" applyBorder="1" applyAlignment="1">
      <alignment vertical="center"/>
    </xf>
    <xf numFmtId="0" fontId="1" fillId="0" borderId="26" xfId="0" applyFont="1" applyBorder="1" applyAlignment="1">
      <alignment horizontal="left" vertical="center"/>
    </xf>
    <xf numFmtId="0" fontId="1" fillId="9" borderId="27" xfId="0" applyFont="1" applyFill="1" applyBorder="1" applyAlignment="1">
      <alignment horizontal="center" vertical="center"/>
    </xf>
    <xf numFmtId="0" fontId="4" fillId="8" borderId="7" xfId="0" applyFont="1" applyFill="1" applyBorder="1"/>
    <xf numFmtId="0" fontId="1" fillId="9" borderId="28" xfId="0" applyFont="1" applyFill="1" applyBorder="1" applyAlignment="1">
      <alignment horizontal="center" vertical="center"/>
    </xf>
    <xf numFmtId="0" fontId="2" fillId="8" borderId="29" xfId="0" applyFont="1" applyFill="1" applyBorder="1"/>
    <xf numFmtId="0" fontId="1" fillId="2" borderId="14" xfId="0" applyFont="1" applyFill="1" applyBorder="1" applyAlignment="1">
      <alignment horizontal="left" vertical="center"/>
    </xf>
    <xf numFmtId="0" fontId="2" fillId="8" borderId="30" xfId="0" applyFont="1" applyFill="1" applyBorder="1"/>
    <xf numFmtId="0" fontId="1" fillId="2" borderId="20" xfId="0" applyFont="1" applyFill="1" applyBorder="1" applyAlignment="1">
      <alignment horizontal="left" vertical="center"/>
    </xf>
    <xf numFmtId="0" fontId="1" fillId="0" borderId="31" xfId="0" applyFont="1" applyBorder="1" applyAlignment="1">
      <alignment vertical="center"/>
    </xf>
    <xf numFmtId="0" fontId="1" fillId="7" borderId="32" xfId="0" applyFont="1" applyFill="1" applyBorder="1" applyAlignment="1">
      <alignment horizontal="center" wrapText="1"/>
    </xf>
    <xf numFmtId="0" fontId="1" fillId="0" borderId="32" xfId="0" applyFont="1" applyBorder="1" applyAlignment="1">
      <alignment vertical="center"/>
    </xf>
    <xf numFmtId="0" fontId="1" fillId="0" borderId="32" xfId="0" applyFont="1" applyBorder="1"/>
    <xf numFmtId="0" fontId="1" fillId="0" borderId="33" xfId="0" applyFont="1" applyBorder="1"/>
    <xf numFmtId="0" fontId="1" fillId="2" borderId="34" xfId="0" applyFont="1" applyFill="1" applyBorder="1"/>
    <xf numFmtId="0" fontId="1" fillId="8" borderId="32" xfId="0" applyFont="1" applyFill="1" applyBorder="1" applyAlignment="1">
      <alignment horizontal="center" vertical="center" wrapText="1"/>
    </xf>
    <xf numFmtId="0" fontId="1" fillId="0" borderId="35" xfId="0" applyFont="1" applyBorder="1"/>
    <xf numFmtId="0" fontId="1" fillId="2" borderId="18" xfId="0" applyFont="1" applyFill="1" applyBorder="1" applyAlignment="1">
      <alignment horizontal="left" vertical="center"/>
    </xf>
    <xf numFmtId="0" fontId="2" fillId="8" borderId="36" xfId="0" applyFont="1" applyFill="1" applyBorder="1"/>
    <xf numFmtId="0" fontId="1" fillId="0" borderId="16" xfId="0" applyFont="1" applyBorder="1" applyAlignment="1">
      <alignment vertical="center"/>
    </xf>
    <xf numFmtId="0" fontId="1" fillId="0" borderId="37" xfId="0" applyFont="1" applyBorder="1"/>
    <xf numFmtId="0" fontId="2" fillId="8" borderId="7" xfId="0" applyFont="1" applyFill="1" applyBorder="1" applyAlignment="1">
      <alignment horizontal="left" vertical="top" wrapText="1"/>
    </xf>
    <xf numFmtId="0" fontId="1" fillId="2" borderId="23" xfId="0" applyFont="1" applyFill="1" applyBorder="1" applyAlignment="1">
      <alignment horizontal="left" vertical="center"/>
    </xf>
    <xf numFmtId="0" fontId="4" fillId="8" borderId="38" xfId="0" applyFont="1" applyFill="1" applyBorder="1"/>
    <xf numFmtId="0" fontId="1" fillId="2" borderId="39" xfId="0" applyFont="1" applyFill="1" applyBorder="1" applyAlignment="1">
      <alignment horizontal="left" vertical="center"/>
    </xf>
    <xf numFmtId="0" fontId="2" fillId="8" borderId="40" xfId="0" applyFont="1" applyFill="1" applyBorder="1"/>
    <xf numFmtId="0" fontId="2" fillId="8" borderId="41" xfId="0" applyFont="1" applyFill="1" applyBorder="1"/>
    <xf numFmtId="0" fontId="1" fillId="6" borderId="36" xfId="0" applyFont="1" applyFill="1" applyBorder="1"/>
    <xf numFmtId="0" fontId="1" fillId="8" borderId="42" xfId="0" applyFont="1" applyFill="1" applyBorder="1" applyAlignment="1">
      <alignment horizontal="center"/>
    </xf>
    <xf numFmtId="0" fontId="1" fillId="0" borderId="43" xfId="0" applyFont="1" applyBorder="1"/>
    <xf numFmtId="0" fontId="1" fillId="8" borderId="43" xfId="0" applyFont="1" applyFill="1" applyBorder="1" applyAlignment="1">
      <alignment horizontal="center" vertical="center" wrapText="1"/>
    </xf>
    <xf numFmtId="0" fontId="1" fillId="8" borderId="44" xfId="0" applyFont="1" applyFill="1" applyBorder="1" applyAlignment="1">
      <alignment horizontal="center" vertical="center" wrapText="1"/>
    </xf>
    <xf numFmtId="0" fontId="1" fillId="2" borderId="45" xfId="0" applyFont="1" applyFill="1" applyBorder="1" applyAlignment="1">
      <alignment vertical="top"/>
    </xf>
    <xf numFmtId="0" fontId="2" fillId="8" borderId="46" xfId="0" applyFont="1" applyFill="1" applyBorder="1"/>
    <xf numFmtId="0" fontId="2" fillId="8" borderId="47" xfId="0" applyFont="1" applyFill="1" applyBorder="1"/>
    <xf numFmtId="0" fontId="1" fillId="8" borderId="22" xfId="0" applyFont="1" applyFill="1" applyBorder="1" applyAlignment="1">
      <alignment horizontal="center"/>
    </xf>
    <xf numFmtId="0" fontId="1" fillId="8" borderId="2" xfId="0" applyFont="1" applyFill="1" applyBorder="1" applyAlignment="1">
      <alignment horizontal="center" vertical="center" wrapText="1"/>
    </xf>
    <xf numFmtId="0" fontId="1" fillId="2" borderId="48" xfId="0" applyFont="1" applyFill="1" applyBorder="1" applyAlignment="1">
      <alignment vertical="top"/>
    </xf>
    <xf numFmtId="0" fontId="2" fillId="8" borderId="49" xfId="0" applyFont="1" applyFill="1" applyBorder="1"/>
    <xf numFmtId="0" fontId="1" fillId="2" borderId="50" xfId="0" applyFont="1" applyFill="1" applyBorder="1" applyAlignment="1">
      <alignmen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2" borderId="36" xfId="0" applyFont="1" applyFill="1" applyBorder="1" applyAlignment="1">
      <alignment vertical="center"/>
    </xf>
    <xf numFmtId="0" fontId="2" fillId="8" borderId="39" xfId="0" applyFont="1" applyFill="1" applyBorder="1"/>
    <xf numFmtId="0" fontId="2" fillId="8" borderId="51" xfId="0" applyFont="1" applyFill="1" applyBorder="1"/>
    <xf numFmtId="0" fontId="1" fillId="8" borderId="52" xfId="0" applyFont="1" applyFill="1" applyBorder="1" applyAlignment="1">
      <alignment horizontal="center"/>
    </xf>
    <xf numFmtId="0" fontId="1" fillId="0" borderId="53" xfId="0" applyFont="1" applyBorder="1"/>
    <xf numFmtId="0" fontId="1" fillId="0" borderId="54" xfId="0" applyFont="1" applyBorder="1"/>
    <xf numFmtId="0" fontId="1" fillId="0" borderId="55" xfId="0" applyFont="1" applyBorder="1"/>
    <xf numFmtId="0" fontId="1" fillId="0" borderId="56" xfId="0" applyFont="1" applyBorder="1"/>
    <xf numFmtId="0" fontId="1" fillId="0" borderId="57" xfId="0" applyFont="1" applyBorder="1"/>
    <xf numFmtId="0" fontId="2" fillId="2" borderId="57" xfId="0" applyFont="1" applyFill="1" applyBorder="1"/>
    <xf numFmtId="0" fontId="2" fillId="2" borderId="57" xfId="0" applyFont="1" applyFill="1" applyBorder="1" applyAlignment="1">
      <alignment horizontal="center"/>
    </xf>
    <xf numFmtId="1" fontId="2" fillId="2" borderId="57" xfId="0" applyNumberFormat="1" applyFont="1" applyFill="1" applyBorder="1"/>
    <xf numFmtId="0" fontId="1" fillId="0" borderId="58" xfId="0" applyFont="1" applyBorder="1"/>
    <xf numFmtId="0" fontId="4" fillId="5" borderId="59" xfId="0" applyFont="1" applyFill="1" applyBorder="1" applyAlignment="1">
      <alignment vertical="center"/>
    </xf>
    <xf numFmtId="0" fontId="1" fillId="5" borderId="60" xfId="0" applyFont="1" applyFill="1" applyBorder="1"/>
    <xf numFmtId="0" fontId="2" fillId="5" borderId="60" xfId="0" applyFont="1" applyFill="1" applyBorder="1"/>
    <xf numFmtId="0" fontId="2" fillId="5" borderId="61" xfId="0" applyFont="1" applyFill="1" applyBorder="1" applyAlignment="1">
      <alignment horizontal="center"/>
    </xf>
    <xf numFmtId="0" fontId="3" fillId="10" borderId="62" xfId="0" applyFont="1" applyFill="1" applyBorder="1" applyAlignment="1">
      <alignment vertical="center" wrapText="1"/>
    </xf>
    <xf numFmtId="0" fontId="3" fillId="10" borderId="63" xfId="0" applyFont="1" applyFill="1" applyBorder="1" applyAlignment="1">
      <alignment vertical="center" wrapText="1"/>
    </xf>
    <xf numFmtId="0" fontId="3" fillId="10" borderId="64" xfId="0" applyFont="1" applyFill="1" applyBorder="1" applyAlignment="1">
      <alignment vertical="center" wrapText="1"/>
    </xf>
    <xf numFmtId="0" fontId="4" fillId="11" borderId="8" xfId="0" applyFont="1" applyFill="1" applyBorder="1" applyAlignment="1">
      <alignment horizontal="center" wrapText="1"/>
    </xf>
    <xf numFmtId="0" fontId="1" fillId="11" borderId="9" xfId="0" applyFont="1" applyFill="1" applyBorder="1"/>
    <xf numFmtId="0" fontId="4" fillId="11" borderId="9" xfId="0" applyFont="1" applyFill="1" applyBorder="1" applyAlignment="1">
      <alignment wrapText="1"/>
    </xf>
    <xf numFmtId="0" fontId="4" fillId="11" borderId="65" xfId="0" applyFont="1" applyFill="1" applyBorder="1" applyAlignment="1">
      <alignment wrapText="1"/>
    </xf>
    <xf numFmtId="0" fontId="3" fillId="12" borderId="66" xfId="0" applyFont="1" applyFill="1" applyBorder="1"/>
    <xf numFmtId="0" fontId="3" fillId="12" borderId="8" xfId="0" applyFont="1" applyFill="1" applyBorder="1" applyAlignment="1">
      <alignment horizontal="center" vertical="center"/>
    </xf>
    <xf numFmtId="0" fontId="3" fillId="12" borderId="12" xfId="0" applyFont="1" applyFill="1" applyBorder="1" applyAlignment="1">
      <alignment horizontal="center" vertical="center"/>
    </xf>
    <xf numFmtId="0" fontId="3" fillId="13" borderId="67" xfId="0" applyFont="1" applyFill="1" applyBorder="1" applyAlignment="1">
      <alignment horizontal="center" vertical="center"/>
    </xf>
    <xf numFmtId="0" fontId="4" fillId="13" borderId="68" xfId="0" applyFont="1" applyFill="1" applyBorder="1" applyAlignment="1">
      <alignment horizontal="center" vertical="center"/>
    </xf>
    <xf numFmtId="0" fontId="2" fillId="10" borderId="69" xfId="0" applyFont="1" applyFill="1" applyBorder="1" applyAlignment="1">
      <alignment horizontal="center" vertical="center"/>
    </xf>
    <xf numFmtId="49" fontId="2" fillId="10" borderId="70" xfId="0" applyNumberFormat="1" applyFont="1" applyFill="1" applyBorder="1"/>
    <xf numFmtId="0" fontId="2" fillId="10" borderId="71" xfId="0" applyFont="1" applyFill="1" applyBorder="1" applyAlignment="1">
      <alignment horizontal="center" vertical="center"/>
    </xf>
    <xf numFmtId="0" fontId="6" fillId="11" borderId="72" xfId="0" applyFont="1" applyFill="1" applyBorder="1" applyAlignment="1">
      <alignment horizontal="center"/>
    </xf>
    <xf numFmtId="0" fontId="7" fillId="14" borderId="15" xfId="0" quotePrefix="1" applyFont="1" applyFill="1" applyBorder="1"/>
    <xf numFmtId="0" fontId="2" fillId="15" borderId="15" xfId="0" applyFont="1" applyFill="1" applyBorder="1" applyAlignment="1">
      <alignment horizontal="center"/>
    </xf>
    <xf numFmtId="0" fontId="8" fillId="14" borderId="15" xfId="0" quotePrefix="1" applyFont="1" applyFill="1" applyBorder="1" applyAlignment="1">
      <alignment horizontal="left"/>
    </xf>
    <xf numFmtId="0" fontId="2" fillId="15" borderId="73" xfId="0" applyFont="1" applyFill="1" applyBorder="1" applyAlignment="1">
      <alignment horizontal="center"/>
    </xf>
    <xf numFmtId="0" fontId="9" fillId="0" borderId="74" xfId="0" applyFont="1" applyBorder="1"/>
    <xf numFmtId="0" fontId="1" fillId="12" borderId="72" xfId="0" applyFont="1" applyFill="1" applyBorder="1" applyAlignment="1">
      <alignment horizontal="center" vertical="center"/>
    </xf>
    <xf numFmtId="0" fontId="1" fillId="12" borderId="75" xfId="0" applyFont="1" applyFill="1" applyBorder="1" applyAlignment="1">
      <alignment horizontal="center" vertical="center"/>
    </xf>
    <xf numFmtId="0" fontId="1" fillId="13" borderId="0" xfId="0" applyFont="1" applyFill="1" applyAlignment="1">
      <alignment horizontal="center" vertical="center"/>
    </xf>
    <xf numFmtId="0" fontId="1" fillId="13" borderId="76" xfId="0" applyFont="1" applyFill="1" applyBorder="1" applyAlignment="1">
      <alignment horizontal="center" vertical="center"/>
    </xf>
    <xf numFmtId="0" fontId="2" fillId="10" borderId="77" xfId="0" applyFont="1" applyFill="1" applyBorder="1" applyAlignment="1">
      <alignment horizontal="center" vertical="center"/>
    </xf>
    <xf numFmtId="49" fontId="2" fillId="10" borderId="78" xfId="0" applyNumberFormat="1" applyFont="1" applyFill="1" applyBorder="1"/>
    <xf numFmtId="0" fontId="2" fillId="10" borderId="79" xfId="0" applyFont="1" applyFill="1" applyBorder="1" applyAlignment="1">
      <alignment horizontal="center" vertical="center"/>
    </xf>
    <xf numFmtId="0" fontId="2" fillId="11" borderId="24" xfId="0" applyFont="1" applyFill="1" applyBorder="1" applyAlignment="1">
      <alignment horizontal="center"/>
    </xf>
    <xf numFmtId="0" fontId="7" fillId="14" borderId="1" xfId="0" quotePrefix="1" applyFont="1" applyFill="1" applyBorder="1"/>
    <xf numFmtId="0" fontId="2" fillId="15" borderId="1" xfId="0" applyFont="1" applyFill="1" applyBorder="1" applyAlignment="1">
      <alignment horizontal="center"/>
    </xf>
    <xf numFmtId="0" fontId="8" fillId="14" borderId="1" xfId="0" quotePrefix="1" applyFont="1" applyFill="1" applyBorder="1" applyAlignment="1">
      <alignment horizontal="left"/>
    </xf>
    <xf numFmtId="0" fontId="2" fillId="15" borderId="80" xfId="0" applyFont="1" applyFill="1" applyBorder="1" applyAlignment="1">
      <alignment horizontal="center"/>
    </xf>
    <xf numFmtId="0" fontId="1" fillId="12" borderId="24" xfId="0" applyFont="1" applyFill="1" applyBorder="1" applyAlignment="1">
      <alignment horizontal="center" vertical="center"/>
    </xf>
    <xf numFmtId="0" fontId="1" fillId="12" borderId="2" xfId="0" applyFont="1" applyFill="1" applyBorder="1" applyAlignment="1">
      <alignment horizontal="center" vertical="center"/>
    </xf>
    <xf numFmtId="0" fontId="1" fillId="0" borderId="74" xfId="0" applyFont="1" applyBorder="1"/>
    <xf numFmtId="0" fontId="2" fillId="10" borderId="81" xfId="0" applyFont="1" applyFill="1" applyBorder="1" applyAlignment="1">
      <alignment horizontal="center" vertical="center"/>
    </xf>
    <xf numFmtId="49" fontId="2" fillId="10" borderId="82" xfId="0" applyNumberFormat="1" applyFont="1" applyFill="1" applyBorder="1"/>
    <xf numFmtId="0" fontId="2" fillId="10" borderId="83" xfId="0" applyFont="1" applyFill="1" applyBorder="1" applyAlignment="1">
      <alignment horizontal="center" vertical="center"/>
    </xf>
    <xf numFmtId="0" fontId="1" fillId="0" borderId="84" xfId="0" applyFont="1" applyBorder="1"/>
    <xf numFmtId="0" fontId="2" fillId="16" borderId="0" xfId="0" applyFont="1" applyFill="1"/>
    <xf numFmtId="0" fontId="2" fillId="16" borderId="0" xfId="0" applyFont="1" applyFill="1" applyAlignment="1">
      <alignment horizontal="center"/>
    </xf>
    <xf numFmtId="1" fontId="2" fillId="16" borderId="0" xfId="0" applyNumberFormat="1" applyFont="1" applyFill="1"/>
    <xf numFmtId="0" fontId="1" fillId="0" borderId="85" xfId="0" applyFont="1" applyBorder="1"/>
    <xf numFmtId="0" fontId="4" fillId="17" borderId="86" xfId="0" applyFont="1" applyFill="1" applyBorder="1" applyAlignment="1">
      <alignment horizontal="center" vertical="top" wrapText="1"/>
    </xf>
    <xf numFmtId="0" fontId="4" fillId="17" borderId="43" xfId="0" applyFont="1" applyFill="1" applyBorder="1" applyAlignment="1">
      <alignment vertical="top" wrapText="1"/>
    </xf>
    <xf numFmtId="0" fontId="4" fillId="17" borderId="44" xfId="0" applyFont="1" applyFill="1" applyBorder="1" applyAlignment="1">
      <alignment vertical="top" wrapText="1"/>
    </xf>
    <xf numFmtId="0" fontId="4" fillId="18" borderId="87" xfId="0" applyFont="1" applyFill="1" applyBorder="1" applyAlignment="1">
      <alignment horizontal="center" vertical="top" wrapText="1"/>
    </xf>
    <xf numFmtId="0" fontId="4" fillId="18" borderId="38" xfId="0" applyFont="1" applyFill="1" applyBorder="1" applyAlignment="1">
      <alignment vertical="top" wrapText="1"/>
    </xf>
    <xf numFmtId="0" fontId="4" fillId="18" borderId="7" xfId="0" applyFont="1" applyFill="1" applyBorder="1" applyAlignment="1">
      <alignment vertical="top" wrapText="1"/>
    </xf>
    <xf numFmtId="49" fontId="1" fillId="19" borderId="88" xfId="0" applyNumberFormat="1" applyFont="1" applyFill="1" applyBorder="1" applyAlignment="1">
      <alignment horizontal="right" indent="1"/>
    </xf>
    <xf numFmtId="49" fontId="1" fillId="17" borderId="1" xfId="0" applyNumberFormat="1" applyFont="1" applyFill="1" applyBorder="1"/>
    <xf numFmtId="49" fontId="1" fillId="17" borderId="1" xfId="0" applyNumberFormat="1" applyFont="1" applyFill="1" applyBorder="1" applyAlignment="1">
      <alignment horizontal="right" indent="1"/>
    </xf>
    <xf numFmtId="49" fontId="1" fillId="19" borderId="2" xfId="0" applyNumberFormat="1" applyFont="1" applyFill="1" applyBorder="1"/>
    <xf numFmtId="49" fontId="1" fillId="20" borderId="89" xfId="0" applyNumberFormat="1" applyFont="1" applyFill="1" applyBorder="1" applyAlignment="1">
      <alignment horizontal="right" indent="1"/>
    </xf>
    <xf numFmtId="49" fontId="1" fillId="18" borderId="90" xfId="0" applyNumberFormat="1" applyFont="1" applyFill="1" applyBorder="1"/>
    <xf numFmtId="49" fontId="1" fillId="21" borderId="91" xfId="0" applyNumberFormat="1" applyFont="1" applyFill="1" applyBorder="1" applyAlignment="1">
      <alignment horizontal="right" indent="1"/>
    </xf>
    <xf numFmtId="49" fontId="1" fillId="22" borderId="92" xfId="0" applyNumberFormat="1" applyFont="1" applyFill="1" applyBorder="1"/>
    <xf numFmtId="49" fontId="1" fillId="20" borderId="93" xfId="0" applyNumberFormat="1" applyFont="1" applyFill="1" applyBorder="1" applyAlignment="1">
      <alignment horizontal="right" indent="1"/>
    </xf>
    <xf numFmtId="49" fontId="1" fillId="18" borderId="30" xfId="0" applyNumberFormat="1" applyFont="1" applyFill="1" applyBorder="1"/>
    <xf numFmtId="49" fontId="1" fillId="22" borderId="18" xfId="0" applyNumberFormat="1" applyFont="1" applyFill="1" applyBorder="1"/>
    <xf numFmtId="0" fontId="1" fillId="0" borderId="94" xfId="0" applyFont="1" applyBorder="1"/>
    <xf numFmtId="0" fontId="1" fillId="12" borderId="95" xfId="0" applyFont="1" applyFill="1" applyBorder="1" applyAlignment="1">
      <alignment horizontal="center" vertical="center"/>
    </xf>
    <xf numFmtId="0" fontId="1" fillId="12" borderId="96" xfId="0" applyFont="1" applyFill="1" applyBorder="1" applyAlignment="1">
      <alignment horizontal="center" vertical="center"/>
    </xf>
    <xf numFmtId="0" fontId="1" fillId="13" borderId="97" xfId="0" applyFont="1" applyFill="1" applyBorder="1" applyAlignment="1">
      <alignment horizontal="center" vertical="center"/>
    </xf>
    <xf numFmtId="0" fontId="1" fillId="13" borderId="98" xfId="0" applyFont="1" applyFill="1" applyBorder="1" applyAlignment="1">
      <alignment horizontal="center" vertical="center"/>
    </xf>
    <xf numFmtId="49" fontId="1" fillId="20" borderId="99" xfId="0" applyNumberFormat="1" applyFont="1" applyFill="1" applyBorder="1" applyAlignment="1">
      <alignment horizontal="right" indent="1"/>
    </xf>
    <xf numFmtId="49" fontId="1" fillId="23" borderId="100" xfId="0" applyNumberFormat="1" applyFont="1" applyFill="1" applyBorder="1" applyAlignment="1">
      <alignment horizontal="center"/>
    </xf>
    <xf numFmtId="49" fontId="1" fillId="4" borderId="101" xfId="0" applyNumberFormat="1" applyFont="1" applyFill="1" applyBorder="1" applyAlignment="1">
      <alignment horizontal="center"/>
    </xf>
    <xf numFmtId="49" fontId="1" fillId="23" borderId="24" xfId="0" applyNumberFormat="1" applyFont="1" applyFill="1" applyBorder="1" applyAlignment="1">
      <alignment horizontal="center"/>
    </xf>
    <xf numFmtId="49" fontId="1" fillId="4" borderId="102" xfId="0" applyNumberFormat="1" applyFont="1" applyFill="1" applyBorder="1" applyAlignment="1">
      <alignment horizontal="center"/>
    </xf>
    <xf numFmtId="49" fontId="1" fillId="20" borderId="103" xfId="0" applyNumberFormat="1" applyFont="1" applyFill="1" applyBorder="1" applyAlignment="1">
      <alignment horizontal="right" indent="1"/>
    </xf>
    <xf numFmtId="49" fontId="1" fillId="18" borderId="36" xfId="0" applyNumberFormat="1" applyFont="1" applyFill="1" applyBorder="1"/>
    <xf numFmtId="49" fontId="1" fillId="21" borderId="104" xfId="0" applyNumberFormat="1" applyFont="1" applyFill="1" applyBorder="1" applyAlignment="1">
      <alignment horizontal="right" indent="1"/>
    </xf>
    <xf numFmtId="49" fontId="1" fillId="22" borderId="105" xfId="0" applyNumberFormat="1" applyFont="1" applyFill="1" applyBorder="1"/>
    <xf numFmtId="49" fontId="1" fillId="19" borderId="106" xfId="0" applyNumberFormat="1" applyFont="1" applyFill="1" applyBorder="1" applyAlignment="1">
      <alignment horizontal="right" indent="1"/>
    </xf>
    <xf numFmtId="49" fontId="1" fillId="17" borderId="107" xfId="0" applyNumberFormat="1" applyFont="1" applyFill="1" applyBorder="1"/>
    <xf numFmtId="49" fontId="1" fillId="17" borderId="107" xfId="0" applyNumberFormat="1" applyFont="1" applyFill="1" applyBorder="1" applyAlignment="1">
      <alignment horizontal="right" indent="1"/>
    </xf>
    <xf numFmtId="49" fontId="1" fillId="19" borderId="108" xfId="0" applyNumberFormat="1" applyFont="1" applyFill="1" applyBorder="1"/>
    <xf numFmtId="0" fontId="1" fillId="0" borderId="109" xfId="0" applyFont="1" applyBorder="1"/>
    <xf numFmtId="49" fontId="1" fillId="23" borderId="31" xfId="0" applyNumberFormat="1" applyFont="1" applyFill="1" applyBorder="1" applyAlignment="1">
      <alignment horizontal="center"/>
    </xf>
    <xf numFmtId="49" fontId="1" fillId="4" borderId="110" xfId="0" applyNumberFormat="1" applyFont="1" applyFill="1" applyBorder="1" applyAlignment="1">
      <alignment horizontal="center"/>
    </xf>
    <xf numFmtId="0" fontId="10" fillId="9" borderId="3" xfId="0" applyFont="1" applyFill="1" applyBorder="1" applyAlignment="1" applyProtection="1">
      <alignment vertical="center"/>
      <protection locked="0"/>
    </xf>
    <xf numFmtId="0" fontId="2" fillId="9" borderId="0" xfId="0" applyFont="1" applyFill="1"/>
    <xf numFmtId="0" fontId="10" fillId="9" borderId="0" xfId="0" applyFont="1" applyFill="1" applyAlignment="1">
      <alignment horizontal="left" vertical="center"/>
    </xf>
    <xf numFmtId="0" fontId="11" fillId="9" borderId="0" xfId="0" applyFont="1" applyFill="1" applyAlignment="1">
      <alignment vertical="center"/>
    </xf>
    <xf numFmtId="0" fontId="10" fillId="9" borderId="0" xfId="0" applyFont="1" applyFill="1" applyAlignment="1">
      <alignment vertical="center"/>
    </xf>
    <xf numFmtId="0" fontId="10" fillId="24" borderId="0" xfId="0" applyFont="1" applyFill="1" applyAlignment="1">
      <alignment vertical="center"/>
    </xf>
    <xf numFmtId="0" fontId="2" fillId="2" borderId="0" xfId="0" applyFont="1" applyFill="1" applyProtection="1">
      <protection locked="0"/>
    </xf>
    <xf numFmtId="0" fontId="3" fillId="25" borderId="0" xfId="0" applyFont="1" applyFill="1" applyAlignment="1">
      <alignment vertical="center"/>
    </xf>
    <xf numFmtId="0" fontId="1" fillId="25" borderId="0" xfId="0" applyFont="1" applyFill="1" applyAlignment="1">
      <alignment vertical="center"/>
    </xf>
    <xf numFmtId="0" fontId="9" fillId="2" borderId="0" xfId="0" applyFont="1" applyFill="1" applyAlignment="1">
      <alignment horizontal="left" vertical="top" wrapText="1"/>
    </xf>
    <xf numFmtId="0" fontId="1" fillId="2" borderId="0" xfId="0" applyFont="1" applyFill="1" applyAlignment="1">
      <alignment horizontal="left" vertical="top" wrapText="1"/>
    </xf>
    <xf numFmtId="0" fontId="12" fillId="9" borderId="0" xfId="0" applyFont="1" applyFill="1"/>
    <xf numFmtId="0" fontId="1" fillId="2" borderId="0" xfId="0" applyFont="1" applyFill="1"/>
    <xf numFmtId="0" fontId="1" fillId="26" borderId="111" xfId="0" applyFont="1" applyFill="1" applyBorder="1" applyAlignment="1" applyProtection="1">
      <alignment horizontal="left"/>
      <protection locked="0"/>
    </xf>
    <xf numFmtId="0" fontId="1" fillId="27" borderId="111" xfId="0" applyFont="1" applyFill="1" applyBorder="1" applyAlignment="1" applyProtection="1">
      <alignment horizontal="left"/>
      <protection locked="0"/>
    </xf>
    <xf numFmtId="0" fontId="1" fillId="27" borderId="5" xfId="0" applyFont="1" applyFill="1" applyBorder="1" applyAlignment="1" applyProtection="1">
      <alignment horizontal="left" vertical="center"/>
      <protection locked="0"/>
    </xf>
    <xf numFmtId="0" fontId="1" fillId="27" borderId="112" xfId="0" applyFont="1" applyFill="1" applyBorder="1" applyAlignment="1" applyProtection="1">
      <alignment horizontal="left" vertical="center" wrapText="1"/>
      <protection locked="0"/>
    </xf>
    <xf numFmtId="164" fontId="1" fillId="27" borderId="112" xfId="0" applyNumberFormat="1" applyFont="1" applyFill="1" applyBorder="1" applyAlignment="1" applyProtection="1">
      <alignment horizontal="left" vertical="center"/>
      <protection locked="0"/>
    </xf>
    <xf numFmtId="164" fontId="1" fillId="27" borderId="5" xfId="0" applyNumberFormat="1" applyFont="1" applyFill="1" applyBorder="1" applyAlignment="1" applyProtection="1">
      <alignment horizontal="left" vertical="center"/>
      <protection locked="0"/>
    </xf>
    <xf numFmtId="0" fontId="13" fillId="0" borderId="0" xfId="0" applyFont="1"/>
    <xf numFmtId="0" fontId="3" fillId="28" borderId="7" xfId="0" applyFont="1" applyFill="1" applyBorder="1" applyAlignment="1" applyProtection="1">
      <alignment horizontal="center" vertical="center"/>
      <protection locked="0"/>
    </xf>
    <xf numFmtId="0" fontId="1" fillId="0" borderId="0" xfId="0" applyFont="1" applyAlignment="1">
      <alignment horizontal="left"/>
    </xf>
    <xf numFmtId="0" fontId="1" fillId="0" borderId="0" xfId="0" quotePrefix="1" applyFont="1"/>
    <xf numFmtId="0" fontId="14" fillId="0" borderId="0" xfId="0" applyFont="1" applyAlignment="1">
      <alignment horizontal="left"/>
    </xf>
    <xf numFmtId="0" fontId="1" fillId="29" borderId="113" xfId="0" applyFont="1" applyFill="1" applyBorder="1"/>
    <xf numFmtId="0" fontId="15" fillId="29" borderId="114" xfId="0" applyFont="1" applyFill="1" applyBorder="1" applyAlignment="1">
      <alignment vertical="top"/>
    </xf>
    <xf numFmtId="0" fontId="2" fillId="29" borderId="3" xfId="0" applyFont="1" applyFill="1" applyBorder="1"/>
    <xf numFmtId="0" fontId="2" fillId="29" borderId="4" xfId="0" applyFont="1" applyFill="1" applyBorder="1"/>
    <xf numFmtId="0" fontId="1" fillId="29" borderId="115" xfId="0" applyFont="1" applyFill="1" applyBorder="1"/>
    <xf numFmtId="0" fontId="3" fillId="27" borderId="7" xfId="0" applyFont="1" applyFill="1" applyBorder="1" applyProtection="1">
      <protection locked="0"/>
    </xf>
    <xf numFmtId="0" fontId="2" fillId="29" borderId="0" xfId="0" applyFont="1" applyFill="1"/>
    <xf numFmtId="0" fontId="2" fillId="29" borderId="116" xfId="0" applyFont="1" applyFill="1" applyBorder="1"/>
    <xf numFmtId="0" fontId="1" fillId="29" borderId="117" xfId="0" applyFont="1" applyFill="1" applyBorder="1" applyAlignment="1">
      <alignment vertical="center"/>
    </xf>
    <xf numFmtId="0" fontId="7" fillId="29" borderId="116" xfId="0" applyFont="1" applyFill="1" applyBorder="1" applyAlignment="1">
      <alignment vertical="top"/>
    </xf>
    <xf numFmtId="0" fontId="1" fillId="29" borderId="118" xfId="0" applyFont="1" applyFill="1" applyBorder="1"/>
    <xf numFmtId="0" fontId="1" fillId="27" borderId="105" xfId="0" applyFont="1" applyFill="1" applyBorder="1" applyAlignment="1" applyProtection="1">
      <alignment horizontal="center"/>
      <protection locked="0"/>
    </xf>
    <xf numFmtId="0" fontId="2" fillId="29" borderId="103" xfId="0" applyFont="1" applyFill="1" applyBorder="1"/>
    <xf numFmtId="0" fontId="2" fillId="29" borderId="119" xfId="0" applyFont="1" applyFill="1" applyBorder="1"/>
    <xf numFmtId="0" fontId="1" fillId="29" borderId="100" xfId="0" applyFont="1" applyFill="1" applyBorder="1" applyAlignment="1">
      <alignment vertical="top"/>
    </xf>
    <xf numFmtId="0" fontId="1" fillId="29" borderId="43" xfId="0" applyFont="1" applyFill="1" applyBorder="1" applyAlignment="1">
      <alignment horizontal="center" vertical="top"/>
    </xf>
    <xf numFmtId="0" fontId="7" fillId="29" borderId="120" xfId="0" quotePrefix="1" applyFont="1" applyFill="1" applyBorder="1" applyAlignment="1">
      <alignment vertical="top"/>
    </xf>
    <xf numFmtId="0" fontId="7" fillId="29" borderId="89" xfId="0" applyFont="1" applyFill="1" applyBorder="1" applyAlignment="1">
      <alignment vertical="top"/>
    </xf>
    <xf numFmtId="0" fontId="1" fillId="29" borderId="24" xfId="0" applyFont="1" applyFill="1" applyBorder="1" applyAlignment="1">
      <alignment vertical="top"/>
    </xf>
    <xf numFmtId="0" fontId="1" fillId="29" borderId="1" xfId="0" applyFont="1" applyFill="1" applyBorder="1" applyAlignment="1">
      <alignment horizontal="center" vertical="top"/>
    </xf>
    <xf numFmtId="0" fontId="7" fillId="29" borderId="21" xfId="0" quotePrefix="1" applyFont="1" applyFill="1" applyBorder="1" applyAlignment="1">
      <alignment vertical="top"/>
    </xf>
    <xf numFmtId="0" fontId="7" fillId="29" borderId="93" xfId="0" applyFont="1" applyFill="1" applyBorder="1" applyAlignment="1">
      <alignment vertical="top"/>
    </xf>
    <xf numFmtId="0" fontId="7" fillId="29" borderId="91" xfId="0" applyFont="1" applyFill="1" applyBorder="1" applyAlignment="1">
      <alignment vertical="top"/>
    </xf>
    <xf numFmtId="0" fontId="3" fillId="29" borderId="1" xfId="0" applyFont="1" applyFill="1" applyBorder="1" applyAlignment="1">
      <alignment horizontal="center" vertical="top"/>
    </xf>
    <xf numFmtId="0" fontId="3" fillId="27" borderId="1" xfId="0" applyFont="1" applyFill="1" applyBorder="1" applyAlignment="1">
      <alignment horizontal="center" vertical="top"/>
    </xf>
    <xf numFmtId="0" fontId="1" fillId="29" borderId="31" xfId="0" applyFont="1" applyFill="1" applyBorder="1" applyAlignment="1">
      <alignment vertical="top"/>
    </xf>
    <xf numFmtId="0" fontId="1" fillId="29" borderId="32" xfId="0" applyFont="1" applyFill="1" applyBorder="1" applyAlignment="1">
      <alignment horizontal="center" vertical="top"/>
    </xf>
    <xf numFmtId="0" fontId="7" fillId="29" borderId="33" xfId="0" quotePrefix="1" applyFont="1" applyFill="1" applyBorder="1" applyAlignment="1">
      <alignment vertical="top"/>
    </xf>
    <xf numFmtId="0" fontId="7" fillId="29" borderId="121" xfId="0" applyFont="1" applyFill="1" applyBorder="1" applyAlignment="1">
      <alignment vertical="top"/>
    </xf>
    <xf numFmtId="0" fontId="7" fillId="29" borderId="122" xfId="0" applyFont="1" applyFill="1" applyBorder="1" applyAlignment="1">
      <alignment vertical="top"/>
    </xf>
    <xf numFmtId="0" fontId="1" fillId="29" borderId="123" xfId="0" applyFont="1" applyFill="1" applyBorder="1" applyAlignment="1">
      <alignment horizontal="left" vertical="top" indent="2"/>
    </xf>
    <xf numFmtId="0" fontId="7" fillId="29" borderId="124" xfId="0" applyFont="1" applyFill="1" applyBorder="1" applyAlignment="1">
      <alignment vertical="top"/>
    </xf>
    <xf numFmtId="0" fontId="7" fillId="29" borderId="125" xfId="0" applyFont="1" applyFill="1" applyBorder="1" applyAlignment="1">
      <alignment vertical="top"/>
    </xf>
    <xf numFmtId="0" fontId="1" fillId="29" borderId="126" xfId="0" applyFont="1" applyFill="1" applyBorder="1" applyAlignment="1">
      <alignment horizontal="left" vertical="top" indent="2"/>
    </xf>
    <xf numFmtId="0" fontId="7" fillId="29" borderId="127" xfId="0" quotePrefix="1" applyFont="1" applyFill="1" applyBorder="1" applyAlignment="1">
      <alignment vertical="top"/>
    </xf>
    <xf numFmtId="0" fontId="7" fillId="29" borderId="99" xfId="0" applyFont="1" applyFill="1" applyBorder="1" applyAlignment="1">
      <alignment vertical="top"/>
    </xf>
    <xf numFmtId="0" fontId="7" fillId="29" borderId="128" xfId="0" applyFont="1" applyFill="1" applyBorder="1" applyAlignment="1">
      <alignment vertical="top"/>
    </xf>
    <xf numFmtId="0" fontId="1" fillId="29" borderId="72" xfId="0" applyFont="1" applyFill="1" applyBorder="1" applyAlignment="1">
      <alignment horizontal="left" vertical="top" indent="2"/>
    </xf>
    <xf numFmtId="0" fontId="2" fillId="29" borderId="48" xfId="0" applyFont="1" applyFill="1" applyBorder="1" applyAlignment="1">
      <alignment horizontal="left" indent="2"/>
    </xf>
    <xf numFmtId="0" fontId="1" fillId="29" borderId="0" xfId="0" applyFont="1" applyFill="1" applyAlignment="1">
      <alignment horizontal="center"/>
    </xf>
    <xf numFmtId="0" fontId="1" fillId="29" borderId="24" xfId="0" applyFont="1" applyFill="1" applyBorder="1" applyAlignment="1">
      <alignment horizontal="left" vertical="top" indent="2"/>
    </xf>
    <xf numFmtId="0" fontId="7" fillId="29" borderId="21" xfId="0" quotePrefix="1" applyFont="1" applyFill="1" applyBorder="1" applyAlignment="1">
      <alignment horizontal="left" vertical="top"/>
    </xf>
    <xf numFmtId="0" fontId="1" fillId="29" borderId="129" xfId="0" applyFont="1" applyFill="1" applyBorder="1" applyAlignment="1">
      <alignment horizontal="left" vertical="top" indent="2"/>
    </xf>
    <xf numFmtId="0" fontId="7" fillId="29" borderId="130" xfId="0" applyFont="1" applyFill="1" applyBorder="1" applyAlignment="1">
      <alignment vertical="top"/>
    </xf>
    <xf numFmtId="0" fontId="3" fillId="29" borderId="31" xfId="0" applyFont="1" applyFill="1" applyBorder="1" applyAlignment="1">
      <alignment vertical="top"/>
    </xf>
    <xf numFmtId="0" fontId="3" fillId="29" borderId="103" xfId="0" applyFont="1" applyFill="1" applyBorder="1" applyAlignment="1">
      <alignment horizontal="center"/>
    </xf>
    <xf numFmtId="0" fontId="7" fillId="29" borderId="33" xfId="0" quotePrefix="1" applyFont="1" applyFill="1" applyBorder="1" applyAlignment="1">
      <alignment horizontal="left" vertical="top"/>
    </xf>
    <xf numFmtId="0" fontId="1" fillId="29" borderId="15" xfId="0" applyFont="1" applyFill="1" applyBorder="1" applyAlignment="1">
      <alignment horizontal="center" vertical="top"/>
    </xf>
    <xf numFmtId="0" fontId="1" fillId="29" borderId="1" xfId="0" quotePrefix="1" applyFont="1" applyFill="1" applyBorder="1" applyAlignment="1">
      <alignment horizontal="center" vertical="center"/>
    </xf>
    <xf numFmtId="0" fontId="16" fillId="29" borderId="21" xfId="0" quotePrefix="1" applyFont="1" applyFill="1" applyBorder="1" applyAlignment="1">
      <alignment vertical="top"/>
    </xf>
    <xf numFmtId="0" fontId="16" fillId="29" borderId="93" xfId="0" applyFont="1" applyFill="1" applyBorder="1" applyAlignment="1">
      <alignment vertical="top"/>
    </xf>
    <xf numFmtId="0" fontId="16" fillId="29" borderId="91" xfId="0" applyFont="1" applyFill="1" applyBorder="1" applyAlignment="1">
      <alignment vertical="top"/>
    </xf>
    <xf numFmtId="0" fontId="17" fillId="30" borderId="0" xfId="0" quotePrefix="1" applyFont="1" applyFill="1"/>
    <xf numFmtId="0" fontId="2" fillId="30" borderId="0" xfId="0" applyFont="1" applyFill="1"/>
    <xf numFmtId="0" fontId="10" fillId="9" borderId="0" xfId="0" applyFont="1" applyFill="1" applyAlignment="1">
      <alignment vertical="center" wrapText="1"/>
    </xf>
    <xf numFmtId="0" fontId="0" fillId="2" borderId="0" xfId="0" applyFill="1"/>
    <xf numFmtId="0" fontId="10" fillId="31" borderId="0" xfId="0" applyFont="1" applyFill="1" applyAlignment="1">
      <alignment horizontal="left" vertical="center"/>
    </xf>
    <xf numFmtId="0" fontId="3" fillId="0" borderId="0" xfId="0" applyFont="1" applyAlignment="1">
      <alignment horizontal="left" wrapText="1"/>
    </xf>
    <xf numFmtId="0" fontId="0" fillId="2" borderId="0" xfId="0" applyFill="1" applyAlignment="1">
      <alignment horizontal="left" vertical="top" wrapText="1"/>
    </xf>
    <xf numFmtId="0" fontId="18" fillId="26" borderId="7" xfId="0" applyFont="1" applyFill="1" applyBorder="1" applyAlignment="1">
      <alignment horizontal="left" vertical="center"/>
    </xf>
    <xf numFmtId="0" fontId="18" fillId="26" borderId="6" xfId="0" applyFont="1" applyFill="1" applyBorder="1" applyAlignment="1">
      <alignment horizontal="left" vertical="center"/>
    </xf>
    <xf numFmtId="0" fontId="18" fillId="26" borderId="67" xfId="0" applyFont="1" applyFill="1" applyBorder="1" applyAlignment="1">
      <alignment horizontal="left" vertical="center"/>
    </xf>
    <xf numFmtId="0" fontId="18" fillId="26" borderId="131" xfId="0" applyFont="1" applyFill="1" applyBorder="1" applyAlignment="1">
      <alignment horizontal="left" vertical="center"/>
    </xf>
    <xf numFmtId="0" fontId="0" fillId="2" borderId="0" xfId="0" applyFill="1" applyAlignment="1">
      <alignment vertical="center"/>
    </xf>
    <xf numFmtId="0" fontId="4" fillId="32" borderId="132" xfId="0" applyFont="1" applyFill="1" applyBorder="1" applyAlignment="1">
      <alignment horizontal="right" vertical="center"/>
    </xf>
    <xf numFmtId="0" fontId="4" fillId="32" borderId="133" xfId="0" applyFont="1" applyFill="1" applyBorder="1" applyAlignment="1">
      <alignment horizontal="right" vertical="center"/>
    </xf>
    <xf numFmtId="165" fontId="3" fillId="26" borderId="134" xfId="0" applyNumberFormat="1" applyFont="1" applyFill="1" applyBorder="1" applyAlignment="1">
      <alignment vertical="center"/>
    </xf>
    <xf numFmtId="0" fontId="1" fillId="0" borderId="115" xfId="0" applyFont="1" applyBorder="1" applyAlignment="1">
      <alignment horizontal="left" vertical="center" wrapText="1" indent="1"/>
    </xf>
    <xf numFmtId="0" fontId="1" fillId="2" borderId="115" xfId="0" applyFont="1" applyFill="1" applyBorder="1" applyAlignment="1">
      <alignment horizontal="left" vertical="center" wrapText="1" indent="1"/>
    </xf>
    <xf numFmtId="0" fontId="1" fillId="2" borderId="135" xfId="0" applyFont="1" applyFill="1" applyBorder="1" applyAlignment="1">
      <alignment horizontal="left" vertical="center" wrapText="1" indent="1"/>
    </xf>
    <xf numFmtId="165" fontId="3" fillId="26" borderId="136" xfId="0" applyNumberFormat="1" applyFont="1" applyFill="1" applyBorder="1" applyAlignment="1">
      <alignment vertical="center"/>
    </xf>
    <xf numFmtId="0" fontId="1" fillId="2" borderId="0" xfId="0" applyFont="1" applyFill="1" applyAlignment="1">
      <alignment horizontal="left" vertical="center" wrapText="1" indent="1"/>
    </xf>
    <xf numFmtId="0" fontId="2" fillId="0" borderId="0" xfId="0" applyFont="1"/>
    <xf numFmtId="165" fontId="1" fillId="2" borderId="0" xfId="0" applyNumberFormat="1" applyFont="1" applyFill="1" applyAlignment="1">
      <alignment horizontal="right" vertical="center" wrapText="1"/>
    </xf>
    <xf numFmtId="2" fontId="3" fillId="0" borderId="0" xfId="0" applyNumberFormat="1" applyFont="1" applyAlignment="1">
      <alignment horizontal="center"/>
    </xf>
    <xf numFmtId="0" fontId="12" fillId="9" borderId="0" xfId="0" applyFont="1" applyFill="1" applyAlignment="1" applyProtection="1">
      <alignment vertical="center"/>
      <protection locked="0"/>
    </xf>
    <xf numFmtId="0" fontId="19" fillId="9" borderId="0" xfId="0" applyFont="1" applyFill="1" applyAlignment="1" applyProtection="1">
      <alignment vertical="center"/>
      <protection locked="0"/>
    </xf>
    <xf numFmtId="0" fontId="20" fillId="2" borderId="0" xfId="0" applyFont="1" applyFill="1"/>
    <xf numFmtId="0" fontId="21" fillId="26" borderId="6" xfId="0" applyFont="1" applyFill="1" applyBorder="1" applyAlignment="1" applyProtection="1">
      <alignment horizontal="left" vertical="center"/>
      <protection locked="0"/>
    </xf>
    <xf numFmtId="0" fontId="21" fillId="26" borderId="67" xfId="0" applyFont="1" applyFill="1" applyBorder="1" applyAlignment="1" applyProtection="1">
      <alignment horizontal="left" vertical="center"/>
      <protection locked="0"/>
    </xf>
    <xf numFmtId="0" fontId="21" fillId="26" borderId="87" xfId="0" applyFont="1" applyFill="1" applyBorder="1" applyAlignment="1" applyProtection="1">
      <alignment horizontal="left" vertical="center"/>
      <protection locked="0"/>
    </xf>
    <xf numFmtId="0" fontId="22" fillId="2" borderId="0" xfId="0" applyFont="1" applyFill="1"/>
    <xf numFmtId="166" fontId="3" fillId="26" borderId="137" xfId="0" applyNumberFormat="1" applyFont="1" applyFill="1" applyBorder="1" applyAlignment="1">
      <alignment horizontal="left"/>
    </xf>
    <xf numFmtId="0" fontId="0" fillId="0" borderId="0" xfId="0" applyAlignment="1">
      <alignment horizontal="right"/>
    </xf>
    <xf numFmtId="166" fontId="3" fillId="26" borderId="138" xfId="0" applyNumberFormat="1" applyFont="1" applyFill="1" applyBorder="1" applyAlignment="1">
      <alignment horizontal="left"/>
    </xf>
    <xf numFmtId="166" fontId="3" fillId="26" borderId="78" xfId="0" applyNumberFormat="1" applyFont="1" applyFill="1" applyBorder="1" applyAlignment="1">
      <alignment horizontal="left"/>
    </xf>
    <xf numFmtId="166" fontId="3" fillId="26" borderId="139" xfId="0" applyNumberFormat="1" applyFont="1" applyFill="1" applyBorder="1" applyAlignment="1">
      <alignment horizontal="left"/>
    </xf>
    <xf numFmtId="165" fontId="1" fillId="2" borderId="138" xfId="0" applyNumberFormat="1" applyFont="1" applyFill="1" applyBorder="1" applyAlignment="1">
      <alignment horizontal="right" wrapText="1"/>
    </xf>
    <xf numFmtId="167" fontId="2" fillId="0" borderId="0" xfId="0" applyNumberFormat="1" applyFont="1"/>
    <xf numFmtId="167" fontId="3" fillId="0" borderId="0" xfId="0" applyNumberFormat="1" applyFont="1"/>
    <xf numFmtId="165" fontId="3" fillId="24" borderId="63" xfId="0" applyNumberFormat="1" applyFont="1" applyFill="1" applyBorder="1" applyAlignment="1">
      <alignment horizontal="right" wrapText="1"/>
    </xf>
    <xf numFmtId="165" fontId="3" fillId="24" borderId="140" xfId="0" applyNumberFormat="1" applyFont="1" applyFill="1" applyBorder="1" applyAlignment="1">
      <alignment horizontal="right" wrapText="1"/>
    </xf>
    <xf numFmtId="0" fontId="23" fillId="0" borderId="103" xfId="0" applyFont="1" applyBorder="1" applyAlignment="1">
      <alignment vertical="center"/>
    </xf>
    <xf numFmtId="0" fontId="23" fillId="0" borderId="0" xfId="0" applyFont="1" applyAlignment="1">
      <alignment vertical="center"/>
    </xf>
    <xf numFmtId="165" fontId="24" fillId="0" borderId="0" xfId="0" applyNumberFormat="1" applyFont="1"/>
    <xf numFmtId="0" fontId="2" fillId="0" borderId="103" xfId="0" applyFont="1" applyBorder="1"/>
    <xf numFmtId="0" fontId="4" fillId="2" borderId="116" xfId="0" applyFont="1" applyFill="1" applyBorder="1" applyAlignment="1">
      <alignment vertical="center" wrapText="1"/>
    </xf>
    <xf numFmtId="0" fontId="2" fillId="0" borderId="0" xfId="0" applyFont="1" applyAlignment="1">
      <alignment horizontal="right"/>
    </xf>
    <xf numFmtId="0" fontId="1" fillId="0" borderId="119" xfId="0" applyFont="1" applyBorder="1" applyAlignment="1">
      <alignment horizontal="left" vertical="center" wrapText="1" indent="1"/>
    </xf>
    <xf numFmtId="168" fontId="3" fillId="26" borderId="116" xfId="0" applyNumberFormat="1" applyFont="1" applyFill="1" applyBorder="1" applyAlignment="1">
      <alignment horizontal="right"/>
    </xf>
    <xf numFmtId="169" fontId="1" fillId="2" borderId="138" xfId="0" applyNumberFormat="1" applyFont="1" applyFill="1" applyBorder="1" applyAlignment="1">
      <alignment horizontal="right" vertical="center"/>
    </xf>
    <xf numFmtId="169" fontId="1" fillId="2" borderId="78" xfId="0" applyNumberFormat="1" applyFont="1" applyFill="1" applyBorder="1" applyAlignment="1">
      <alignment horizontal="right" vertical="center"/>
    </xf>
    <xf numFmtId="4" fontId="3" fillId="26" borderId="116" xfId="0" applyNumberFormat="1" applyFont="1" applyFill="1" applyBorder="1" applyAlignment="1">
      <alignment horizontal="right"/>
    </xf>
    <xf numFmtId="0" fontId="2" fillId="26" borderId="116" xfId="0" applyFont="1" applyFill="1" applyBorder="1"/>
    <xf numFmtId="0" fontId="3" fillId="24" borderId="136" xfId="0" applyFont="1" applyFill="1" applyBorder="1" applyAlignment="1">
      <alignment horizontal="right" wrapText="1"/>
    </xf>
    <xf numFmtId="0" fontId="3" fillId="26" borderId="141" xfId="0" applyFont="1" applyFill="1" applyBorder="1" applyAlignment="1">
      <alignment horizontal="left" vertical="center"/>
    </xf>
    <xf numFmtId="0" fontId="3" fillId="26" borderId="3" xfId="0" applyFont="1" applyFill="1" applyBorder="1" applyAlignment="1">
      <alignment horizontal="left" vertical="center"/>
    </xf>
    <xf numFmtId="0" fontId="3" fillId="26" borderId="4" xfId="0" applyFont="1" applyFill="1" applyBorder="1" applyAlignment="1">
      <alignment horizontal="left" vertical="center"/>
    </xf>
    <xf numFmtId="0" fontId="0" fillId="26" borderId="118" xfId="0" applyFill="1" applyBorder="1"/>
    <xf numFmtId="169" fontId="1" fillId="4" borderId="64" xfId="0" applyNumberFormat="1" applyFont="1" applyFill="1" applyBorder="1" applyAlignment="1">
      <alignment horizontal="right" vertical="center"/>
    </xf>
    <xf numFmtId="169" fontId="1" fillId="4" borderId="63" xfId="0" applyNumberFormat="1" applyFont="1" applyFill="1" applyBorder="1" applyAlignment="1">
      <alignment horizontal="right" vertical="center"/>
    </xf>
    <xf numFmtId="169" fontId="1" fillId="4" borderId="140" xfId="0" applyNumberFormat="1" applyFont="1" applyFill="1" applyBorder="1" applyAlignment="1">
      <alignment horizontal="right" vertical="center"/>
    </xf>
    <xf numFmtId="10" fontId="2" fillId="2" borderId="0" xfId="0" applyNumberFormat="1" applyFont="1" applyFill="1"/>
    <xf numFmtId="0" fontId="3" fillId="0" borderId="0" xfId="0" applyFont="1" applyAlignment="1">
      <alignment horizontal="left"/>
    </xf>
    <xf numFmtId="0" fontId="25" fillId="26" borderId="6" xfId="0" applyFont="1" applyFill="1" applyBorder="1" applyAlignment="1">
      <alignment horizontal="left" vertical="center"/>
    </xf>
    <xf numFmtId="0" fontId="3" fillId="26" borderId="67" xfId="0" applyFont="1" applyFill="1" applyBorder="1" applyAlignment="1">
      <alignment horizontal="left" vertical="center"/>
    </xf>
    <xf numFmtId="0" fontId="25" fillId="26" borderId="3" xfId="0" applyFont="1" applyFill="1" applyBorder="1" applyAlignment="1">
      <alignment horizontal="left" vertical="center"/>
    </xf>
    <xf numFmtId="0" fontId="25" fillId="26" borderId="4" xfId="0" applyFont="1" applyFill="1" applyBorder="1" applyAlignment="1">
      <alignment horizontal="left" vertical="center"/>
    </xf>
    <xf numFmtId="0" fontId="3" fillId="2" borderId="142" xfId="0" applyFont="1" applyFill="1" applyBorder="1" applyAlignment="1">
      <alignment horizontal="left"/>
    </xf>
    <xf numFmtId="0" fontId="3" fillId="2" borderId="3" xfId="0" applyFont="1" applyFill="1" applyBorder="1" applyAlignment="1">
      <alignment horizontal="left"/>
    </xf>
    <xf numFmtId="0" fontId="3" fillId="2" borderId="48" xfId="0" applyFont="1" applyFill="1" applyBorder="1" applyAlignment="1">
      <alignment horizontal="left"/>
    </xf>
    <xf numFmtId="0" fontId="3" fillId="2" borderId="0" xfId="0" applyFont="1" applyFill="1" applyAlignment="1">
      <alignment horizontal="left"/>
    </xf>
    <xf numFmtId="0" fontId="3" fillId="33" borderId="129" xfId="0" applyFont="1" applyFill="1" applyBorder="1" applyAlignment="1">
      <alignment horizontal="centerContinuous" vertical="center"/>
    </xf>
    <xf numFmtId="0" fontId="3" fillId="33" borderId="143" xfId="0" applyFont="1" applyFill="1" applyBorder="1" applyAlignment="1">
      <alignment horizontal="centerContinuous" vertical="center"/>
    </xf>
    <xf numFmtId="0" fontId="3" fillId="33" borderId="144" xfId="0" applyFont="1" applyFill="1" applyBorder="1" applyAlignment="1">
      <alignment horizontal="centerContinuous" vertical="center"/>
    </xf>
    <xf numFmtId="0" fontId="3" fillId="33" borderId="130" xfId="0" applyFont="1" applyFill="1" applyBorder="1" applyAlignment="1">
      <alignment horizontal="centerContinuous" vertical="center"/>
    </xf>
    <xf numFmtId="0" fontId="3" fillId="33" borderId="145" xfId="0" applyFont="1" applyFill="1" applyBorder="1" applyAlignment="1">
      <alignment horizontal="centerContinuous" vertical="center"/>
    </xf>
    <xf numFmtId="0" fontId="3" fillId="29" borderId="146" xfId="0" applyFont="1" applyFill="1" applyBorder="1" applyAlignment="1">
      <alignment horizontal="right" vertical="center"/>
    </xf>
    <xf numFmtId="0" fontId="3" fillId="29" borderId="147" xfId="0" applyFont="1" applyFill="1" applyBorder="1" applyAlignment="1">
      <alignment horizontal="right" vertical="center"/>
    </xf>
    <xf numFmtId="0" fontId="3" fillId="34" borderId="147" xfId="0" applyFont="1" applyFill="1" applyBorder="1" applyAlignment="1">
      <alignment horizontal="right" vertical="center"/>
    </xf>
    <xf numFmtId="0" fontId="26" fillId="4" borderId="148" xfId="0" applyFont="1" applyFill="1" applyBorder="1"/>
    <xf numFmtId="169" fontId="1" fillId="25" borderId="0" xfId="0" applyNumberFormat="1" applyFont="1" applyFill="1" applyAlignment="1">
      <alignment horizontal="left" vertical="center"/>
    </xf>
    <xf numFmtId="169" fontId="1" fillId="2" borderId="64" xfId="0" applyNumberFormat="1" applyFont="1" applyFill="1" applyBorder="1" applyAlignment="1">
      <alignment horizontal="right" vertical="center"/>
    </xf>
    <xf numFmtId="169" fontId="1" fillId="2" borderId="70" xfId="0" applyNumberFormat="1" applyFont="1" applyFill="1" applyBorder="1" applyAlignment="1">
      <alignment horizontal="right" vertical="center"/>
    </xf>
    <xf numFmtId="169" fontId="1" fillId="2" borderId="149" xfId="0" applyNumberFormat="1" applyFont="1" applyFill="1" applyBorder="1" applyAlignment="1">
      <alignment horizontal="right" vertical="center"/>
    </xf>
    <xf numFmtId="169" fontId="1" fillId="25" borderId="0" xfId="0" applyNumberFormat="1" applyFont="1" applyFill="1" applyAlignment="1">
      <alignment horizontal="right" vertical="center"/>
    </xf>
    <xf numFmtId="0" fontId="0" fillId="4" borderId="0" xfId="0" applyFill="1"/>
    <xf numFmtId="169" fontId="1" fillId="2" borderId="150" xfId="0" applyNumberFormat="1" applyFont="1" applyFill="1" applyBorder="1" applyAlignment="1">
      <alignment horizontal="right" vertical="center"/>
    </xf>
    <xf numFmtId="169" fontId="1" fillId="2" borderId="151" xfId="0" applyNumberFormat="1" applyFont="1" applyFill="1" applyBorder="1" applyAlignment="1">
      <alignment horizontal="right" vertical="center"/>
    </xf>
    <xf numFmtId="169" fontId="1" fillId="2" borderId="135" xfId="0" applyNumberFormat="1" applyFont="1" applyFill="1" applyBorder="1" applyAlignment="1">
      <alignment horizontal="right" vertical="center"/>
    </xf>
    <xf numFmtId="169" fontId="1" fillId="2" borderId="152" xfId="0" applyNumberFormat="1" applyFont="1" applyFill="1" applyBorder="1" applyAlignment="1">
      <alignment horizontal="right" vertical="center"/>
    </xf>
    <xf numFmtId="169" fontId="1" fillId="25" borderId="103" xfId="0" applyNumberFormat="1" applyFont="1" applyFill="1" applyBorder="1" applyAlignment="1">
      <alignment horizontal="right" vertical="center"/>
    </xf>
    <xf numFmtId="0" fontId="2" fillId="0" borderId="0" xfId="0" applyFont="1" applyAlignment="1">
      <alignment horizontal="left"/>
    </xf>
    <xf numFmtId="0" fontId="2" fillId="0" borderId="0" xfId="0" applyFont="1" applyAlignment="1">
      <alignment horizontal="left" wrapText="1"/>
    </xf>
    <xf numFmtId="169" fontId="1" fillId="2" borderId="153" xfId="0" applyNumberFormat="1" applyFont="1" applyFill="1" applyBorder="1" applyAlignment="1">
      <alignment horizontal="right" vertical="center"/>
    </xf>
    <xf numFmtId="169" fontId="1" fillId="2" borderId="154" xfId="0" applyNumberFormat="1" applyFont="1" applyFill="1" applyBorder="1" applyAlignment="1">
      <alignment horizontal="right" vertical="center"/>
    </xf>
    <xf numFmtId="169" fontId="1" fillId="2" borderId="155" xfId="0" applyNumberFormat="1" applyFont="1" applyFill="1" applyBorder="1" applyAlignment="1">
      <alignment horizontal="right" vertical="center"/>
    </xf>
    <xf numFmtId="169" fontId="1" fillId="2" borderId="140" xfId="0" applyNumberFormat="1" applyFont="1" applyFill="1" applyBorder="1" applyAlignment="1">
      <alignment horizontal="right" vertical="center"/>
    </xf>
    <xf numFmtId="0" fontId="27" fillId="35" borderId="6" xfId="0" applyFont="1" applyFill="1" applyBorder="1"/>
    <xf numFmtId="0" fontId="27" fillId="35" borderId="67" xfId="0" applyFont="1" applyFill="1" applyBorder="1" applyAlignment="1">
      <alignment wrapText="1"/>
    </xf>
    <xf numFmtId="169" fontId="27" fillId="35" borderId="67" xfId="0" applyNumberFormat="1" applyFont="1" applyFill="1" applyBorder="1" applyAlignment="1">
      <alignment horizontal="right"/>
    </xf>
    <xf numFmtId="169" fontId="27" fillId="35" borderId="87" xfId="0" applyNumberFormat="1" applyFont="1" applyFill="1" applyBorder="1" applyAlignment="1">
      <alignment horizontal="right"/>
    </xf>
    <xf numFmtId="169" fontId="27" fillId="35" borderId="156" xfId="0" applyNumberFormat="1" applyFont="1" applyFill="1" applyBorder="1" applyAlignment="1">
      <alignment horizontal="right"/>
    </xf>
    <xf numFmtId="169" fontId="27" fillId="35" borderId="157" xfId="0" applyNumberFormat="1" applyFont="1" applyFill="1" applyBorder="1" applyAlignment="1">
      <alignment horizontal="right"/>
    </xf>
    <xf numFmtId="169" fontId="27" fillId="35" borderId="158" xfId="0" applyNumberFormat="1" applyFont="1" applyFill="1" applyBorder="1" applyAlignment="1">
      <alignment horizontal="right"/>
    </xf>
    <xf numFmtId="169" fontId="27" fillId="35" borderId="6" xfId="0" applyNumberFormat="1" applyFont="1" applyFill="1" applyBorder="1" applyAlignment="1">
      <alignment horizontal="right"/>
    </xf>
    <xf numFmtId="169" fontId="27" fillId="35" borderId="7" xfId="0" applyNumberFormat="1" applyFont="1" applyFill="1" applyBorder="1" applyAlignment="1">
      <alignment horizontal="right"/>
    </xf>
    <xf numFmtId="0" fontId="3" fillId="2" borderId="67" xfId="0" applyFont="1" applyFill="1" applyBorder="1" applyAlignment="1">
      <alignment horizontal="left" wrapText="1"/>
    </xf>
    <xf numFmtId="169" fontId="3" fillId="2" borderId="67" xfId="0" applyNumberFormat="1" applyFont="1" applyFill="1" applyBorder="1" applyAlignment="1">
      <alignment horizontal="right" vertical="center"/>
    </xf>
    <xf numFmtId="0" fontId="27" fillId="35" borderId="6" xfId="0" applyFont="1" applyFill="1" applyBorder="1" applyAlignment="1">
      <alignment vertical="center"/>
    </xf>
    <xf numFmtId="0" fontId="27" fillId="35" borderId="67" xfId="0" applyFont="1" applyFill="1" applyBorder="1" applyAlignment="1">
      <alignment vertical="center"/>
    </xf>
    <xf numFmtId="2" fontId="3" fillId="35" borderId="67" xfId="0" applyNumberFormat="1" applyFont="1" applyFill="1" applyBorder="1" applyAlignment="1">
      <alignment horizontal="right"/>
    </xf>
    <xf numFmtId="2" fontId="3" fillId="35" borderId="87" xfId="0" applyNumberFormat="1" applyFont="1" applyFill="1" applyBorder="1" applyAlignment="1">
      <alignment horizontal="right"/>
    </xf>
    <xf numFmtId="169" fontId="27" fillId="35" borderId="159" xfId="0" applyNumberFormat="1" applyFont="1" applyFill="1" applyBorder="1" applyAlignment="1">
      <alignment horizontal="right" vertical="center"/>
    </xf>
    <xf numFmtId="169" fontId="27" fillId="35" borderId="67" xfId="0" applyNumberFormat="1" applyFont="1" applyFill="1" applyBorder="1" applyAlignment="1">
      <alignment horizontal="right" vertical="center"/>
    </xf>
    <xf numFmtId="0" fontId="28" fillId="0" borderId="0" xfId="0" applyFont="1" applyAlignment="1">
      <alignment horizontal="center" wrapText="1"/>
    </xf>
    <xf numFmtId="0" fontId="29" fillId="0" borderId="0" xfId="0" applyFont="1"/>
    <xf numFmtId="0" fontId="12" fillId="9" borderId="142" xfId="0" applyFont="1" applyFill="1" applyBorder="1" applyAlignment="1" applyProtection="1">
      <alignment vertical="center"/>
      <protection locked="0"/>
    </xf>
    <xf numFmtId="0" fontId="19" fillId="9" borderId="3" xfId="0" applyFont="1" applyFill="1" applyBorder="1" applyAlignment="1" applyProtection="1">
      <alignment vertical="center"/>
      <protection locked="0"/>
    </xf>
    <xf numFmtId="0" fontId="19" fillId="9" borderId="4" xfId="0" applyFont="1" applyFill="1" applyBorder="1" applyAlignment="1" applyProtection="1">
      <alignment vertical="center"/>
      <protection locked="0"/>
    </xf>
    <xf numFmtId="0" fontId="3" fillId="0" borderId="0" xfId="0" applyFont="1" applyAlignment="1">
      <alignment vertical="center" wrapText="1"/>
    </xf>
    <xf numFmtId="0" fontId="30" fillId="0" borderId="0" xfId="0" applyFont="1" applyAlignment="1">
      <alignment horizontal="left" vertical="center"/>
    </xf>
    <xf numFmtId="0" fontId="0" fillId="2" borderId="0" xfId="0" applyFill="1" applyAlignment="1">
      <alignment horizontal="left" vertical="center"/>
    </xf>
    <xf numFmtId="0" fontId="0" fillId="0" borderId="116" xfId="0" applyBorder="1"/>
    <xf numFmtId="0" fontId="31" fillId="35" borderId="41" xfId="0" applyFont="1" applyFill="1" applyBorder="1" applyAlignment="1">
      <alignment horizontal="right" vertical="center" wrapText="1"/>
    </xf>
    <xf numFmtId="0" fontId="0" fillId="0" borderId="0" xfId="0" applyAlignment="1">
      <alignment horizontal="left"/>
    </xf>
    <xf numFmtId="0" fontId="31" fillId="35" borderId="47" xfId="0" applyFont="1" applyFill="1" applyBorder="1" applyAlignment="1">
      <alignment horizontal="right" vertical="center" wrapText="1"/>
    </xf>
    <xf numFmtId="0" fontId="0" fillId="0" borderId="119" xfId="0" applyBorder="1"/>
    <xf numFmtId="0" fontId="3" fillId="34" borderId="160" xfId="0" applyFont="1" applyFill="1" applyBorder="1" applyAlignment="1">
      <alignment horizontal="right" vertical="center"/>
    </xf>
    <xf numFmtId="0" fontId="3" fillId="34" borderId="161" xfId="0" applyFont="1" applyFill="1" applyBorder="1" applyAlignment="1">
      <alignment horizontal="right" vertical="center"/>
    </xf>
    <xf numFmtId="0" fontId="31" fillId="35" borderId="46" xfId="0" applyFont="1" applyFill="1" applyBorder="1" applyAlignment="1">
      <alignment horizontal="right" vertical="center" wrapText="1"/>
    </xf>
    <xf numFmtId="0" fontId="32" fillId="0" borderId="0" xfId="0" applyFont="1"/>
    <xf numFmtId="0" fontId="1" fillId="2" borderId="162" xfId="0" applyFont="1" applyFill="1" applyBorder="1" applyAlignment="1">
      <alignment vertical="center" wrapText="1"/>
    </xf>
    <xf numFmtId="2" fontId="3" fillId="27" borderId="163" xfId="0" applyNumberFormat="1" applyFont="1" applyFill="1" applyBorder="1" applyAlignment="1" applyProtection="1">
      <alignment vertical="center" wrapText="1"/>
      <protection locked="0"/>
    </xf>
    <xf numFmtId="2" fontId="3" fillId="27" borderId="164" xfId="0" applyNumberFormat="1" applyFont="1" applyFill="1" applyBorder="1" applyAlignment="1" applyProtection="1">
      <alignment vertical="center" wrapText="1"/>
      <protection locked="0"/>
    </xf>
    <xf numFmtId="165" fontId="27" fillId="35" borderId="46" xfId="0" applyNumberFormat="1" applyFont="1" applyFill="1" applyBorder="1" applyAlignment="1">
      <alignment horizontal="right" vertical="center" wrapText="1"/>
    </xf>
    <xf numFmtId="0" fontId="23" fillId="26" borderId="165" xfId="0" applyFont="1" applyFill="1" applyBorder="1" applyAlignment="1">
      <alignment horizontal="left" vertical="center" wrapText="1" indent="1"/>
    </xf>
    <xf numFmtId="0" fontId="1" fillId="26" borderId="138" xfId="0" applyFont="1" applyFill="1" applyBorder="1" applyAlignment="1">
      <alignment horizontal="right" vertical="center" wrapText="1"/>
    </xf>
    <xf numFmtId="0" fontId="1" fillId="26" borderId="78" xfId="0" applyFont="1" applyFill="1" applyBorder="1" applyAlignment="1">
      <alignment horizontal="right" vertical="center" wrapText="1"/>
    </xf>
    <xf numFmtId="165" fontId="1" fillId="26" borderId="46" xfId="0" applyNumberFormat="1" applyFont="1" applyFill="1" applyBorder="1" applyAlignment="1">
      <alignment horizontal="right" vertical="center" wrapText="1"/>
    </xf>
    <xf numFmtId="0" fontId="33" fillId="0" borderId="0" xfId="0" applyFont="1" applyAlignment="1">
      <alignment horizontal="left"/>
    </xf>
    <xf numFmtId="2" fontId="1" fillId="27" borderId="165" xfId="0" applyNumberFormat="1" applyFont="1" applyFill="1" applyBorder="1" applyAlignment="1" applyProtection="1">
      <alignment horizontal="left" vertical="top" wrapText="1" indent="2"/>
      <protection locked="0"/>
    </xf>
    <xf numFmtId="2" fontId="1" fillId="27" borderId="138" xfId="0" applyNumberFormat="1" applyFont="1" applyFill="1" applyBorder="1" applyAlignment="1" applyProtection="1">
      <alignment vertical="center" wrapText="1"/>
      <protection locked="0"/>
    </xf>
    <xf numFmtId="2" fontId="1" fillId="27" borderId="78" xfId="0" applyNumberFormat="1" applyFont="1" applyFill="1" applyBorder="1" applyAlignment="1" applyProtection="1">
      <alignment vertical="center" wrapText="1"/>
      <protection locked="0"/>
    </xf>
    <xf numFmtId="2" fontId="1" fillId="27" borderId="165" xfId="0" applyNumberFormat="1" applyFont="1" applyFill="1" applyBorder="1" applyAlignment="1" applyProtection="1">
      <alignment horizontal="left" vertical="center" wrapText="1" indent="2"/>
      <protection locked="0"/>
    </xf>
    <xf numFmtId="0" fontId="31" fillId="35" borderId="166" xfId="0" applyFont="1" applyFill="1" applyBorder="1" applyAlignment="1">
      <alignment wrapText="1"/>
    </xf>
    <xf numFmtId="165" fontId="31" fillId="35" borderId="167" xfId="0" applyNumberFormat="1" applyFont="1" applyFill="1" applyBorder="1" applyAlignment="1">
      <alignment horizontal="right" wrapText="1"/>
    </xf>
    <xf numFmtId="165" fontId="31" fillId="35" borderId="63" xfId="0" applyNumberFormat="1" applyFont="1" applyFill="1" applyBorder="1" applyAlignment="1">
      <alignment horizontal="right" wrapText="1"/>
    </xf>
    <xf numFmtId="165" fontId="31" fillId="35" borderId="140" xfId="0" applyNumberFormat="1" applyFont="1" applyFill="1" applyBorder="1" applyAlignment="1">
      <alignment horizontal="right" wrapText="1"/>
    </xf>
    <xf numFmtId="0" fontId="1" fillId="29" borderId="168" xfId="0" applyFont="1" applyFill="1" applyBorder="1" applyAlignment="1">
      <alignment vertical="top"/>
    </xf>
    <xf numFmtId="14" fontId="1" fillId="27" borderId="169" xfId="0" quotePrefix="1" applyNumberFormat="1" applyFont="1" applyFill="1" applyBorder="1" applyAlignment="1" applyProtection="1">
      <alignment horizontal="center" vertical="top"/>
      <protection locked="0"/>
    </xf>
    <xf numFmtId="0" fontId="34" fillId="29" borderId="0" xfId="0" applyFont="1" applyFill="1"/>
    <xf numFmtId="0" fontId="7" fillId="29" borderId="0" xfId="0" applyFont="1" applyFill="1" applyAlignment="1">
      <alignment vertical="top"/>
    </xf>
    <xf numFmtId="0" fontId="7" fillId="29" borderId="43" xfId="0" quotePrefix="1" applyFont="1" applyFill="1" applyBorder="1" applyAlignment="1">
      <alignment vertical="top"/>
    </xf>
    <xf numFmtId="0" fontId="7" fillId="29" borderId="1" xfId="0" quotePrefix="1" applyFont="1" applyFill="1" applyBorder="1" applyAlignment="1">
      <alignment vertical="top"/>
    </xf>
    <xf numFmtId="0" fontId="7" fillId="29" borderId="1" xfId="0" applyFont="1" applyFill="1" applyBorder="1" applyAlignment="1">
      <alignment vertical="top"/>
    </xf>
    <xf numFmtId="0" fontId="7" fillId="29" borderId="102" xfId="0" applyFont="1" applyFill="1" applyBorder="1" applyAlignment="1">
      <alignment vertical="top"/>
    </xf>
    <xf numFmtId="0" fontId="7" fillId="29" borderId="32" xfId="0" quotePrefix="1" applyFont="1" applyFill="1" applyBorder="1" applyAlignment="1">
      <alignment vertical="top"/>
    </xf>
    <xf numFmtId="0" fontId="1" fillId="0" borderId="170" xfId="0" applyFont="1" applyBorder="1"/>
    <xf numFmtId="0" fontId="0" fillId="2" borderId="0" xfId="0" applyFill="1" applyProtection="1">
      <protection locked="0"/>
    </xf>
    <xf numFmtId="0" fontId="35" fillId="26" borderId="171" xfId="0" applyFont="1" applyFill="1" applyBorder="1" applyAlignment="1">
      <alignment horizontal="left"/>
    </xf>
    <xf numFmtId="0" fontId="18" fillId="26" borderId="172" xfId="0" applyFont="1" applyFill="1" applyBorder="1" applyAlignment="1" applyProtection="1">
      <alignment horizontal="left" wrapText="1"/>
      <protection locked="0"/>
    </xf>
    <xf numFmtId="0" fontId="18" fillId="26" borderId="173" xfId="0" applyFont="1" applyFill="1" applyBorder="1" applyAlignment="1" applyProtection="1">
      <alignment horizontal="left" wrapText="1"/>
      <protection locked="0"/>
    </xf>
    <xf numFmtId="0" fontId="0" fillId="0" borderId="0" xfId="0" applyAlignment="1">
      <alignment vertical="top" wrapText="1"/>
    </xf>
    <xf numFmtId="0" fontId="1" fillId="0" borderId="113" xfId="0" applyFont="1" applyBorder="1" applyAlignment="1">
      <alignment horizontal="left" vertical="center" wrapText="1" indent="1"/>
    </xf>
    <xf numFmtId="0" fontId="1" fillId="0" borderId="115" xfId="0" applyFont="1" applyBorder="1" applyAlignment="1">
      <alignment horizontal="left" vertical="center" indent="4"/>
    </xf>
    <xf numFmtId="0" fontId="1" fillId="0" borderId="135" xfId="0" applyFont="1" applyBorder="1" applyAlignment="1">
      <alignment horizontal="left" vertical="center" wrapText="1" indent="1"/>
    </xf>
    <xf numFmtId="0" fontId="21" fillId="26" borderId="3" xfId="0" applyFont="1" applyFill="1" applyBorder="1" applyAlignment="1" applyProtection="1">
      <alignment horizontal="left" vertical="center"/>
      <protection locked="0"/>
    </xf>
    <xf numFmtId="165" fontId="3" fillId="24" borderId="161" xfId="0" applyNumberFormat="1" applyFont="1" applyFill="1" applyBorder="1" applyAlignment="1">
      <alignment horizontal="right" wrapText="1"/>
    </xf>
    <xf numFmtId="0" fontId="3" fillId="26" borderId="1" xfId="0" applyFont="1" applyFill="1" applyBorder="1" applyAlignment="1">
      <alignment vertical="center"/>
    </xf>
    <xf numFmtId="0" fontId="1" fillId="0" borderId="115" xfId="0" applyFont="1" applyBorder="1" applyAlignment="1">
      <alignment horizontal="left" vertical="center" indent="1"/>
    </xf>
    <xf numFmtId="0" fontId="23" fillId="4" borderId="115" xfId="0" applyFont="1" applyFill="1" applyBorder="1" applyAlignment="1">
      <alignment horizontal="left" vertical="center" wrapText="1" indent="1"/>
    </xf>
    <xf numFmtId="165" fontId="1" fillId="2" borderId="47" xfId="0" applyNumberFormat="1" applyFont="1" applyFill="1" applyBorder="1" applyAlignment="1">
      <alignment horizontal="right" wrapText="1"/>
    </xf>
    <xf numFmtId="165" fontId="1" fillId="2" borderId="174" xfId="0" applyNumberFormat="1" applyFont="1" applyFill="1" applyBorder="1" applyAlignment="1">
      <alignment horizontal="right" wrapText="1"/>
    </xf>
    <xf numFmtId="165" fontId="1" fillId="2" borderId="49" xfId="0" applyNumberFormat="1" applyFont="1" applyFill="1" applyBorder="1" applyAlignment="1">
      <alignment horizontal="right" wrapText="1"/>
    </xf>
    <xf numFmtId="169" fontId="1" fillId="2" borderId="174" xfId="0" applyNumberFormat="1" applyFont="1" applyFill="1" applyBorder="1" applyAlignment="1">
      <alignment horizontal="right" vertical="center"/>
    </xf>
    <xf numFmtId="0" fontId="2" fillId="26" borderId="119" xfId="0" applyFont="1" applyFill="1" applyBorder="1"/>
    <xf numFmtId="0" fontId="3" fillId="26" borderId="2" xfId="0" applyFont="1" applyFill="1" applyBorder="1" applyAlignment="1">
      <alignment vertical="center"/>
    </xf>
    <xf numFmtId="169" fontId="1" fillId="2" borderId="137" xfId="0" applyNumberFormat="1" applyFont="1" applyFill="1" applyBorder="1" applyAlignment="1">
      <alignment horizontal="right" vertical="center"/>
    </xf>
    <xf numFmtId="169" fontId="1" fillId="2" borderId="175" xfId="0" applyNumberFormat="1" applyFont="1" applyFill="1" applyBorder="1" applyAlignment="1">
      <alignment horizontal="right" vertical="center"/>
    </xf>
    <xf numFmtId="165" fontId="1" fillId="0" borderId="176" xfId="0" applyNumberFormat="1" applyFont="1" applyBorder="1" applyAlignment="1">
      <alignment vertical="center"/>
    </xf>
    <xf numFmtId="165" fontId="1" fillId="2" borderId="177" xfId="0" applyNumberFormat="1" applyFont="1" applyFill="1" applyBorder="1" applyAlignment="1">
      <alignment vertical="center" wrapText="1"/>
    </xf>
    <xf numFmtId="165" fontId="3" fillId="26" borderId="178" xfId="0" applyNumberFormat="1" applyFont="1" applyFill="1" applyBorder="1" applyAlignment="1">
      <alignment vertical="center"/>
    </xf>
    <xf numFmtId="0" fontId="4" fillId="4" borderId="179" xfId="0" applyFont="1" applyFill="1" applyBorder="1"/>
    <xf numFmtId="0" fontId="0" fillId="33" borderId="180" xfId="0" applyFill="1" applyBorder="1" applyAlignment="1">
      <alignment horizontal="centerContinuous"/>
    </xf>
    <xf numFmtId="0" fontId="3" fillId="29" borderId="181" xfId="0" applyFont="1" applyFill="1" applyBorder="1" applyAlignment="1">
      <alignment horizontal="right" vertical="center"/>
    </xf>
    <xf numFmtId="165" fontId="3" fillId="24" borderId="181" xfId="0" applyNumberFormat="1" applyFont="1" applyFill="1" applyBorder="1" applyAlignment="1">
      <alignment horizontal="right" wrapText="1"/>
    </xf>
    <xf numFmtId="169" fontId="1" fillId="2" borderId="182" xfId="0" applyNumberFormat="1" applyFont="1" applyFill="1" applyBorder="1" applyAlignment="1">
      <alignment horizontal="right" vertical="center"/>
    </xf>
    <xf numFmtId="169" fontId="1" fillId="2" borderId="183" xfId="0" applyNumberFormat="1" applyFont="1" applyFill="1" applyBorder="1" applyAlignment="1">
      <alignment horizontal="right" vertical="center"/>
    </xf>
    <xf numFmtId="169" fontId="1" fillId="25" borderId="118" xfId="0" applyNumberFormat="1" applyFont="1" applyFill="1" applyBorder="1" applyAlignment="1">
      <alignment horizontal="right" vertical="center"/>
    </xf>
    <xf numFmtId="169" fontId="1" fillId="2" borderId="184" xfId="0" applyNumberFormat="1" applyFont="1" applyFill="1" applyBorder="1" applyAlignment="1">
      <alignment horizontal="right" vertical="center"/>
    </xf>
    <xf numFmtId="0" fontId="0" fillId="26" borderId="119" xfId="0" applyFill="1" applyBorder="1"/>
    <xf numFmtId="0" fontId="25" fillId="26" borderId="142" xfId="0" applyFont="1" applyFill="1" applyBorder="1" applyAlignment="1">
      <alignment horizontal="left" vertical="center"/>
    </xf>
    <xf numFmtId="0" fontId="26" fillId="0" borderId="0" xfId="0" applyFont="1" applyAlignment="1">
      <alignment vertical="center"/>
    </xf>
    <xf numFmtId="0" fontId="1" fillId="2" borderId="45" xfId="0" applyFont="1" applyFill="1" applyBorder="1" applyAlignment="1">
      <alignment vertical="center"/>
    </xf>
    <xf numFmtId="0" fontId="1" fillId="2" borderId="48" xfId="0" applyFont="1" applyFill="1" applyBorder="1" applyAlignment="1">
      <alignment vertical="center"/>
    </xf>
    <xf numFmtId="0" fontId="1" fillId="2" borderId="185" xfId="0" applyFont="1" applyFill="1" applyBorder="1" applyAlignment="1">
      <alignment vertical="center"/>
    </xf>
    <xf numFmtId="0" fontId="3" fillId="3" borderId="103" xfId="0" applyFont="1" applyFill="1" applyBorder="1" applyAlignment="1">
      <alignment horizontal="center" vertical="center"/>
    </xf>
    <xf numFmtId="0" fontId="0" fillId="0" borderId="103" xfId="0" applyBorder="1"/>
    <xf numFmtId="49" fontId="4" fillId="36" borderId="0" xfId="0" applyNumberFormat="1" applyFont="1" applyFill="1" applyAlignment="1">
      <alignment horizontal="right" vertical="top"/>
    </xf>
    <xf numFmtId="14" fontId="2" fillId="36" borderId="0" xfId="0" applyNumberFormat="1" applyFont="1" applyFill="1" applyAlignment="1">
      <alignment horizontal="left" vertical="top"/>
    </xf>
    <xf numFmtId="0" fontId="2" fillId="36" borderId="0" xfId="0" applyFont="1" applyFill="1" applyAlignment="1">
      <alignment vertical="top"/>
    </xf>
    <xf numFmtId="0" fontId="2" fillId="36" borderId="0" xfId="0" applyFont="1" applyFill="1" applyAlignment="1">
      <alignment horizontal="center" vertical="top"/>
    </xf>
    <xf numFmtId="1" fontId="2" fillId="36" borderId="0" xfId="0" applyNumberFormat="1" applyFont="1" applyFill="1" applyAlignment="1">
      <alignment vertical="top"/>
    </xf>
    <xf numFmtId="0" fontId="36" fillId="26" borderId="0" xfId="0" applyFont="1" applyFill="1"/>
    <xf numFmtId="0" fontId="2" fillId="36" borderId="0" xfId="0" applyFont="1" applyFill="1" applyAlignment="1">
      <alignment horizontal="left" vertical="top"/>
    </xf>
    <xf numFmtId="0" fontId="26" fillId="29" borderId="4" xfId="0" applyFont="1" applyFill="1" applyBorder="1" applyAlignment="1">
      <alignment horizontal="center"/>
    </xf>
    <xf numFmtId="0" fontId="26" fillId="37" borderId="38" xfId="0" applyFont="1" applyFill="1" applyBorder="1" applyAlignment="1">
      <alignment horizontal="center"/>
    </xf>
    <xf numFmtId="0" fontId="3" fillId="38" borderId="0" xfId="0" applyFont="1" applyFill="1"/>
    <xf numFmtId="0" fontId="3" fillId="29" borderId="48" xfId="0" applyFont="1" applyFill="1" applyBorder="1" applyAlignment="1">
      <alignment horizontal="center"/>
    </xf>
    <xf numFmtId="0" fontId="3" fillId="29" borderId="0" xfId="0" applyFont="1" applyFill="1" applyAlignment="1">
      <alignment horizontal="center"/>
    </xf>
    <xf numFmtId="0" fontId="26" fillId="29" borderId="116" xfId="0" applyFont="1" applyFill="1" applyBorder="1" applyAlignment="1">
      <alignment horizontal="center"/>
    </xf>
    <xf numFmtId="0" fontId="26" fillId="37" borderId="39" xfId="0" applyFont="1" applyFill="1" applyBorder="1" applyAlignment="1">
      <alignment horizontal="center"/>
    </xf>
    <xf numFmtId="0" fontId="26" fillId="30" borderId="48" xfId="0" applyFont="1" applyFill="1" applyBorder="1" applyAlignment="1">
      <alignment horizontal="center"/>
    </xf>
    <xf numFmtId="0" fontId="26" fillId="30" borderId="0" xfId="0" applyFont="1" applyFill="1" applyAlignment="1">
      <alignment horizontal="center"/>
    </xf>
    <xf numFmtId="0" fontId="26" fillId="30" borderId="116" xfId="0" applyFont="1" applyFill="1" applyBorder="1" applyAlignment="1">
      <alignment horizontal="center"/>
    </xf>
    <xf numFmtId="0" fontId="26" fillId="29" borderId="118" xfId="0" applyFont="1" applyFill="1" applyBorder="1"/>
    <xf numFmtId="0" fontId="26" fillId="29" borderId="103" xfId="0" applyFont="1" applyFill="1" applyBorder="1"/>
    <xf numFmtId="0" fontId="26" fillId="29" borderId="119" xfId="0" applyFont="1" applyFill="1" applyBorder="1" applyAlignment="1">
      <alignment horizontal="center"/>
    </xf>
    <xf numFmtId="0" fontId="0" fillId="30" borderId="48" xfId="0" applyFill="1" applyBorder="1"/>
    <xf numFmtId="0" fontId="0" fillId="30" borderId="0" xfId="0" applyFill="1"/>
    <xf numFmtId="0" fontId="0" fillId="30" borderId="116" xfId="0" applyFill="1" applyBorder="1"/>
    <xf numFmtId="0" fontId="4" fillId="12" borderId="186" xfId="0" applyFont="1" applyFill="1" applyBorder="1" applyAlignment="1">
      <alignment wrapText="1"/>
    </xf>
    <xf numFmtId="49" fontId="4" fillId="12" borderId="186" xfId="0" applyNumberFormat="1" applyFont="1" applyFill="1" applyBorder="1" applyAlignment="1">
      <alignment wrapText="1"/>
    </xf>
    <xf numFmtId="0" fontId="3" fillId="13" borderId="142" xfId="0" applyFont="1" applyFill="1" applyBorder="1" applyAlignment="1">
      <alignment horizontal="center" wrapText="1"/>
    </xf>
    <xf numFmtId="0" fontId="3" fillId="13" borderId="186" xfId="0" applyFont="1" applyFill="1" applyBorder="1" applyAlignment="1">
      <alignment horizontal="center" wrapText="1"/>
    </xf>
    <xf numFmtId="1" fontId="3" fillId="13" borderId="186" xfId="0" applyNumberFormat="1" applyFont="1" applyFill="1" applyBorder="1" applyAlignment="1">
      <alignment horizontal="center" wrapText="1"/>
    </xf>
    <xf numFmtId="0" fontId="3" fillId="39" borderId="142" xfId="0" applyFont="1" applyFill="1" applyBorder="1" applyAlignment="1">
      <alignment horizontal="center" wrapText="1"/>
    </xf>
    <xf numFmtId="0" fontId="3" fillId="39" borderId="187" xfId="0" applyFont="1" applyFill="1" applyBorder="1" applyAlignment="1">
      <alignment horizontal="center" wrapText="1"/>
    </xf>
    <xf numFmtId="0" fontId="3" fillId="40" borderId="186" xfId="0" applyFont="1" applyFill="1" applyBorder="1" applyAlignment="1">
      <alignment vertical="center" wrapText="1"/>
    </xf>
    <xf numFmtId="0" fontId="3" fillId="40" borderId="187" xfId="0" applyFont="1" applyFill="1" applyBorder="1" applyAlignment="1">
      <alignment vertical="center" wrapText="1"/>
    </xf>
    <xf numFmtId="0" fontId="3" fillId="3" borderId="187" xfId="0" applyFont="1" applyFill="1" applyBorder="1" applyAlignment="1">
      <alignment vertical="center" wrapText="1"/>
    </xf>
    <xf numFmtId="0" fontId="3" fillId="41" borderId="142" xfId="0" applyFont="1" applyFill="1" applyBorder="1" applyAlignment="1">
      <alignment vertical="center" wrapText="1"/>
    </xf>
    <xf numFmtId="0" fontId="3" fillId="41" borderId="187" xfId="0" applyFont="1" applyFill="1" applyBorder="1" applyAlignment="1">
      <alignment vertical="center" wrapText="1"/>
    </xf>
    <xf numFmtId="0" fontId="3" fillId="41" borderId="3" xfId="0" applyFont="1" applyFill="1" applyBorder="1" applyAlignment="1">
      <alignment vertical="center" wrapText="1"/>
    </xf>
    <xf numFmtId="0" fontId="3" fillId="41" borderId="8" xfId="0" applyFont="1" applyFill="1" applyBorder="1" applyAlignment="1">
      <alignment vertical="center" wrapText="1"/>
    </xf>
    <xf numFmtId="0" fontId="3" fillId="38" borderId="188" xfId="0" applyFont="1" applyFill="1" applyBorder="1" applyAlignment="1">
      <alignment wrapText="1"/>
    </xf>
    <xf numFmtId="0" fontId="3" fillId="0" borderId="189" xfId="0" applyFont="1" applyBorder="1"/>
    <xf numFmtId="0" fontId="2" fillId="2" borderId="117" xfId="0" applyFont="1" applyFill="1" applyBorder="1" applyAlignment="1">
      <alignment vertical="top"/>
    </xf>
    <xf numFmtId="170" fontId="1" fillId="2" borderId="190" xfId="0" applyNumberFormat="1" applyFont="1" applyFill="1" applyBorder="1" applyAlignment="1">
      <alignment horizontal="right" vertical="top" indent="1"/>
    </xf>
    <xf numFmtId="0" fontId="1" fillId="0" borderId="168" xfId="0" applyFont="1" applyBorder="1" applyAlignment="1">
      <alignment vertical="top"/>
    </xf>
    <xf numFmtId="0" fontId="1" fillId="0" borderId="144" xfId="0" applyFont="1" applyBorder="1" applyAlignment="1">
      <alignment vertical="top"/>
    </xf>
    <xf numFmtId="0" fontId="1" fillId="2" borderId="144" xfId="0" applyFont="1" applyFill="1" applyBorder="1" applyAlignment="1">
      <alignment vertical="top"/>
    </xf>
    <xf numFmtId="0" fontId="1" fillId="2" borderId="144" xfId="0" applyFont="1" applyFill="1" applyBorder="1" applyAlignment="1">
      <alignment horizontal="center" vertical="top"/>
    </xf>
    <xf numFmtId="0" fontId="1" fillId="0" borderId="144" xfId="0" applyFont="1" applyBorder="1" applyAlignment="1">
      <alignment horizontal="center" vertical="top"/>
    </xf>
    <xf numFmtId="1" fontId="2" fillId="2" borderId="144" xfId="0" applyNumberFormat="1" applyFont="1" applyFill="1" applyBorder="1" applyAlignment="1">
      <alignment horizontal="center" vertical="top"/>
    </xf>
    <xf numFmtId="0" fontId="1" fillId="0" borderId="168" xfId="0" applyFont="1" applyBorder="1" applyAlignment="1">
      <alignment horizontal="center" vertical="top"/>
    </xf>
    <xf numFmtId="0" fontId="1" fillId="0" borderId="144" xfId="0" applyFont="1" applyBorder="1" applyAlignment="1">
      <alignment vertical="center"/>
    </xf>
    <xf numFmtId="171" fontId="1" fillId="0" borderId="144" xfId="0" applyNumberFormat="1" applyFont="1" applyBorder="1" applyAlignment="1">
      <alignment horizontal="center" vertical="center"/>
    </xf>
    <xf numFmtId="0" fontId="1" fillId="0" borderId="168" xfId="0" applyFont="1" applyBorder="1" applyAlignment="1">
      <alignment vertical="center"/>
    </xf>
    <xf numFmtId="0" fontId="37" fillId="0" borderId="168" xfId="0" applyFont="1" applyBorder="1"/>
    <xf numFmtId="0" fontId="37" fillId="0" borderId="144" xfId="0" applyFont="1" applyBorder="1"/>
    <xf numFmtId="0" fontId="37" fillId="2" borderId="191" xfId="0" applyFont="1" applyFill="1" applyBorder="1"/>
    <xf numFmtId="0" fontId="1" fillId="0" borderId="144" xfId="0" applyFont="1" applyBorder="1"/>
    <xf numFmtId="0" fontId="37" fillId="0" borderId="24" xfId="0" applyFont="1" applyBorder="1"/>
    <xf numFmtId="0" fontId="1" fillId="0" borderId="102" xfId="0" applyFont="1" applyBorder="1" applyAlignment="1">
      <alignment horizontal="center"/>
    </xf>
    <xf numFmtId="0" fontId="1" fillId="42" borderId="168" xfId="0" applyFont="1" applyFill="1" applyBorder="1" applyAlignment="1">
      <alignment vertical="top"/>
    </xf>
    <xf numFmtId="0" fontId="1" fillId="42" borderId="144" xfId="0" applyFont="1" applyFill="1" applyBorder="1" applyAlignment="1">
      <alignment vertical="top"/>
    </xf>
    <xf numFmtId="0" fontId="1" fillId="42" borderId="144" xfId="0" applyFont="1" applyFill="1" applyBorder="1" applyAlignment="1">
      <alignment horizontal="center" vertical="top"/>
    </xf>
    <xf numFmtId="0" fontId="1" fillId="42" borderId="168" xfId="0" applyFont="1" applyFill="1" applyBorder="1" applyAlignment="1">
      <alignment horizontal="center" vertical="top"/>
    </xf>
    <xf numFmtId="0" fontId="37" fillId="42" borderId="168" xfId="0" applyFont="1" applyFill="1" applyBorder="1" applyAlignment="1">
      <alignment horizontal="left" vertical="center"/>
    </xf>
    <xf numFmtId="0" fontId="1" fillId="42" borderId="144" xfId="0" applyFont="1" applyFill="1" applyBorder="1" applyAlignment="1">
      <alignment vertical="center"/>
    </xf>
    <xf numFmtId="0" fontId="37" fillId="42" borderId="144" xfId="0" applyFont="1" applyFill="1" applyBorder="1" applyAlignment="1">
      <alignment vertical="center"/>
    </xf>
    <xf numFmtId="0" fontId="37" fillId="42" borderId="144" xfId="0" applyFont="1" applyFill="1" applyBorder="1" applyAlignment="1">
      <alignment horizontal="left" vertical="center"/>
    </xf>
    <xf numFmtId="171" fontId="1" fillId="42" borderId="144" xfId="0" applyNumberFormat="1" applyFont="1" applyFill="1" applyBorder="1" applyAlignment="1">
      <alignment horizontal="center" vertical="center"/>
    </xf>
    <xf numFmtId="0" fontId="1" fillId="42" borderId="168" xfId="0" applyFont="1" applyFill="1" applyBorder="1" applyAlignment="1">
      <alignment vertical="center"/>
    </xf>
    <xf numFmtId="171" fontId="1" fillId="42" borderId="144" xfId="0" applyNumberFormat="1" applyFont="1" applyFill="1" applyBorder="1" applyAlignment="1">
      <alignment horizontal="center"/>
    </xf>
    <xf numFmtId="0" fontId="37" fillId="42" borderId="24" xfId="0" applyFont="1" applyFill="1" applyBorder="1"/>
    <xf numFmtId="0" fontId="38" fillId="2" borderId="192" xfId="0" applyFont="1" applyFill="1" applyBorder="1" applyAlignment="1">
      <alignment vertical="top"/>
    </xf>
    <xf numFmtId="0" fontId="39" fillId="42" borderId="144" xfId="0" applyFont="1" applyFill="1" applyBorder="1" applyAlignment="1">
      <alignment vertical="top"/>
    </xf>
    <xf numFmtId="0" fontId="39" fillId="0" borderId="144" xfId="0" applyFont="1" applyBorder="1" applyAlignment="1">
      <alignment vertical="top"/>
    </xf>
    <xf numFmtId="0" fontId="1" fillId="42" borderId="144" xfId="0" applyFont="1" applyFill="1" applyBorder="1"/>
    <xf numFmtId="0" fontId="1" fillId="0" borderId="168" xfId="0" applyFont="1" applyBorder="1"/>
    <xf numFmtId="0" fontId="2" fillId="26" borderId="117" xfId="0" applyFont="1" applyFill="1" applyBorder="1" applyAlignment="1">
      <alignment vertical="top"/>
    </xf>
    <xf numFmtId="170" fontId="1" fillId="26" borderId="190" xfId="0" applyNumberFormat="1" applyFont="1" applyFill="1" applyBorder="1" applyAlignment="1">
      <alignment horizontal="right" vertical="top" indent="1"/>
    </xf>
    <xf numFmtId="0" fontId="0" fillId="26" borderId="168" xfId="0" applyFill="1" applyBorder="1" applyAlignment="1">
      <alignment vertical="top"/>
    </xf>
    <xf numFmtId="0" fontId="1" fillId="26" borderId="144" xfId="0" applyFont="1" applyFill="1" applyBorder="1" applyAlignment="1">
      <alignment vertical="top"/>
    </xf>
    <xf numFmtId="0" fontId="1" fillId="26" borderId="144" xfId="0" applyFont="1" applyFill="1" applyBorder="1" applyAlignment="1">
      <alignment horizontal="center" vertical="top"/>
    </xf>
    <xf numFmtId="0" fontId="33" fillId="26" borderId="144" xfId="0" applyFont="1" applyFill="1" applyBorder="1" applyAlignment="1">
      <alignment horizontal="center" vertical="top"/>
    </xf>
    <xf numFmtId="1" fontId="2" fillId="26" borderId="144" xfId="0" applyNumberFormat="1" applyFont="1" applyFill="1" applyBorder="1" applyAlignment="1">
      <alignment horizontal="center" vertical="top"/>
    </xf>
    <xf numFmtId="0" fontId="1" fillId="26" borderId="168" xfId="0" applyFont="1" applyFill="1" applyBorder="1" applyAlignment="1">
      <alignment horizontal="center" vertical="top"/>
    </xf>
    <xf numFmtId="0" fontId="1" fillId="26" borderId="168" xfId="0" applyFont="1" applyFill="1" applyBorder="1" applyAlignment="1">
      <alignment vertical="center"/>
    </xf>
    <xf numFmtId="0" fontId="1" fillId="26" borderId="144" xfId="0" applyFont="1" applyFill="1" applyBorder="1" applyAlignment="1">
      <alignment vertical="center"/>
    </xf>
    <xf numFmtId="171" fontId="1" fillId="26" borderId="144" xfId="0" applyNumberFormat="1" applyFont="1" applyFill="1" applyBorder="1" applyAlignment="1">
      <alignment horizontal="center" vertical="center"/>
    </xf>
    <xf numFmtId="0" fontId="2" fillId="26" borderId="192" xfId="0" applyFont="1" applyFill="1" applyBorder="1" applyAlignment="1">
      <alignment vertical="top"/>
    </xf>
    <xf numFmtId="0" fontId="4" fillId="8" borderId="118" xfId="0" applyFont="1" applyFill="1" applyBorder="1" applyAlignment="1">
      <alignment vertical="center"/>
    </xf>
    <xf numFmtId="49" fontId="4" fillId="8" borderId="67" xfId="0" applyNumberFormat="1" applyFont="1" applyFill="1" applyBorder="1" applyAlignment="1">
      <alignment horizontal="center" vertical="center"/>
    </xf>
    <xf numFmtId="49" fontId="6" fillId="8" borderId="67" xfId="0" applyNumberFormat="1" applyFont="1" applyFill="1" applyBorder="1" applyAlignment="1">
      <alignment horizontal="center" vertical="center"/>
    </xf>
    <xf numFmtId="0" fontId="3" fillId="8" borderId="0" xfId="0" applyFont="1" applyFill="1" applyAlignment="1">
      <alignment vertical="center" wrapText="1"/>
    </xf>
    <xf numFmtId="0" fontId="1" fillId="8" borderId="0" xfId="0" applyFont="1" applyFill="1" applyAlignment="1">
      <alignment vertical="center"/>
    </xf>
    <xf numFmtId="0" fontId="2" fillId="8" borderId="116" xfId="0" applyFont="1" applyFill="1" applyBorder="1" applyAlignment="1">
      <alignment vertical="center"/>
    </xf>
    <xf numFmtId="0" fontId="26" fillId="6" borderId="7" xfId="0" applyFont="1" applyFill="1" applyBorder="1" applyAlignment="1">
      <alignment vertical="center"/>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49" fontId="2" fillId="8" borderId="142" xfId="0" applyNumberFormat="1" applyFont="1" applyFill="1" applyBorder="1"/>
    <xf numFmtId="49" fontId="1" fillId="8" borderId="142" xfId="0" applyNumberFormat="1" applyFont="1" applyFill="1" applyBorder="1"/>
    <xf numFmtId="0" fontId="1" fillId="8" borderId="3" xfId="0" applyFont="1" applyFill="1" applyBorder="1"/>
    <xf numFmtId="0" fontId="40" fillId="8" borderId="43" xfId="0" quotePrefix="1" applyFont="1" applyFill="1" applyBorder="1" applyAlignment="1">
      <alignment vertical="center"/>
    </xf>
    <xf numFmtId="0" fontId="1" fillId="8" borderId="43" xfId="0" applyFont="1" applyFill="1" applyBorder="1"/>
    <xf numFmtId="0" fontId="33" fillId="8" borderId="101" xfId="0" applyFont="1" applyFill="1" applyBorder="1"/>
    <xf numFmtId="0" fontId="41" fillId="7" borderId="72" xfId="0" applyFont="1" applyFill="1" applyBorder="1" applyAlignment="1">
      <alignment horizontal="center" wrapText="1"/>
    </xf>
    <xf numFmtId="0" fontId="5" fillId="7" borderId="15" xfId="0" applyFont="1" applyFill="1" applyBorder="1" applyAlignment="1">
      <alignment horizontal="left" vertical="center"/>
    </xf>
    <xf numFmtId="0" fontId="1" fillId="7" borderId="15" xfId="0" applyFont="1" applyFill="1" applyBorder="1" applyAlignment="1">
      <alignment horizontal="center" vertical="center" wrapText="1"/>
    </xf>
    <xf numFmtId="0" fontId="1" fillId="7" borderId="127" xfId="0" applyFont="1" applyFill="1" applyBorder="1" applyAlignment="1">
      <alignment horizontal="center" vertical="center" wrapText="1"/>
    </xf>
    <xf numFmtId="0" fontId="1" fillId="8" borderId="193" xfId="0" applyFont="1" applyFill="1" applyBorder="1" applyAlignment="1">
      <alignment horizontal="center" vertical="center" wrapText="1"/>
    </xf>
    <xf numFmtId="49" fontId="2" fillId="8" borderId="48" xfId="0" applyNumberFormat="1" applyFont="1" applyFill="1" applyBorder="1"/>
    <xf numFmtId="49" fontId="1" fillId="8" borderId="48" xfId="0" applyNumberFormat="1" applyFont="1" applyFill="1" applyBorder="1"/>
    <xf numFmtId="0" fontId="1" fillId="8" borderId="0" xfId="0" applyFont="1" applyFill="1"/>
    <xf numFmtId="0" fontId="1" fillId="8" borderId="24" xfId="0" applyFont="1" applyFill="1" applyBorder="1"/>
    <xf numFmtId="0" fontId="42" fillId="8" borderId="1" xfId="0" applyFont="1" applyFill="1" applyBorder="1"/>
    <xf numFmtId="0" fontId="1" fillId="8" borderId="1" xfId="0" applyFont="1" applyFill="1" applyBorder="1"/>
    <xf numFmtId="0" fontId="33" fillId="8" borderId="102" xfId="0" applyFont="1" applyFill="1" applyBorder="1"/>
    <xf numFmtId="0" fontId="41" fillId="7" borderId="24" xfId="0" applyFont="1" applyFill="1" applyBorder="1" applyAlignment="1">
      <alignment horizontal="center" wrapText="1"/>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02" xfId="0" applyFont="1" applyFill="1" applyBorder="1"/>
    <xf numFmtId="0" fontId="40" fillId="8" borderId="1" xfId="0" quotePrefix="1" applyFont="1" applyFill="1" applyBorder="1" applyAlignment="1">
      <alignment vertical="center"/>
    </xf>
    <xf numFmtId="49" fontId="1" fillId="8" borderId="48" xfId="0" quotePrefix="1" applyNumberFormat="1" applyFont="1" applyFill="1" applyBorder="1"/>
    <xf numFmtId="49" fontId="2" fillId="8" borderId="118" xfId="0" applyNumberFormat="1" applyFont="1" applyFill="1" applyBorder="1"/>
    <xf numFmtId="49" fontId="1" fillId="8" borderId="118" xfId="0" applyNumberFormat="1" applyFont="1" applyFill="1" applyBorder="1"/>
    <xf numFmtId="0" fontId="1" fillId="8" borderId="103" xfId="0" applyFont="1" applyFill="1" applyBorder="1"/>
    <xf numFmtId="0" fontId="40" fillId="8" borderId="32" xfId="0" quotePrefix="1" applyFont="1" applyFill="1" applyBorder="1" applyAlignment="1">
      <alignment vertical="center"/>
    </xf>
    <xf numFmtId="0" fontId="1" fillId="8" borderId="32" xfId="0" applyFont="1" applyFill="1" applyBorder="1"/>
    <xf numFmtId="0" fontId="1" fillId="8" borderId="110" xfId="0" applyFont="1" applyFill="1" applyBorder="1"/>
    <xf numFmtId="0" fontId="0" fillId="0" borderId="0" xfId="0" applyAlignment="1">
      <alignment horizontal="left" indent="2"/>
    </xf>
    <xf numFmtId="0" fontId="1" fillId="8" borderId="34" xfId="0" applyFont="1" applyFill="1" applyBorder="1" applyAlignment="1">
      <alignment horizontal="center" vertical="center" wrapText="1"/>
    </xf>
    <xf numFmtId="0" fontId="0" fillId="0" borderId="0" xfId="0" applyAlignment="1">
      <alignment horizontal="left" indent="3"/>
    </xf>
    <xf numFmtId="0" fontId="0" fillId="0" borderId="16" xfId="0" applyBorder="1"/>
    <xf numFmtId="0" fontId="0" fillId="0" borderId="0" xfId="0" applyAlignment="1">
      <alignment horizontal="left" indent="4"/>
    </xf>
    <xf numFmtId="0" fontId="26" fillId="43" borderId="90" xfId="0" applyFont="1" applyFill="1" applyBorder="1" applyAlignment="1">
      <alignment vertical="center"/>
    </xf>
    <xf numFmtId="0" fontId="3" fillId="5" borderId="194" xfId="0" applyFont="1" applyFill="1" applyBorder="1" applyAlignment="1">
      <alignment horizontal="center" vertical="center" wrapText="1"/>
    </xf>
    <xf numFmtId="0" fontId="3" fillId="5" borderId="195" xfId="0" applyFont="1" applyFill="1" applyBorder="1" applyAlignment="1">
      <alignment horizontal="center" vertical="center" wrapText="1"/>
    </xf>
    <xf numFmtId="0" fontId="3" fillId="5" borderId="196" xfId="0" applyFont="1" applyFill="1" applyBorder="1" applyAlignment="1">
      <alignment horizontal="center" vertical="center" wrapText="1"/>
    </xf>
    <xf numFmtId="0" fontId="0" fillId="0" borderId="197" xfId="0" applyBorder="1"/>
    <xf numFmtId="0" fontId="43" fillId="2" borderId="0" xfId="0" applyFont="1" applyFill="1"/>
    <xf numFmtId="0" fontId="44" fillId="0" borderId="0" xfId="0" applyFont="1"/>
    <xf numFmtId="0" fontId="45" fillId="0" borderId="0" xfId="0" applyFont="1"/>
    <xf numFmtId="0" fontId="4" fillId="4" borderId="38" xfId="0" applyFont="1" applyFill="1" applyBorder="1" applyAlignment="1">
      <alignment horizontal="center" vertical="center" wrapText="1"/>
    </xf>
    <xf numFmtId="0" fontId="0" fillId="0" borderId="198" xfId="0" applyBorder="1"/>
    <xf numFmtId="0" fontId="1" fillId="16" borderId="14" xfId="0" applyFont="1" applyFill="1" applyBorder="1"/>
    <xf numFmtId="0" fontId="0" fillId="0" borderId="179" xfId="0" applyBorder="1" applyProtection="1">
      <protection locked="0"/>
    </xf>
    <xf numFmtId="0" fontId="1" fillId="0" borderId="14" xfId="0" applyFont="1" applyBorder="1" applyAlignment="1">
      <alignment vertical="center"/>
    </xf>
    <xf numFmtId="0" fontId="0" fillId="0" borderId="199" xfId="0" applyBorder="1"/>
    <xf numFmtId="0" fontId="1" fillId="16" borderId="18" xfId="0" applyFont="1" applyFill="1" applyBorder="1"/>
    <xf numFmtId="0" fontId="0" fillId="0" borderId="91" xfId="0" applyBorder="1" applyProtection="1">
      <protection locked="0"/>
    </xf>
    <xf numFmtId="0" fontId="1" fillId="0" borderId="18" xfId="0" applyFont="1" applyBorder="1"/>
    <xf numFmtId="0" fontId="0" fillId="0" borderId="122" xfId="0" applyBorder="1" applyProtection="1">
      <protection locked="0"/>
    </xf>
    <xf numFmtId="0" fontId="1" fillId="16" borderId="23" xfId="0" applyFont="1" applyFill="1" applyBorder="1"/>
    <xf numFmtId="0" fontId="0" fillId="0" borderId="18" xfId="0" applyBorder="1"/>
    <xf numFmtId="0" fontId="0" fillId="0" borderId="23" xfId="0" applyBorder="1"/>
    <xf numFmtId="0" fontId="23" fillId="0" borderId="57" xfId="0" applyFont="1" applyBorder="1" applyAlignment="1">
      <alignment horizontal="left" vertical="top" indent="2"/>
    </xf>
    <xf numFmtId="1" fontId="4" fillId="2" borderId="0" xfId="0" applyNumberFormat="1" applyFont="1" applyFill="1"/>
    <xf numFmtId="0" fontId="3" fillId="0" borderId="0" xfId="0" applyFont="1"/>
    <xf numFmtId="49" fontId="0" fillId="0" borderId="74" xfId="0" applyNumberFormat="1" applyBorder="1"/>
    <xf numFmtId="0" fontId="0" fillId="0" borderId="200" xfId="0" applyBorder="1"/>
    <xf numFmtId="0" fontId="3" fillId="38" borderId="142" xfId="0" applyFont="1" applyFill="1" applyBorder="1" applyAlignment="1">
      <alignment vertical="center"/>
    </xf>
    <xf numFmtId="0" fontId="3" fillId="38" borderId="3" xfId="0" applyFont="1" applyFill="1" applyBorder="1" applyAlignment="1">
      <alignment vertical="center"/>
    </xf>
    <xf numFmtId="0" fontId="3" fillId="38" borderId="67" xfId="0" applyFont="1" applyFill="1" applyBorder="1" applyAlignment="1">
      <alignment vertical="center"/>
    </xf>
    <xf numFmtId="0" fontId="3" fillId="38" borderId="87" xfId="0" applyFont="1" applyFill="1" applyBorder="1" applyAlignment="1">
      <alignment vertical="center"/>
    </xf>
    <xf numFmtId="0" fontId="1" fillId="0" borderId="48" xfId="0" applyFont="1" applyBorder="1" applyAlignment="1">
      <alignment vertical="center"/>
    </xf>
    <xf numFmtId="0" fontId="3" fillId="0" borderId="142" xfId="0" applyFont="1" applyBorder="1"/>
    <xf numFmtId="0" fontId="3" fillId="0" borderId="3" xfId="0" applyFont="1" applyBorder="1" applyAlignment="1">
      <alignment vertical="center"/>
    </xf>
    <xf numFmtId="0" fontId="1" fillId="2" borderId="3" xfId="0" applyFont="1" applyFill="1" applyBorder="1" applyAlignment="1">
      <alignment horizontal="left" indent="3"/>
    </xf>
    <xf numFmtId="0" fontId="1" fillId="0" borderId="3" xfId="0" applyFont="1" applyBorder="1" applyAlignment="1">
      <alignment vertical="center"/>
    </xf>
    <xf numFmtId="0" fontId="1" fillId="0" borderId="116" xfId="0" applyFont="1" applyBorder="1" applyAlignment="1">
      <alignment vertical="center"/>
    </xf>
    <xf numFmtId="0" fontId="46" fillId="2" borderId="0" xfId="0" applyFont="1" applyFill="1"/>
    <xf numFmtId="0" fontId="47" fillId="0" borderId="0" xfId="0" applyFont="1" applyAlignment="1">
      <alignment vertical="center"/>
    </xf>
    <xf numFmtId="3" fontId="3" fillId="4" borderId="166" xfId="0" applyNumberFormat="1" applyFont="1" applyFill="1" applyBorder="1" applyAlignment="1">
      <alignment horizontal="center" vertical="center" wrapText="1"/>
    </xf>
    <xf numFmtId="3" fontId="3" fillId="4" borderId="201" xfId="0" applyNumberFormat="1" applyFont="1" applyFill="1" applyBorder="1" applyAlignment="1" applyProtection="1">
      <alignment horizontal="center" vertical="center" wrapText="1"/>
      <protection locked="0"/>
    </xf>
    <xf numFmtId="172" fontId="3" fillId="4" borderId="201" xfId="0" applyNumberFormat="1" applyFont="1" applyFill="1" applyBorder="1" applyAlignment="1" applyProtection="1">
      <alignment horizontal="center" vertical="center" wrapText="1"/>
      <protection locked="0"/>
    </xf>
    <xf numFmtId="0" fontId="3" fillId="0" borderId="142" xfId="0" applyFont="1" applyBorder="1" applyAlignment="1">
      <alignment vertical="center"/>
    </xf>
    <xf numFmtId="0" fontId="1" fillId="0" borderId="4" xfId="0" applyFont="1" applyBorder="1" applyAlignment="1">
      <alignment vertical="center"/>
    </xf>
    <xf numFmtId="0" fontId="26" fillId="3" borderId="166" xfId="0" applyFont="1" applyFill="1" applyBorder="1" applyAlignment="1">
      <alignment horizontal="center" vertical="center" wrapText="1"/>
    </xf>
    <xf numFmtId="0" fontId="3" fillId="3" borderId="202" xfId="0" applyFont="1" applyFill="1" applyBorder="1" applyAlignment="1">
      <alignment horizontal="center" vertical="center" wrapText="1"/>
    </xf>
    <xf numFmtId="14" fontId="1" fillId="3" borderId="7" xfId="0" applyNumberFormat="1" applyFont="1" applyFill="1" applyBorder="1" applyAlignment="1">
      <alignment horizontal="center" vertical="center"/>
    </xf>
    <xf numFmtId="0" fontId="1" fillId="0" borderId="119" xfId="0" applyFont="1" applyBorder="1" applyAlignment="1">
      <alignment vertical="center"/>
    </xf>
    <xf numFmtId="0" fontId="46" fillId="0" borderId="0" xfId="0" applyFont="1"/>
    <xf numFmtId="173" fontId="7" fillId="2" borderId="8" xfId="0" applyNumberFormat="1" applyFont="1" applyFill="1" applyBorder="1"/>
    <xf numFmtId="173" fontId="7" fillId="2" borderId="9" xfId="0" applyNumberFormat="1" applyFont="1" applyFill="1" applyBorder="1"/>
    <xf numFmtId="0" fontId="1" fillId="0" borderId="188" xfId="0" applyFont="1" applyBorder="1"/>
    <xf numFmtId="0" fontId="23" fillId="0" borderId="0" xfId="0" applyFont="1"/>
    <xf numFmtId="0" fontId="48" fillId="2" borderId="203" xfId="0" applyFont="1" applyFill="1" applyBorder="1" applyAlignment="1">
      <alignment horizontal="right"/>
    </xf>
    <xf numFmtId="173" fontId="3" fillId="3" borderId="204" xfId="0" applyNumberFormat="1" applyFont="1" applyFill="1" applyBorder="1" applyAlignment="1">
      <alignment horizontal="center" vertical="center" wrapText="1"/>
    </xf>
    <xf numFmtId="173" fontId="3" fillId="40" borderId="204" xfId="0" applyNumberFormat="1" applyFont="1" applyFill="1" applyBorder="1" applyAlignment="1">
      <alignment horizontal="center" vertical="center" wrapText="1"/>
    </xf>
    <xf numFmtId="0" fontId="1" fillId="0" borderId="48" xfId="0" applyFont="1" applyBorder="1" applyAlignment="1">
      <alignment horizontal="right" vertical="center"/>
    </xf>
    <xf numFmtId="0" fontId="1" fillId="16" borderId="0" xfId="0" applyFont="1" applyFill="1" applyAlignment="1">
      <alignment vertical="top"/>
    </xf>
    <xf numFmtId="0" fontId="49" fillId="0" borderId="48" xfId="0" applyFont="1" applyBorder="1" applyAlignment="1">
      <alignment horizontal="right" vertical="center"/>
    </xf>
    <xf numFmtId="173" fontId="3" fillId="40" borderId="8" xfId="0" applyNumberFormat="1" applyFont="1" applyFill="1" applyBorder="1" applyAlignment="1">
      <alignment horizontal="center" vertical="center" wrapText="1"/>
    </xf>
    <xf numFmtId="173" fontId="3" fillId="40" borderId="9" xfId="0" applyNumberFormat="1" applyFont="1" applyFill="1" applyBorder="1" applyAlignment="1">
      <alignment horizontal="center" vertical="center" wrapText="1"/>
    </xf>
    <xf numFmtId="173" fontId="3" fillId="40" borderId="188" xfId="0" applyNumberFormat="1" applyFont="1" applyFill="1" applyBorder="1" applyAlignment="1">
      <alignment horizontal="center" vertical="center" wrapText="1"/>
    </xf>
    <xf numFmtId="0" fontId="1" fillId="16" borderId="0" xfId="0" applyFont="1" applyFill="1"/>
    <xf numFmtId="0" fontId="1" fillId="0" borderId="116" xfId="0" applyFont="1" applyBorder="1"/>
    <xf numFmtId="0" fontId="50" fillId="16" borderId="0" xfId="0" applyFont="1" applyFill="1"/>
    <xf numFmtId="0" fontId="1" fillId="2" borderId="0" xfId="0" quotePrefix="1" applyFont="1" applyFill="1"/>
    <xf numFmtId="0" fontId="1" fillId="2" borderId="0" xfId="0" applyFont="1" applyFill="1" applyAlignment="1">
      <alignment horizontal="right" indent="1"/>
    </xf>
    <xf numFmtId="0" fontId="47" fillId="0" borderId="48" xfId="0" applyFont="1" applyBorder="1" applyAlignment="1">
      <alignment vertical="center"/>
    </xf>
    <xf numFmtId="14" fontId="3" fillId="3" borderId="7" xfId="0" applyNumberFormat="1" applyFont="1" applyFill="1" applyBorder="1" applyAlignment="1">
      <alignment vertical="center"/>
    </xf>
    <xf numFmtId="0" fontId="47" fillId="0" borderId="0" xfId="0" applyFont="1" applyAlignment="1">
      <alignment horizontal="right" vertical="center" indent="1"/>
    </xf>
    <xf numFmtId="0" fontId="3" fillId="40" borderId="166" xfId="0" applyFont="1" applyFill="1" applyBorder="1" applyAlignment="1">
      <alignment horizontal="center" vertical="center" wrapText="1"/>
    </xf>
    <xf numFmtId="0" fontId="3" fillId="3" borderId="205" xfId="0" applyFont="1" applyFill="1" applyBorder="1" applyAlignment="1">
      <alignment horizontal="center" vertical="center" wrapText="1"/>
    </xf>
    <xf numFmtId="0" fontId="51" fillId="0" borderId="0" xfId="0" applyFont="1"/>
    <xf numFmtId="0" fontId="52"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1" fillId="0" borderId="103" xfId="0" applyFont="1" applyBorder="1" applyAlignment="1">
      <alignment vertical="center"/>
    </xf>
    <xf numFmtId="0" fontId="1" fillId="0" borderId="103" xfId="0" applyFont="1" applyBorder="1"/>
    <xf numFmtId="0" fontId="53" fillId="44" borderId="48" xfId="0" applyFont="1" applyFill="1" applyBorder="1" applyAlignment="1">
      <alignment horizontal="center"/>
    </xf>
    <xf numFmtId="0" fontId="54" fillId="44" borderId="0" xfId="0" applyFont="1" applyFill="1"/>
    <xf numFmtId="0" fontId="1" fillId="44" borderId="0" xfId="0" applyFont="1" applyFill="1"/>
    <xf numFmtId="0" fontId="1" fillId="44" borderId="116" xfId="0" applyFont="1" applyFill="1" applyBorder="1"/>
    <xf numFmtId="0" fontId="55" fillId="44" borderId="48" xfId="0" applyFont="1" applyFill="1" applyBorder="1" applyAlignment="1">
      <alignment horizontal="left" indent="1"/>
    </xf>
    <xf numFmtId="0" fontId="56" fillId="44" borderId="0" xfId="0" applyFont="1" applyFill="1"/>
    <xf numFmtId="0" fontId="55" fillId="44" borderId="48" xfId="0" quotePrefix="1" applyFont="1" applyFill="1" applyBorder="1" applyAlignment="1">
      <alignment horizontal="left" indent="1"/>
    </xf>
    <xf numFmtId="0" fontId="1" fillId="44" borderId="0" xfId="0" applyFont="1" applyFill="1" applyAlignment="1">
      <alignment horizontal="left"/>
    </xf>
    <xf numFmtId="0" fontId="54" fillId="44" borderId="118" xfId="0" applyFont="1" applyFill="1" applyBorder="1" applyAlignment="1">
      <alignment horizontal="left" indent="1"/>
    </xf>
    <xf numFmtId="0" fontId="1" fillId="44" borderId="103" xfId="0" applyFont="1" applyFill="1" applyBorder="1"/>
    <xf numFmtId="0" fontId="1" fillId="44" borderId="119" xfId="0" applyFont="1" applyFill="1" applyBorder="1"/>
    <xf numFmtId="0" fontId="54" fillId="44" borderId="142" xfId="0" applyFont="1" applyFill="1" applyBorder="1" applyAlignment="1">
      <alignment horizontal="left" indent="1"/>
    </xf>
    <xf numFmtId="0" fontId="1" fillId="44" borderId="3" xfId="0" applyFont="1" applyFill="1" applyBorder="1"/>
    <xf numFmtId="0" fontId="1" fillId="44" borderId="4" xfId="0" applyFont="1" applyFill="1" applyBorder="1"/>
    <xf numFmtId="0" fontId="13" fillId="44" borderId="116" xfId="0" applyFont="1" applyFill="1" applyBorder="1"/>
    <xf numFmtId="0" fontId="57" fillId="44" borderId="48" xfId="0" applyFont="1" applyFill="1" applyBorder="1" applyAlignment="1">
      <alignment horizontal="left" indent="1"/>
    </xf>
    <xf numFmtId="0" fontId="13" fillId="44" borderId="0" xfId="0" applyFont="1" applyFill="1" applyAlignment="1">
      <alignment horizontal="right" indent="1"/>
    </xf>
    <xf numFmtId="0" fontId="13" fillId="44" borderId="0" xfId="0" applyFont="1" applyFill="1"/>
    <xf numFmtId="0" fontId="54" fillId="44" borderId="48" xfId="0" applyFont="1" applyFill="1" applyBorder="1" applyAlignment="1">
      <alignment horizontal="left" indent="1"/>
    </xf>
    <xf numFmtId="0" fontId="54" fillId="44" borderId="185" xfId="0" applyFont="1" applyFill="1" applyBorder="1" applyAlignment="1">
      <alignment horizontal="left" indent="1"/>
    </xf>
    <xf numFmtId="0" fontId="1" fillId="44" borderId="124" xfId="0" applyFont="1" applyFill="1" applyBorder="1"/>
    <xf numFmtId="0" fontId="1" fillId="44" borderId="125" xfId="0" applyFont="1" applyFill="1" applyBorder="1"/>
    <xf numFmtId="0" fontId="55" fillId="44" borderId="48" xfId="0" applyFont="1" applyFill="1" applyBorder="1" applyAlignment="1">
      <alignment horizontal="left" vertical="top"/>
    </xf>
    <xf numFmtId="0" fontId="1" fillId="44" borderId="0" xfId="0" applyFont="1" applyFill="1" applyAlignment="1">
      <alignment horizontal="center" vertical="top"/>
    </xf>
    <xf numFmtId="0" fontId="1" fillId="44" borderId="0" xfId="0" applyFont="1" applyFill="1" applyAlignment="1">
      <alignment vertical="top"/>
    </xf>
    <xf numFmtId="0" fontId="1" fillId="44" borderId="116" xfId="0" applyFont="1" applyFill="1" applyBorder="1" applyAlignment="1">
      <alignment vertical="top"/>
    </xf>
    <xf numFmtId="0" fontId="1" fillId="44" borderId="0" xfId="0" applyFont="1" applyFill="1" applyAlignment="1">
      <alignment horizontal="center"/>
    </xf>
    <xf numFmtId="0" fontId="13" fillId="44" borderId="48" xfId="0" applyFont="1" applyFill="1" applyBorder="1" applyProtection="1">
      <protection locked="0"/>
    </xf>
    <xf numFmtId="0" fontId="13" fillId="44" borderId="0" xfId="0" applyFont="1" applyFill="1" applyProtection="1">
      <protection locked="0"/>
    </xf>
    <xf numFmtId="0" fontId="1" fillId="44" borderId="0" xfId="0" applyFont="1" applyFill="1" applyProtection="1">
      <protection locked="0"/>
    </xf>
    <xf numFmtId="0" fontId="1" fillId="44" borderId="116" xfId="0" applyFont="1" applyFill="1" applyBorder="1" applyProtection="1">
      <protection locked="0"/>
    </xf>
    <xf numFmtId="0" fontId="55" fillId="44" borderId="48" xfId="0" applyFont="1" applyFill="1" applyBorder="1" applyAlignment="1" applyProtection="1">
      <alignment horizontal="left" indent="1"/>
      <protection locked="0"/>
    </xf>
    <xf numFmtId="0" fontId="3" fillId="28" borderId="7" xfId="0" applyFont="1" applyFill="1" applyBorder="1" applyAlignment="1" applyProtection="1">
      <alignment horizontal="center" vertical="center" wrapText="1"/>
      <protection locked="0"/>
    </xf>
    <xf numFmtId="0" fontId="1" fillId="45" borderId="48" xfId="0" applyFont="1" applyFill="1" applyBorder="1" applyAlignment="1">
      <alignment horizontal="center" vertical="center"/>
    </xf>
    <xf numFmtId="0" fontId="1" fillId="46" borderId="0" xfId="0" quotePrefix="1" applyFont="1" applyFill="1" applyAlignment="1">
      <alignment horizontal="center" vertical="center"/>
    </xf>
    <xf numFmtId="0" fontId="1" fillId="46" borderId="116" xfId="0" applyFont="1" applyFill="1" applyBorder="1" applyProtection="1">
      <protection locked="0"/>
    </xf>
    <xf numFmtId="0" fontId="54" fillId="44" borderId="142" xfId="0" applyFont="1" applyFill="1" applyBorder="1" applyAlignment="1" applyProtection="1">
      <alignment horizontal="left" indent="1"/>
      <protection locked="0"/>
    </xf>
    <xf numFmtId="0" fontId="1" fillId="46" borderId="3" xfId="0" applyFont="1" applyFill="1" applyBorder="1" applyProtection="1">
      <protection locked="0"/>
    </xf>
    <xf numFmtId="0" fontId="1" fillId="46" borderId="4" xfId="0" applyFont="1" applyFill="1" applyBorder="1" applyProtection="1">
      <protection locked="0"/>
    </xf>
    <xf numFmtId="0" fontId="1" fillId="45" borderId="0" xfId="0" applyFont="1" applyFill="1" applyAlignment="1">
      <alignment horizontal="center" vertical="center"/>
    </xf>
    <xf numFmtId="0" fontId="58" fillId="46" borderId="116" xfId="0" applyFont="1" applyFill="1" applyBorder="1" applyProtection="1">
      <protection locked="0"/>
    </xf>
    <xf numFmtId="0" fontId="54" fillId="44" borderId="48" xfId="0" applyFont="1" applyFill="1" applyBorder="1" applyAlignment="1" applyProtection="1">
      <alignment horizontal="left" indent="1"/>
      <protection locked="0"/>
    </xf>
    <xf numFmtId="0" fontId="13" fillId="46" borderId="116" xfId="0" applyFont="1" applyFill="1" applyBorder="1" applyProtection="1">
      <protection locked="0"/>
    </xf>
    <xf numFmtId="0" fontId="13" fillId="44" borderId="118" xfId="0" applyFont="1" applyFill="1" applyBorder="1" applyAlignment="1" applyProtection="1">
      <alignment horizontal="left" indent="1"/>
      <protection locked="0"/>
    </xf>
    <xf numFmtId="0" fontId="13" fillId="44" borderId="103" xfId="0" applyFont="1" applyFill="1" applyBorder="1" applyProtection="1">
      <protection locked="0"/>
    </xf>
    <xf numFmtId="0" fontId="1" fillId="44" borderId="103" xfId="0" applyFont="1" applyFill="1" applyBorder="1" applyProtection="1">
      <protection locked="0"/>
    </xf>
    <xf numFmtId="0" fontId="13" fillId="44" borderId="119" xfId="0" applyFont="1" applyFill="1" applyBorder="1" applyProtection="1">
      <protection locked="0"/>
    </xf>
    <xf numFmtId="0" fontId="54" fillId="46" borderId="142" xfId="0" applyFont="1" applyFill="1" applyBorder="1" applyAlignment="1">
      <alignment horizontal="left" indent="1"/>
    </xf>
    <xf numFmtId="0" fontId="1" fillId="46" borderId="3" xfId="0" applyFont="1" applyFill="1" applyBorder="1"/>
    <xf numFmtId="0" fontId="1" fillId="46" borderId="4" xfId="0" applyFont="1" applyFill="1" applyBorder="1"/>
    <xf numFmtId="0" fontId="55" fillId="46" borderId="48" xfId="0" applyFont="1" applyFill="1" applyBorder="1" applyAlignment="1">
      <alignment horizontal="left" indent="1"/>
    </xf>
    <xf numFmtId="0" fontId="59" fillId="46" borderId="0" xfId="0" applyFont="1" applyFill="1" applyAlignment="1">
      <alignment horizontal="left"/>
    </xf>
    <xf numFmtId="0" fontId="14" fillId="46" borderId="0" xfId="0" applyFont="1" applyFill="1" applyAlignment="1">
      <alignment horizontal="center"/>
    </xf>
    <xf numFmtId="0" fontId="1" fillId="46" borderId="0" xfId="0" applyFont="1" applyFill="1"/>
    <xf numFmtId="0" fontId="1" fillId="46" borderId="116" xfId="0" applyFont="1" applyFill="1" applyBorder="1"/>
    <xf numFmtId="0" fontId="57" fillId="46" borderId="48" xfId="0" applyFont="1" applyFill="1" applyBorder="1" applyAlignment="1">
      <alignment horizontal="left" indent="1"/>
    </xf>
    <xf numFmtId="0" fontId="13" fillId="46" borderId="0" xfId="0" applyFont="1" applyFill="1"/>
    <xf numFmtId="0" fontId="54" fillId="46" borderId="118" xfId="0" applyFont="1" applyFill="1" applyBorder="1" applyAlignment="1">
      <alignment horizontal="left" indent="1"/>
    </xf>
    <xf numFmtId="0" fontId="1" fillId="46" borderId="103" xfId="0" applyFont="1" applyFill="1" applyBorder="1"/>
    <xf numFmtId="0" fontId="1" fillId="46" borderId="119" xfId="0" applyFont="1" applyFill="1" applyBorder="1"/>
    <xf numFmtId="0" fontId="15" fillId="29" borderId="206" xfId="0" applyFont="1" applyFill="1" applyBorder="1" applyAlignment="1">
      <alignment vertical="top"/>
    </xf>
    <xf numFmtId="0" fontId="1" fillId="29" borderId="89" xfId="0" applyFont="1" applyFill="1" applyBorder="1" applyAlignment="1">
      <alignment vertical="center"/>
    </xf>
    <xf numFmtId="0" fontId="2" fillId="29" borderId="179" xfId="0" applyFont="1" applyFill="1" applyBorder="1" applyAlignment="1">
      <alignment vertical="center"/>
    </xf>
    <xf numFmtId="0" fontId="1" fillId="29" borderId="93" xfId="0" applyFont="1" applyFill="1" applyBorder="1"/>
    <xf numFmtId="0" fontId="1" fillId="29" borderId="91" xfId="0" applyFont="1" applyFill="1" applyBorder="1"/>
    <xf numFmtId="0" fontId="59" fillId="29" borderId="21" xfId="0" applyFont="1" applyFill="1" applyBorder="1" applyAlignment="1">
      <alignment horizontal="left" vertical="top" indent="3"/>
    </xf>
    <xf numFmtId="0" fontId="60" fillId="29" borderId="21" xfId="0" quotePrefix="1" applyFont="1" applyFill="1" applyBorder="1" applyAlignment="1">
      <alignment horizontal="left" vertical="top" indent="4"/>
    </xf>
    <xf numFmtId="0" fontId="1" fillId="29" borderId="121" xfId="0" applyFont="1" applyFill="1" applyBorder="1"/>
    <xf numFmtId="0" fontId="1" fillId="29" borderId="122" xfId="0" applyFont="1" applyFill="1" applyBorder="1"/>
    <xf numFmtId="0" fontId="4" fillId="47" borderId="207" xfId="0" applyFont="1" applyFill="1" applyBorder="1"/>
    <xf numFmtId="0" fontId="2" fillId="47" borderId="208" xfId="0" applyFont="1" applyFill="1" applyBorder="1"/>
    <xf numFmtId="0" fontId="41" fillId="47" borderId="208" xfId="0" applyFont="1" applyFill="1" applyBorder="1"/>
    <xf numFmtId="0" fontId="41" fillId="47" borderId="209" xfId="0" applyFont="1" applyFill="1" applyBorder="1"/>
    <xf numFmtId="0" fontId="0" fillId="29" borderId="91" xfId="0" applyFill="1" applyBorder="1"/>
    <xf numFmtId="0" fontId="7" fillId="29" borderId="15" xfId="0" quotePrefix="1" applyFont="1" applyFill="1" applyBorder="1" applyAlignment="1">
      <alignment vertical="top"/>
    </xf>
    <xf numFmtId="0" fontId="1" fillId="29" borderId="99" xfId="0" applyFont="1" applyFill="1" applyBorder="1"/>
    <xf numFmtId="0" fontId="1" fillId="29" borderId="128" xfId="0" applyFont="1" applyFill="1" applyBorder="1"/>
    <xf numFmtId="0" fontId="1" fillId="29" borderId="48" xfId="0" applyFont="1" applyFill="1" applyBorder="1" applyAlignment="1">
      <alignment horizontal="left" vertical="top" indent="3"/>
    </xf>
    <xf numFmtId="0" fontId="59" fillId="29" borderId="21" xfId="0" quotePrefix="1" applyFont="1" applyFill="1" applyBorder="1" applyAlignment="1">
      <alignment horizontal="left" vertical="top" indent="3"/>
    </xf>
    <xf numFmtId="0" fontId="61" fillId="29" borderId="0" xfId="0" applyFont="1" applyFill="1"/>
    <xf numFmtId="0" fontId="2" fillId="29" borderId="93" xfId="0" applyFont="1" applyFill="1" applyBorder="1"/>
    <xf numFmtId="0" fontId="3" fillId="29" borderId="185" xfId="0" applyFont="1" applyFill="1" applyBorder="1" applyAlignment="1">
      <alignment horizontal="left"/>
    </xf>
    <xf numFmtId="0" fontId="7" fillId="29" borderId="210" xfId="0" quotePrefix="1" applyFont="1" applyFill="1" applyBorder="1" applyAlignment="1">
      <alignment vertical="top"/>
    </xf>
    <xf numFmtId="0" fontId="7" fillId="29" borderId="211" xfId="0" quotePrefix="1" applyFont="1" applyFill="1" applyBorder="1" applyAlignment="1">
      <alignment vertical="top"/>
    </xf>
    <xf numFmtId="0" fontId="2" fillId="29" borderId="124" xfId="0" applyFont="1" applyFill="1" applyBorder="1"/>
    <xf numFmtId="0" fontId="2" fillId="29" borderId="125" xfId="0" applyFont="1" applyFill="1" applyBorder="1"/>
    <xf numFmtId="0" fontId="3" fillId="29" borderId="124" xfId="0" applyFont="1" applyFill="1" applyBorder="1" applyAlignment="1">
      <alignment horizontal="center"/>
    </xf>
    <xf numFmtId="0" fontId="7" fillId="29" borderId="15" xfId="0" quotePrefix="1" applyFont="1" applyFill="1" applyBorder="1" applyAlignment="1">
      <alignment horizontal="left" vertical="top"/>
    </xf>
    <xf numFmtId="0" fontId="7" fillId="29" borderId="127" xfId="0" quotePrefix="1" applyFont="1" applyFill="1" applyBorder="1" applyAlignment="1">
      <alignment horizontal="left" vertical="top"/>
    </xf>
    <xf numFmtId="0" fontId="7" fillId="29" borderId="1" xfId="0" quotePrefix="1" applyFont="1" applyFill="1" applyBorder="1" applyAlignment="1">
      <alignment horizontal="left" vertical="top"/>
    </xf>
    <xf numFmtId="0" fontId="7" fillId="29" borderId="143" xfId="0" quotePrefix="1" applyFont="1" applyFill="1" applyBorder="1" applyAlignment="1">
      <alignment horizontal="left" vertical="top"/>
    </xf>
    <xf numFmtId="0" fontId="7" fillId="29" borderId="212" xfId="0" applyFont="1" applyFill="1" applyBorder="1" applyAlignment="1">
      <alignment vertical="top"/>
    </xf>
    <xf numFmtId="0" fontId="7" fillId="29" borderId="32" xfId="0" quotePrefix="1" applyFont="1" applyFill="1" applyBorder="1" applyAlignment="1">
      <alignment horizontal="left" vertical="top"/>
    </xf>
    <xf numFmtId="0" fontId="1" fillId="29" borderId="126" xfId="0" applyFont="1" applyFill="1" applyBorder="1" applyAlignment="1">
      <alignment vertical="top"/>
    </xf>
    <xf numFmtId="0" fontId="18" fillId="8" borderId="0" xfId="0" applyFont="1" applyFill="1" applyAlignment="1">
      <alignment horizontal="center" vertical="top"/>
    </xf>
    <xf numFmtId="0" fontId="7" fillId="29" borderId="213" xfId="0" quotePrefix="1" applyFont="1" applyFill="1" applyBorder="1" applyAlignment="1">
      <alignment vertical="top"/>
    </xf>
    <xf numFmtId="0" fontId="7" fillId="29" borderId="214" xfId="0" quotePrefix="1" applyFont="1" applyFill="1" applyBorder="1" applyAlignment="1">
      <alignment vertical="top"/>
    </xf>
    <xf numFmtId="0" fontId="1" fillId="8" borderId="0" xfId="0" applyFont="1" applyFill="1" applyAlignment="1">
      <alignment horizontal="center" vertical="top"/>
    </xf>
    <xf numFmtId="0" fontId="1" fillId="8" borderId="124" xfId="0" applyFont="1" applyFill="1" applyBorder="1" applyAlignment="1">
      <alignment horizontal="center" vertical="top" wrapText="1"/>
    </xf>
    <xf numFmtId="0" fontId="7" fillId="29" borderId="215" xfId="0" quotePrefix="1" applyFont="1" applyFill="1" applyBorder="1" applyAlignment="1">
      <alignment vertical="top"/>
    </xf>
    <xf numFmtId="0" fontId="59" fillId="29" borderId="211" xfId="0" applyFont="1" applyFill="1" applyBorder="1" applyAlignment="1">
      <alignment horizontal="left" vertical="top" indent="3"/>
    </xf>
    <xf numFmtId="0" fontId="1" fillId="29" borderId="48" xfId="0" applyFont="1" applyFill="1" applyBorder="1" applyAlignment="1">
      <alignment horizontal="left" vertical="top" indent="2"/>
    </xf>
    <xf numFmtId="0" fontId="7" fillId="29" borderId="0" xfId="0" quotePrefix="1" applyFont="1" applyFill="1" applyAlignment="1">
      <alignment vertical="top"/>
    </xf>
    <xf numFmtId="0" fontId="1" fillId="29" borderId="0" xfId="0" applyFont="1" applyFill="1"/>
    <xf numFmtId="0" fontId="1" fillId="29" borderId="116" xfId="0" applyFont="1" applyFill="1" applyBorder="1"/>
    <xf numFmtId="0" fontId="62" fillId="29" borderId="126" xfId="0" applyFont="1" applyFill="1" applyBorder="1" applyAlignment="1">
      <alignment horizontal="left" vertical="top" indent="1"/>
    </xf>
    <xf numFmtId="0" fontId="1" fillId="29" borderId="0" xfId="0" applyFont="1" applyFill="1" applyAlignment="1">
      <alignment horizontal="center" vertical="top" wrapText="1"/>
    </xf>
    <xf numFmtId="0" fontId="7" fillId="29" borderId="213" xfId="0" quotePrefix="1" applyFont="1" applyFill="1" applyBorder="1" applyAlignment="1">
      <alignment horizontal="left" vertical="top" indent="1"/>
    </xf>
    <xf numFmtId="0" fontId="7" fillId="29" borderId="213" xfId="0" quotePrefix="1" applyFont="1" applyFill="1" applyBorder="1" applyAlignment="1">
      <alignment horizontal="left" vertical="top"/>
    </xf>
    <xf numFmtId="0" fontId="62" fillId="29" borderId="126" xfId="0" applyFont="1" applyFill="1" applyBorder="1" applyAlignment="1">
      <alignment horizontal="left" vertical="top" indent="2"/>
    </xf>
    <xf numFmtId="0" fontId="7" fillId="29" borderId="214" xfId="0" quotePrefix="1" applyFont="1" applyFill="1" applyBorder="1" applyAlignment="1">
      <alignment horizontal="left" vertical="top"/>
    </xf>
    <xf numFmtId="0" fontId="63" fillId="29" borderId="126" xfId="0" applyFont="1" applyFill="1" applyBorder="1" applyAlignment="1">
      <alignment horizontal="left" vertical="top" indent="2"/>
    </xf>
    <xf numFmtId="0" fontId="63" fillId="29" borderId="123" xfId="0" applyFont="1" applyFill="1" applyBorder="1" applyAlignment="1">
      <alignment horizontal="left" vertical="top" indent="2"/>
    </xf>
    <xf numFmtId="0" fontId="7" fillId="29" borderId="215" xfId="0" quotePrefix="1" applyFont="1" applyFill="1" applyBorder="1" applyAlignment="1">
      <alignment horizontal="left" vertical="top" indent="1"/>
    </xf>
    <xf numFmtId="0" fontId="7" fillId="29" borderId="216" xfId="0" quotePrefix="1" applyFont="1" applyFill="1" applyBorder="1" applyAlignment="1">
      <alignment horizontal="left" vertical="top"/>
    </xf>
    <xf numFmtId="0" fontId="63" fillId="29" borderId="126" xfId="0" applyFont="1" applyFill="1" applyBorder="1" applyAlignment="1">
      <alignment horizontal="left" vertical="top" indent="1"/>
    </xf>
    <xf numFmtId="0" fontId="1" fillId="29" borderId="213" xfId="0" applyFont="1" applyFill="1" applyBorder="1" applyAlignment="1">
      <alignment horizontal="center" vertical="top"/>
    </xf>
    <xf numFmtId="0" fontId="2" fillId="29" borderId="0" xfId="0" applyFont="1" applyFill="1" applyAlignment="1">
      <alignment vertical="top"/>
    </xf>
    <xf numFmtId="0" fontId="2" fillId="29" borderId="116" xfId="0" applyFont="1" applyFill="1" applyBorder="1" applyAlignment="1">
      <alignment vertical="top"/>
    </xf>
    <xf numFmtId="0" fontId="64" fillId="29" borderId="213" xfId="0" applyFont="1" applyFill="1" applyBorder="1" applyAlignment="1">
      <alignment horizontal="center" vertical="top" wrapText="1"/>
    </xf>
    <xf numFmtId="0" fontId="64" fillId="29" borderId="213" xfId="0" quotePrefix="1" applyFont="1" applyFill="1" applyBorder="1" applyAlignment="1">
      <alignment horizontal="left" vertical="top" indent="1"/>
    </xf>
    <xf numFmtId="0" fontId="65" fillId="29" borderId="214" xfId="0" quotePrefix="1" applyFont="1" applyFill="1" applyBorder="1" applyAlignment="1">
      <alignment horizontal="left" vertical="top" indent="2"/>
    </xf>
    <xf numFmtId="0" fontId="24" fillId="29" borderId="0" xfId="0" applyFont="1" applyFill="1" applyAlignment="1">
      <alignment vertical="top"/>
    </xf>
    <xf numFmtId="0" fontId="1" fillId="0" borderId="0" xfId="0" quotePrefix="1" applyFont="1" applyAlignment="1">
      <alignment horizontal="left" wrapText="1"/>
    </xf>
    <xf numFmtId="0" fontId="64" fillId="29" borderId="214" xfId="0" quotePrefix="1" applyFont="1" applyFill="1" applyBorder="1" applyAlignment="1">
      <alignment horizontal="left" vertical="top"/>
    </xf>
    <xf numFmtId="0" fontId="63" fillId="29" borderId="126" xfId="0" applyFont="1" applyFill="1" applyBorder="1" applyAlignment="1">
      <alignment horizontal="left" vertical="top" indent="4"/>
    </xf>
    <xf numFmtId="0" fontId="63" fillId="29" borderId="217" xfId="0" applyFont="1" applyFill="1" applyBorder="1" applyAlignment="1">
      <alignment horizontal="left" vertical="top" indent="2"/>
    </xf>
    <xf numFmtId="0" fontId="7" fillId="29" borderId="218" xfId="0" quotePrefix="1" applyFont="1" applyFill="1" applyBorder="1" applyAlignment="1">
      <alignment vertical="top"/>
    </xf>
    <xf numFmtId="0" fontId="7" fillId="29" borderId="219" xfId="0" quotePrefix="1" applyFont="1" applyFill="1" applyBorder="1" applyAlignment="1">
      <alignment horizontal="left" vertical="top"/>
    </xf>
    <xf numFmtId="0" fontId="2" fillId="29" borderId="220" xfId="0" applyFont="1" applyFill="1" applyBorder="1" applyAlignment="1">
      <alignment vertical="top"/>
    </xf>
    <xf numFmtId="0" fontId="2" fillId="29" borderId="221" xfId="0" applyFont="1" applyFill="1" applyBorder="1" applyAlignment="1">
      <alignment vertical="top"/>
    </xf>
    <xf numFmtId="0" fontId="62" fillId="29" borderId="126" xfId="0" applyFont="1" applyFill="1" applyBorder="1" applyAlignment="1">
      <alignment horizontal="left"/>
    </xf>
    <xf numFmtId="0" fontId="7" fillId="29" borderId="213" xfId="0" quotePrefix="1" applyFont="1" applyFill="1" applyBorder="1"/>
    <xf numFmtId="0" fontId="7" fillId="29" borderId="214" xfId="0" quotePrefix="1" applyFont="1" applyFill="1" applyBorder="1" applyAlignment="1">
      <alignment horizontal="left"/>
    </xf>
    <xf numFmtId="0" fontId="1" fillId="0" borderId="0" xfId="0" quotePrefix="1" applyFont="1" applyAlignment="1">
      <alignment horizontal="left"/>
    </xf>
    <xf numFmtId="0" fontId="7" fillId="29" borderId="211" xfId="0" quotePrefix="1" applyFont="1" applyFill="1" applyBorder="1" applyAlignment="1">
      <alignment horizontal="left" vertical="top"/>
    </xf>
    <xf numFmtId="0" fontId="2" fillId="29" borderId="124" xfId="0" applyFont="1" applyFill="1" applyBorder="1" applyAlignment="1">
      <alignment vertical="top"/>
    </xf>
    <xf numFmtId="0" fontId="2" fillId="29" borderId="125" xfId="0" applyFont="1" applyFill="1" applyBorder="1" applyAlignment="1">
      <alignment vertical="top"/>
    </xf>
    <xf numFmtId="0" fontId="1" fillId="29" borderId="213" xfId="0" quotePrefix="1" applyFont="1" applyFill="1" applyBorder="1" applyAlignment="1">
      <alignment horizontal="center" vertical="top"/>
    </xf>
    <xf numFmtId="0" fontId="64" fillId="29" borderId="213" xfId="0" quotePrefix="1" applyFont="1" applyFill="1" applyBorder="1" applyAlignment="1">
      <alignment horizontal="left" vertical="top" indent="3"/>
    </xf>
    <xf numFmtId="0" fontId="63" fillId="29" borderId="222" xfId="0" applyFont="1" applyFill="1" applyBorder="1" applyAlignment="1">
      <alignment horizontal="left" vertical="top" indent="2"/>
    </xf>
    <xf numFmtId="0" fontId="7" fillId="29" borderId="223" xfId="0" quotePrefix="1" applyFont="1" applyFill="1" applyBorder="1" applyAlignment="1">
      <alignment vertical="top"/>
    </xf>
    <xf numFmtId="0" fontId="7" fillId="29" borderId="223" xfId="0" quotePrefix="1" applyFont="1" applyFill="1" applyBorder="1" applyAlignment="1">
      <alignment horizontal="left" vertical="top"/>
    </xf>
    <xf numFmtId="0" fontId="2" fillId="29" borderId="103" xfId="0" applyFont="1" applyFill="1" applyBorder="1" applyAlignment="1">
      <alignment vertical="top"/>
    </xf>
    <xf numFmtId="0" fontId="2" fillId="29" borderId="119" xfId="0" applyFont="1" applyFill="1" applyBorder="1" applyAlignment="1">
      <alignment vertical="top"/>
    </xf>
    <xf numFmtId="0" fontId="62" fillId="29" borderId="224" xfId="0" applyFont="1" applyFill="1" applyBorder="1" applyAlignment="1">
      <alignment horizontal="left" vertical="top" indent="1"/>
    </xf>
    <xf numFmtId="0" fontId="2" fillId="29" borderId="225" xfId="0" applyFont="1" applyFill="1" applyBorder="1" applyAlignment="1">
      <alignment vertical="top"/>
    </xf>
    <xf numFmtId="0" fontId="2" fillId="29" borderId="226" xfId="0" applyFont="1" applyFill="1" applyBorder="1" applyAlignment="1">
      <alignment vertical="top"/>
    </xf>
    <xf numFmtId="0" fontId="59" fillId="29" borderId="214" xfId="0" applyFont="1" applyFill="1" applyBorder="1" applyAlignment="1">
      <alignment horizontal="left" vertical="top" indent="3"/>
    </xf>
    <xf numFmtId="0" fontId="7" fillId="29" borderId="227" xfId="0" quotePrefix="1" applyFont="1" applyFill="1" applyBorder="1" applyAlignment="1">
      <alignment horizontal="left" vertical="top"/>
    </xf>
    <xf numFmtId="0" fontId="7" fillId="29" borderId="103" xfId="0" quotePrefix="1" applyFont="1" applyFill="1" applyBorder="1" applyAlignment="1">
      <alignment horizontal="left" vertical="top" indent="1"/>
    </xf>
    <xf numFmtId="0" fontId="3" fillId="29" borderId="213" xfId="0" quotePrefix="1" applyFont="1" applyFill="1" applyBorder="1" applyAlignment="1">
      <alignment horizontal="center" vertical="top"/>
    </xf>
    <xf numFmtId="0" fontId="7" fillId="29" borderId="0" xfId="0" quotePrefix="1" applyFont="1" applyFill="1" applyAlignment="1">
      <alignment horizontal="left" vertical="top" indent="1"/>
    </xf>
    <xf numFmtId="0" fontId="66" fillId="29" borderId="214" xfId="0" quotePrefix="1" applyFont="1" applyFill="1" applyBorder="1" applyAlignment="1">
      <alignment vertical="top"/>
    </xf>
    <xf numFmtId="0" fontId="1" fillId="29" borderId="228" xfId="0" applyFont="1" applyFill="1" applyBorder="1" applyAlignment="1">
      <alignment vertical="top"/>
    </xf>
    <xf numFmtId="0" fontId="1" fillId="29" borderId="229" xfId="0" applyFont="1" applyFill="1" applyBorder="1" applyAlignment="1">
      <alignment horizontal="center" vertical="top"/>
    </xf>
    <xf numFmtId="0" fontId="7" fillId="29" borderId="229" xfId="0" quotePrefix="1" applyFont="1" applyFill="1" applyBorder="1" applyAlignment="1">
      <alignment horizontal="left" vertical="top"/>
    </xf>
    <xf numFmtId="0" fontId="2" fillId="29" borderId="230" xfId="0" applyFont="1" applyFill="1" applyBorder="1" applyAlignment="1">
      <alignment vertical="top"/>
    </xf>
    <xf numFmtId="0" fontId="2" fillId="29" borderId="231" xfId="0" applyFont="1" applyFill="1" applyBorder="1" applyAlignment="1">
      <alignment vertical="top"/>
    </xf>
    <xf numFmtId="0" fontId="2" fillId="29" borderId="232" xfId="0" applyFont="1" applyFill="1" applyBorder="1" applyAlignment="1">
      <alignment vertical="top"/>
    </xf>
    <xf numFmtId="0" fontId="1" fillId="29" borderId="233" xfId="0" applyFont="1" applyFill="1" applyBorder="1" applyAlignment="1">
      <alignment vertical="top"/>
    </xf>
    <xf numFmtId="0" fontId="7" fillId="29" borderId="234" xfId="0" quotePrefix="1" applyFont="1" applyFill="1" applyBorder="1" applyAlignment="1">
      <alignment horizontal="left" vertical="top"/>
    </xf>
    <xf numFmtId="0" fontId="7" fillId="29" borderId="235" xfId="0" quotePrefix="1" applyFont="1" applyFill="1" applyBorder="1" applyAlignment="1">
      <alignment vertical="top"/>
    </xf>
    <xf numFmtId="0" fontId="2" fillId="29" borderId="236" xfId="0" applyFont="1" applyFill="1" applyBorder="1" applyAlignment="1">
      <alignment vertical="top"/>
    </xf>
    <xf numFmtId="0" fontId="2" fillId="29" borderId="237" xfId="0" applyFont="1" applyFill="1" applyBorder="1" applyAlignment="1">
      <alignment vertical="top"/>
    </xf>
    <xf numFmtId="0" fontId="7" fillId="29" borderId="15" xfId="0" applyFont="1" applyFill="1" applyBorder="1" applyAlignment="1">
      <alignment vertical="top"/>
    </xf>
    <xf numFmtId="0" fontId="7" fillId="29" borderId="238" xfId="0" applyFont="1" applyFill="1" applyBorder="1" applyAlignment="1">
      <alignment vertical="top"/>
    </xf>
    <xf numFmtId="0" fontId="1" fillId="29" borderId="239" xfId="0" applyFont="1" applyFill="1" applyBorder="1" applyAlignment="1">
      <alignment horizontal="left" vertical="top" indent="2"/>
    </xf>
    <xf numFmtId="0" fontId="1" fillId="29" borderId="240" xfId="0" applyFont="1" applyFill="1" applyBorder="1" applyAlignment="1">
      <alignment horizontal="center" vertical="top"/>
    </xf>
    <xf numFmtId="0" fontId="7" fillId="29" borderId="240" xfId="0" quotePrefix="1" applyFont="1" applyFill="1" applyBorder="1" applyAlignment="1">
      <alignment vertical="top"/>
    </xf>
    <xf numFmtId="0" fontId="7" fillId="29" borderId="240" xfId="0" applyFont="1" applyFill="1" applyBorder="1" applyAlignment="1">
      <alignment vertical="top"/>
    </xf>
    <xf numFmtId="0" fontId="7" fillId="29" borderId="241" xfId="0" applyFont="1" applyFill="1" applyBorder="1" applyAlignment="1">
      <alignment vertical="top"/>
    </xf>
    <xf numFmtId="0" fontId="1" fillId="29" borderId="222" xfId="0" applyFont="1" applyFill="1" applyBorder="1" applyAlignment="1">
      <alignment horizontal="left" vertical="top" indent="2"/>
    </xf>
    <xf numFmtId="0" fontId="1" fillId="29" borderId="223" xfId="0" applyFont="1" applyFill="1" applyBorder="1" applyAlignment="1">
      <alignment horizontal="center" vertical="top"/>
    </xf>
    <xf numFmtId="0" fontId="7" fillId="29" borderId="223" xfId="0" applyFont="1" applyFill="1" applyBorder="1" applyAlignment="1">
      <alignment vertical="top"/>
    </xf>
    <xf numFmtId="0" fontId="7" fillId="29" borderId="242" xfId="0" applyFont="1" applyFill="1" applyBorder="1" applyAlignment="1">
      <alignment vertical="top"/>
    </xf>
    <xf numFmtId="0" fontId="1" fillId="29" borderId="8" xfId="0" applyFont="1" applyFill="1" applyBorder="1" applyAlignment="1">
      <alignment vertical="top"/>
    </xf>
    <xf numFmtId="0" fontId="1" fillId="29" borderId="9" xfId="0" quotePrefix="1" applyFont="1" applyFill="1" applyBorder="1" applyAlignment="1">
      <alignment horizontal="center" vertical="center"/>
    </xf>
    <xf numFmtId="0" fontId="7" fillId="29" borderId="9" xfId="0" quotePrefix="1" applyFont="1" applyFill="1" applyBorder="1" applyAlignment="1">
      <alignment vertical="top"/>
    </xf>
    <xf numFmtId="0" fontId="60" fillId="29" borderId="10" xfId="0" quotePrefix="1" applyFont="1" applyFill="1" applyBorder="1" applyAlignment="1">
      <alignment vertical="top"/>
    </xf>
    <xf numFmtId="0" fontId="16" fillId="29" borderId="67" xfId="0" applyFont="1" applyFill="1" applyBorder="1" applyAlignment="1">
      <alignment vertical="top"/>
    </xf>
    <xf numFmtId="0" fontId="16" fillId="29" borderId="87" xfId="0" applyFont="1" applyFill="1" applyBorder="1" applyAlignment="1">
      <alignment vertical="top"/>
    </xf>
    <xf numFmtId="0" fontId="67" fillId="30" borderId="0" xfId="0" applyFont="1" applyFill="1"/>
    <xf numFmtId="0" fontId="68" fillId="30" borderId="0" xfId="0" applyFont="1" applyFill="1" applyAlignment="1">
      <alignment horizontal="center"/>
    </xf>
    <xf numFmtId="0" fontId="4" fillId="47" borderId="8" xfId="0" applyFont="1" applyFill="1" applyBorder="1"/>
    <xf numFmtId="0" fontId="2" fillId="47" borderId="9" xfId="0" applyFont="1" applyFill="1" applyBorder="1"/>
    <xf numFmtId="0" fontId="41" fillId="47" borderId="9" xfId="0" applyFont="1" applyFill="1" applyBorder="1"/>
    <xf numFmtId="0" fontId="2" fillId="47" borderId="188" xfId="0" applyFont="1" applyFill="1" applyBorder="1"/>
    <xf numFmtId="0" fontId="1" fillId="10" borderId="72" xfId="0" applyFont="1" applyFill="1" applyBorder="1" applyAlignment="1">
      <alignment vertical="top"/>
    </xf>
    <xf numFmtId="0" fontId="1" fillId="10" borderId="15" xfId="0" applyFont="1" applyFill="1" applyBorder="1" applyAlignment="1">
      <alignment horizontal="center" vertical="top"/>
    </xf>
    <xf numFmtId="0" fontId="66" fillId="10" borderId="15" xfId="0" quotePrefix="1" applyFont="1" applyFill="1" applyBorder="1" applyAlignment="1">
      <alignment vertical="top"/>
    </xf>
    <xf numFmtId="0" fontId="7" fillId="10" borderId="15" xfId="0" quotePrefix="1" applyFont="1" applyFill="1" applyBorder="1" applyAlignment="1">
      <alignment vertical="top"/>
    </xf>
    <xf numFmtId="0" fontId="7" fillId="10" borderId="15" xfId="0" applyFont="1" applyFill="1" applyBorder="1" applyAlignment="1">
      <alignment vertical="top"/>
    </xf>
    <xf numFmtId="0" fontId="7" fillId="10" borderId="238" xfId="0" applyFont="1" applyFill="1" applyBorder="1" applyAlignment="1">
      <alignment vertical="top"/>
    </xf>
    <xf numFmtId="0" fontId="1" fillId="10" borderId="24" xfId="0" applyFont="1" applyFill="1" applyBorder="1" applyAlignment="1">
      <alignment horizontal="left" vertical="top" indent="2"/>
    </xf>
    <xf numFmtId="0" fontId="3" fillId="10" borderId="1" xfId="0" applyFont="1" applyFill="1" applyBorder="1" applyAlignment="1">
      <alignment horizontal="center" vertical="top"/>
    </xf>
    <xf numFmtId="0" fontId="3" fillId="10" borderId="1" xfId="0" quotePrefix="1" applyFont="1" applyFill="1" applyBorder="1" applyAlignment="1">
      <alignment vertical="top"/>
    </xf>
    <xf numFmtId="0" fontId="1" fillId="10" borderId="1" xfId="0" quotePrefix="1" applyFont="1" applyFill="1" applyBorder="1" applyAlignment="1">
      <alignment vertical="top"/>
    </xf>
    <xf numFmtId="0" fontId="1" fillId="10" borderId="1" xfId="0" applyFont="1" applyFill="1" applyBorder="1" applyAlignment="1">
      <alignment vertical="top"/>
    </xf>
    <xf numFmtId="0" fontId="1" fillId="10" borderId="102" xfId="0" applyFont="1" applyFill="1" applyBorder="1" applyAlignment="1">
      <alignment vertical="top"/>
    </xf>
    <xf numFmtId="0" fontId="1" fillId="10" borderId="1" xfId="0" applyFont="1" applyFill="1" applyBorder="1" applyAlignment="1">
      <alignment horizontal="center" vertical="top"/>
    </xf>
    <xf numFmtId="0" fontId="66" fillId="10" borderId="1" xfId="0" quotePrefix="1" applyFont="1" applyFill="1" applyBorder="1" applyAlignment="1">
      <alignment vertical="top"/>
    </xf>
    <xf numFmtId="0" fontId="7" fillId="10" borderId="1" xfId="0" quotePrefix="1" applyFont="1" applyFill="1" applyBorder="1" applyAlignment="1">
      <alignment vertical="top"/>
    </xf>
    <xf numFmtId="0" fontId="7" fillId="10" borderId="1" xfId="0" applyFont="1" applyFill="1" applyBorder="1" applyAlignment="1">
      <alignment vertical="top"/>
    </xf>
    <xf numFmtId="0" fontId="7" fillId="10" borderId="102" xfId="0" applyFont="1" applyFill="1" applyBorder="1" applyAlignment="1">
      <alignment vertical="top"/>
    </xf>
    <xf numFmtId="0" fontId="1" fillId="10" borderId="129" xfId="0" applyFont="1" applyFill="1" applyBorder="1" applyAlignment="1">
      <alignment horizontal="left" vertical="top" indent="2"/>
    </xf>
    <xf numFmtId="0" fontId="1" fillId="10" borderId="143" xfId="0" applyFont="1" applyFill="1" applyBorder="1" applyAlignment="1">
      <alignment horizontal="center" vertical="top"/>
    </xf>
    <xf numFmtId="0" fontId="66" fillId="10" borderId="143" xfId="0" quotePrefix="1" applyFont="1" applyFill="1" applyBorder="1" applyAlignment="1">
      <alignment vertical="top"/>
    </xf>
    <xf numFmtId="0" fontId="7" fillId="10" borderId="143" xfId="0" quotePrefix="1" applyFont="1" applyFill="1" applyBorder="1" applyAlignment="1">
      <alignment vertical="top"/>
    </xf>
    <xf numFmtId="0" fontId="7" fillId="10" borderId="143" xfId="0" applyFont="1" applyFill="1" applyBorder="1" applyAlignment="1">
      <alignment vertical="top"/>
    </xf>
    <xf numFmtId="0" fontId="7" fillId="10" borderId="180" xfId="0" applyFont="1" applyFill="1" applyBorder="1" applyAlignment="1">
      <alignment vertical="top"/>
    </xf>
    <xf numFmtId="0" fontId="1" fillId="10" borderId="31" xfId="0" applyFont="1" applyFill="1" applyBorder="1" applyAlignment="1">
      <alignment horizontal="left" vertical="top" indent="2"/>
    </xf>
    <xf numFmtId="0" fontId="1" fillId="10" borderId="32" xfId="0" applyFont="1" applyFill="1" applyBorder="1" applyAlignment="1">
      <alignment horizontal="center" vertical="top"/>
    </xf>
    <xf numFmtId="0" fontId="66" fillId="10" borderId="32" xfId="0" quotePrefix="1" applyFont="1" applyFill="1" applyBorder="1" applyAlignment="1">
      <alignment vertical="top"/>
    </xf>
    <xf numFmtId="0" fontId="7" fillId="10" borderId="32" xfId="0" quotePrefix="1" applyFont="1" applyFill="1" applyBorder="1" applyAlignment="1">
      <alignment vertical="top"/>
    </xf>
    <xf numFmtId="0" fontId="7" fillId="10" borderId="32" xfId="0" applyFont="1" applyFill="1" applyBorder="1" applyAlignment="1">
      <alignment vertical="top"/>
    </xf>
    <xf numFmtId="0" fontId="7" fillId="10" borderId="110" xfId="0" applyFont="1" applyFill="1" applyBorder="1" applyAlignment="1">
      <alignment vertical="top"/>
    </xf>
    <xf numFmtId="165" fontId="1" fillId="27" borderId="2" xfId="0" applyNumberFormat="1" applyFont="1" applyFill="1" applyBorder="1" applyAlignment="1" applyProtection="1">
      <alignment vertical="center" wrapText="1"/>
      <protection locked="0"/>
    </xf>
    <xf numFmtId="165" fontId="1" fillId="27" borderId="1" xfId="0" applyNumberFormat="1" applyFont="1" applyFill="1" applyBorder="1" applyAlignment="1" applyProtection="1">
      <alignment vertical="center" wrapText="1"/>
      <protection locked="0"/>
    </xf>
    <xf numFmtId="0" fontId="0" fillId="0" borderId="0" xfId="0" quotePrefix="1"/>
    <xf numFmtId="0" fontId="4" fillId="0" borderId="0" xfId="0" applyFont="1"/>
    <xf numFmtId="174" fontId="4" fillId="27" borderId="38" xfId="0" applyNumberFormat="1" applyFont="1" applyFill="1" applyBorder="1" applyAlignment="1">
      <alignment horizontal="center"/>
    </xf>
    <xf numFmtId="0" fontId="2" fillId="27" borderId="204" xfId="0" applyFont="1" applyFill="1" applyBorder="1"/>
    <xf numFmtId="0" fontId="3" fillId="26" borderId="243" xfId="0" applyFont="1" applyFill="1" applyBorder="1" applyAlignment="1">
      <alignment horizontal="right" vertical="center"/>
    </xf>
    <xf numFmtId="0" fontId="3" fillId="26" borderId="244" xfId="0" applyFont="1" applyFill="1" applyBorder="1" applyAlignment="1">
      <alignment horizontal="right" vertical="center"/>
    </xf>
    <xf numFmtId="0" fontId="3" fillId="26" borderId="245" xfId="0" applyFont="1" applyFill="1" applyBorder="1" applyAlignment="1">
      <alignment horizontal="right" vertical="center"/>
    </xf>
    <xf numFmtId="165" fontId="3" fillId="26" borderId="1" xfId="0" applyNumberFormat="1" applyFont="1" applyFill="1" applyBorder="1"/>
    <xf numFmtId="0" fontId="1" fillId="0" borderId="115" xfId="0" applyFont="1" applyBorder="1" applyAlignment="1">
      <alignment horizontal="left" vertical="center" wrapText="1" indent="3"/>
    </xf>
    <xf numFmtId="165" fontId="1" fillId="27" borderId="246" xfId="0" applyNumberFormat="1" applyFont="1" applyFill="1" applyBorder="1" applyAlignment="1" applyProtection="1">
      <alignment vertical="center" wrapText="1"/>
      <protection locked="0"/>
    </xf>
    <xf numFmtId="165" fontId="1" fillId="27" borderId="247" xfId="0" applyNumberFormat="1" applyFont="1" applyFill="1" applyBorder="1" applyAlignment="1" applyProtection="1">
      <alignment vertical="center" wrapText="1"/>
      <protection locked="0"/>
    </xf>
    <xf numFmtId="165" fontId="1" fillId="27" borderId="248" xfId="0" applyNumberFormat="1" applyFont="1" applyFill="1" applyBorder="1" applyAlignment="1" applyProtection="1">
      <alignment vertical="center" wrapText="1"/>
      <protection locked="0"/>
    </xf>
    <xf numFmtId="165" fontId="3" fillId="26" borderId="249" xfId="0" applyNumberFormat="1" applyFont="1" applyFill="1" applyBorder="1"/>
    <xf numFmtId="165" fontId="3" fillId="26" borderId="2" xfId="0" applyNumberFormat="1" applyFont="1" applyFill="1" applyBorder="1"/>
    <xf numFmtId="165" fontId="1" fillId="27" borderId="249" xfId="0" applyNumberFormat="1" applyFont="1" applyFill="1" applyBorder="1" applyAlignment="1" applyProtection="1">
      <alignment vertical="center" wrapText="1"/>
      <protection locked="0"/>
    </xf>
    <xf numFmtId="165" fontId="1" fillId="27" borderId="250" xfId="0" applyNumberFormat="1" applyFont="1" applyFill="1" applyBorder="1" applyAlignment="1" applyProtection="1">
      <alignment vertical="center" wrapText="1"/>
      <protection locked="0"/>
    </xf>
    <xf numFmtId="165" fontId="1" fillId="27" borderId="210" xfId="0" applyNumberFormat="1" applyFont="1" applyFill="1" applyBorder="1" applyAlignment="1" applyProtection="1">
      <alignment vertical="center" wrapText="1"/>
      <protection locked="0"/>
    </xf>
    <xf numFmtId="165" fontId="1" fillId="27" borderId="251" xfId="0" applyNumberFormat="1" applyFont="1" applyFill="1" applyBorder="1" applyAlignment="1" applyProtection="1">
      <alignment vertical="center" wrapText="1"/>
      <protection locked="0"/>
    </xf>
    <xf numFmtId="0" fontId="3" fillId="26" borderId="249" xfId="0" applyFont="1" applyFill="1" applyBorder="1" applyAlignment="1">
      <alignment vertical="center"/>
    </xf>
    <xf numFmtId="165" fontId="1" fillId="27" borderId="252" xfId="0" applyNumberFormat="1" applyFont="1" applyFill="1" applyBorder="1" applyAlignment="1" applyProtection="1">
      <alignment vertical="center" wrapText="1"/>
      <protection locked="0"/>
    </xf>
    <xf numFmtId="0" fontId="3" fillId="26" borderId="21" xfId="0" applyFont="1" applyFill="1" applyBorder="1" applyAlignment="1">
      <alignment vertical="center"/>
    </xf>
    <xf numFmtId="165" fontId="1" fillId="27" borderId="21" xfId="0" applyNumberFormat="1" applyFont="1" applyFill="1" applyBorder="1" applyAlignment="1" applyProtection="1">
      <alignment vertical="center" wrapText="1"/>
      <protection locked="0"/>
    </xf>
    <xf numFmtId="165" fontId="1" fillId="27" borderId="211" xfId="0" applyNumberFormat="1" applyFont="1" applyFill="1" applyBorder="1" applyAlignment="1" applyProtection="1">
      <alignment vertical="center" wrapText="1"/>
      <protection locked="0"/>
    </xf>
    <xf numFmtId="0" fontId="3" fillId="29" borderId="253" xfId="0" applyFont="1" applyFill="1" applyBorder="1" applyAlignment="1">
      <alignment horizontal="right" vertical="center"/>
    </xf>
    <xf numFmtId="0" fontId="3" fillId="29" borderId="254" xfId="0" applyFont="1" applyFill="1" applyBorder="1" applyAlignment="1">
      <alignment horizontal="right" vertical="center"/>
    </xf>
    <xf numFmtId="0" fontId="3" fillId="29" borderId="255" xfId="0" applyFont="1" applyFill="1" applyBorder="1" applyAlignment="1">
      <alignment horizontal="right" vertical="center"/>
    </xf>
    <xf numFmtId="165" fontId="3" fillId="26" borderId="21" xfId="0" applyNumberFormat="1" applyFont="1" applyFill="1" applyBorder="1"/>
    <xf numFmtId="2" fontId="3" fillId="26" borderId="4" xfId="0" applyNumberFormat="1" applyFont="1" applyFill="1" applyBorder="1"/>
    <xf numFmtId="2" fontId="3" fillId="26" borderId="116" xfId="0" applyNumberFormat="1" applyFont="1" applyFill="1" applyBorder="1"/>
    <xf numFmtId="2" fontId="3" fillId="26" borderId="119" xfId="0" applyNumberFormat="1" applyFont="1" applyFill="1" applyBorder="1"/>
    <xf numFmtId="165" fontId="1" fillId="4" borderId="246" xfId="0" applyNumberFormat="1" applyFont="1" applyFill="1" applyBorder="1" applyAlignment="1" applyProtection="1">
      <alignment vertical="center" wrapText="1"/>
      <protection locked="0"/>
    </xf>
    <xf numFmtId="165" fontId="1" fillId="4" borderId="247" xfId="0" applyNumberFormat="1" applyFont="1" applyFill="1" applyBorder="1" applyAlignment="1" applyProtection="1">
      <alignment vertical="center" wrapText="1"/>
      <protection locked="0"/>
    </xf>
    <xf numFmtId="165" fontId="1" fillId="4" borderId="249" xfId="0" applyNumberFormat="1" applyFont="1" applyFill="1" applyBorder="1" applyAlignment="1" applyProtection="1">
      <alignment vertical="center" wrapText="1"/>
      <protection locked="0"/>
    </xf>
    <xf numFmtId="165" fontId="1" fillId="4" borderId="1" xfId="0" applyNumberFormat="1" applyFont="1" applyFill="1" applyBorder="1" applyAlignment="1" applyProtection="1">
      <alignment vertical="center" wrapText="1"/>
      <protection locked="0"/>
    </xf>
    <xf numFmtId="165" fontId="1" fillId="4" borderId="250" xfId="0" applyNumberFormat="1" applyFont="1" applyFill="1" applyBorder="1" applyAlignment="1" applyProtection="1">
      <alignment vertical="center" wrapText="1"/>
      <protection locked="0"/>
    </xf>
    <xf numFmtId="165" fontId="1" fillId="4" borderId="143" xfId="0" applyNumberFormat="1" applyFont="1" applyFill="1" applyBorder="1" applyAlignment="1" applyProtection="1">
      <alignment vertical="center" wrapText="1"/>
      <protection locked="0"/>
    </xf>
    <xf numFmtId="165" fontId="1" fillId="2" borderId="256" xfId="0" applyNumberFormat="1" applyFont="1" applyFill="1" applyBorder="1" applyAlignment="1">
      <alignment horizontal="right" wrapText="1"/>
    </xf>
    <xf numFmtId="165" fontId="1" fillId="2" borderId="257" xfId="0" applyNumberFormat="1" applyFont="1" applyFill="1" applyBorder="1" applyAlignment="1">
      <alignment horizontal="right" wrapText="1"/>
    </xf>
    <xf numFmtId="165" fontId="3" fillId="24" borderId="136" xfId="0" applyNumberFormat="1" applyFont="1" applyFill="1" applyBorder="1" applyAlignment="1">
      <alignment horizontal="right" wrapText="1"/>
    </xf>
    <xf numFmtId="169" fontId="1" fillId="2" borderId="256" xfId="0" applyNumberFormat="1" applyFont="1" applyFill="1" applyBorder="1" applyAlignment="1">
      <alignment horizontal="right" vertical="center"/>
    </xf>
    <xf numFmtId="169" fontId="1" fillId="2" borderId="257" xfId="0" applyNumberFormat="1" applyFont="1" applyFill="1" applyBorder="1" applyAlignment="1">
      <alignment horizontal="right" vertical="center"/>
    </xf>
    <xf numFmtId="175" fontId="0" fillId="0" borderId="0" xfId="0" applyNumberFormat="1" applyAlignment="1">
      <alignment vertical="center"/>
    </xf>
    <xf numFmtId="176" fontId="0" fillId="0" borderId="0" xfId="0" applyNumberFormat="1" applyAlignment="1">
      <alignment vertical="center"/>
    </xf>
    <xf numFmtId="165" fontId="1" fillId="4" borderId="258" xfId="0" applyNumberFormat="1" applyFont="1" applyFill="1" applyBorder="1" applyAlignment="1" applyProtection="1">
      <alignment vertical="center" wrapText="1"/>
      <protection locked="0"/>
    </xf>
    <xf numFmtId="165" fontId="1" fillId="27" borderId="144" xfId="0" applyNumberFormat="1" applyFont="1" applyFill="1" applyBorder="1" applyAlignment="1" applyProtection="1">
      <alignment vertical="center" wrapText="1"/>
      <protection locked="0"/>
    </xf>
    <xf numFmtId="165" fontId="1" fillId="27" borderId="258" xfId="0" applyNumberFormat="1" applyFont="1" applyFill="1" applyBorder="1" applyAlignment="1" applyProtection="1">
      <alignment vertical="center" wrapText="1"/>
      <protection locked="0"/>
    </xf>
    <xf numFmtId="165" fontId="1" fillId="27" borderId="143" xfId="0" applyNumberFormat="1" applyFont="1" applyFill="1" applyBorder="1" applyAlignment="1" applyProtection="1">
      <alignment vertical="center" wrapText="1"/>
      <protection locked="0"/>
    </xf>
    <xf numFmtId="165" fontId="1" fillId="27" borderId="259" xfId="0" applyNumberFormat="1" applyFont="1" applyFill="1" applyBorder="1" applyAlignment="1" applyProtection="1">
      <alignment vertical="center" wrapText="1"/>
      <protection locked="0"/>
    </xf>
    <xf numFmtId="0" fontId="3" fillId="24" borderId="8" xfId="0" applyFont="1" applyFill="1" applyBorder="1" applyAlignment="1">
      <alignment horizontal="right" vertical="center" wrapText="1" indent="1"/>
    </xf>
    <xf numFmtId="165" fontId="3" fillId="24" borderId="9" xfId="0" applyNumberFormat="1" applyFont="1" applyFill="1" applyBorder="1" applyAlignment="1">
      <alignment horizontal="right" wrapText="1"/>
    </xf>
    <xf numFmtId="165" fontId="3" fillId="24" borderId="188" xfId="0" applyNumberFormat="1" applyFont="1" applyFill="1" applyBorder="1" applyAlignment="1">
      <alignment horizontal="right" wrapText="1"/>
    </xf>
    <xf numFmtId="165" fontId="1" fillId="2" borderId="260" xfId="0" applyNumberFormat="1" applyFont="1" applyFill="1" applyBorder="1" applyAlignment="1">
      <alignment horizontal="right" vertical="center" wrapText="1"/>
    </xf>
    <xf numFmtId="0" fontId="3" fillId="26" borderId="8" xfId="0" applyFont="1" applyFill="1" applyBorder="1" applyAlignment="1">
      <alignment horizontal="right" vertical="center"/>
    </xf>
    <xf numFmtId="166" fontId="3" fillId="26" borderId="261" xfId="0" applyNumberFormat="1" applyFont="1" applyFill="1" applyBorder="1" applyAlignment="1">
      <alignment horizontal="left"/>
    </xf>
    <xf numFmtId="165" fontId="1" fillId="2" borderId="261" xfId="0" applyNumberFormat="1" applyFont="1" applyFill="1" applyBorder="1" applyAlignment="1">
      <alignment horizontal="right" wrapText="1"/>
    </xf>
    <xf numFmtId="165" fontId="1" fillId="2" borderId="262" xfId="0" applyNumberFormat="1" applyFont="1" applyFill="1" applyBorder="1" applyAlignment="1">
      <alignment horizontal="right" wrapText="1"/>
    </xf>
    <xf numFmtId="177" fontId="1" fillId="2" borderId="260" xfId="0" applyNumberFormat="1" applyFont="1" applyFill="1" applyBorder="1" applyAlignment="1">
      <alignment horizontal="right" vertical="center"/>
    </xf>
    <xf numFmtId="177" fontId="1" fillId="2" borderId="263" xfId="0" applyNumberFormat="1" applyFont="1" applyFill="1" applyBorder="1" applyAlignment="1">
      <alignment horizontal="right" vertical="center"/>
    </xf>
    <xf numFmtId="177" fontId="1" fillId="2" borderId="70" xfId="0" applyNumberFormat="1" applyFont="1" applyFill="1" applyBorder="1" applyAlignment="1">
      <alignment horizontal="right" vertical="center"/>
    </xf>
    <xf numFmtId="177" fontId="1" fillId="2" borderId="264" xfId="0" applyNumberFormat="1" applyFont="1" applyFill="1" applyBorder="1" applyAlignment="1">
      <alignment horizontal="right" vertical="center"/>
    </xf>
    <xf numFmtId="167" fontId="3" fillId="26" borderId="116" xfId="0" applyNumberFormat="1" applyFont="1" applyFill="1" applyBorder="1" applyAlignment="1">
      <alignment horizontal="left"/>
    </xf>
    <xf numFmtId="0" fontId="3" fillId="26" borderId="9" xfId="0" applyFont="1" applyFill="1" applyBorder="1" applyAlignment="1">
      <alignment horizontal="right" vertical="center"/>
    </xf>
    <xf numFmtId="0" fontId="3" fillId="29" borderId="9" xfId="0" applyFont="1" applyFill="1" applyBorder="1" applyAlignment="1">
      <alignment horizontal="right" vertical="center"/>
    </xf>
    <xf numFmtId="0" fontId="3" fillId="29" borderId="188" xfId="0" applyFont="1" applyFill="1" applyBorder="1" applyAlignment="1">
      <alignment horizontal="right" vertical="center"/>
    </xf>
    <xf numFmtId="165" fontId="1" fillId="2" borderId="265" xfId="0" applyNumberFormat="1" applyFont="1" applyFill="1" applyBorder="1" applyAlignment="1">
      <alignment horizontal="right" vertical="center" wrapText="1"/>
    </xf>
    <xf numFmtId="165" fontId="1" fillId="2" borderId="263" xfId="0" applyNumberFormat="1" applyFont="1" applyFill="1" applyBorder="1" applyAlignment="1">
      <alignment horizontal="right" vertical="center" wrapText="1"/>
    </xf>
    <xf numFmtId="165" fontId="1" fillId="2" borderId="70" xfId="0" applyNumberFormat="1" applyFont="1" applyFill="1" applyBorder="1" applyAlignment="1">
      <alignment horizontal="right" vertical="center" wrapText="1"/>
    </xf>
    <xf numFmtId="165" fontId="1" fillId="2" borderId="266" xfId="0" applyNumberFormat="1" applyFont="1" applyFill="1" applyBorder="1" applyAlignment="1">
      <alignment horizontal="right" vertical="center" wrapText="1"/>
    </xf>
    <xf numFmtId="177" fontId="1" fillId="2" borderId="267" xfId="0" applyNumberFormat="1" applyFont="1" applyFill="1" applyBorder="1" applyAlignment="1">
      <alignment horizontal="right" vertical="center"/>
    </xf>
    <xf numFmtId="169" fontId="1" fillId="2" borderId="261" xfId="0" applyNumberFormat="1" applyFont="1" applyFill="1" applyBorder="1" applyAlignment="1">
      <alignment horizontal="right" vertical="center"/>
    </xf>
    <xf numFmtId="169" fontId="1" fillId="2" borderId="262" xfId="0" applyNumberFormat="1" applyFont="1" applyFill="1" applyBorder="1" applyAlignment="1">
      <alignment horizontal="right" vertical="center"/>
    </xf>
    <xf numFmtId="0" fontId="69" fillId="0" borderId="7" xfId="0" applyFont="1" applyBorder="1"/>
    <xf numFmtId="0" fontId="26" fillId="27" borderId="7" xfId="0" applyFont="1" applyFill="1" applyBorder="1"/>
    <xf numFmtId="0" fontId="4" fillId="12" borderId="3" xfId="0" applyFont="1" applyFill="1" applyBorder="1" applyAlignment="1">
      <alignment wrapText="1"/>
    </xf>
    <xf numFmtId="0" fontId="38" fillId="2" borderId="244" xfId="0" applyFont="1" applyFill="1" applyBorder="1" applyAlignment="1">
      <alignment vertical="top"/>
    </xf>
    <xf numFmtId="0" fontId="2" fillId="26" borderId="244" xfId="0" applyFont="1" applyFill="1" applyBorder="1" applyAlignment="1">
      <alignment vertical="top"/>
    </xf>
    <xf numFmtId="165" fontId="1" fillId="0" borderId="268" xfId="0" applyNumberFormat="1" applyFont="1" applyBorder="1" applyAlignment="1">
      <alignment vertical="center" wrapText="1"/>
    </xf>
    <xf numFmtId="165" fontId="1" fillId="0" borderId="269" xfId="0" applyNumberFormat="1" applyFont="1" applyBorder="1" applyAlignment="1">
      <alignment vertical="center" wrapText="1"/>
    </xf>
    <xf numFmtId="0" fontId="1" fillId="0" borderId="115" xfId="0" applyFont="1" applyBorder="1" applyAlignment="1">
      <alignment horizontal="left" vertical="center" wrapText="1" indent="4"/>
    </xf>
    <xf numFmtId="0" fontId="26" fillId="34" borderId="270" xfId="0" applyFont="1" applyFill="1" applyBorder="1" applyAlignment="1">
      <alignment horizontal="centerContinuous"/>
    </xf>
    <xf numFmtId="0" fontId="26" fillId="34" borderId="43" xfId="0" applyFont="1" applyFill="1" applyBorder="1" applyAlignment="1">
      <alignment horizontal="centerContinuous"/>
    </xf>
    <xf numFmtId="0" fontId="26" fillId="34" borderId="44" xfId="0" applyFont="1" applyFill="1" applyBorder="1" applyAlignment="1">
      <alignment horizontal="centerContinuous"/>
    </xf>
    <xf numFmtId="0" fontId="26" fillId="34" borderId="271" xfId="0" applyFont="1" applyFill="1" applyBorder="1" applyAlignment="1">
      <alignment horizontal="centerContinuous" vertical="center"/>
    </xf>
    <xf numFmtId="0" fontId="26" fillId="34" borderId="32" xfId="0" applyFont="1" applyFill="1" applyBorder="1" applyAlignment="1">
      <alignment horizontal="centerContinuous" vertical="center"/>
    </xf>
    <xf numFmtId="0" fontId="26" fillId="34" borderId="272" xfId="0" applyFont="1" applyFill="1" applyBorder="1" applyAlignment="1">
      <alignment horizontal="centerContinuous" vertical="center"/>
    </xf>
    <xf numFmtId="0" fontId="4" fillId="29" borderId="100" xfId="0" applyFont="1" applyFill="1" applyBorder="1" applyAlignment="1">
      <alignment horizontal="centerContinuous" vertical="center"/>
    </xf>
    <xf numFmtId="0" fontId="4" fillId="29" borderId="43" xfId="0" applyFont="1" applyFill="1" applyBorder="1" applyAlignment="1">
      <alignment horizontal="centerContinuous" vertical="center"/>
    </xf>
    <xf numFmtId="0" fontId="4" fillId="34" borderId="120" xfId="0" applyFont="1" applyFill="1" applyBorder="1" applyAlignment="1">
      <alignment horizontal="centerContinuous" vertical="center" wrapText="1"/>
    </xf>
    <xf numFmtId="0" fontId="4" fillId="34" borderId="89" xfId="0" applyFont="1" applyFill="1" applyBorder="1" applyAlignment="1">
      <alignment horizontal="centerContinuous" vertical="center" wrapText="1"/>
    </xf>
    <xf numFmtId="0" fontId="3" fillId="29" borderId="273" xfId="0" applyFont="1" applyFill="1" applyBorder="1" applyAlignment="1">
      <alignment horizontal="centerContinuous" vertical="center"/>
    </xf>
    <xf numFmtId="0" fontId="3" fillId="29" borderId="141" xfId="0" applyFont="1" applyFill="1" applyBorder="1" applyAlignment="1">
      <alignment horizontal="centerContinuous" vertical="center"/>
    </xf>
    <xf numFmtId="0" fontId="3" fillId="29" borderId="269" xfId="0" applyFont="1" applyFill="1" applyBorder="1" applyAlignment="1">
      <alignment horizontal="centerContinuous" vertical="center"/>
    </xf>
    <xf numFmtId="0" fontId="4" fillId="26" borderId="134" xfId="0" applyFont="1" applyFill="1" applyBorder="1" applyAlignment="1">
      <alignment horizontal="centerContinuous"/>
    </xf>
    <xf numFmtId="0" fontId="4" fillId="26" borderId="274" xfId="0" applyFont="1" applyFill="1" applyBorder="1" applyAlignment="1">
      <alignment horizontal="centerContinuous"/>
    </xf>
    <xf numFmtId="0" fontId="4" fillId="29" borderId="253" xfId="0" applyFont="1" applyFill="1" applyBorder="1" applyAlignment="1">
      <alignment horizontal="centerContinuous"/>
    </xf>
    <xf numFmtId="0" fontId="4" fillId="29" borderId="254" xfId="0" applyFont="1" applyFill="1" applyBorder="1" applyAlignment="1">
      <alignment horizontal="centerContinuous"/>
    </xf>
    <xf numFmtId="0" fontId="4" fillId="29" borderId="255" xfId="0" applyFont="1" applyFill="1" applyBorder="1" applyAlignment="1">
      <alignment horizontal="centerContinuous"/>
    </xf>
    <xf numFmtId="0" fontId="3" fillId="6" borderId="273" xfId="0" applyFont="1" applyFill="1" applyBorder="1" applyAlignment="1">
      <alignment horizontal="centerContinuous" vertical="center"/>
    </xf>
    <xf numFmtId="0" fontId="3" fillId="6" borderId="141" xfId="0" applyFont="1" applyFill="1" applyBorder="1" applyAlignment="1">
      <alignment horizontal="centerContinuous" vertical="center"/>
    </xf>
    <xf numFmtId="0" fontId="3" fillId="6" borderId="275" xfId="0" applyFont="1" applyFill="1" applyBorder="1" applyAlignment="1">
      <alignment horizontal="centerContinuous" vertical="center"/>
    </xf>
    <xf numFmtId="0" fontId="3" fillId="6" borderId="276" xfId="0" applyFont="1" applyFill="1" applyBorder="1" applyAlignment="1">
      <alignment horizontal="centerContinuous" vertical="center"/>
    </xf>
    <xf numFmtId="0" fontId="3" fillId="6" borderId="269" xfId="0" applyFont="1" applyFill="1" applyBorder="1" applyAlignment="1">
      <alignment horizontal="centerContinuous" vertical="center"/>
    </xf>
    <xf numFmtId="0" fontId="4" fillId="26" borderId="277" xfId="0" applyFont="1" applyFill="1" applyBorder="1" applyAlignment="1">
      <alignment horizontal="centerContinuous"/>
    </xf>
    <xf numFmtId="0" fontId="4" fillId="26" borderId="278" xfId="0" applyFont="1" applyFill="1" applyBorder="1" applyAlignment="1">
      <alignment horizontal="centerContinuous"/>
    </xf>
    <xf numFmtId="0" fontId="4" fillId="26" borderId="279" xfId="0" applyFont="1" applyFill="1" applyBorder="1" applyAlignment="1">
      <alignment horizontal="centerContinuous"/>
    </xf>
    <xf numFmtId="0" fontId="4" fillId="29" borderId="280" xfId="0" applyFont="1" applyFill="1" applyBorder="1" applyAlignment="1">
      <alignment horizontal="centerContinuous"/>
    </xf>
    <xf numFmtId="0" fontId="4" fillId="29" borderId="278" xfId="0" applyFont="1" applyFill="1" applyBorder="1" applyAlignment="1">
      <alignment horizontal="centerContinuous"/>
    </xf>
    <xf numFmtId="0" fontId="4" fillId="29" borderId="281" xfId="0" applyFont="1" applyFill="1" applyBorder="1" applyAlignment="1">
      <alignment horizontal="centerContinuous"/>
    </xf>
    <xf numFmtId="0" fontId="3" fillId="26" borderId="273" xfId="0" applyFont="1" applyFill="1" applyBorder="1" applyAlignment="1">
      <alignment horizontal="centerContinuous" vertical="center"/>
    </xf>
    <xf numFmtId="0" fontId="3" fillId="26" borderId="141" xfId="0" applyFont="1" applyFill="1" applyBorder="1" applyAlignment="1">
      <alignment horizontal="centerContinuous" vertical="center"/>
    </xf>
    <xf numFmtId="0" fontId="3" fillId="26" borderId="269" xfId="0" applyFont="1" applyFill="1" applyBorder="1" applyAlignment="1">
      <alignment horizontal="centerContinuous" vertical="center"/>
    </xf>
    <xf numFmtId="165" fontId="3" fillId="32" borderId="276" xfId="0" applyNumberFormat="1" applyFont="1" applyFill="1" applyBorder="1" applyAlignment="1">
      <alignment horizontal="centerContinuous" vertical="center"/>
    </xf>
    <xf numFmtId="165" fontId="3" fillId="32" borderId="141" xfId="0" applyNumberFormat="1" applyFont="1" applyFill="1" applyBorder="1" applyAlignment="1">
      <alignment horizontal="centerContinuous" vertical="center"/>
    </xf>
    <xf numFmtId="165" fontId="3" fillId="32" borderId="269" xfId="0" applyNumberFormat="1" applyFont="1" applyFill="1" applyBorder="1" applyAlignment="1">
      <alignment horizontal="centerContinuous" vertical="center"/>
    </xf>
    <xf numFmtId="0" fontId="2" fillId="8" borderId="100" xfId="0" applyFont="1" applyFill="1" applyBorder="1" applyAlignment="1">
      <alignment vertical="center"/>
    </xf>
    <xf numFmtId="0" fontId="2" fillId="8" borderId="24" xfId="0" applyFont="1" applyFill="1" applyBorder="1" applyAlignment="1">
      <alignment vertical="center"/>
    </xf>
    <xf numFmtId="0" fontId="2" fillId="8" borderId="31" xfId="0" applyFont="1" applyFill="1" applyBorder="1" applyAlignment="1">
      <alignment vertical="center"/>
    </xf>
    <xf numFmtId="0" fontId="1" fillId="46" borderId="0" xfId="0" applyFont="1" applyFill="1" applyAlignment="1">
      <alignment horizontal="center" vertical="center"/>
    </xf>
    <xf numFmtId="0" fontId="3" fillId="29" borderId="15" xfId="0" applyFont="1" applyFill="1" applyBorder="1" applyAlignment="1">
      <alignment horizontal="center" wrapText="1"/>
    </xf>
    <xf numFmtId="0" fontId="3" fillId="29" borderId="215" xfId="0" applyFont="1" applyFill="1" applyBorder="1" applyAlignment="1">
      <alignment horizontal="center" wrapText="1"/>
    </xf>
    <xf numFmtId="14" fontId="1" fillId="29" borderId="213" xfId="0" applyNumberFormat="1" applyFont="1" applyFill="1" applyBorder="1" applyAlignment="1">
      <alignment horizontal="center" vertical="top" wrapText="1"/>
    </xf>
    <xf numFmtId="0" fontId="7" fillId="29" borderId="214" xfId="0" applyFont="1" applyFill="1" applyBorder="1" applyAlignment="1">
      <alignment horizontal="center" vertical="center"/>
    </xf>
    <xf numFmtId="0" fontId="4" fillId="29" borderId="218" xfId="0" applyFont="1" applyFill="1" applyBorder="1" applyAlignment="1">
      <alignment horizontal="center" vertical="top"/>
    </xf>
    <xf numFmtId="0" fontId="23" fillId="29" borderId="213" xfId="0" applyFont="1" applyFill="1" applyBorder="1" applyAlignment="1">
      <alignment horizontal="left"/>
    </xf>
    <xf numFmtId="0" fontId="4" fillId="29" borderId="213" xfId="0" applyFont="1" applyFill="1" applyBorder="1" applyAlignment="1">
      <alignment horizontal="center" vertical="top"/>
    </xf>
    <xf numFmtId="0" fontId="1" fillId="29" borderId="215" xfId="0" applyFont="1" applyFill="1" applyBorder="1" applyAlignment="1">
      <alignment horizontal="center" vertical="top"/>
    </xf>
    <xf numFmtId="0" fontId="3" fillId="29" borderId="223" xfId="0" applyFont="1" applyFill="1" applyBorder="1" applyAlignment="1">
      <alignment horizontal="center" vertical="top"/>
    </xf>
    <xf numFmtId="0" fontId="1" fillId="29" borderId="234" xfId="0" applyFont="1" applyFill="1" applyBorder="1" applyAlignment="1">
      <alignment horizontal="center" vertical="top"/>
    </xf>
    <xf numFmtId="10" fontId="1" fillId="2" borderId="70" xfId="0" applyNumberFormat="1" applyFont="1" applyFill="1" applyBorder="1" applyAlignment="1">
      <alignment horizontal="right" vertical="center" wrapText="1"/>
    </xf>
    <xf numFmtId="10" fontId="1" fillId="2" borderId="266" xfId="0" applyNumberFormat="1" applyFont="1" applyFill="1" applyBorder="1" applyAlignment="1">
      <alignment horizontal="right" vertical="center" wrapText="1"/>
    </xf>
    <xf numFmtId="2" fontId="1" fillId="2" borderId="174" xfId="0" applyNumberFormat="1" applyFont="1" applyFill="1" applyBorder="1" applyAlignment="1">
      <alignment horizontal="right" vertical="center" wrapText="1"/>
    </xf>
    <xf numFmtId="2" fontId="1" fillId="2" borderId="153" xfId="0" applyNumberFormat="1" applyFont="1" applyFill="1" applyBorder="1" applyAlignment="1">
      <alignment horizontal="right" vertical="center" wrapText="1"/>
    </xf>
    <xf numFmtId="2" fontId="1" fillId="2" borderId="282" xfId="0" applyNumberFormat="1" applyFont="1" applyFill="1" applyBorder="1" applyAlignment="1">
      <alignment horizontal="right" vertical="center" wrapText="1"/>
    </xf>
    <xf numFmtId="0" fontId="1" fillId="2" borderId="45" xfId="0" applyFont="1" applyFill="1" applyBorder="1" applyAlignment="1">
      <alignment vertical="center"/>
    </xf>
    <xf numFmtId="0" fontId="1" fillId="2" borderId="48" xfId="0" applyFont="1" applyFill="1" applyBorder="1" applyAlignment="1">
      <alignment vertical="center"/>
    </xf>
    <xf numFmtId="0" fontId="1" fillId="2" borderId="185" xfId="0" applyFont="1" applyFill="1" applyBorder="1" applyAlignment="1">
      <alignment vertical="center"/>
    </xf>
    <xf numFmtId="0" fontId="1" fillId="0" borderId="84" xfId="0" applyFont="1" applyBorder="1" applyAlignment="1">
      <alignment horizontal="left" vertical="top" wrapText="1"/>
    </xf>
    <xf numFmtId="0" fontId="1" fillId="0" borderId="0" xfId="0" applyFont="1" applyAlignment="1">
      <alignment horizontal="left" vertical="top" wrapText="1"/>
    </xf>
    <xf numFmtId="0" fontId="1" fillId="0" borderId="103" xfId="0" applyFont="1" applyBorder="1" applyAlignment="1">
      <alignment horizontal="left" vertical="top" wrapText="1"/>
    </xf>
    <xf numFmtId="0" fontId="2" fillId="8" borderId="6" xfId="0" applyFont="1" applyFill="1" applyBorder="1" applyAlignment="1">
      <alignment horizontal="left" vertical="top" wrapText="1"/>
    </xf>
    <xf numFmtId="0" fontId="2" fillId="8" borderId="67" xfId="0" applyFont="1" applyFill="1" applyBorder="1" applyAlignment="1">
      <alignment horizontal="left" vertical="top" wrapText="1"/>
    </xf>
    <xf numFmtId="0" fontId="2" fillId="8" borderId="87" xfId="0" applyFont="1" applyFill="1" applyBorder="1" applyAlignment="1">
      <alignment horizontal="left" vertical="top" wrapText="1"/>
    </xf>
    <xf numFmtId="0" fontId="3" fillId="3" borderId="103" xfId="0" applyFont="1" applyFill="1" applyBorder="1" applyAlignment="1">
      <alignment horizontal="center" vertical="center"/>
    </xf>
    <xf numFmtId="0" fontId="3" fillId="5" borderId="286" xfId="0" applyFont="1" applyFill="1" applyBorder="1" applyAlignment="1">
      <alignment horizontal="center" vertical="center"/>
    </xf>
    <xf numFmtId="0" fontId="3" fillId="5" borderId="287" xfId="0" applyFont="1" applyFill="1" applyBorder="1" applyAlignment="1">
      <alignment horizontal="center" vertical="center"/>
    </xf>
    <xf numFmtId="0" fontId="3" fillId="5" borderId="288" xfId="0" applyFont="1" applyFill="1" applyBorder="1" applyAlignment="1">
      <alignment horizontal="center" vertical="center"/>
    </xf>
    <xf numFmtId="0" fontId="3" fillId="5" borderId="289" xfId="0" applyFont="1" applyFill="1" applyBorder="1" applyAlignment="1">
      <alignment horizontal="center"/>
    </xf>
    <xf numFmtId="0" fontId="3" fillId="5" borderId="103" xfId="0" applyFont="1" applyFill="1" applyBorder="1" applyAlignment="1">
      <alignment horizontal="center"/>
    </xf>
    <xf numFmtId="0" fontId="3" fillId="5" borderId="290" xfId="0" applyFont="1" applyFill="1" applyBorder="1" applyAlignment="1">
      <alignment horizontal="center"/>
    </xf>
    <xf numFmtId="0" fontId="1" fillId="37" borderId="195" xfId="0" applyFont="1" applyFill="1" applyBorder="1" applyAlignment="1">
      <alignment vertical="center" wrapText="1"/>
    </xf>
    <xf numFmtId="0" fontId="1" fillId="37" borderId="12" xfId="0" applyFont="1" applyFill="1" applyBorder="1" applyAlignment="1">
      <alignment vertical="center" wrapText="1"/>
    </xf>
    <xf numFmtId="0" fontId="3" fillId="5" borderId="291" xfId="0" applyFont="1" applyFill="1" applyBorder="1" applyAlignment="1">
      <alignment horizontal="center" vertical="center"/>
    </xf>
    <xf numFmtId="0" fontId="3" fillId="5" borderId="67" xfId="0" applyFont="1" applyFill="1" applyBorder="1" applyAlignment="1">
      <alignment horizontal="center" vertical="center"/>
    </xf>
    <xf numFmtId="0" fontId="3" fillId="5" borderId="87" xfId="0" applyFont="1" applyFill="1" applyBorder="1" applyAlignment="1">
      <alignment horizontal="center" vertical="center"/>
    </xf>
    <xf numFmtId="0" fontId="4" fillId="36" borderId="0" xfId="0" applyFont="1" applyFill="1" applyAlignment="1">
      <alignment horizontal="center" vertical="top" wrapText="1"/>
    </xf>
    <xf numFmtId="0" fontId="36" fillId="26" borderId="0" xfId="0" applyFont="1" applyFill="1" applyAlignment="1">
      <alignment horizontal="center"/>
    </xf>
    <xf numFmtId="0" fontId="3" fillId="29" borderId="142" xfId="0" applyFont="1" applyFill="1" applyBorder="1" applyAlignment="1">
      <alignment horizontal="center"/>
    </xf>
    <xf numFmtId="0" fontId="3" fillId="29" borderId="3" xfId="0" applyFont="1" applyFill="1" applyBorder="1" applyAlignment="1">
      <alignment horizontal="center"/>
    </xf>
    <xf numFmtId="0" fontId="26" fillId="30" borderId="142" xfId="0" applyFont="1" applyFill="1" applyBorder="1" applyAlignment="1">
      <alignment horizontal="center"/>
    </xf>
    <xf numFmtId="0" fontId="26" fillId="30" borderId="3" xfId="0" applyFont="1" applyFill="1" applyBorder="1" applyAlignment="1">
      <alignment horizontal="center"/>
    </xf>
    <xf numFmtId="0" fontId="26" fillId="30" borderId="4" xfId="0" applyFont="1" applyFill="1" applyBorder="1" applyAlignment="1">
      <alignment horizontal="center"/>
    </xf>
    <xf numFmtId="0" fontId="3" fillId="48" borderId="283" xfId="0" applyFont="1" applyFill="1" applyBorder="1" applyAlignment="1">
      <alignment horizontal="center" vertical="center"/>
    </xf>
    <xf numFmtId="0" fontId="3" fillId="48" borderId="284" xfId="0" applyFont="1" applyFill="1" applyBorder="1" applyAlignment="1">
      <alignment horizontal="center" vertical="center"/>
    </xf>
    <xf numFmtId="0" fontId="3" fillId="48" borderId="285" xfId="0" applyFont="1" applyFill="1" applyBorder="1" applyAlignment="1">
      <alignment horizontal="center" vertical="center"/>
    </xf>
    <xf numFmtId="0" fontId="3" fillId="48" borderId="6" xfId="0" applyFont="1" applyFill="1" applyBorder="1" applyAlignment="1">
      <alignment horizontal="center" vertical="center"/>
    </xf>
    <xf numFmtId="0" fontId="3" fillId="48" borderId="67" xfId="0" applyFont="1" applyFill="1" applyBorder="1" applyAlignment="1">
      <alignment horizontal="center" vertical="center"/>
    </xf>
    <xf numFmtId="0" fontId="3" fillId="48" borderId="87" xfId="0" applyFont="1" applyFill="1" applyBorder="1" applyAlignment="1">
      <alignment horizontal="center" vertical="center"/>
    </xf>
    <xf numFmtId="0" fontId="1" fillId="27" borderId="6" xfId="0" applyFont="1" applyFill="1" applyBorder="1" applyAlignment="1" applyProtection="1">
      <alignment horizontal="left" vertical="top" wrapText="1"/>
      <protection locked="0"/>
    </xf>
    <xf numFmtId="0" fontId="1" fillId="27" borderId="67" xfId="0" applyFont="1" applyFill="1" applyBorder="1" applyAlignment="1" applyProtection="1">
      <alignment horizontal="left" vertical="top"/>
      <protection locked="0"/>
    </xf>
    <xf numFmtId="0" fontId="1" fillId="27" borderId="87" xfId="0" applyFont="1" applyFill="1" applyBorder="1" applyAlignment="1" applyProtection="1">
      <alignment horizontal="left" vertical="top"/>
      <protection locked="0"/>
    </xf>
    <xf numFmtId="0" fontId="1" fillId="27" borderId="5" xfId="0" applyFont="1" applyFill="1" applyBorder="1" applyAlignment="1" applyProtection="1">
      <alignment horizontal="left"/>
      <protection locked="0"/>
    </xf>
    <xf numFmtId="0" fontId="1" fillId="27" borderId="236" xfId="0" applyFont="1" applyFill="1" applyBorder="1" applyAlignment="1" applyProtection="1">
      <alignment horizontal="left"/>
      <protection locked="0"/>
    </xf>
    <xf numFmtId="0" fontId="1" fillId="27" borderId="112" xfId="0" applyFont="1" applyFill="1" applyBorder="1" applyAlignment="1" applyProtection="1">
      <alignment horizontal="left"/>
      <protection locked="0"/>
    </xf>
    <xf numFmtId="0" fontId="13" fillId="44" borderId="0" xfId="0" applyFont="1" applyFill="1" applyAlignment="1">
      <alignment horizontal="right" indent="1"/>
    </xf>
    <xf numFmtId="0" fontId="13" fillId="44" borderId="292" xfId="0" applyFont="1" applyFill="1" applyBorder="1" applyAlignment="1">
      <alignment horizontal="right" indent="1"/>
    </xf>
    <xf numFmtId="0" fontId="1" fillId="27" borderId="293" xfId="0" applyFont="1" applyFill="1" applyBorder="1" applyAlignment="1" applyProtection="1">
      <alignment horizontal="left"/>
      <protection locked="0"/>
    </xf>
    <xf numFmtId="0" fontId="1" fillId="27" borderId="294" xfId="0" applyFont="1" applyFill="1" applyBorder="1" applyAlignment="1" applyProtection="1">
      <alignment horizontal="left"/>
      <protection locked="0"/>
    </xf>
    <xf numFmtId="0" fontId="1" fillId="27" borderId="295" xfId="0" applyFont="1" applyFill="1" applyBorder="1" applyAlignment="1" applyProtection="1">
      <alignment horizontal="left"/>
      <protection locked="0"/>
    </xf>
    <xf numFmtId="0" fontId="1" fillId="27" borderId="296" xfId="0" applyFont="1" applyFill="1" applyBorder="1" applyAlignment="1" applyProtection="1">
      <alignment horizontal="left"/>
      <protection locked="0"/>
    </xf>
    <xf numFmtId="0" fontId="1" fillId="27" borderId="93" xfId="0" applyFont="1" applyFill="1" applyBorder="1" applyAlignment="1" applyProtection="1">
      <alignment horizontal="left"/>
      <protection locked="0"/>
    </xf>
    <xf numFmtId="0" fontId="1" fillId="27" borderId="297" xfId="0" applyFont="1" applyFill="1" applyBorder="1" applyAlignment="1" applyProtection="1">
      <alignment horizontal="left"/>
      <protection locked="0"/>
    </xf>
    <xf numFmtId="0" fontId="1" fillId="27" borderId="298" xfId="0" applyFont="1" applyFill="1" applyBorder="1" applyAlignment="1" applyProtection="1">
      <alignment horizontal="left"/>
      <protection locked="0"/>
    </xf>
    <xf numFmtId="0" fontId="1" fillId="27" borderId="299" xfId="0" applyFont="1" applyFill="1" applyBorder="1" applyAlignment="1" applyProtection="1">
      <alignment horizontal="left"/>
      <protection locked="0"/>
    </xf>
    <xf numFmtId="0" fontId="1" fillId="27" borderId="300" xfId="0" applyFont="1" applyFill="1" applyBorder="1" applyAlignment="1" applyProtection="1">
      <alignment horizontal="left"/>
      <protection locked="0"/>
    </xf>
    <xf numFmtId="0" fontId="71" fillId="44" borderId="142" xfId="0" applyFont="1" applyFill="1" applyBorder="1" applyAlignment="1" applyProtection="1">
      <alignment horizontal="center"/>
      <protection locked="0"/>
    </xf>
    <xf numFmtId="0" fontId="71" fillId="44" borderId="3" xfId="0" applyFont="1" applyFill="1" applyBorder="1" applyAlignment="1" applyProtection="1">
      <alignment horizontal="center"/>
      <protection locked="0"/>
    </xf>
    <xf numFmtId="0" fontId="71" fillId="44" borderId="4" xfId="0" applyFont="1" applyFill="1" applyBorder="1" applyAlignment="1" applyProtection="1">
      <alignment horizontal="center"/>
      <protection locked="0"/>
    </xf>
    <xf numFmtId="0" fontId="3" fillId="27" borderId="6" xfId="0" applyFont="1" applyFill="1" applyBorder="1" applyAlignment="1" applyProtection="1">
      <alignment horizontal="left"/>
      <protection locked="0"/>
    </xf>
    <xf numFmtId="0" fontId="3" fillId="27" borderId="87" xfId="0" applyFont="1" applyFill="1" applyBorder="1" applyAlignment="1" applyProtection="1">
      <alignment horizontal="left"/>
      <protection locked="0"/>
    </xf>
    <xf numFmtId="0" fontId="4" fillId="29" borderId="103" xfId="0" applyFont="1" applyFill="1" applyBorder="1" applyAlignment="1">
      <alignment wrapText="1"/>
    </xf>
    <xf numFmtId="0" fontId="4" fillId="29" borderId="119" xfId="0" applyFont="1" applyFill="1" applyBorder="1" applyAlignment="1">
      <alignment wrapText="1"/>
    </xf>
    <xf numFmtId="0" fontId="1" fillId="25" borderId="0" xfId="0" applyFont="1" applyFill="1" applyAlignment="1">
      <alignment vertical="center" wrapText="1"/>
    </xf>
    <xf numFmtId="0" fontId="70" fillId="25" borderId="0" xfId="0" applyFont="1" applyFill="1" applyAlignment="1">
      <alignment vertical="center" wrapText="1"/>
    </xf>
    <xf numFmtId="0" fontId="71" fillId="44" borderId="142" xfId="0" applyFont="1" applyFill="1" applyBorder="1" applyAlignment="1">
      <alignment horizontal="center"/>
    </xf>
    <xf numFmtId="0" fontId="71" fillId="44" borderId="3" xfId="0" applyFont="1" applyFill="1" applyBorder="1" applyAlignment="1">
      <alignment horizontal="center"/>
    </xf>
    <xf numFmtId="0" fontId="71" fillId="44" borderId="4" xfId="0" applyFont="1" applyFill="1" applyBorder="1" applyAlignment="1">
      <alignment horizontal="center"/>
    </xf>
    <xf numFmtId="170" fontId="1" fillId="26" borderId="172" xfId="0" applyNumberFormat="1" applyFont="1" applyFill="1" applyBorder="1" applyAlignment="1">
      <alignment horizontal="left"/>
    </xf>
    <xf numFmtId="0" fontId="1" fillId="26" borderId="236" xfId="0" applyFont="1" applyFill="1" applyBorder="1" applyAlignment="1" applyProtection="1">
      <alignment horizontal="left"/>
      <protection locked="0"/>
    </xf>
    <xf numFmtId="0" fontId="1" fillId="2" borderId="79" xfId="0" applyFont="1" applyFill="1" applyBorder="1" applyAlignment="1">
      <alignment horizontal="center"/>
    </xf>
    <xf numFmtId="0" fontId="1" fillId="2" borderId="137" xfId="0" applyFont="1" applyFill="1" applyBorder="1" applyAlignment="1">
      <alignment horizontal="center"/>
    </xf>
    <xf numFmtId="0" fontId="1" fillId="2" borderId="150" xfId="0" applyFont="1" applyFill="1" applyBorder="1" applyAlignment="1">
      <alignment horizontal="center"/>
    </xf>
    <xf numFmtId="0" fontId="1" fillId="2" borderId="175" xfId="0" applyFont="1" applyFill="1" applyBorder="1" applyAlignment="1">
      <alignment horizontal="center"/>
    </xf>
    <xf numFmtId="0" fontId="14" fillId="49" borderId="171" xfId="0" applyFont="1" applyFill="1" applyBorder="1" applyAlignment="1">
      <alignment horizontal="center" vertical="center" wrapText="1"/>
    </xf>
    <xf numFmtId="0" fontId="14" fillId="49" borderId="173" xfId="0" applyFont="1" applyFill="1" applyBorder="1" applyAlignment="1">
      <alignment horizontal="center" vertical="center" wrapText="1"/>
    </xf>
    <xf numFmtId="0" fontId="14" fillId="49" borderId="301" xfId="0" applyFont="1" applyFill="1" applyBorder="1" applyAlignment="1">
      <alignment horizontal="center" vertical="center" wrapText="1"/>
    </xf>
    <xf numFmtId="0" fontId="14" fillId="49" borderId="292" xfId="0" applyFont="1" applyFill="1" applyBorder="1" applyAlignment="1">
      <alignment horizontal="center" vertical="center" wrapText="1"/>
    </xf>
    <xf numFmtId="0" fontId="14" fillId="49" borderId="124" xfId="0" applyFont="1" applyFill="1" applyBorder="1" applyAlignment="1">
      <alignment horizontal="center" vertical="center" wrapText="1"/>
    </xf>
    <xf numFmtId="0" fontId="14" fillId="49" borderId="302" xfId="0" applyFont="1" applyFill="1" applyBorder="1" applyAlignment="1">
      <alignment horizontal="center" vertical="center" wrapText="1"/>
    </xf>
    <xf numFmtId="0" fontId="35" fillId="25" borderId="303" xfId="0" applyFont="1" applyFill="1" applyBorder="1" applyAlignment="1" applyProtection="1">
      <alignment horizontal="left" vertical="top" wrapText="1"/>
      <protection locked="0"/>
    </xf>
    <xf numFmtId="0" fontId="35" fillId="25" borderId="124" xfId="0" applyFont="1" applyFill="1" applyBorder="1" applyAlignment="1" applyProtection="1">
      <alignment horizontal="left" vertical="top" wrapText="1"/>
      <protection locked="0"/>
    </xf>
    <xf numFmtId="0" fontId="35" fillId="25" borderId="302" xfId="0" applyFont="1" applyFill="1" applyBorder="1" applyAlignment="1" applyProtection="1">
      <alignment horizontal="left" vertical="top" wrapText="1"/>
      <protection locked="0"/>
    </xf>
    <xf numFmtId="0" fontId="1" fillId="2" borderId="304" xfId="0" applyFont="1" applyFill="1" applyBorder="1" applyAlignment="1">
      <alignment horizontal="center"/>
    </xf>
    <xf numFmtId="0" fontId="1" fillId="2" borderId="305" xfId="0" applyFont="1" applyFill="1" applyBorder="1" applyAlignment="1">
      <alignment horizontal="center"/>
    </xf>
  </cellXfs>
  <cellStyles count="1">
    <cellStyle name="Normal" xfId="0" builtinId="0"/>
  </cellStyles>
  <dxfs count="48">
    <dxf>
      <fill>
        <patternFill patternType="solid">
          <bgColor rgb="FFFFFFCC"/>
        </patternFill>
      </fill>
    </dxf>
    <dxf>
      <fill>
        <patternFill patternType="solid">
          <bgColor rgb="FFFFFFCC"/>
        </patternFill>
      </fill>
    </dxf>
    <dxf>
      <fill>
        <patternFill patternType="solid">
          <bgColor rgb="FFFFFFCC"/>
        </patternFill>
      </fill>
    </dxf>
    <dxf>
      <fill>
        <patternFill patternType="solid">
          <bgColor rgb="FFFFFFCC"/>
        </patternFill>
      </fill>
    </dxf>
    <dxf>
      <font>
        <color rgb="FFA6A6A6"/>
      </font>
    </dxf>
    <dxf>
      <font>
        <color rgb="FFA6A6A6"/>
      </font>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9C0006"/>
      </font>
      <fill>
        <patternFill patternType="solid">
          <bgColor rgb="FFFFC7CE"/>
        </patternFill>
      </fill>
    </dxf>
    <dxf>
      <fill>
        <patternFill patternType="solid">
          <bgColor rgb="FFFFC7CE"/>
        </patternFill>
      </fill>
    </dxf>
    <dxf>
      <font>
        <b/>
        <i val="0"/>
        <color rgb="FFFF0000"/>
      </font>
    </dxf>
    <dxf>
      <font>
        <b/>
        <i val="0"/>
        <color rgb="FFFF0000"/>
      </font>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color rgb="FF254061"/>
      </font>
      <fill>
        <patternFill patternType="solid">
          <bgColor rgb="FF254061"/>
        </patternFill>
      </fill>
    </dxf>
    <dxf>
      <font>
        <b/>
        <i val="0"/>
        <color rgb="FFC0504D"/>
      </font>
    </dxf>
    <dxf>
      <font>
        <b/>
        <i val="0"/>
        <color rgb="FFC0504D"/>
      </font>
    </dxf>
    <dxf>
      <font>
        <b/>
        <i val="0"/>
        <color rgb="FFC0504D"/>
      </font>
    </dxf>
    <dxf>
      <font>
        <b/>
        <i val="0"/>
        <color rgb="FFC0504D"/>
      </font>
    </dxf>
    <dxf>
      <fill>
        <patternFill patternType="solid">
          <bgColor rgb="FFD7E4BD"/>
        </patternFill>
      </fill>
    </dxf>
    <dxf>
      <fill>
        <patternFill patternType="solid">
          <bgColor rgb="FFFFFF99"/>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41</xdr:col>
      <xdr:colOff>155867</xdr:colOff>
      <xdr:row>11</xdr:row>
      <xdr:rowOff>59774</xdr:rowOff>
    </xdr:from>
    <xdr:to>
      <xdr:col>44</xdr:col>
      <xdr:colOff>93601</xdr:colOff>
      <xdr:row>14</xdr:row>
      <xdr:rowOff>159552</xdr:rowOff>
    </xdr:to>
    <xdr:sp macro="[0]!MarkNonConfidential" textlink="">
      <xdr:nvSpPr>
        <xdr:cNvPr id="3" name="Rounded Rectangle 2">
          <a:extLst>
            <a:ext uri="{FF2B5EF4-FFF2-40B4-BE49-F238E27FC236}">
              <a16:creationId xmlns:a16="http://schemas.microsoft.com/office/drawing/2014/main" id="{00000000-0008-0000-0000-000003000000}"/>
            </a:ext>
          </a:extLst>
        </xdr:cNvPr>
        <xdr:cNvSpPr/>
      </xdr:nvSpPr>
      <xdr:spPr>
        <a:xfrm>
          <a:off x="70783742" y="2917274"/>
          <a:ext cx="1766534"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clientData/>
  </xdr:twoCellAnchor>
  <xdr:twoCellAnchor>
    <xdr:from>
      <xdr:col>45</xdr:col>
      <xdr:colOff>528101</xdr:colOff>
      <xdr:row>9</xdr:row>
      <xdr:rowOff>199159</xdr:rowOff>
    </xdr:from>
    <xdr:to>
      <xdr:col>51</xdr:col>
      <xdr:colOff>77847</xdr:colOff>
      <xdr:row>15</xdr:row>
      <xdr:rowOff>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73594376" y="1951759"/>
          <a:ext cx="3207346" cy="170498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clientData/>
  </xdr:twoCellAnchor>
  <xdr:twoCellAnchor>
    <xdr:from>
      <xdr:col>48</xdr:col>
      <xdr:colOff>176628</xdr:colOff>
      <xdr:row>11</xdr:row>
      <xdr:rowOff>18714</xdr:rowOff>
    </xdr:from>
    <xdr:to>
      <xdr:col>50</xdr:col>
      <xdr:colOff>524614</xdr:colOff>
      <xdr:row>14</xdr:row>
      <xdr:rowOff>178270</xdr:rowOff>
    </xdr:to>
    <xdr:sp macro="[0]!dms_ReturnNonAmended" textlink="">
      <xdr:nvSpPr>
        <xdr:cNvPr id="5" name="Rounded Rectangle 4">
          <a:extLst>
            <a:ext uri="{FF2B5EF4-FFF2-40B4-BE49-F238E27FC236}">
              <a16:creationId xmlns:a16="http://schemas.microsoft.com/office/drawing/2014/main" id="{00000000-0008-0000-0000-000005000000}"/>
            </a:ext>
          </a:extLst>
        </xdr:cNvPr>
        <xdr:cNvSpPr/>
      </xdr:nvSpPr>
      <xdr:spPr>
        <a:xfrm>
          <a:off x="75071703" y="2876214"/>
          <a:ext cx="1567186"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577102</xdr:colOff>
      <xdr:row>0</xdr:row>
      <xdr:rowOff>81644</xdr:rowOff>
    </xdr:from>
    <xdr:to>
      <xdr:col>17</xdr:col>
      <xdr:colOff>7446</xdr:colOff>
      <xdr:row>2</xdr:row>
      <xdr:rowOff>357881</xdr:rowOff>
    </xdr:to>
    <xdr:grpSp>
      <xdr:nvGrpSpPr>
        <xdr:cNvPr id="9" name="Group 8">
          <a:extLst>
            <a:ext uri="{FF2B5EF4-FFF2-40B4-BE49-F238E27FC236}">
              <a16:creationId xmlns:a16="http://schemas.microsoft.com/office/drawing/2014/main" id="{00000000-0008-0000-0200-000009000000}"/>
            </a:ext>
          </a:extLst>
        </xdr:cNvPr>
        <xdr:cNvGrpSpPr/>
      </xdr:nvGrpSpPr>
      <xdr:grpSpPr>
        <a:xfrm>
          <a:off x="12233125" y="83549"/>
          <a:ext cx="6243520" cy="1040142"/>
          <a:chOff x="6257924" y="76200"/>
          <a:chExt cx="5973778" cy="1034035"/>
        </a:xfrm>
      </xdr:grpSpPr>
      <xdr:grpSp>
        <xdr:nvGrpSpPr>
          <xdr:cNvPr id="10" name="Group 9">
            <a:extLst>
              <a:ext uri="{FF2B5EF4-FFF2-40B4-BE49-F238E27FC236}">
                <a16:creationId xmlns:a16="http://schemas.microsoft.com/office/drawing/2014/main" id="{00000000-0008-0000-0200-00000A000000}"/>
              </a:ext>
            </a:extLst>
          </xdr:cNvPr>
          <xdr:cNvGrpSpPr/>
        </xdr:nvGrpSpPr>
        <xdr:grpSpPr>
          <a:xfrm>
            <a:off x="6257924" y="94034"/>
            <a:ext cx="1753561" cy="971060"/>
            <a:chOff x="11448892" y="2483864"/>
            <a:chExt cx="1750813" cy="517167"/>
          </a:xfrm>
        </xdr:grpSpPr>
        <xdr:sp macro="[0]!MarkConfidential" textlink="">
          <xdr:nvSpPr>
            <xdr:cNvPr id="17" name="Rounded Rectangle 16">
              <a:extLst>
                <a:ext uri="{FF2B5EF4-FFF2-40B4-BE49-F238E27FC236}">
                  <a16:creationId xmlns:a16="http://schemas.microsoft.com/office/drawing/2014/main" id="{00000000-0008-0000-0200-00001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8" name="Rounded Rectangle 17">
              <a:extLst>
                <a:ext uri="{FF2B5EF4-FFF2-40B4-BE49-F238E27FC236}">
                  <a16:creationId xmlns:a16="http://schemas.microsoft.com/office/drawing/2014/main" id="{00000000-0008-0000-0200-00001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1" name="Group 10">
            <a:extLst>
              <a:ext uri="{FF2B5EF4-FFF2-40B4-BE49-F238E27FC236}">
                <a16:creationId xmlns:a16="http://schemas.microsoft.com/office/drawing/2014/main" id="{00000000-0008-0000-0200-00000B000000}"/>
              </a:ext>
            </a:extLst>
          </xdr:cNvPr>
          <xdr:cNvGrpSpPr/>
        </xdr:nvGrpSpPr>
        <xdr:grpSpPr>
          <a:xfrm>
            <a:off x="9047916" y="76200"/>
            <a:ext cx="3183786" cy="1034035"/>
            <a:chOff x="8959453" y="47625"/>
            <a:chExt cx="3191911" cy="1037397"/>
          </a:xfrm>
        </xdr:grpSpPr>
        <xdr:sp macro="" textlink="">
          <xdr:nvSpPr>
            <xdr:cNvPr id="12" name="Rounded Rectangle 11">
              <a:extLst>
                <a:ext uri="{FF2B5EF4-FFF2-40B4-BE49-F238E27FC236}">
                  <a16:creationId xmlns:a16="http://schemas.microsoft.com/office/drawing/2014/main" id="{00000000-0008-0000-0200-00000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3" name="Group 12">
              <a:extLst>
                <a:ext uri="{FF2B5EF4-FFF2-40B4-BE49-F238E27FC236}">
                  <a16:creationId xmlns:a16="http://schemas.microsoft.com/office/drawing/2014/main" id="{00000000-0008-0000-0200-00000D000000}"/>
                </a:ext>
              </a:extLst>
            </xdr:cNvPr>
            <xdr:cNvGrpSpPr/>
          </xdr:nvGrpSpPr>
          <xdr:grpSpPr>
            <a:xfrm>
              <a:off x="10422881" y="79536"/>
              <a:ext cx="1576451" cy="972629"/>
              <a:chOff x="24351211" y="420304"/>
              <a:chExt cx="1935032" cy="711040"/>
            </a:xfrm>
          </xdr:grpSpPr>
          <xdr:sp macro="[0]!dms_ReturnNonAmended" textlink="">
            <xdr:nvSpPr>
              <xdr:cNvPr id="15" name="Rounded Rectangle 14">
                <a:extLst>
                  <a:ext uri="{FF2B5EF4-FFF2-40B4-BE49-F238E27FC236}">
                    <a16:creationId xmlns:a16="http://schemas.microsoft.com/office/drawing/2014/main" id="{00000000-0008-0000-0200-00000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6" name="Rounded Rectangle 15">
                <a:extLst>
                  <a:ext uri="{FF2B5EF4-FFF2-40B4-BE49-F238E27FC236}">
                    <a16:creationId xmlns:a16="http://schemas.microsoft.com/office/drawing/2014/main" id="{00000000-0008-0000-0200-00001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4" name="Rounded Rectangle 13">
              <a:extLst>
                <a:ext uri="{FF2B5EF4-FFF2-40B4-BE49-F238E27FC236}">
                  <a16:creationId xmlns:a16="http://schemas.microsoft.com/office/drawing/2014/main" id="{00000000-0008-0000-0200-00000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0:AN19">
  <autoFilter ref="B10:AN19" xr:uid="{00000000-0009-0000-0100-000001000000}"/>
  <tableColumns count="39">
    <tableColumn id="1" xr3:uid="{00000000-0010-0000-0000-000001000000}" name="dms_TradingName_List"/>
    <tableColumn id="2" xr3:uid="{00000000-0010-0000-0000-000002000000}" name="dms_TradingNameFull_List"/>
    <tableColumn id="3" xr3:uid="{00000000-0010-0000-0000-000003000000}" name="dms_ABN_List"/>
    <tableColumn id="4" xr3:uid="{00000000-0010-0000-0000-000004000000}" name="dms_JurisdictionList"/>
    <tableColumn id="5" xr3:uid="{00000000-0010-0000-0000-000005000000}" name="dms_Sector_List"/>
    <tableColumn id="6" xr3:uid="{00000000-0010-0000-0000-000006000000}" name="dms_Segment_List"/>
    <tableColumn id="7" xr3:uid="{00000000-0010-0000-0000-000007000000}" name="dms_FormControl_List"/>
    <tableColumn id="8" xr3:uid="{00000000-0010-0000-0000-000008000000}" name="dms_RPT_List"/>
    <tableColumn id="9" xr3:uid="{00000000-0010-0000-0000-000009000000}" name="dms_RPTMonth_List"/>
    <tableColumn id="10" xr3:uid="{00000000-0010-0000-0000-00000A000000}" name="dms_CRCPlength_List"/>
    <tableColumn id="11" xr3:uid="{00000000-0010-0000-0000-00000B000000}" name="dms_FRCPlength_List"/>
    <tableColumn id="12" xr3:uid="{00000000-0010-0000-0000-00000C000000}" name="dms_663_List"/>
    <tableColumn id="13" xr3:uid="{00000000-0010-0000-0000-00000D000000}" name="dms_DeterminationRef_List"/>
    <tableColumn id="14" xr3:uid="{00000000-0010-0000-0000-00000E000000}" name="dms_Addr1_List"/>
    <tableColumn id="15" xr3:uid="{00000000-0010-0000-0000-00000F000000}" name="dms_Addr2_List"/>
    <tableColumn id="16" xr3:uid="{00000000-0010-0000-0000-000010000000}" name="dms_Suburb_List"/>
    <tableColumn id="17" xr3:uid="{00000000-0010-0000-0000-000011000000}" name="dms_State_List"/>
    <tableColumn id="18" xr3:uid="{00000000-0010-0000-0000-000012000000}" name="dms_PostCode_List"/>
    <tableColumn id="19" xr3:uid="{00000000-0010-0000-0000-000013000000}" name="dms_PAddr1_List"/>
    <tableColumn id="20" xr3:uid="{00000000-0010-0000-0000-000014000000}" name="dms_PAddr2_List"/>
    <tableColumn id="21" xr3:uid="{00000000-0010-0000-0000-000015000000}" name="dms_PSuburb_List"/>
    <tableColumn id="22" xr3:uid="{00000000-0010-0000-0000-000016000000}" name="dms_PState_List"/>
    <tableColumn id="23" xr3:uid="{00000000-0010-0000-0000-000017000000}" name="dms_PPostCode_List"/>
    <tableColumn id="24" xr3:uid="{00000000-0010-0000-0000-000018000000}" name="dms_ContactName1_List"/>
    <tableColumn id="25" xr3:uid="{00000000-0010-0000-0000-000019000000}" name="dms_ContactPh1_List"/>
    <tableColumn id="26" xr3:uid="{00000000-0010-0000-0000-00001A000000}" name="dms_ContactEmail_List"/>
    <tableColumn id="27" xr3:uid="{00000000-0010-0000-0000-00001B000000}" name="dms_CBD_flag"/>
    <tableColumn id="28" xr3:uid="{00000000-0010-0000-0000-00001C000000}" name="dms_Urban_flag"/>
    <tableColumn id="29" xr3:uid="{00000000-0010-0000-0000-00001D000000}" name="dms_ShortRural_flag"/>
    <tableColumn id="30" xr3:uid="{00000000-0010-0000-0000-00001E000000}" name="dms_LongRural_flag"/>
    <tableColumn id="31" xr3:uid="{00000000-0010-0000-0000-00001F000000}" name="dms_FeederType_5_flag"/>
    <tableColumn id="32" xr3:uid="{00000000-0010-0000-0000-000020000000}" name="dms_MAIFI_flag_List"/>
    <tableColumn id="33" xr3:uid="{00000000-0010-0000-0000-000021000000}" name="dms_FeederName_1"/>
    <tableColumn id="34" xr3:uid="{00000000-0010-0000-0000-000022000000}" name="dms_FeederName_2"/>
    <tableColumn id="35" xr3:uid="{00000000-0010-0000-0000-000023000000}" name="dms_FeederName_3"/>
    <tableColumn id="36" xr3:uid="{00000000-0010-0000-0000-000024000000}" name="dms_FeederName_4"/>
    <tableColumn id="37" xr3:uid="{00000000-0010-0000-0000-000025000000}" name="dms_FeederName_5"/>
    <tableColumn id="38" xr3:uid="{00000000-0010-0000-0000-000026000000}" name="dms_Public_Lighting_List"/>
    <tableColumn id="39" xr3:uid="{00000000-0010-0000-0000-000027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46C0A"/>
  </sheetPr>
  <dimension ref="A1:AP195"/>
  <sheetViews>
    <sheetView showGridLines="0" zoomScale="70" zoomScaleNormal="70" workbookViewId="0">
      <selection activeCell="C18" sqref="C18"/>
    </sheetView>
  </sheetViews>
  <sheetFormatPr defaultColWidth="9.109375" defaultRowHeight="14.4" x14ac:dyDescent="0.3"/>
  <cols>
    <col min="1" max="1" width="24.33203125" style="1" customWidth="1"/>
    <col min="2" max="2" width="33.88671875" style="3" customWidth="1"/>
    <col min="3" max="3" width="60.5546875" style="3" customWidth="1"/>
    <col min="4" max="4" width="21.33203125" style="1" customWidth="1"/>
    <col min="5" max="5" width="26.44140625" style="1" customWidth="1"/>
    <col min="6" max="6" width="22.109375" style="1" customWidth="1"/>
    <col min="7" max="7" width="24.109375" style="1" customWidth="1"/>
    <col min="8" max="8" width="28.33203125" style="3" customWidth="1"/>
    <col min="9" max="9" width="19" style="4" customWidth="1"/>
    <col min="10" max="10" width="25.6640625" style="3" customWidth="1"/>
    <col min="11" max="11" width="27.88671875" style="3" customWidth="1"/>
    <col min="12" max="12" width="27.5546875" style="5" customWidth="1"/>
    <col min="13" max="13" width="18.44140625" style="1" customWidth="1"/>
    <col min="14" max="14" width="36.33203125" style="1" customWidth="1"/>
    <col min="15" max="15" width="20.6640625" style="2" customWidth="1"/>
    <col min="16" max="16" width="21" style="2" customWidth="1"/>
    <col min="17" max="17" width="22.33203125" style="2" customWidth="1"/>
    <col min="18" max="18" width="20.6640625" style="2" customWidth="1"/>
    <col min="19" max="19" width="25" style="2" customWidth="1"/>
    <col min="20" max="20" width="22.33203125" style="2" customWidth="1"/>
    <col min="21" max="21" width="22.5546875" style="2" customWidth="1"/>
    <col min="22" max="22" width="23.88671875" style="2" customWidth="1"/>
    <col min="23" max="23" width="22.33203125" style="2" customWidth="1"/>
    <col min="24" max="24" width="26.44140625" style="1" customWidth="1"/>
    <col min="25" max="25" width="37.88671875" style="1" customWidth="1"/>
    <col min="26" max="26" width="27.33203125" style="1" customWidth="1"/>
    <col min="27" max="27" width="39.5546875" style="1" customWidth="1"/>
    <col min="28" max="28" width="19.44140625" customWidth="1"/>
    <col min="29" max="29" width="21.33203125" customWidth="1"/>
    <col min="30" max="31" width="27" style="1" customWidth="1"/>
    <col min="32" max="32" width="30.109375" style="1" customWidth="1"/>
    <col min="33" max="33" width="29.33203125" style="1" customWidth="1"/>
    <col min="34" max="34" width="26.44140625" style="1" customWidth="1"/>
    <col min="35" max="35" width="25.109375" style="1" customWidth="1"/>
    <col min="36" max="36" width="28.88671875" style="1" customWidth="1"/>
    <col min="37" max="37" width="28.5546875" style="1" customWidth="1"/>
    <col min="38" max="38" width="25.109375" style="1" customWidth="1"/>
    <col min="39" max="39" width="32" style="1" customWidth="1"/>
    <col min="40" max="40" width="21.33203125" style="1" customWidth="1"/>
    <col min="41" max="41" width="28.5546875" style="1" customWidth="1"/>
    <col min="42" max="42" width="9.109375" style="1"/>
  </cols>
  <sheetData>
    <row r="1" spans="2:40" x14ac:dyDescent="0.3">
      <c r="B1" s="1045" t="s">
        <v>0</v>
      </c>
      <c r="C1" s="1045"/>
      <c r="D1" s="1045"/>
      <c r="E1" s="1045"/>
      <c r="F1" s="1045"/>
      <c r="G1" s="1045"/>
      <c r="H1" s="1045"/>
      <c r="I1" s="1045"/>
      <c r="J1" s="1045"/>
      <c r="K1" s="1045"/>
      <c r="L1" s="1045"/>
    </row>
    <row r="2" spans="2:40" x14ac:dyDescent="0.3">
      <c r="B2" s="461" t="s">
        <v>1</v>
      </c>
      <c r="C2" s="462">
        <v>42751</v>
      </c>
      <c r="D2" s="463" t="s">
        <v>2</v>
      </c>
      <c r="E2" s="463"/>
      <c r="F2" s="463"/>
      <c r="G2" s="463"/>
      <c r="H2" s="463"/>
      <c r="I2" s="464"/>
      <c r="J2" s="463"/>
      <c r="K2" s="463"/>
      <c r="L2" s="465"/>
    </row>
    <row r="3" spans="2:40" x14ac:dyDescent="0.3">
      <c r="B3" s="461"/>
      <c r="C3" s="462">
        <v>42660</v>
      </c>
      <c r="D3" s="463" t="s">
        <v>3</v>
      </c>
      <c r="E3" s="463"/>
      <c r="F3" s="463"/>
      <c r="G3" s="463"/>
      <c r="H3" s="463"/>
      <c r="I3" s="464"/>
      <c r="J3" s="463"/>
      <c r="K3" s="463"/>
      <c r="L3" s="465"/>
    </row>
    <row r="4" spans="2:40" x14ac:dyDescent="0.3">
      <c r="B4" s="461"/>
      <c r="C4" s="462">
        <v>42767</v>
      </c>
      <c r="D4" s="463" t="s">
        <v>4</v>
      </c>
      <c r="E4" s="463"/>
      <c r="F4" s="463"/>
      <c r="G4" s="463"/>
      <c r="H4" s="463"/>
      <c r="I4" s="464"/>
      <c r="J4" s="463"/>
      <c r="K4" s="463"/>
      <c r="L4" s="465"/>
    </row>
    <row r="5" spans="2:40" ht="15.75" customHeight="1" x14ac:dyDescent="0.3">
      <c r="B5" s="463"/>
      <c r="C5" s="462">
        <v>42797</v>
      </c>
      <c r="D5" s="463" t="s">
        <v>5</v>
      </c>
      <c r="E5" s="463"/>
      <c r="F5" s="463"/>
      <c r="G5" s="463"/>
      <c r="H5" s="463"/>
      <c r="I5" s="464"/>
      <c r="J5" s="463"/>
      <c r="K5" s="463"/>
      <c r="L5" s="465"/>
      <c r="AB5" s="1046" t="s">
        <v>6</v>
      </c>
      <c r="AC5" s="1046"/>
      <c r="AD5" s="1046"/>
      <c r="AE5" s="1046"/>
      <c r="AF5" s="1046"/>
      <c r="AG5" s="1046"/>
      <c r="AH5" s="1046"/>
      <c r="AI5" s="1046"/>
      <c r="AJ5" s="1046"/>
      <c r="AK5" s="1046"/>
      <c r="AL5" s="1046"/>
      <c r="AM5" s="1046"/>
    </row>
    <row r="6" spans="2:40" ht="16.5" customHeight="1" x14ac:dyDescent="0.3">
      <c r="B6" s="463"/>
      <c r="C6" s="462">
        <v>43187</v>
      </c>
      <c r="D6" s="463" t="s">
        <v>7</v>
      </c>
      <c r="E6" s="463"/>
      <c r="F6" s="463"/>
      <c r="G6" s="463"/>
      <c r="H6" s="463"/>
      <c r="I6" s="464"/>
      <c r="J6" s="463"/>
      <c r="K6" s="463"/>
      <c r="L6" s="465"/>
      <c r="N6" s="2"/>
      <c r="W6" s="1"/>
      <c r="AB6" s="466"/>
      <c r="AC6" s="466"/>
      <c r="AD6" s="466"/>
      <c r="AE6" s="466"/>
      <c r="AF6" s="466"/>
      <c r="AG6" s="466"/>
      <c r="AH6" s="466"/>
      <c r="AI6" s="466"/>
      <c r="AJ6" s="466"/>
      <c r="AK6" s="466"/>
      <c r="AL6" s="466"/>
      <c r="AM6" s="466"/>
    </row>
    <row r="7" spans="2:40" x14ac:dyDescent="0.3">
      <c r="B7" s="463"/>
      <c r="C7" s="463" t="s">
        <v>8</v>
      </c>
      <c r="D7" s="467">
        <v>5</v>
      </c>
      <c r="E7" s="463"/>
      <c r="F7" s="463"/>
      <c r="G7" s="463"/>
      <c r="H7" s="463"/>
      <c r="I7" s="464"/>
      <c r="J7" s="463"/>
      <c r="K7" s="463"/>
      <c r="L7" s="465"/>
      <c r="N7" s="2"/>
      <c r="W7" s="1"/>
      <c r="AB7" s="1047" t="s">
        <v>9</v>
      </c>
      <c r="AC7" s="1048"/>
      <c r="AD7" s="1048"/>
      <c r="AE7" s="1048"/>
      <c r="AF7" s="468" t="s">
        <v>10</v>
      </c>
      <c r="AG7" s="469" t="s">
        <v>11</v>
      </c>
      <c r="AH7" s="1049" t="s">
        <v>12</v>
      </c>
      <c r="AI7" s="1050"/>
      <c r="AJ7" s="1050"/>
      <c r="AK7" s="1050"/>
      <c r="AL7" s="1051"/>
      <c r="AM7" s="470"/>
    </row>
    <row r="8" spans="2:40" x14ac:dyDescent="0.3">
      <c r="B8" s="463"/>
      <c r="C8" s="463"/>
      <c r="D8" s="467"/>
      <c r="E8" s="463"/>
      <c r="F8" s="463"/>
      <c r="G8" s="463"/>
      <c r="H8" s="463"/>
      <c r="I8" s="464"/>
      <c r="J8" s="463"/>
      <c r="K8" s="463"/>
      <c r="L8" s="465"/>
      <c r="N8" s="2"/>
      <c r="W8" s="1"/>
      <c r="AB8" s="471"/>
      <c r="AC8" s="472"/>
      <c r="AD8" s="472"/>
      <c r="AE8" s="472"/>
      <c r="AF8" s="473"/>
      <c r="AG8" s="474"/>
      <c r="AH8" s="475"/>
      <c r="AI8" s="476"/>
      <c r="AJ8" s="476"/>
      <c r="AK8" s="476"/>
      <c r="AL8" s="477"/>
      <c r="AM8" s="470"/>
    </row>
    <row r="9" spans="2:40" ht="15.75" customHeight="1" x14ac:dyDescent="0.3">
      <c r="C9" s="6"/>
      <c r="N9" s="2"/>
      <c r="W9" s="1"/>
      <c r="AB9" s="478" t="s">
        <v>13</v>
      </c>
      <c r="AC9" s="479" t="s">
        <v>14</v>
      </c>
      <c r="AD9" s="479" t="s">
        <v>15</v>
      </c>
      <c r="AE9" s="479" t="s">
        <v>16</v>
      </c>
      <c r="AF9" s="480" t="s">
        <v>17</v>
      </c>
      <c r="AG9" s="474"/>
      <c r="AH9" s="481"/>
      <c r="AI9" s="482"/>
      <c r="AJ9" s="482"/>
      <c r="AK9" s="482"/>
      <c r="AL9" s="483"/>
      <c r="AM9" s="470"/>
    </row>
    <row r="10" spans="2:40" ht="15.75" customHeight="1" x14ac:dyDescent="0.3">
      <c r="B10" s="964" t="s">
        <v>18</v>
      </c>
      <c r="C10" s="484" t="s">
        <v>19</v>
      </c>
      <c r="D10" s="485" t="s">
        <v>20</v>
      </c>
      <c r="E10" s="486" t="s">
        <v>21</v>
      </c>
      <c r="F10" s="487" t="s">
        <v>22</v>
      </c>
      <c r="G10" s="487" t="s">
        <v>23</v>
      </c>
      <c r="H10" s="487" t="s">
        <v>24</v>
      </c>
      <c r="I10" s="487" t="s">
        <v>25</v>
      </c>
      <c r="J10" s="487" t="s">
        <v>26</v>
      </c>
      <c r="K10" s="487" t="s">
        <v>27</v>
      </c>
      <c r="L10" s="488" t="s">
        <v>28</v>
      </c>
      <c r="M10" s="489" t="s">
        <v>29</v>
      </c>
      <c r="N10" s="490" t="s">
        <v>30</v>
      </c>
      <c r="O10" s="491" t="s">
        <v>31</v>
      </c>
      <c r="P10" s="492" t="s">
        <v>32</v>
      </c>
      <c r="Q10" s="492" t="s">
        <v>33</v>
      </c>
      <c r="R10" s="492" t="s">
        <v>34</v>
      </c>
      <c r="S10" s="492" t="s">
        <v>35</v>
      </c>
      <c r="T10" s="493" t="s">
        <v>36</v>
      </c>
      <c r="U10" s="493" t="s">
        <v>37</v>
      </c>
      <c r="V10" s="493" t="s">
        <v>38</v>
      </c>
      <c r="W10" s="493" t="s">
        <v>39</v>
      </c>
      <c r="X10" s="493" t="s">
        <v>40</v>
      </c>
      <c r="Y10" s="494" t="s">
        <v>41</v>
      </c>
      <c r="Z10" s="495" t="s">
        <v>42</v>
      </c>
      <c r="AA10" s="495" t="s">
        <v>43</v>
      </c>
      <c r="AB10" s="496" t="s">
        <v>44</v>
      </c>
      <c r="AC10" s="496" t="s">
        <v>45</v>
      </c>
      <c r="AD10" s="496" t="s">
        <v>46</v>
      </c>
      <c r="AE10" s="496" t="s">
        <v>47</v>
      </c>
      <c r="AF10" s="496" t="s">
        <v>48</v>
      </c>
      <c r="AG10" s="496" t="s">
        <v>49</v>
      </c>
      <c r="AH10" s="496" t="s">
        <v>50</v>
      </c>
      <c r="AI10" s="496" t="s">
        <v>51</v>
      </c>
      <c r="AJ10" s="496" t="s">
        <v>52</v>
      </c>
      <c r="AK10" s="496" t="s">
        <v>53</v>
      </c>
      <c r="AL10" s="497" t="s">
        <v>54</v>
      </c>
      <c r="AM10" s="498" t="s">
        <v>55</v>
      </c>
      <c r="AN10" s="499" t="s">
        <v>56</v>
      </c>
    </row>
    <row r="11" spans="2:40" x14ac:dyDescent="0.3">
      <c r="B11" s="965" t="s">
        <v>57</v>
      </c>
      <c r="C11" s="500" t="s">
        <v>58</v>
      </c>
      <c r="D11" s="501">
        <v>19078551685</v>
      </c>
      <c r="E11" s="518" t="s">
        <v>59</v>
      </c>
      <c r="F11" s="519" t="s">
        <v>60</v>
      </c>
      <c r="G11" s="519" t="s">
        <v>61</v>
      </c>
      <c r="H11" s="519" t="s">
        <v>62</v>
      </c>
      <c r="I11" s="520" t="s">
        <v>63</v>
      </c>
      <c r="J11" s="519" t="s">
        <v>64</v>
      </c>
      <c r="K11" s="520">
        <v>5</v>
      </c>
      <c r="L11" s="507">
        <v>5</v>
      </c>
      <c r="M11" s="521" t="s">
        <v>65</v>
      </c>
      <c r="N11" s="531"/>
      <c r="O11" s="527" t="s">
        <v>66</v>
      </c>
      <c r="P11" s="523" t="s">
        <v>67</v>
      </c>
      <c r="Q11" s="523" t="s">
        <v>68</v>
      </c>
      <c r="R11" s="523" t="s">
        <v>69</v>
      </c>
      <c r="S11" s="526">
        <v>5000</v>
      </c>
      <c r="T11" s="527" t="s">
        <v>70</v>
      </c>
      <c r="U11" s="523" t="s">
        <v>71</v>
      </c>
      <c r="V11" s="523" t="s">
        <v>68</v>
      </c>
      <c r="W11" s="523" t="s">
        <v>69</v>
      </c>
      <c r="X11" s="528">
        <v>5000</v>
      </c>
      <c r="Y11" s="527" t="s">
        <v>72</v>
      </c>
      <c r="Z11" s="523" t="s">
        <v>73</v>
      </c>
      <c r="AA11" s="523" t="s">
        <v>74</v>
      </c>
      <c r="AB11" s="512" t="s">
        <v>75</v>
      </c>
      <c r="AC11" s="513" t="s">
        <v>75</v>
      </c>
      <c r="AD11" s="513" t="s">
        <v>75</v>
      </c>
      <c r="AE11" s="513" t="s">
        <v>75</v>
      </c>
      <c r="AF11" s="513" t="s">
        <v>75</v>
      </c>
      <c r="AG11" s="514"/>
      <c r="AH11" s="512" t="s">
        <v>13</v>
      </c>
      <c r="AI11" s="513" t="s">
        <v>14</v>
      </c>
      <c r="AJ11" s="513" t="s">
        <v>15</v>
      </c>
      <c r="AK11" s="515" t="s">
        <v>76</v>
      </c>
      <c r="AL11" s="529"/>
      <c r="AM11" s="517" t="s">
        <v>75</v>
      </c>
      <c r="AN11" s="530" t="s">
        <v>77</v>
      </c>
    </row>
    <row r="12" spans="2:40" x14ac:dyDescent="0.3">
      <c r="B12" s="965" t="s">
        <v>77</v>
      </c>
      <c r="C12" s="500" t="s">
        <v>78</v>
      </c>
      <c r="D12" s="501">
        <v>19078551685</v>
      </c>
      <c r="E12" s="502" t="s">
        <v>59</v>
      </c>
      <c r="F12" s="503" t="s">
        <v>60</v>
      </c>
      <c r="G12" s="503" t="s">
        <v>61</v>
      </c>
      <c r="H12" s="503" t="s">
        <v>62</v>
      </c>
      <c r="I12" s="506" t="s">
        <v>63</v>
      </c>
      <c r="J12" s="503" t="s">
        <v>64</v>
      </c>
      <c r="K12" s="506">
        <v>5</v>
      </c>
      <c r="L12" s="507">
        <v>5</v>
      </c>
      <c r="M12" s="508" t="s">
        <v>65</v>
      </c>
      <c r="N12" s="532"/>
      <c r="O12" s="511" t="s">
        <v>66</v>
      </c>
      <c r="P12" s="509" t="s">
        <v>67</v>
      </c>
      <c r="Q12" s="509" t="s">
        <v>68</v>
      </c>
      <c r="R12" s="509" t="s">
        <v>69</v>
      </c>
      <c r="S12" s="510">
        <v>5000</v>
      </c>
      <c r="T12" s="511" t="s">
        <v>70</v>
      </c>
      <c r="U12" s="509" t="s">
        <v>71</v>
      </c>
      <c r="V12" s="509" t="s">
        <v>68</v>
      </c>
      <c r="W12" s="509" t="s">
        <v>69</v>
      </c>
      <c r="X12" s="510">
        <v>5000</v>
      </c>
      <c r="Y12" s="511" t="s">
        <v>72</v>
      </c>
      <c r="Z12" s="509" t="s">
        <v>73</v>
      </c>
      <c r="AA12" s="509" t="s">
        <v>74</v>
      </c>
      <c r="AB12" s="512" t="s">
        <v>75</v>
      </c>
      <c r="AC12" s="513" t="s">
        <v>75</v>
      </c>
      <c r="AD12" s="513" t="s">
        <v>75</v>
      </c>
      <c r="AE12" s="513" t="s">
        <v>75</v>
      </c>
      <c r="AF12" s="513" t="s">
        <v>75</v>
      </c>
      <c r="AG12" s="514"/>
      <c r="AH12" s="512" t="s">
        <v>13</v>
      </c>
      <c r="AI12" s="513" t="s">
        <v>14</v>
      </c>
      <c r="AJ12" s="513" t="s">
        <v>15</v>
      </c>
      <c r="AK12" s="515" t="s">
        <v>76</v>
      </c>
      <c r="AL12" s="516"/>
      <c r="AM12" s="517" t="s">
        <v>75</v>
      </c>
      <c r="AN12" s="530"/>
    </row>
    <row r="13" spans="2:40" x14ac:dyDescent="0.3">
      <c r="B13" s="965" t="s">
        <v>79</v>
      </c>
      <c r="C13" s="500" t="s">
        <v>80</v>
      </c>
      <c r="D13" s="501">
        <v>19078551685</v>
      </c>
      <c r="E13" s="518" t="s">
        <v>69</v>
      </c>
      <c r="F13" s="519" t="s">
        <v>60</v>
      </c>
      <c r="G13" s="519" t="s">
        <v>61</v>
      </c>
      <c r="H13" s="504" t="s">
        <v>62</v>
      </c>
      <c r="I13" s="505" t="s">
        <v>81</v>
      </c>
      <c r="J13" s="504" t="s">
        <v>82</v>
      </c>
      <c r="K13" s="520">
        <v>5</v>
      </c>
      <c r="L13" s="507">
        <v>5</v>
      </c>
      <c r="M13" s="521">
        <v>5</v>
      </c>
      <c r="N13" s="519" t="s">
        <v>83</v>
      </c>
      <c r="O13" s="527" t="s">
        <v>66</v>
      </c>
      <c r="P13" s="523" t="s">
        <v>67</v>
      </c>
      <c r="Q13" s="523" t="s">
        <v>68</v>
      </c>
      <c r="R13" s="523" t="s">
        <v>69</v>
      </c>
      <c r="S13" s="526">
        <v>5000</v>
      </c>
      <c r="T13" s="527" t="s">
        <v>70</v>
      </c>
      <c r="U13" s="523" t="s">
        <v>71</v>
      </c>
      <c r="V13" s="523" t="s">
        <v>68</v>
      </c>
      <c r="W13" s="523" t="s">
        <v>69</v>
      </c>
      <c r="X13" s="526">
        <v>5000</v>
      </c>
      <c r="Y13" s="527" t="s">
        <v>72</v>
      </c>
      <c r="Z13" s="523" t="s">
        <v>73</v>
      </c>
      <c r="AA13" s="523" t="s">
        <v>74</v>
      </c>
      <c r="AB13" s="512" t="s">
        <v>75</v>
      </c>
      <c r="AC13" s="513" t="s">
        <v>75</v>
      </c>
      <c r="AD13" s="513" t="s">
        <v>75</v>
      </c>
      <c r="AE13" s="513" t="s">
        <v>75</v>
      </c>
      <c r="AF13" s="513" t="s">
        <v>75</v>
      </c>
      <c r="AG13" s="514"/>
      <c r="AH13" s="512" t="s">
        <v>13</v>
      </c>
      <c r="AI13" s="513" t="s">
        <v>14</v>
      </c>
      <c r="AJ13" s="513" t="s">
        <v>15</v>
      </c>
      <c r="AK13" s="515" t="s">
        <v>76</v>
      </c>
      <c r="AL13" s="529"/>
      <c r="AM13" s="517" t="s">
        <v>75</v>
      </c>
      <c r="AN13" s="530" t="s">
        <v>79</v>
      </c>
    </row>
    <row r="14" spans="2:40" x14ac:dyDescent="0.3">
      <c r="B14" s="965" t="s">
        <v>84</v>
      </c>
      <c r="C14" s="500" t="s">
        <v>85</v>
      </c>
      <c r="D14" s="501">
        <v>19078551685</v>
      </c>
      <c r="E14" s="502" t="s">
        <v>59</v>
      </c>
      <c r="F14" s="503" t="s">
        <v>60</v>
      </c>
      <c r="G14" s="503" t="s">
        <v>61</v>
      </c>
      <c r="H14" s="503" t="s">
        <v>62</v>
      </c>
      <c r="I14" s="506" t="s">
        <v>63</v>
      </c>
      <c r="J14" s="503" t="s">
        <v>64</v>
      </c>
      <c r="K14" s="506">
        <v>5</v>
      </c>
      <c r="L14" s="507">
        <v>5</v>
      </c>
      <c r="M14" s="508" t="s">
        <v>65</v>
      </c>
      <c r="N14" s="532"/>
      <c r="O14" s="511" t="s">
        <v>66</v>
      </c>
      <c r="P14" s="509" t="s">
        <v>67</v>
      </c>
      <c r="Q14" s="509" t="s">
        <v>68</v>
      </c>
      <c r="R14" s="509" t="s">
        <v>69</v>
      </c>
      <c r="S14" s="510">
        <v>5000</v>
      </c>
      <c r="T14" s="511" t="s">
        <v>70</v>
      </c>
      <c r="U14" s="509" t="s">
        <v>71</v>
      </c>
      <c r="V14" s="509" t="s">
        <v>68</v>
      </c>
      <c r="W14" s="509" t="s">
        <v>69</v>
      </c>
      <c r="X14" s="510">
        <v>5000</v>
      </c>
      <c r="Y14" s="511" t="s">
        <v>72</v>
      </c>
      <c r="Z14" s="509" t="s">
        <v>73</v>
      </c>
      <c r="AA14" s="509" t="s">
        <v>74</v>
      </c>
      <c r="AB14" s="512" t="s">
        <v>75</v>
      </c>
      <c r="AC14" s="513" t="s">
        <v>75</v>
      </c>
      <c r="AD14" s="513" t="s">
        <v>75</v>
      </c>
      <c r="AE14" s="513" t="s">
        <v>75</v>
      </c>
      <c r="AF14" s="513" t="s">
        <v>75</v>
      </c>
      <c r="AG14" s="514"/>
      <c r="AH14" s="512" t="s">
        <v>13</v>
      </c>
      <c r="AI14" s="513" t="s">
        <v>14</v>
      </c>
      <c r="AJ14" s="513" t="s">
        <v>15</v>
      </c>
      <c r="AK14" s="515" t="s">
        <v>76</v>
      </c>
      <c r="AL14" s="516"/>
      <c r="AM14" s="517" t="s">
        <v>75</v>
      </c>
      <c r="AN14" s="530" t="s">
        <v>84</v>
      </c>
    </row>
    <row r="15" spans="2:40" x14ac:dyDescent="0.3">
      <c r="B15" s="965" t="s">
        <v>86</v>
      </c>
      <c r="C15" s="500" t="s">
        <v>87</v>
      </c>
      <c r="D15" s="501" t="s">
        <v>88</v>
      </c>
      <c r="E15" s="502" t="s">
        <v>59</v>
      </c>
      <c r="F15" s="503" t="s">
        <v>60</v>
      </c>
      <c r="G15" s="503" t="s">
        <v>61</v>
      </c>
      <c r="H15" s="503" t="s">
        <v>62</v>
      </c>
      <c r="I15" s="505" t="s">
        <v>63</v>
      </c>
      <c r="J15" s="504" t="s">
        <v>64</v>
      </c>
      <c r="K15" s="506">
        <v>5</v>
      </c>
      <c r="L15" s="507">
        <v>5</v>
      </c>
      <c r="M15" s="508" t="s">
        <v>89</v>
      </c>
      <c r="N15" s="532"/>
      <c r="O15" s="511" t="s">
        <v>90</v>
      </c>
      <c r="P15" s="509" t="s">
        <v>91</v>
      </c>
      <c r="Q15" s="509" t="s">
        <v>92</v>
      </c>
      <c r="R15" s="509" t="s">
        <v>93</v>
      </c>
      <c r="S15" s="510">
        <v>2000</v>
      </c>
      <c r="T15" s="534" t="s">
        <v>94</v>
      </c>
      <c r="U15" s="509"/>
      <c r="V15" s="509" t="s">
        <v>95</v>
      </c>
      <c r="W15" s="509" t="s">
        <v>93</v>
      </c>
      <c r="X15" s="510">
        <v>1225</v>
      </c>
      <c r="Y15" s="511" t="s">
        <v>96</v>
      </c>
      <c r="Z15" s="515" t="s">
        <v>97</v>
      </c>
      <c r="AA15" s="515" t="s">
        <v>98</v>
      </c>
      <c r="AB15" s="512" t="s">
        <v>75</v>
      </c>
      <c r="AC15" s="513" t="s">
        <v>75</v>
      </c>
      <c r="AD15" s="513" t="s">
        <v>75</v>
      </c>
      <c r="AE15" s="513" t="s">
        <v>75</v>
      </c>
      <c r="AF15" s="513" t="s">
        <v>75</v>
      </c>
      <c r="AG15" s="514"/>
      <c r="AH15" s="512" t="s">
        <v>13</v>
      </c>
      <c r="AI15" s="513" t="s">
        <v>14</v>
      </c>
      <c r="AJ15" s="513" t="s">
        <v>15</v>
      </c>
      <c r="AK15" s="515" t="s">
        <v>76</v>
      </c>
      <c r="AL15" s="516"/>
      <c r="AM15" s="517" t="s">
        <v>75</v>
      </c>
      <c r="AN15" s="530" t="s">
        <v>86</v>
      </c>
    </row>
    <row r="16" spans="2:40" ht="15" customHeight="1" x14ac:dyDescent="0.3">
      <c r="B16" s="966" t="s">
        <v>99</v>
      </c>
      <c r="C16" s="535" t="s">
        <v>100</v>
      </c>
      <c r="D16" s="536">
        <v>11222333444</v>
      </c>
      <c r="E16" s="537" t="s">
        <v>93</v>
      </c>
      <c r="F16" s="538" t="s">
        <v>60</v>
      </c>
      <c r="G16" s="538" t="s">
        <v>61</v>
      </c>
      <c r="H16" s="538" t="s">
        <v>62</v>
      </c>
      <c r="I16" s="539" t="s">
        <v>81</v>
      </c>
      <c r="J16" s="538" t="s">
        <v>82</v>
      </c>
      <c r="K16" s="540">
        <v>5</v>
      </c>
      <c r="L16" s="541">
        <v>5</v>
      </c>
      <c r="M16" s="542"/>
      <c r="N16" s="538"/>
      <c r="O16" s="543" t="s">
        <v>101</v>
      </c>
      <c r="P16" s="544"/>
      <c r="Q16" s="544" t="s">
        <v>92</v>
      </c>
      <c r="R16" s="544" t="s">
        <v>93</v>
      </c>
      <c r="S16" s="545">
        <v>2000</v>
      </c>
      <c r="T16" s="543" t="s">
        <v>102</v>
      </c>
      <c r="U16" s="544"/>
      <c r="V16" s="544" t="s">
        <v>92</v>
      </c>
      <c r="W16" s="544" t="s">
        <v>93</v>
      </c>
      <c r="X16" s="545">
        <v>2000</v>
      </c>
      <c r="Y16" s="543" t="s">
        <v>103</v>
      </c>
      <c r="Z16" s="544" t="s">
        <v>104</v>
      </c>
      <c r="AA16" s="544" t="s">
        <v>105</v>
      </c>
      <c r="AB16" s="512" t="s">
        <v>75</v>
      </c>
      <c r="AC16" s="513" t="s">
        <v>75</v>
      </c>
      <c r="AD16" s="513" t="s">
        <v>75</v>
      </c>
      <c r="AE16" s="513" t="s">
        <v>75</v>
      </c>
      <c r="AF16" s="513" t="s">
        <v>75</v>
      </c>
      <c r="AG16" s="514"/>
      <c r="AH16" s="512" t="s">
        <v>13</v>
      </c>
      <c r="AI16" s="513" t="s">
        <v>14</v>
      </c>
      <c r="AJ16" s="513" t="s">
        <v>15</v>
      </c>
      <c r="AK16" s="515" t="s">
        <v>76</v>
      </c>
      <c r="AL16" s="529"/>
      <c r="AM16" s="517" t="s">
        <v>75</v>
      </c>
      <c r="AN16" s="546" t="s">
        <v>106</v>
      </c>
    </row>
    <row r="17" spans="2:40" x14ac:dyDescent="0.3">
      <c r="B17" s="965" t="s">
        <v>107</v>
      </c>
      <c r="C17" s="500" t="s">
        <v>107</v>
      </c>
      <c r="D17" s="501">
        <v>76670568688</v>
      </c>
      <c r="E17" s="518" t="s">
        <v>108</v>
      </c>
      <c r="F17" s="519" t="s">
        <v>60</v>
      </c>
      <c r="G17" s="519" t="s">
        <v>61</v>
      </c>
      <c r="H17" s="504" t="s">
        <v>62</v>
      </c>
      <c r="I17" s="505" t="s">
        <v>81</v>
      </c>
      <c r="J17" s="504" t="s">
        <v>82</v>
      </c>
      <c r="K17" s="520">
        <v>5</v>
      </c>
      <c r="L17" s="507">
        <v>5</v>
      </c>
      <c r="M17" s="521" t="s">
        <v>65</v>
      </c>
      <c r="N17" s="519"/>
      <c r="O17" s="522" t="s">
        <v>109</v>
      </c>
      <c r="P17" s="523"/>
      <c r="Q17" s="524" t="s">
        <v>110</v>
      </c>
      <c r="R17" s="525" t="s">
        <v>108</v>
      </c>
      <c r="S17" s="526">
        <v>2600</v>
      </c>
      <c r="T17" s="527" t="s">
        <v>111</v>
      </c>
      <c r="U17" s="523"/>
      <c r="V17" s="523" t="s">
        <v>110</v>
      </c>
      <c r="W17" s="523" t="s">
        <v>108</v>
      </c>
      <c r="X17" s="528">
        <v>2601</v>
      </c>
      <c r="Y17" s="527" t="s">
        <v>112</v>
      </c>
      <c r="Z17" s="523" t="s">
        <v>113</v>
      </c>
      <c r="AA17" s="523" t="s">
        <v>114</v>
      </c>
      <c r="AB17" s="512" t="s">
        <v>75</v>
      </c>
      <c r="AC17" s="513" t="s">
        <v>75</v>
      </c>
      <c r="AD17" s="513" t="s">
        <v>75</v>
      </c>
      <c r="AE17" s="513" t="s">
        <v>75</v>
      </c>
      <c r="AF17" s="513" t="s">
        <v>75</v>
      </c>
      <c r="AG17" s="514"/>
      <c r="AH17" s="512" t="s">
        <v>13</v>
      </c>
      <c r="AI17" s="513" t="s">
        <v>14</v>
      </c>
      <c r="AJ17" s="513" t="s">
        <v>15</v>
      </c>
      <c r="AK17" s="515" t="s">
        <v>76</v>
      </c>
      <c r="AL17" s="529"/>
      <c r="AM17" s="517" t="s">
        <v>75</v>
      </c>
      <c r="AN17" s="530" t="s">
        <v>115</v>
      </c>
    </row>
    <row r="18" spans="2:40" x14ac:dyDescent="0.3">
      <c r="B18" s="965" t="s">
        <v>116</v>
      </c>
      <c r="C18" s="500" t="s">
        <v>117</v>
      </c>
      <c r="D18" s="501" t="s">
        <v>118</v>
      </c>
      <c r="E18" s="518" t="s">
        <v>93</v>
      </c>
      <c r="F18" s="519" t="s">
        <v>60</v>
      </c>
      <c r="G18" s="519" t="s">
        <v>61</v>
      </c>
      <c r="H18" s="519" t="s">
        <v>62</v>
      </c>
      <c r="I18" s="505" t="s">
        <v>81</v>
      </c>
      <c r="J18" s="504" t="s">
        <v>82</v>
      </c>
      <c r="K18" s="520">
        <v>5</v>
      </c>
      <c r="L18" s="507">
        <v>5</v>
      </c>
      <c r="M18" s="521"/>
      <c r="N18" s="531"/>
      <c r="O18" s="527"/>
      <c r="P18" s="523"/>
      <c r="Q18" s="523"/>
      <c r="R18" s="523"/>
      <c r="S18" s="526"/>
      <c r="T18" s="527"/>
      <c r="U18" s="523"/>
      <c r="V18" s="523"/>
      <c r="W18" s="523"/>
      <c r="X18" s="528"/>
      <c r="Y18" s="527" t="s">
        <v>119</v>
      </c>
      <c r="Z18" s="533"/>
      <c r="AA18" s="533"/>
      <c r="AB18" s="512" t="s">
        <v>75</v>
      </c>
      <c r="AC18" s="513" t="s">
        <v>75</v>
      </c>
      <c r="AD18" s="513" t="s">
        <v>75</v>
      </c>
      <c r="AE18" s="513" t="s">
        <v>75</v>
      </c>
      <c r="AF18" s="513" t="s">
        <v>75</v>
      </c>
      <c r="AG18" s="514"/>
      <c r="AH18" s="512" t="s">
        <v>13</v>
      </c>
      <c r="AI18" s="513" t="s">
        <v>14</v>
      </c>
      <c r="AJ18" s="513" t="s">
        <v>15</v>
      </c>
      <c r="AK18" s="515" t="s">
        <v>76</v>
      </c>
      <c r="AL18" s="529"/>
      <c r="AM18" s="517" t="s">
        <v>75</v>
      </c>
      <c r="AN18" s="530" t="s">
        <v>116</v>
      </c>
    </row>
    <row r="19" spans="2:40" x14ac:dyDescent="0.3">
      <c r="B19" s="965" t="s">
        <v>120</v>
      </c>
      <c r="C19" s="500" t="s">
        <v>121</v>
      </c>
      <c r="D19" s="501" t="s">
        <v>122</v>
      </c>
      <c r="E19" s="502" t="s">
        <v>59</v>
      </c>
      <c r="F19" s="503" t="s">
        <v>60</v>
      </c>
      <c r="G19" s="503" t="s">
        <v>61</v>
      </c>
      <c r="H19" s="503" t="s">
        <v>62</v>
      </c>
      <c r="I19" s="505" t="s">
        <v>63</v>
      </c>
      <c r="J19" s="504" t="s">
        <v>64</v>
      </c>
      <c r="K19" s="506">
        <v>5</v>
      </c>
      <c r="L19" s="507">
        <v>5</v>
      </c>
      <c r="M19" s="508" t="s">
        <v>65</v>
      </c>
      <c r="N19" s="532"/>
      <c r="O19" s="511" t="s">
        <v>123</v>
      </c>
      <c r="P19" s="509"/>
      <c r="Q19" s="509" t="s">
        <v>124</v>
      </c>
      <c r="R19" s="509" t="s">
        <v>59</v>
      </c>
      <c r="S19" s="510">
        <v>3149</v>
      </c>
      <c r="T19" s="511"/>
      <c r="U19" s="509"/>
      <c r="V19" s="509"/>
      <c r="W19" s="509"/>
      <c r="X19" s="510"/>
      <c r="Y19" s="511" t="s">
        <v>125</v>
      </c>
      <c r="Z19" s="515" t="s">
        <v>126</v>
      </c>
      <c r="AA19" s="515" t="s">
        <v>127</v>
      </c>
      <c r="AB19" s="512" t="s">
        <v>75</v>
      </c>
      <c r="AC19" s="513" t="s">
        <v>75</v>
      </c>
      <c r="AD19" s="513" t="s">
        <v>75</v>
      </c>
      <c r="AE19" s="513" t="s">
        <v>75</v>
      </c>
      <c r="AF19" s="513" t="s">
        <v>75</v>
      </c>
      <c r="AG19" s="514"/>
      <c r="AH19" s="512" t="s">
        <v>13</v>
      </c>
      <c r="AI19" s="513" t="s">
        <v>14</v>
      </c>
      <c r="AJ19" s="513" t="s">
        <v>15</v>
      </c>
      <c r="AK19" s="515" t="s">
        <v>76</v>
      </c>
      <c r="AL19" s="516"/>
      <c r="AM19" s="517" t="s">
        <v>75</v>
      </c>
      <c r="AN19" s="530" t="s">
        <v>120</v>
      </c>
    </row>
    <row r="20" spans="2:40" x14ac:dyDescent="0.3">
      <c r="C20" s="6"/>
      <c r="X20" s="2"/>
      <c r="AB20" s="1"/>
    </row>
    <row r="21" spans="2:40" ht="15.75" customHeight="1" x14ac:dyDescent="0.3">
      <c r="C21" s="6"/>
      <c r="X21" s="2"/>
      <c r="AB21" s="1"/>
    </row>
    <row r="22" spans="2:40" x14ac:dyDescent="0.3">
      <c r="X22" s="2"/>
      <c r="Y22" s="2"/>
      <c r="Z22" s="1052" t="s">
        <v>128</v>
      </c>
      <c r="AA22" s="1053"/>
      <c r="AB22" s="1053"/>
      <c r="AC22" s="1053"/>
      <c r="AD22" s="1054"/>
      <c r="AE22" s="1055" t="s">
        <v>129</v>
      </c>
      <c r="AF22" s="1056"/>
      <c r="AG22" s="1056"/>
      <c r="AH22" s="1057"/>
    </row>
    <row r="23" spans="2:40" ht="53.25" customHeight="1" x14ac:dyDescent="0.3">
      <c r="B23" s="1030" t="s">
        <v>130</v>
      </c>
      <c r="C23" s="1031"/>
      <c r="D23" s="1031"/>
      <c r="E23" s="1031"/>
      <c r="F23" s="1032"/>
      <c r="G23" s="9"/>
      <c r="H23" s="10"/>
      <c r="N23" s="11" t="s">
        <v>131</v>
      </c>
      <c r="O23" s="1033" t="s">
        <v>132</v>
      </c>
      <c r="P23" s="1033"/>
      <c r="Q23" s="1033"/>
      <c r="R23" s="1033"/>
      <c r="S23" s="1033"/>
      <c r="T23" s="1033"/>
      <c r="U23" s="1033"/>
      <c r="V23" s="1033"/>
      <c r="W23" s="459"/>
      <c r="X23" s="459"/>
      <c r="Y23" s="459"/>
      <c r="Z23" s="1034" t="s">
        <v>133</v>
      </c>
      <c r="AA23" s="1035"/>
      <c r="AB23" s="1035"/>
      <c r="AC23" s="1035"/>
      <c r="AD23" s="1036"/>
      <c r="AE23" s="1037" t="s">
        <v>134</v>
      </c>
      <c r="AF23" s="1038"/>
      <c r="AG23" s="1038"/>
      <c r="AH23" s="1039"/>
    </row>
    <row r="24" spans="2:40" s="2" customFormat="1" ht="42" customHeight="1" x14ac:dyDescent="0.3">
      <c r="B24" s="547" t="s">
        <v>135</v>
      </c>
      <c r="C24" s="548" t="s">
        <v>136</v>
      </c>
      <c r="D24" s="549"/>
      <c r="E24" s="550" t="s">
        <v>137</v>
      </c>
      <c r="F24" s="550"/>
      <c r="G24" s="551"/>
      <c r="H24" s="552"/>
      <c r="J24" s="15"/>
      <c r="K24" s="15"/>
      <c r="L24" s="16"/>
      <c r="N24" s="553" t="s">
        <v>138</v>
      </c>
      <c r="O24" s="17" t="s">
        <v>139</v>
      </c>
      <c r="P24" s="18" t="s">
        <v>140</v>
      </c>
      <c r="Q24" s="18" t="s">
        <v>141</v>
      </c>
      <c r="R24" s="18" t="s">
        <v>142</v>
      </c>
      <c r="S24" s="18" t="s">
        <v>143</v>
      </c>
      <c r="T24" s="18" t="s">
        <v>144</v>
      </c>
      <c r="U24" s="18" t="s">
        <v>145</v>
      </c>
      <c r="V24" s="18" t="s">
        <v>146</v>
      </c>
      <c r="W24" s="18" t="s">
        <v>147</v>
      </c>
      <c r="X24" s="18" t="s">
        <v>148</v>
      </c>
      <c r="Y24" s="19" t="s">
        <v>149</v>
      </c>
      <c r="Z24" s="554" t="s">
        <v>150</v>
      </c>
      <c r="AA24" s="555" t="s">
        <v>151</v>
      </c>
      <c r="AB24" s="555" t="s">
        <v>152</v>
      </c>
      <c r="AC24" s="555" t="s">
        <v>153</v>
      </c>
      <c r="AD24" s="556" t="s">
        <v>154</v>
      </c>
      <c r="AE24" s="20" t="s">
        <v>155</v>
      </c>
      <c r="AF24" s="21" t="s">
        <v>156</v>
      </c>
      <c r="AG24" s="21"/>
      <c r="AH24" s="22"/>
    </row>
    <row r="25" spans="2:40" ht="30" customHeight="1" x14ac:dyDescent="0.3">
      <c r="B25" s="557" t="s">
        <v>157</v>
      </c>
      <c r="C25" s="558" t="s">
        <v>158</v>
      </c>
      <c r="D25" s="559"/>
      <c r="E25" s="1005" t="str">
        <f ca="1">LEFT(dms_SingleYear_FinalYear_Result,2)&amp;RIGHT(dms_SingleYear_FinalYear_Result,2)</f>
        <v>noIN</v>
      </c>
      <c r="F25" s="560" t="s">
        <v>159</v>
      </c>
      <c r="G25" s="561"/>
      <c r="H25" s="562" t="s">
        <v>160</v>
      </c>
      <c r="N25" s="26" t="s">
        <v>161</v>
      </c>
      <c r="O25" s="563" t="s">
        <v>162</v>
      </c>
      <c r="P25" s="27" t="s">
        <v>163</v>
      </c>
      <c r="Q25" s="27" t="s">
        <v>163</v>
      </c>
      <c r="R25" s="27" t="s">
        <v>163</v>
      </c>
      <c r="S25" s="27" t="s">
        <v>163</v>
      </c>
      <c r="T25" s="28" t="s">
        <v>163</v>
      </c>
      <c r="U25" s="28" t="s">
        <v>164</v>
      </c>
      <c r="V25" s="28" t="s">
        <v>164</v>
      </c>
      <c r="W25" s="564" t="s">
        <v>165</v>
      </c>
      <c r="X25" s="565" t="s">
        <v>163</v>
      </c>
      <c r="Y25" s="566" t="s">
        <v>166</v>
      </c>
      <c r="Z25" s="29" t="s">
        <v>167</v>
      </c>
      <c r="AA25" s="30" t="s">
        <v>167</v>
      </c>
      <c r="AB25" s="31" t="s">
        <v>168</v>
      </c>
      <c r="AC25" s="31" t="s">
        <v>169</v>
      </c>
      <c r="AD25" s="32" t="s">
        <v>164</v>
      </c>
      <c r="AE25" s="567" t="s">
        <v>170</v>
      </c>
      <c r="AF25" s="31" t="s">
        <v>170</v>
      </c>
      <c r="AH25" s="67"/>
    </row>
    <row r="26" spans="2:40" ht="30.75" customHeight="1" x14ac:dyDescent="0.3">
      <c r="B26" s="568" t="s">
        <v>171</v>
      </c>
      <c r="C26" s="569" t="s">
        <v>172</v>
      </c>
      <c r="D26" s="570"/>
      <c r="E26" s="571" t="str">
        <f ca="1">LEFT(dms_SingleYear_FinalYear_Result,2)&amp;RIGHT(dms_SingleYear_FinalYear_Result,2)</f>
        <v>noIN</v>
      </c>
      <c r="F26" s="572" t="s">
        <v>159</v>
      </c>
      <c r="G26" s="573"/>
      <c r="H26" s="574" t="s">
        <v>160</v>
      </c>
      <c r="N26" s="34" t="s">
        <v>173</v>
      </c>
      <c r="O26" s="575" t="s">
        <v>162</v>
      </c>
      <c r="P26" s="35" t="s">
        <v>163</v>
      </c>
      <c r="Q26" s="35" t="s">
        <v>163</v>
      </c>
      <c r="R26" s="35" t="s">
        <v>163</v>
      </c>
      <c r="S26" s="35" t="s">
        <v>163</v>
      </c>
      <c r="T26" s="576" t="s">
        <v>163</v>
      </c>
      <c r="U26" s="576" t="s">
        <v>163</v>
      </c>
      <c r="V26" s="576" t="s">
        <v>163</v>
      </c>
      <c r="W26" s="577" t="s">
        <v>174</v>
      </c>
      <c r="X26" s="578" t="s">
        <v>163</v>
      </c>
      <c r="Y26" s="579" t="s">
        <v>163</v>
      </c>
      <c r="Z26" s="580" t="s">
        <v>167</v>
      </c>
      <c r="AA26" s="36" t="s">
        <v>167</v>
      </c>
      <c r="AB26" s="36" t="s">
        <v>175</v>
      </c>
      <c r="AC26" s="36" t="s">
        <v>176</v>
      </c>
      <c r="AD26" s="37"/>
      <c r="AE26" s="580" t="s">
        <v>170</v>
      </c>
      <c r="AF26" s="36" t="s">
        <v>170</v>
      </c>
      <c r="AH26" s="67"/>
    </row>
    <row r="27" spans="2:40" ht="30" customHeight="1" x14ac:dyDescent="0.3">
      <c r="B27" s="568" t="s">
        <v>177</v>
      </c>
      <c r="C27" s="569" t="s">
        <v>177</v>
      </c>
      <c r="D27" s="570"/>
      <c r="E27" s="571"/>
      <c r="F27" s="572"/>
      <c r="G27" s="573"/>
      <c r="H27" s="581"/>
      <c r="J27" s="1"/>
      <c r="N27" s="34" t="s">
        <v>178</v>
      </c>
      <c r="O27" s="575" t="s">
        <v>162</v>
      </c>
      <c r="P27" s="35" t="s">
        <v>179</v>
      </c>
      <c r="Q27" s="35" t="s">
        <v>179</v>
      </c>
      <c r="R27" s="35" t="s">
        <v>179</v>
      </c>
      <c r="S27" s="35" t="s">
        <v>179</v>
      </c>
      <c r="T27" s="576" t="s">
        <v>163</v>
      </c>
      <c r="U27" s="576" t="s">
        <v>164</v>
      </c>
      <c r="V27" s="576" t="s">
        <v>164</v>
      </c>
      <c r="W27" s="577" t="s">
        <v>180</v>
      </c>
      <c r="X27" s="578" t="s">
        <v>163</v>
      </c>
      <c r="Y27" s="579" t="s">
        <v>181</v>
      </c>
      <c r="Z27" s="580" t="s">
        <v>182</v>
      </c>
      <c r="AA27" s="36" t="s">
        <v>182</v>
      </c>
      <c r="AB27" s="36" t="s">
        <v>183</v>
      </c>
      <c r="AC27" s="36" t="s">
        <v>176</v>
      </c>
      <c r="AD27" s="37"/>
      <c r="AE27" s="580" t="s">
        <v>170</v>
      </c>
      <c r="AF27" s="36" t="s">
        <v>170</v>
      </c>
      <c r="AH27" s="67"/>
    </row>
    <row r="28" spans="2:40" ht="30" customHeight="1" x14ac:dyDescent="0.3">
      <c r="B28" s="568" t="s">
        <v>184</v>
      </c>
      <c r="C28" s="569" t="s">
        <v>185</v>
      </c>
      <c r="D28" s="570"/>
      <c r="E28" s="1006" t="str">
        <f ca="1">LEFT(dms_SingleYear_FinalYear_Result,2)&amp;RIGHT(dms_SingleYear_FinalYear_Result,2)</f>
        <v>noIN</v>
      </c>
      <c r="F28" s="582" t="s">
        <v>159</v>
      </c>
      <c r="G28" s="573"/>
      <c r="H28" s="574" t="s">
        <v>160</v>
      </c>
      <c r="J28" s="1"/>
      <c r="N28" s="34" t="s">
        <v>186</v>
      </c>
      <c r="O28" s="575" t="s">
        <v>162</v>
      </c>
      <c r="P28" s="35" t="s">
        <v>163</v>
      </c>
      <c r="Q28" s="35" t="s">
        <v>163</v>
      </c>
      <c r="R28" s="35" t="s">
        <v>163</v>
      </c>
      <c r="S28" s="35" t="s">
        <v>163</v>
      </c>
      <c r="T28" s="576" t="s">
        <v>163</v>
      </c>
      <c r="U28" s="576" t="s">
        <v>164</v>
      </c>
      <c r="V28" s="576" t="s">
        <v>164</v>
      </c>
      <c r="W28" s="577" t="s">
        <v>187</v>
      </c>
      <c r="X28" s="578" t="s">
        <v>181</v>
      </c>
      <c r="Y28" s="579" t="s">
        <v>163</v>
      </c>
      <c r="Z28" s="580" t="s">
        <v>182</v>
      </c>
      <c r="AA28" s="36" t="s">
        <v>182</v>
      </c>
      <c r="AB28" s="7"/>
      <c r="AC28" s="36" t="s">
        <v>176</v>
      </c>
      <c r="AD28" s="37"/>
      <c r="AE28" s="580" t="s">
        <v>170</v>
      </c>
      <c r="AF28" s="36" t="s">
        <v>170</v>
      </c>
      <c r="AH28" s="67"/>
    </row>
    <row r="29" spans="2:40" x14ac:dyDescent="0.3">
      <c r="B29" s="568" t="s">
        <v>188</v>
      </c>
      <c r="C29" s="583" t="s">
        <v>189</v>
      </c>
      <c r="D29" s="570"/>
      <c r="E29" s="1006" t="str">
        <f ca="1">LEFT(dms_MultiYear_FinalYear_Result,2)&amp;RIGHT(dms_MultiYear_FinalYear_Result,2)</f>
        <v>2031</v>
      </c>
      <c r="F29" s="582" t="s">
        <v>190</v>
      </c>
      <c r="G29" s="573"/>
      <c r="H29" s="581"/>
      <c r="J29" s="1"/>
      <c r="N29" s="34" t="s">
        <v>191</v>
      </c>
      <c r="O29" s="575" t="s">
        <v>192</v>
      </c>
      <c r="P29" s="35" t="s">
        <v>193</v>
      </c>
      <c r="Q29" s="35" t="s">
        <v>193</v>
      </c>
      <c r="R29" s="35" t="s">
        <v>193</v>
      </c>
      <c r="S29" s="35" t="s">
        <v>193</v>
      </c>
      <c r="T29" s="576" t="s">
        <v>194</v>
      </c>
      <c r="U29" s="576" t="s">
        <v>163</v>
      </c>
      <c r="V29" s="576" t="s">
        <v>163</v>
      </c>
      <c r="W29" s="577" t="s">
        <v>195</v>
      </c>
      <c r="X29" s="7"/>
      <c r="Y29" s="40"/>
      <c r="Z29" s="41"/>
      <c r="AA29" s="7"/>
      <c r="AB29" s="7"/>
      <c r="AC29" s="36" t="s">
        <v>176</v>
      </c>
      <c r="AD29" s="37"/>
      <c r="AE29" s="580" t="s">
        <v>170</v>
      </c>
      <c r="AF29" s="36" t="s">
        <v>194</v>
      </c>
      <c r="AH29" s="67"/>
    </row>
    <row r="30" spans="2:40" x14ac:dyDescent="0.3">
      <c r="B30" s="568" t="s">
        <v>196</v>
      </c>
      <c r="C30" s="569" t="s">
        <v>197</v>
      </c>
      <c r="D30" s="570"/>
      <c r="E30" s="1006" t="str">
        <f ca="1">LEFT(dms_MultiYear_FinalYear_Result,2)&amp;RIGHT(dms_MultiYear_FinalYear_Result,2)</f>
        <v>2031</v>
      </c>
      <c r="F30" s="582" t="s">
        <v>190</v>
      </c>
      <c r="G30" s="573"/>
      <c r="H30" s="574" t="s">
        <v>160</v>
      </c>
      <c r="J30" s="1"/>
      <c r="N30" s="34" t="s">
        <v>198</v>
      </c>
      <c r="O30" s="575" t="s">
        <v>192</v>
      </c>
      <c r="P30" s="35" t="s">
        <v>199</v>
      </c>
      <c r="Q30" s="35" t="s">
        <v>199</v>
      </c>
      <c r="R30" s="35" t="s">
        <v>199</v>
      </c>
      <c r="S30" s="35" t="s">
        <v>199</v>
      </c>
      <c r="T30" s="42"/>
      <c r="U30" s="576" t="s">
        <v>200</v>
      </c>
      <c r="V30" s="576" t="s">
        <v>200</v>
      </c>
      <c r="W30" s="577" t="s">
        <v>201</v>
      </c>
      <c r="X30" s="7"/>
      <c r="Y30" s="40"/>
      <c r="Z30" s="41"/>
      <c r="AA30" s="7"/>
      <c r="AB30" s="7"/>
      <c r="AC30" s="36" t="s">
        <v>202</v>
      </c>
      <c r="AD30" s="37"/>
      <c r="AE30" s="580" t="s">
        <v>170</v>
      </c>
      <c r="AH30" s="67"/>
    </row>
    <row r="31" spans="2:40" x14ac:dyDescent="0.3">
      <c r="B31" s="568" t="s">
        <v>203</v>
      </c>
      <c r="C31" s="569" t="s">
        <v>204</v>
      </c>
      <c r="D31" s="570"/>
      <c r="E31" s="1006" t="str">
        <f>LEFT(dms_CRCP_FinalYear_Result,2)&amp;RIGHT(dms_CRCP_FinalYear_Result,2)</f>
        <v>2026</v>
      </c>
      <c r="F31" s="582" t="s">
        <v>205</v>
      </c>
      <c r="G31" s="573"/>
      <c r="H31" s="581"/>
      <c r="J31" s="1"/>
      <c r="N31" s="34" t="s">
        <v>206</v>
      </c>
      <c r="O31" s="575" t="s">
        <v>192</v>
      </c>
      <c r="P31" s="35" t="s">
        <v>193</v>
      </c>
      <c r="Q31" s="35" t="s">
        <v>193</v>
      </c>
      <c r="R31" s="35" t="s">
        <v>193</v>
      </c>
      <c r="S31" s="35" t="s">
        <v>193</v>
      </c>
      <c r="T31" s="42"/>
      <c r="U31" s="42"/>
      <c r="V31" s="42"/>
      <c r="W31" s="42"/>
      <c r="X31" s="7"/>
      <c r="Y31" s="40"/>
      <c r="Z31" s="41"/>
      <c r="AA31" s="7"/>
      <c r="AB31" s="7"/>
      <c r="AC31" s="36" t="s">
        <v>202</v>
      </c>
      <c r="AD31" s="37"/>
      <c r="AE31" s="580" t="s">
        <v>170</v>
      </c>
      <c r="AH31" s="67"/>
    </row>
    <row r="32" spans="2:40" ht="15.75" customHeight="1" x14ac:dyDescent="0.3">
      <c r="B32" s="584" t="s">
        <v>207</v>
      </c>
      <c r="C32" s="585" t="s">
        <v>208</v>
      </c>
      <c r="D32" s="586"/>
      <c r="E32" s="1007" t="str">
        <f ca="1">LEFT(dms_MultiYear_FinalYear_Result,2)&amp;RIGHT(dms_MultiYear_FinalYear_Result,2)</f>
        <v>2031</v>
      </c>
      <c r="F32" s="587" t="s">
        <v>190</v>
      </c>
      <c r="G32" s="588"/>
      <c r="H32" s="589"/>
      <c r="J32" s="1"/>
      <c r="N32" s="44" t="s">
        <v>209</v>
      </c>
      <c r="O32" s="45"/>
      <c r="P32" s="35" t="s">
        <v>199</v>
      </c>
      <c r="Q32" s="35" t="s">
        <v>199</v>
      </c>
      <c r="R32" s="35" t="s">
        <v>199</v>
      </c>
      <c r="S32" s="35" t="s">
        <v>199</v>
      </c>
      <c r="T32" s="42"/>
      <c r="U32" s="42"/>
      <c r="V32" s="42"/>
      <c r="W32" s="42"/>
      <c r="X32" s="7"/>
      <c r="Y32" s="40"/>
      <c r="Z32" s="46"/>
      <c r="AA32" s="7"/>
      <c r="AB32" s="7"/>
      <c r="AC32" s="36" t="s">
        <v>210</v>
      </c>
      <c r="AD32" s="37"/>
      <c r="AE32" s="580" t="s">
        <v>170</v>
      </c>
      <c r="AH32" s="67"/>
    </row>
    <row r="33" spans="2:34" x14ac:dyDescent="0.3">
      <c r="C33" s="6"/>
      <c r="H33" s="1"/>
      <c r="I33" s="25"/>
      <c r="J33" s="1"/>
      <c r="O33" s="45"/>
      <c r="P33" s="35" t="s">
        <v>193</v>
      </c>
      <c r="Q33" s="35" t="s">
        <v>193</v>
      </c>
      <c r="R33" s="35" t="s">
        <v>193</v>
      </c>
      <c r="S33" s="35" t="s">
        <v>193</v>
      </c>
      <c r="T33" s="42"/>
      <c r="U33" s="42"/>
      <c r="V33" s="42"/>
      <c r="W33" s="42"/>
      <c r="X33" s="7"/>
      <c r="Y33" s="40"/>
      <c r="Z33" s="46"/>
      <c r="AA33" s="7"/>
      <c r="AB33" s="7"/>
      <c r="AC33" s="36" t="s">
        <v>210</v>
      </c>
      <c r="AD33" s="37"/>
      <c r="AE33" s="580" t="s">
        <v>170</v>
      </c>
      <c r="AH33" s="67"/>
    </row>
    <row r="34" spans="2:34" ht="15.75" customHeight="1" x14ac:dyDescent="0.3">
      <c r="B34" s="50" t="s">
        <v>211</v>
      </c>
      <c r="C34" s="6"/>
      <c r="O34" s="45"/>
      <c r="P34" s="35" t="s">
        <v>163</v>
      </c>
      <c r="Q34" s="42"/>
      <c r="R34" s="35" t="s">
        <v>181</v>
      </c>
      <c r="S34" s="42"/>
      <c r="T34" s="42"/>
      <c r="U34" s="42"/>
      <c r="V34" s="42"/>
      <c r="W34" s="42"/>
      <c r="X34" s="7"/>
      <c r="Y34" s="40"/>
      <c r="Z34" s="46"/>
      <c r="AA34" s="7"/>
      <c r="AB34" s="7"/>
      <c r="AC34" s="36" t="s">
        <v>212</v>
      </c>
      <c r="AD34" s="37"/>
      <c r="AE34" s="580" t="s">
        <v>170</v>
      </c>
      <c r="AH34" s="67"/>
    </row>
    <row r="35" spans="2:34" ht="14.25" customHeight="1" x14ac:dyDescent="0.3">
      <c r="B35" s="52" t="s">
        <v>213</v>
      </c>
      <c r="C35" s="6"/>
      <c r="O35" s="45"/>
      <c r="P35" s="35" t="s">
        <v>163</v>
      </c>
      <c r="Q35" s="42"/>
      <c r="R35" s="42"/>
      <c r="S35" s="42"/>
      <c r="T35" s="42"/>
      <c r="U35" s="42"/>
      <c r="V35" s="42"/>
      <c r="W35" s="42"/>
      <c r="X35" s="7"/>
      <c r="Y35" s="40"/>
      <c r="Z35" s="46"/>
      <c r="AA35" s="7"/>
      <c r="AB35" s="7"/>
      <c r="AC35" s="36" t="s">
        <v>212</v>
      </c>
      <c r="AD35" s="37"/>
      <c r="AE35" s="580" t="s">
        <v>170</v>
      </c>
      <c r="AH35" s="67"/>
    </row>
    <row r="36" spans="2:34" ht="14.25" customHeight="1" x14ac:dyDescent="0.3">
      <c r="B36" s="54" t="s">
        <v>214</v>
      </c>
      <c r="C36" s="6"/>
      <c r="O36" s="45"/>
      <c r="P36" s="35" t="s">
        <v>163</v>
      </c>
      <c r="Q36" s="42"/>
      <c r="R36" s="42"/>
      <c r="S36" s="42"/>
      <c r="T36" s="42"/>
      <c r="U36" s="42"/>
      <c r="V36" s="42"/>
      <c r="W36" s="42"/>
      <c r="X36" s="7"/>
      <c r="Y36" s="40"/>
      <c r="Z36" s="46"/>
      <c r="AA36" s="7"/>
      <c r="AB36" s="7"/>
      <c r="AC36" s="36" t="s">
        <v>215</v>
      </c>
      <c r="AD36" s="37"/>
      <c r="AE36" s="580" t="s">
        <v>170</v>
      </c>
      <c r="AH36" s="67"/>
    </row>
    <row r="37" spans="2:34" x14ac:dyDescent="0.3">
      <c r="B37" s="54" t="s">
        <v>216</v>
      </c>
      <c r="C37" s="6"/>
      <c r="O37" s="56"/>
      <c r="P37" s="57" t="s">
        <v>181</v>
      </c>
      <c r="Q37" s="58"/>
      <c r="R37" s="58"/>
      <c r="S37" s="58"/>
      <c r="T37" s="58"/>
      <c r="U37" s="58"/>
      <c r="V37" s="58"/>
      <c r="W37" s="58"/>
      <c r="X37" s="59"/>
      <c r="Y37" s="60"/>
      <c r="Z37" s="46"/>
      <c r="AA37" s="7"/>
      <c r="AB37" s="7"/>
      <c r="AC37" s="36" t="s">
        <v>164</v>
      </c>
      <c r="AD37" s="37"/>
      <c r="AE37" s="580" t="s">
        <v>194</v>
      </c>
      <c r="AH37" s="67"/>
    </row>
    <row r="38" spans="2:34" ht="15.75" customHeight="1" x14ac:dyDescent="0.3">
      <c r="B38" s="54" t="s">
        <v>217</v>
      </c>
      <c r="C38" s="6"/>
      <c r="T38" s="590"/>
      <c r="X38" s="2"/>
      <c r="Y38" s="2"/>
      <c r="Z38" s="61"/>
      <c r="AA38" s="59"/>
      <c r="AB38" s="59"/>
      <c r="AC38" s="62" t="s">
        <v>215</v>
      </c>
      <c r="AD38" s="63"/>
      <c r="AE38" s="591" t="s">
        <v>194</v>
      </c>
      <c r="AH38" s="67"/>
    </row>
    <row r="39" spans="2:34" ht="15.75" customHeight="1" x14ac:dyDescent="0.3">
      <c r="B39" s="65" t="s">
        <v>218</v>
      </c>
      <c r="C39" s="6"/>
      <c r="T39" s="592"/>
      <c r="X39" s="2"/>
      <c r="Y39" s="2"/>
      <c r="Z39" s="66"/>
      <c r="AB39" s="1"/>
      <c r="AC39" s="1"/>
      <c r="AD39" s="67"/>
      <c r="AE39" s="593"/>
      <c r="AH39" s="67"/>
    </row>
    <row r="40" spans="2:34" ht="15.75" customHeight="1" x14ac:dyDescent="0.3">
      <c r="C40" s="6"/>
      <c r="T40" s="594"/>
      <c r="X40" s="2"/>
      <c r="Y40" s="2"/>
      <c r="Z40" s="66"/>
      <c r="AB40" s="1"/>
      <c r="AC40" s="1"/>
      <c r="AD40" s="67"/>
      <c r="AE40" s="593"/>
      <c r="AH40" s="67"/>
    </row>
    <row r="41" spans="2:34" ht="58.5" customHeight="1" x14ac:dyDescent="0.3">
      <c r="B41" s="68" t="s">
        <v>219</v>
      </c>
      <c r="C41" s="68" t="s">
        <v>220</v>
      </c>
      <c r="O41" s="1040" t="s">
        <v>221</v>
      </c>
      <c r="P41" s="1041"/>
      <c r="Y41" s="2"/>
      <c r="Z41" s="1042" t="s">
        <v>222</v>
      </c>
      <c r="AA41" s="1043"/>
      <c r="AB41" s="1043"/>
      <c r="AC41" s="1044"/>
      <c r="AD41" s="67"/>
      <c r="AE41" s="593"/>
      <c r="AH41" s="67"/>
    </row>
    <row r="42" spans="2:34" ht="26.25" customHeight="1" x14ac:dyDescent="0.3">
      <c r="B42" s="70" t="s">
        <v>223</v>
      </c>
      <c r="C42" s="70" t="s">
        <v>224</v>
      </c>
      <c r="O42" s="595" t="s">
        <v>225</v>
      </c>
      <c r="Y42" s="2"/>
      <c r="Z42" s="596" t="s">
        <v>150</v>
      </c>
      <c r="AA42" s="596"/>
      <c r="AB42" s="597" t="s">
        <v>152</v>
      </c>
      <c r="AC42" s="598" t="s">
        <v>153</v>
      </c>
      <c r="AD42" s="67"/>
      <c r="AE42" s="593"/>
      <c r="AH42" s="67"/>
    </row>
    <row r="43" spans="2:34" ht="15.75" customHeight="1" x14ac:dyDescent="0.3">
      <c r="B43" s="72" t="s">
        <v>226</v>
      </c>
      <c r="C43" s="73" t="s">
        <v>227</v>
      </c>
      <c r="O43" s="74" t="s">
        <v>228</v>
      </c>
      <c r="Y43" s="2"/>
      <c r="Z43" s="75" t="s">
        <v>169</v>
      </c>
      <c r="AA43" s="76"/>
      <c r="AB43" s="77" t="s">
        <v>176</v>
      </c>
      <c r="AC43" s="78" t="s">
        <v>164</v>
      </c>
      <c r="AD43" s="67"/>
      <c r="AE43" s="593"/>
      <c r="AH43" s="67"/>
    </row>
    <row r="44" spans="2:34" x14ac:dyDescent="0.3">
      <c r="B44" s="80" t="s">
        <v>229</v>
      </c>
      <c r="C44" s="81" t="s">
        <v>230</v>
      </c>
      <c r="Y44" s="2"/>
      <c r="Z44" s="82" t="s">
        <v>170</v>
      </c>
      <c r="AA44" s="7"/>
      <c r="AB44" s="36" t="s">
        <v>202</v>
      </c>
      <c r="AC44" s="83" t="s">
        <v>169</v>
      </c>
      <c r="AD44" s="67"/>
      <c r="AE44" s="593"/>
      <c r="AH44" s="67"/>
    </row>
    <row r="45" spans="2:34" ht="15.75" customHeight="1" x14ac:dyDescent="0.3">
      <c r="B45" s="80" t="s">
        <v>231</v>
      </c>
      <c r="C45" s="85" t="s">
        <v>62</v>
      </c>
      <c r="Y45" s="2"/>
      <c r="Z45" s="82" t="s">
        <v>170</v>
      </c>
      <c r="AA45" s="7"/>
      <c r="AB45" s="36" t="s">
        <v>210</v>
      </c>
      <c r="AC45" s="83" t="s">
        <v>164</v>
      </c>
      <c r="AD45" s="67"/>
      <c r="AE45" s="593"/>
      <c r="AH45" s="67"/>
    </row>
    <row r="46" spans="2:34" x14ac:dyDescent="0.3">
      <c r="B46" s="80" t="s">
        <v>232</v>
      </c>
      <c r="C46" s="1"/>
      <c r="Y46" s="2"/>
      <c r="Z46" s="82" t="s">
        <v>169</v>
      </c>
      <c r="AA46" s="7"/>
      <c r="AB46" s="36" t="s">
        <v>212</v>
      </c>
      <c r="AC46" s="83" t="s">
        <v>170</v>
      </c>
      <c r="AD46" s="67"/>
      <c r="AE46" s="593"/>
      <c r="AH46" s="67"/>
    </row>
    <row r="47" spans="2:34" x14ac:dyDescent="0.3">
      <c r="B47" s="80" t="s">
        <v>233</v>
      </c>
      <c r="Y47" s="2"/>
      <c r="Z47" s="82" t="s">
        <v>170</v>
      </c>
      <c r="AA47" s="7"/>
      <c r="AB47" s="36" t="s">
        <v>176</v>
      </c>
      <c r="AC47" s="8"/>
      <c r="AD47" s="67"/>
      <c r="AE47" s="593"/>
      <c r="AH47" s="67"/>
    </row>
    <row r="48" spans="2:34" x14ac:dyDescent="0.3">
      <c r="B48" s="80" t="s">
        <v>234</v>
      </c>
      <c r="Y48" s="2"/>
      <c r="Z48" s="82" t="s">
        <v>170</v>
      </c>
      <c r="AA48" s="7"/>
      <c r="AB48" s="36" t="s">
        <v>164</v>
      </c>
      <c r="AC48" s="8"/>
      <c r="AD48" s="67"/>
      <c r="AE48" s="593"/>
      <c r="AH48" s="67"/>
    </row>
    <row r="49" spans="2:34" x14ac:dyDescent="0.3">
      <c r="B49" s="80" t="s">
        <v>235</v>
      </c>
      <c r="Y49" s="2"/>
      <c r="Z49" s="82" t="s">
        <v>169</v>
      </c>
      <c r="AA49" s="7"/>
      <c r="AB49" s="36" t="s">
        <v>164</v>
      </c>
      <c r="AC49" s="8"/>
      <c r="AD49" s="67"/>
      <c r="AE49" s="593"/>
      <c r="AH49" s="67"/>
    </row>
    <row r="50" spans="2:34" x14ac:dyDescent="0.3">
      <c r="B50" s="80" t="s">
        <v>236</v>
      </c>
      <c r="X50" s="2"/>
      <c r="Y50" s="2"/>
      <c r="Z50" s="82" t="s">
        <v>170</v>
      </c>
      <c r="AA50" s="7"/>
      <c r="AB50" s="36" t="s">
        <v>176</v>
      </c>
      <c r="AC50" s="8"/>
      <c r="AD50" s="67"/>
      <c r="AE50" s="593"/>
      <c r="AH50" s="67"/>
    </row>
    <row r="51" spans="2:34" x14ac:dyDescent="0.3">
      <c r="B51" s="80" t="s">
        <v>237</v>
      </c>
      <c r="X51" s="2"/>
      <c r="Y51" s="2"/>
      <c r="Z51" s="82" t="s">
        <v>170</v>
      </c>
      <c r="AA51" s="7"/>
      <c r="AB51" s="7"/>
      <c r="AC51" s="8"/>
      <c r="AD51" s="67"/>
      <c r="AE51" s="593"/>
      <c r="AH51" s="67"/>
    </row>
    <row r="52" spans="2:34" x14ac:dyDescent="0.3">
      <c r="B52" s="80" t="s">
        <v>238</v>
      </c>
      <c r="X52" s="2"/>
      <c r="Y52" s="2"/>
      <c r="Z52" s="82" t="s">
        <v>169</v>
      </c>
      <c r="AA52" s="7"/>
      <c r="AB52" s="7"/>
      <c r="AC52" s="8"/>
      <c r="AD52" s="67"/>
      <c r="AE52" s="593"/>
      <c r="AH52" s="67"/>
    </row>
    <row r="53" spans="2:34" x14ac:dyDescent="0.3">
      <c r="B53" s="80" t="s">
        <v>239</v>
      </c>
      <c r="X53" s="2"/>
      <c r="Y53" s="2"/>
      <c r="Z53" s="82" t="s">
        <v>170</v>
      </c>
      <c r="AA53" s="7"/>
      <c r="AB53" s="7"/>
      <c r="AC53" s="8"/>
      <c r="AD53" s="67"/>
      <c r="AE53" s="593"/>
      <c r="AH53" s="67"/>
    </row>
    <row r="54" spans="2:34" x14ac:dyDescent="0.3">
      <c r="B54" s="90" t="s">
        <v>240</v>
      </c>
      <c r="X54" s="2"/>
      <c r="Y54" s="2"/>
      <c r="Z54" s="82" t="s">
        <v>169</v>
      </c>
      <c r="AA54" s="7"/>
      <c r="AB54" s="7"/>
      <c r="AC54" s="8"/>
      <c r="AD54" s="67"/>
      <c r="AE54" s="593"/>
      <c r="AH54" s="67"/>
    </row>
    <row r="55" spans="2:34" ht="15.75" customHeight="1" x14ac:dyDescent="0.3">
      <c r="B55" s="91" t="s">
        <v>241</v>
      </c>
      <c r="X55" s="2"/>
      <c r="Y55" s="2"/>
      <c r="Z55" s="82" t="s">
        <v>170</v>
      </c>
      <c r="AA55" s="7"/>
      <c r="AB55" s="7"/>
      <c r="AC55" s="8"/>
      <c r="AD55" s="67"/>
      <c r="AE55" s="593"/>
      <c r="AH55" s="67"/>
    </row>
    <row r="56" spans="2:34" x14ac:dyDescent="0.3">
      <c r="X56" s="2"/>
      <c r="Y56" s="2"/>
      <c r="Z56" s="82" t="s">
        <v>169</v>
      </c>
      <c r="AA56" s="7"/>
      <c r="AB56" s="7"/>
      <c r="AC56" s="8"/>
      <c r="AD56" s="67"/>
      <c r="AE56" s="593"/>
      <c r="AH56" s="67"/>
    </row>
    <row r="57" spans="2:34" ht="15.75" customHeight="1" x14ac:dyDescent="0.3">
      <c r="X57" s="2"/>
      <c r="Y57" s="2"/>
      <c r="Z57" s="92" t="s">
        <v>170</v>
      </c>
      <c r="AA57" s="93"/>
      <c r="AB57" s="93"/>
      <c r="AC57" s="94"/>
      <c r="AD57" s="95"/>
      <c r="AE57" s="599"/>
      <c r="AF57" s="420"/>
      <c r="AG57" s="420"/>
      <c r="AH57" s="95"/>
    </row>
    <row r="58" spans="2:34" x14ac:dyDescent="0.3">
      <c r="B58" s="600"/>
      <c r="C58" s="601"/>
      <c r="D58" s="602"/>
      <c r="E58" s="601"/>
      <c r="F58" s="602"/>
      <c r="G58" s="602"/>
      <c r="H58" s="602"/>
      <c r="I58" s="600"/>
      <c r="J58" s="4"/>
      <c r="X58" s="2"/>
      <c r="Y58" s="2"/>
      <c r="Z58" s="2"/>
      <c r="AB58" s="1"/>
      <c r="AC58" s="1"/>
    </row>
    <row r="59" spans="2:34" x14ac:dyDescent="0.3">
      <c r="X59" s="2"/>
      <c r="Y59" s="2"/>
      <c r="Z59" s="2"/>
      <c r="AA59" s="2"/>
      <c r="AB59" s="1"/>
      <c r="AC59" s="1"/>
    </row>
    <row r="60" spans="2:34" ht="15.75" customHeight="1" x14ac:dyDescent="0.3">
      <c r="X60" s="2"/>
      <c r="Y60" s="2"/>
      <c r="Z60" s="2"/>
      <c r="AA60" s="2"/>
      <c r="AB60" s="1"/>
      <c r="AC60" s="1"/>
    </row>
    <row r="61" spans="2:34" ht="30.75" customHeight="1" x14ac:dyDescent="0.3">
      <c r="B61" s="12" t="s">
        <v>242</v>
      </c>
      <c r="C61" s="13" t="s">
        <v>243</v>
      </c>
      <c r="D61" s="14" t="s">
        <v>244</v>
      </c>
      <c r="E61" s="603" t="s">
        <v>245</v>
      </c>
      <c r="F61" s="603" t="s">
        <v>246</v>
      </c>
      <c r="G61" s="603" t="s">
        <v>247</v>
      </c>
      <c r="H61" s="1"/>
      <c r="X61" s="2"/>
      <c r="Y61" s="2"/>
      <c r="Z61" s="2"/>
      <c r="AA61" s="2"/>
      <c r="AB61" s="1"/>
      <c r="AC61" s="1"/>
    </row>
    <row r="62" spans="2:34" x14ac:dyDescent="0.3">
      <c r="B62" s="1024" t="s">
        <v>248</v>
      </c>
      <c r="C62" s="24" t="s">
        <v>249</v>
      </c>
      <c r="D62" s="604" t="s">
        <v>248</v>
      </c>
      <c r="E62" s="605" t="s">
        <v>250</v>
      </c>
      <c r="F62" s="606" t="s">
        <v>251</v>
      </c>
      <c r="G62" s="607" t="s">
        <v>161</v>
      </c>
      <c r="H62" s="2"/>
      <c r="X62" s="2"/>
      <c r="Y62" s="2"/>
      <c r="Z62" s="2"/>
      <c r="AA62" s="2"/>
      <c r="AB62" s="1"/>
      <c r="AC62" s="1"/>
    </row>
    <row r="63" spans="2:34" x14ac:dyDescent="0.3">
      <c r="B63" s="1025"/>
      <c r="C63" s="33" t="s">
        <v>252</v>
      </c>
      <c r="D63" s="608" t="s">
        <v>253</v>
      </c>
      <c r="E63" s="609" t="s">
        <v>254</v>
      </c>
      <c r="F63" s="610" t="s">
        <v>255</v>
      </c>
      <c r="G63" s="611" t="s">
        <v>173</v>
      </c>
      <c r="H63" s="1"/>
      <c r="X63" s="2"/>
      <c r="Y63" s="2"/>
      <c r="Z63" s="2"/>
      <c r="AA63" s="2"/>
      <c r="AB63" s="1"/>
      <c r="AC63" s="1"/>
    </row>
    <row r="64" spans="2:34" ht="15.75" customHeight="1" x14ac:dyDescent="0.3">
      <c r="B64" s="1026"/>
      <c r="C64" s="38" t="s">
        <v>209</v>
      </c>
      <c r="D64" s="608" t="s">
        <v>209</v>
      </c>
      <c r="E64" s="609" t="s">
        <v>256</v>
      </c>
      <c r="F64" s="610" t="s">
        <v>257</v>
      </c>
      <c r="G64" s="611" t="s">
        <v>178</v>
      </c>
      <c r="H64" s="1"/>
      <c r="X64" s="2"/>
      <c r="Y64" s="2"/>
      <c r="Z64" s="2"/>
      <c r="AA64" s="2"/>
      <c r="AB64" s="1"/>
      <c r="AC64" s="1"/>
    </row>
    <row r="65" spans="2:29" ht="15.75" customHeight="1" x14ac:dyDescent="0.3">
      <c r="B65" s="1024" t="s">
        <v>253</v>
      </c>
      <c r="C65" s="39" t="s">
        <v>258</v>
      </c>
      <c r="D65" s="608" t="s">
        <v>259</v>
      </c>
      <c r="E65" s="609" t="s">
        <v>260</v>
      </c>
      <c r="F65" s="612" t="s">
        <v>209</v>
      </c>
      <c r="G65" s="611" t="s">
        <v>186</v>
      </c>
      <c r="H65" s="1"/>
      <c r="X65" s="2"/>
      <c r="Y65" s="2"/>
      <c r="Z65" s="2"/>
      <c r="AA65" s="2"/>
      <c r="AB65" s="1"/>
      <c r="AC65" s="1"/>
    </row>
    <row r="66" spans="2:29" x14ac:dyDescent="0.3">
      <c r="B66" s="1025"/>
      <c r="C66" s="33" t="s">
        <v>261</v>
      </c>
      <c r="D66" s="608" t="s">
        <v>262</v>
      </c>
      <c r="E66" s="609" t="s">
        <v>263</v>
      </c>
      <c r="G66" s="611" t="s">
        <v>191</v>
      </c>
      <c r="H66" s="1"/>
      <c r="X66" s="2"/>
      <c r="Y66" s="2"/>
      <c r="Z66" s="2"/>
      <c r="AA66" s="2"/>
      <c r="AB66" s="1"/>
      <c r="AC66" s="1"/>
    </row>
    <row r="67" spans="2:29" x14ac:dyDescent="0.3">
      <c r="B67" s="1025"/>
      <c r="C67" s="33" t="s">
        <v>264</v>
      </c>
      <c r="D67" s="608" t="s">
        <v>265</v>
      </c>
      <c r="E67" s="609" t="s">
        <v>266</v>
      </c>
      <c r="G67" s="611" t="s">
        <v>198</v>
      </c>
      <c r="H67" s="1"/>
      <c r="X67" s="2"/>
      <c r="Y67" s="2"/>
      <c r="Z67" s="2"/>
      <c r="AA67" s="2"/>
      <c r="AB67" s="1"/>
      <c r="AC67" s="1"/>
    </row>
    <row r="68" spans="2:29" x14ac:dyDescent="0.3">
      <c r="B68" s="1025"/>
      <c r="C68" s="33" t="s">
        <v>267</v>
      </c>
      <c r="D68" s="608" t="s">
        <v>268</v>
      </c>
      <c r="E68" s="609" t="s">
        <v>269</v>
      </c>
      <c r="G68" s="611" t="s">
        <v>206</v>
      </c>
      <c r="H68" s="1"/>
      <c r="X68" s="2"/>
      <c r="Y68" s="2"/>
      <c r="Z68" s="2"/>
      <c r="AA68" s="2"/>
      <c r="AB68" s="1"/>
      <c r="AC68" s="1"/>
    </row>
    <row r="69" spans="2:29" ht="15.75" customHeight="1" x14ac:dyDescent="0.3">
      <c r="B69" s="1026"/>
      <c r="C69" s="43" t="s">
        <v>270</v>
      </c>
      <c r="D69" s="608" t="s">
        <v>271</v>
      </c>
      <c r="E69" s="609" t="s">
        <v>272</v>
      </c>
      <c r="G69" s="611" t="s">
        <v>273</v>
      </c>
      <c r="H69" s="1"/>
      <c r="X69" s="2"/>
      <c r="Y69" s="2"/>
      <c r="Z69" s="2"/>
      <c r="AA69" s="2"/>
      <c r="AB69" s="1"/>
      <c r="AC69" s="1"/>
    </row>
    <row r="70" spans="2:29" x14ac:dyDescent="0.3">
      <c r="B70" s="47" t="s">
        <v>209</v>
      </c>
      <c r="C70" s="48" t="s">
        <v>274</v>
      </c>
      <c r="D70" s="608" t="s">
        <v>260</v>
      </c>
      <c r="E70" s="609" t="s">
        <v>275</v>
      </c>
      <c r="G70" s="611" t="s">
        <v>276</v>
      </c>
      <c r="H70" s="1"/>
      <c r="X70" s="2"/>
      <c r="Y70" s="2"/>
      <c r="Z70" s="2"/>
      <c r="AA70" s="2"/>
      <c r="AB70" s="1"/>
      <c r="AC70" s="1"/>
    </row>
    <row r="71" spans="2:29" ht="15.75" customHeight="1" x14ac:dyDescent="0.3">
      <c r="B71" s="47" t="s">
        <v>259</v>
      </c>
      <c r="C71" s="49" t="s">
        <v>277</v>
      </c>
      <c r="D71" s="608" t="s">
        <v>250</v>
      </c>
      <c r="E71" s="613" t="s">
        <v>209</v>
      </c>
      <c r="G71" s="611" t="s">
        <v>278</v>
      </c>
      <c r="H71" s="1"/>
      <c r="X71" s="2"/>
      <c r="Y71" s="2"/>
      <c r="Z71" s="2"/>
      <c r="AA71" s="2"/>
      <c r="AB71" s="1"/>
      <c r="AC71" s="1"/>
    </row>
    <row r="72" spans="2:29" ht="15.75" customHeight="1" x14ac:dyDescent="0.3">
      <c r="B72" s="47" t="s">
        <v>262</v>
      </c>
      <c r="C72" s="51" t="s">
        <v>277</v>
      </c>
      <c r="D72" s="614" t="s">
        <v>279</v>
      </c>
      <c r="E72" s="210"/>
      <c r="G72" s="611" t="s">
        <v>280</v>
      </c>
      <c r="H72" s="1"/>
      <c r="X72" s="2"/>
      <c r="Y72" s="2"/>
      <c r="Z72" s="2"/>
      <c r="AA72" s="2"/>
      <c r="AB72" s="1"/>
      <c r="AC72" s="1"/>
    </row>
    <row r="73" spans="2:29" x14ac:dyDescent="0.3">
      <c r="B73" s="1024" t="s">
        <v>265</v>
      </c>
      <c r="C73" s="53" t="s">
        <v>281</v>
      </c>
      <c r="D73" s="614" t="s">
        <v>282</v>
      </c>
      <c r="G73" s="611" t="s">
        <v>283</v>
      </c>
      <c r="H73" s="1"/>
      <c r="X73" s="2"/>
      <c r="Y73" s="2"/>
      <c r="Z73" s="2"/>
      <c r="AA73" s="2"/>
      <c r="AB73" s="1"/>
      <c r="AC73" s="1"/>
    </row>
    <row r="74" spans="2:29" ht="15.75" customHeight="1" x14ac:dyDescent="0.3">
      <c r="B74" s="1025"/>
      <c r="C74" s="55" t="s">
        <v>284</v>
      </c>
      <c r="D74" s="614" t="s">
        <v>285</v>
      </c>
      <c r="G74" s="43" t="s">
        <v>209</v>
      </c>
      <c r="H74" s="1"/>
      <c r="X74" s="2"/>
      <c r="Y74" s="2"/>
      <c r="Z74" s="2"/>
      <c r="AA74" s="2"/>
      <c r="AB74" s="1"/>
      <c r="AC74" s="1"/>
    </row>
    <row r="75" spans="2:29" x14ac:dyDescent="0.3">
      <c r="B75" s="456" t="s">
        <v>268</v>
      </c>
      <c r="C75" s="39" t="s">
        <v>286</v>
      </c>
      <c r="D75" s="614" t="s">
        <v>287</v>
      </c>
      <c r="H75" s="1"/>
      <c r="X75" s="2"/>
      <c r="Y75" s="2"/>
      <c r="Z75" s="2"/>
      <c r="AB75" s="1"/>
      <c r="AC75" s="1"/>
    </row>
    <row r="76" spans="2:29" x14ac:dyDescent="0.3">
      <c r="B76" s="457"/>
      <c r="C76" s="64" t="s">
        <v>209</v>
      </c>
      <c r="D76" s="614" t="s">
        <v>288</v>
      </c>
      <c r="H76" s="1"/>
      <c r="X76" s="2"/>
      <c r="Y76" s="2"/>
      <c r="Z76" s="2"/>
      <c r="AB76" s="1"/>
      <c r="AC76" s="1"/>
    </row>
    <row r="77" spans="2:29" ht="15.75" customHeight="1" x14ac:dyDescent="0.3">
      <c r="B77" s="457"/>
      <c r="C77" s="64" t="s">
        <v>289</v>
      </c>
      <c r="D77" s="615" t="s">
        <v>290</v>
      </c>
      <c r="H77" s="1"/>
      <c r="X77" s="2"/>
      <c r="Y77" s="2"/>
      <c r="Z77" s="2"/>
      <c r="AB77" s="1"/>
      <c r="AC77" s="1"/>
    </row>
    <row r="78" spans="2:29" x14ac:dyDescent="0.3">
      <c r="B78" s="457"/>
      <c r="C78" s="64" t="s">
        <v>291</v>
      </c>
      <c r="H78" s="1"/>
      <c r="X78" s="2"/>
      <c r="Y78" s="2"/>
      <c r="Z78" s="2"/>
      <c r="AB78" s="1"/>
      <c r="AC78" s="1"/>
    </row>
    <row r="79" spans="2:29" ht="15.75" customHeight="1" x14ac:dyDescent="0.3">
      <c r="B79" s="458"/>
      <c r="C79" s="69" t="s">
        <v>292</v>
      </c>
      <c r="H79" s="1"/>
      <c r="X79" s="2"/>
      <c r="Y79" s="2"/>
      <c r="Z79" s="2"/>
      <c r="AB79" s="1"/>
      <c r="AC79" s="1"/>
    </row>
    <row r="80" spans="2:29" ht="15.75" customHeight="1" x14ac:dyDescent="0.3">
      <c r="B80" s="47" t="s">
        <v>271</v>
      </c>
      <c r="C80" s="71" t="s">
        <v>271</v>
      </c>
      <c r="H80" s="1"/>
      <c r="X80" s="2"/>
      <c r="Y80" s="2"/>
      <c r="Z80" s="2"/>
      <c r="AB80" s="1"/>
      <c r="AC80" s="1"/>
    </row>
    <row r="81" spans="2:29" x14ac:dyDescent="0.3">
      <c r="B81" s="79" t="s">
        <v>260</v>
      </c>
      <c r="C81" s="53" t="s">
        <v>293</v>
      </c>
      <c r="H81" s="1"/>
      <c r="X81" s="2"/>
      <c r="Y81" s="2"/>
      <c r="Z81" s="2"/>
      <c r="AB81" s="1"/>
      <c r="AC81" s="1"/>
    </row>
    <row r="82" spans="2:29" x14ac:dyDescent="0.3">
      <c r="B82" s="84"/>
      <c r="C82" s="64" t="s">
        <v>294</v>
      </c>
      <c r="H82" s="1"/>
      <c r="X82" s="2"/>
      <c r="Y82" s="2"/>
      <c r="Z82" s="2"/>
      <c r="AB82" s="1"/>
      <c r="AC82" s="1"/>
    </row>
    <row r="83" spans="2:29" x14ac:dyDescent="0.3">
      <c r="B83" s="84"/>
      <c r="C83" s="64" t="s">
        <v>295</v>
      </c>
      <c r="H83" s="1"/>
      <c r="X83" s="2"/>
      <c r="Y83" s="2"/>
      <c r="Z83" s="2"/>
      <c r="AB83" s="1"/>
      <c r="AC83" s="1"/>
    </row>
    <row r="84" spans="2:29" ht="15.75" customHeight="1" x14ac:dyDescent="0.3">
      <c r="B84" s="84"/>
      <c r="C84" s="69" t="s">
        <v>296</v>
      </c>
      <c r="H84" s="1"/>
      <c r="X84" s="2"/>
      <c r="Y84" s="2"/>
      <c r="Z84" s="2"/>
      <c r="AB84" s="1"/>
      <c r="AC84" s="1"/>
    </row>
    <row r="85" spans="2:29" x14ac:dyDescent="0.3">
      <c r="B85" s="86" t="s">
        <v>250</v>
      </c>
      <c r="H85" s="1"/>
      <c r="X85" s="2"/>
      <c r="Y85" s="2"/>
      <c r="Z85" s="2"/>
      <c r="AB85" s="1"/>
      <c r="AC85" s="1"/>
    </row>
    <row r="86" spans="2:29" x14ac:dyDescent="0.3">
      <c r="B86" s="87" t="s">
        <v>279</v>
      </c>
      <c r="H86" s="1"/>
      <c r="X86" s="2"/>
      <c r="Y86" s="2"/>
      <c r="Z86" s="2"/>
      <c r="AB86" s="1"/>
      <c r="AC86" s="1"/>
    </row>
    <row r="87" spans="2:29" x14ac:dyDescent="0.3">
      <c r="B87" s="88" t="s">
        <v>282</v>
      </c>
      <c r="H87" s="1"/>
      <c r="X87" s="2"/>
      <c r="Y87" s="2"/>
      <c r="Z87" s="2"/>
      <c r="AB87" s="1"/>
      <c r="AC87" s="1"/>
    </row>
    <row r="88" spans="2:29" x14ac:dyDescent="0.3">
      <c r="B88" s="88" t="s">
        <v>285</v>
      </c>
      <c r="H88" s="1"/>
      <c r="X88" s="2"/>
      <c r="Y88" s="2"/>
      <c r="Z88" s="2"/>
      <c r="AB88" s="1"/>
      <c r="AC88" s="1"/>
    </row>
    <row r="89" spans="2:29" x14ac:dyDescent="0.3">
      <c r="B89" s="88" t="s">
        <v>287</v>
      </c>
      <c r="H89" s="1"/>
      <c r="X89" s="2"/>
      <c r="Y89" s="2"/>
      <c r="Z89" s="2"/>
      <c r="AB89" s="1"/>
      <c r="AC89" s="1"/>
    </row>
    <row r="90" spans="2:29" x14ac:dyDescent="0.3">
      <c r="B90" s="88" t="s">
        <v>288</v>
      </c>
      <c r="H90" s="1"/>
      <c r="X90" s="2"/>
      <c r="Y90" s="2"/>
      <c r="Z90" s="2"/>
      <c r="AB90" s="1"/>
      <c r="AC90" s="1"/>
    </row>
    <row r="91" spans="2:29" ht="15.75" customHeight="1" x14ac:dyDescent="0.3">
      <c r="B91" s="89" t="s">
        <v>290</v>
      </c>
      <c r="H91" s="1"/>
      <c r="X91" s="2"/>
      <c r="Y91" s="2"/>
      <c r="Z91" s="2"/>
      <c r="AB91" s="1"/>
      <c r="AC91" s="1"/>
    </row>
    <row r="92" spans="2:29" x14ac:dyDescent="0.3">
      <c r="X92" s="2"/>
      <c r="Y92" s="2"/>
      <c r="Z92" s="2"/>
      <c r="AB92" s="1"/>
      <c r="AC92" s="1"/>
    </row>
    <row r="93" spans="2:29" x14ac:dyDescent="0.3">
      <c r="X93" s="2"/>
      <c r="Y93" s="2"/>
      <c r="Z93" s="2"/>
      <c r="AB93" s="1"/>
      <c r="AC93" s="1"/>
    </row>
    <row r="94" spans="2:29" x14ac:dyDescent="0.3">
      <c r="X94" s="2"/>
      <c r="Y94" s="2"/>
      <c r="Z94" s="2"/>
      <c r="AB94" s="1"/>
      <c r="AC94" s="1"/>
    </row>
    <row r="95" spans="2:29" x14ac:dyDescent="0.3">
      <c r="X95" s="2"/>
      <c r="Y95" s="2"/>
      <c r="Z95" s="2"/>
      <c r="AB95" s="1"/>
      <c r="AC95" s="1"/>
    </row>
    <row r="96" spans="2:29" x14ac:dyDescent="0.3">
      <c r="X96" s="2"/>
      <c r="Y96" s="2"/>
      <c r="Z96" s="2"/>
      <c r="AB96" s="1"/>
      <c r="AC96" s="1"/>
    </row>
    <row r="97" spans="2:29" x14ac:dyDescent="0.3">
      <c r="X97" s="2"/>
      <c r="Y97" s="2"/>
      <c r="Z97" s="2"/>
      <c r="AB97" s="1"/>
      <c r="AC97" s="1"/>
    </row>
    <row r="98" spans="2:29" ht="15.75" customHeight="1" x14ac:dyDescent="0.3"/>
    <row r="99" spans="2:29" ht="15.75" customHeight="1" x14ac:dyDescent="0.3">
      <c r="B99" s="96" t="s">
        <v>297</v>
      </c>
      <c r="C99" s="616" t="str">
        <f>IF(dms_FifthFeeder_flag_NSP="NO","This NSP has only 4 feeder categories","This NSP has 5 feeder categories")</f>
        <v>This NSP has only 4 feeder categories</v>
      </c>
      <c r="D99" s="97"/>
      <c r="E99" s="98"/>
      <c r="F99" s="99"/>
      <c r="G99" s="98"/>
      <c r="H99" s="98"/>
      <c r="I99" s="100"/>
      <c r="J99" s="101"/>
      <c r="O99" s="102" t="s">
        <v>298</v>
      </c>
      <c r="P99" s="103"/>
      <c r="Q99" s="103"/>
      <c r="R99" s="104"/>
      <c r="S99" s="105"/>
    </row>
    <row r="100" spans="2:29" ht="26.25" customHeight="1" x14ac:dyDescent="0.3">
      <c r="B100" s="106" t="s">
        <v>299</v>
      </c>
      <c r="C100" s="107" t="s">
        <v>300</v>
      </c>
      <c r="D100" s="108" t="s">
        <v>301</v>
      </c>
      <c r="E100" s="107" t="s">
        <v>302</v>
      </c>
      <c r="F100" s="109" t="s">
        <v>303</v>
      </c>
      <c r="G100" s="110"/>
      <c r="H100" s="111" t="s">
        <v>304</v>
      </c>
      <c r="I100" s="111"/>
      <c r="J100" s="112" t="s">
        <v>305</v>
      </c>
      <c r="L100" s="617" t="s">
        <v>306</v>
      </c>
      <c r="M100" s="618" t="s">
        <v>307</v>
      </c>
      <c r="O100" s="113" t="s">
        <v>308</v>
      </c>
      <c r="P100" s="114" t="s">
        <v>309</v>
      </c>
      <c r="Q100" s="115" t="s">
        <v>310</v>
      </c>
      <c r="R100" s="116" t="s">
        <v>311</v>
      </c>
      <c r="S100" s="117" t="s">
        <v>312</v>
      </c>
    </row>
    <row r="101" spans="2:29" x14ac:dyDescent="0.3">
      <c r="B101" s="118">
        <v>1</v>
      </c>
      <c r="C101" s="119" t="s">
        <v>313</v>
      </c>
      <c r="D101" s="120">
        <v>1</v>
      </c>
      <c r="E101" s="119" t="s">
        <v>314</v>
      </c>
      <c r="F101" s="121" t="str">
        <f>FRCP_y1</f>
        <v>2026-27</v>
      </c>
      <c r="G101" s="122" t="s">
        <v>313</v>
      </c>
      <c r="H101" s="123" t="str">
        <f>IF(dms_RPT="financial",VALUE(LEFT(dms_FRCP_y1,4)-1)&amp;"-"&amp;TEXT(VALUE(MID(dms_FRCP_y1,3,2)),"00"),VALUE(LEFT(dms_FRCP_y1,4)-1))</f>
        <v>2025-26</v>
      </c>
      <c r="I101" s="124" t="s">
        <v>315</v>
      </c>
      <c r="J101" s="125">
        <v>1</v>
      </c>
      <c r="L101" s="173" t="s">
        <v>316</v>
      </c>
      <c r="M101" s="174" t="s">
        <v>317</v>
      </c>
      <c r="O101" s="126" t="str">
        <f>CRY</f>
        <v>2018-19</v>
      </c>
      <c r="P101" s="127" t="str">
        <f>VALUE(LEFT(CRY,4))&amp;"-"&amp;TEXT(MID(CRY,3,2)+1,"00")</f>
        <v>2018-19</v>
      </c>
      <c r="Q101" s="128" t="s">
        <v>318</v>
      </c>
      <c r="R101" s="129">
        <f>VALUE(LEFT(CRY,4)+1)</f>
        <v>2019</v>
      </c>
      <c r="S101" s="130" t="s">
        <v>319</v>
      </c>
    </row>
    <row r="102" spans="2:29" x14ac:dyDescent="0.3">
      <c r="B102" s="131">
        <v>2</v>
      </c>
      <c r="C102" s="132" t="s">
        <v>320</v>
      </c>
      <c r="D102" s="133">
        <v>2</v>
      </c>
      <c r="E102" s="132" t="s">
        <v>321</v>
      </c>
      <c r="F102" s="134" t="str">
        <f>IF(dms_RPT="financial",VALUE(LEFT(dms_FRCP_y1,4)+1)&amp;"-"&amp;TEXT(VALUE(RIGHT(dms_FRCP_y1,2)+1),"00"),VALUE(LEFT(dms_FRCP_y1,4)+1))</f>
        <v>2027-28</v>
      </c>
      <c r="G102" s="135" t="s">
        <v>320</v>
      </c>
      <c r="H102" s="136" t="str">
        <f>IF(dms_RPT="financial",VALUE(LEFT(dms_CRCP_yZ,4)-1)&amp;"-"&amp;TEXT(VALUE(MID(dms_CRCP_yZ,3,2)),"00"),VALUE(LEFT(dms_CRCP_yZ,4)-1))</f>
        <v>2024-25</v>
      </c>
      <c r="I102" s="137" t="s">
        <v>322</v>
      </c>
      <c r="J102" s="138">
        <v>2</v>
      </c>
      <c r="L102" s="175" t="s">
        <v>323</v>
      </c>
      <c r="M102" s="176" t="s">
        <v>324</v>
      </c>
      <c r="O102" s="619"/>
      <c r="P102" s="139" t="str">
        <f>VALUE(LEFT(dms_CRYf_y1,4)+1)&amp;"-"&amp;TEXT(MID(dms_CRYf_y1,3,2)+2,"00")</f>
        <v>2019-20</v>
      </c>
      <c r="Q102" s="140" t="s">
        <v>325</v>
      </c>
      <c r="R102" s="129">
        <f>VALUE(LEFT(dms_CRYc_y1,4)+1)</f>
        <v>2020</v>
      </c>
      <c r="S102" s="130" t="s">
        <v>326</v>
      </c>
    </row>
    <row r="103" spans="2:29" x14ac:dyDescent="0.3">
      <c r="B103" s="131">
        <v>3</v>
      </c>
      <c r="C103" s="132" t="s">
        <v>327</v>
      </c>
      <c r="D103" s="133">
        <v>3</v>
      </c>
      <c r="E103" s="132" t="s">
        <v>328</v>
      </c>
      <c r="F103" s="134" t="str">
        <f>IF(dms_RPT="financial",VALUE(LEFT(dms_FRCP_y2,4)+1)&amp;"-"&amp;TEXT(VALUE(RIGHT(dms_FRCP_y2,2)+1),"00"),VALUE(LEFT(dms_FRCP_y2,4)+1))</f>
        <v>2028-29</v>
      </c>
      <c r="G103" s="135" t="s">
        <v>327</v>
      </c>
      <c r="H103" s="136" t="str">
        <f>IF(dms_RPT="financial",VALUE(LEFT(dms_CRCP_yY,4)-1)&amp;"-"&amp;TEXT(VALUE(MID(dms_CRCP_yY,3,2)),"00"),VALUE(LEFT(dms_CRCP_yY,4)-1))</f>
        <v>2023-24</v>
      </c>
      <c r="I103" s="137" t="s">
        <v>329</v>
      </c>
      <c r="J103" s="138">
        <v>3</v>
      </c>
      <c r="L103" s="175" t="s">
        <v>330</v>
      </c>
      <c r="M103" s="176" t="s">
        <v>331</v>
      </c>
      <c r="O103" s="141"/>
      <c r="P103" s="139" t="str">
        <f>VALUE(LEFT(dms_CRYf_y2,4)+1)&amp;"-"&amp;TEXT(MID(dms_CRYf_y2,3,2)+2,"00")</f>
        <v>2020-21</v>
      </c>
      <c r="Q103" s="140" t="s">
        <v>332</v>
      </c>
      <c r="R103" s="129">
        <f>VALUE(LEFT(dms_CRYc_y2,4)+1)</f>
        <v>2021</v>
      </c>
      <c r="S103" s="130" t="s">
        <v>333</v>
      </c>
    </row>
    <row r="104" spans="2:29" x14ac:dyDescent="0.3">
      <c r="B104" s="131">
        <v>4</v>
      </c>
      <c r="C104" s="132" t="s">
        <v>334</v>
      </c>
      <c r="D104" s="133">
        <v>4</v>
      </c>
      <c r="E104" s="132" t="s">
        <v>335</v>
      </c>
      <c r="F104" s="134" t="str">
        <f>IF(dms_RPT="financial",VALUE(LEFT(dms_FRCP_y3,4)+1)&amp;"-"&amp;TEXT(VALUE(RIGHT(dms_FRCP_y3,2)+1),"00"),VALUE(LEFT(dms_FRCP_y3,4)+1))</f>
        <v>2029-30</v>
      </c>
      <c r="G104" s="135" t="s">
        <v>334</v>
      </c>
      <c r="H104" s="136" t="str">
        <f>IF(dms_RPT="financial",VALUE(LEFT(dms_CRCP_yX,4)-1)&amp;"-"&amp;TEXT(VALUE(MID(dms_CRCP_yX,3,2)),"00"),VALUE(LEFT(dms_CRCP_yX,4)-1))</f>
        <v>2022-23</v>
      </c>
      <c r="I104" s="137" t="s">
        <v>336</v>
      </c>
      <c r="J104" s="138">
        <v>4</v>
      </c>
      <c r="L104" s="175" t="s">
        <v>337</v>
      </c>
      <c r="M104" s="176" t="s">
        <v>338</v>
      </c>
      <c r="O104" s="141"/>
      <c r="P104" s="139" t="str">
        <f>VALUE(LEFT(dms_CRYf_y3,4)+1)&amp;"-"&amp;TEXT(MID(dms_CRYf_y3,3,2)+2,"00")</f>
        <v>2021-22</v>
      </c>
      <c r="Q104" s="140" t="s">
        <v>339</v>
      </c>
      <c r="R104" s="129">
        <f>VALUE(LEFT(dms_CRYc_y3,4)+1)</f>
        <v>2022</v>
      </c>
      <c r="S104" s="130" t="s">
        <v>340</v>
      </c>
    </row>
    <row r="105" spans="2:29" x14ac:dyDescent="0.3">
      <c r="B105" s="131">
        <v>5</v>
      </c>
      <c r="C105" s="132" t="s">
        <v>341</v>
      </c>
      <c r="D105" s="133">
        <v>5</v>
      </c>
      <c r="E105" s="132" t="s">
        <v>342</v>
      </c>
      <c r="F105" s="134" t="str">
        <f>IF(dms_RPT="financial",VALUE(LEFT(dms_FRCP_y4,4)+1)&amp;"-"&amp;TEXT(VALUE(RIGHT(dms_FRCP_y4,2)+1),"00"),VALUE(LEFT(dms_FRCP_y4,4)+1))</f>
        <v>2030-31</v>
      </c>
      <c r="G105" s="135" t="s">
        <v>341</v>
      </c>
      <c r="H105" s="136" t="str">
        <f>IF(dms_RPT="financial",VALUE(LEFT(dms_CRCP_yW,4)-1)&amp;"-"&amp;TEXT(VALUE(MID(dms_CRCP_yW,3,2)),"00"),VALUE(LEFT(dms_CRCP_yW,4)-1))</f>
        <v>2021-22</v>
      </c>
      <c r="I105" s="137" t="s">
        <v>343</v>
      </c>
      <c r="J105" s="138">
        <v>5</v>
      </c>
      <c r="L105" s="175" t="s">
        <v>344</v>
      </c>
      <c r="M105" s="176">
        <v>2010</v>
      </c>
      <c r="O105" s="141"/>
      <c r="P105" s="139" t="str">
        <f>VALUE(LEFT(dms_CRYf_y4,4)+1)&amp;"-"&amp;TEXT(MID(dms_CRYf_y4,3,2)+2,"00")</f>
        <v>2022-23</v>
      </c>
      <c r="Q105" s="140" t="s">
        <v>345</v>
      </c>
      <c r="R105" s="129">
        <f>VALUE(LEFT(dms_CRYc_y4,4)+1)</f>
        <v>2023</v>
      </c>
      <c r="S105" s="130" t="s">
        <v>346</v>
      </c>
    </row>
    <row r="106" spans="2:29" x14ac:dyDescent="0.3">
      <c r="B106" s="131">
        <v>6</v>
      </c>
      <c r="C106" s="132" t="s">
        <v>347</v>
      </c>
      <c r="D106" s="133">
        <v>6</v>
      </c>
      <c r="E106" s="132" t="s">
        <v>348</v>
      </c>
      <c r="F106" s="134" t="str">
        <f>IF(dms_RPT="financial",VALUE(LEFT(dms_FRCP_y5,4)+1)&amp;"-"&amp;TEXT(VALUE(RIGHT(dms_FRCP_y5,2)+1),"00"),VALUE(LEFT(dms_FRCP_y5,4)+1))</f>
        <v>2031-32</v>
      </c>
      <c r="G106" s="135" t="s">
        <v>347</v>
      </c>
      <c r="H106" s="136" t="str">
        <f>IF(dms_RPT="financial",VALUE(LEFT(dms_CRCP_yV,4)-1)&amp;"-"&amp;TEXT(VALUE(MID(dms_CRCP_yV,3,2)),"00"),VALUE(LEFT(dms_CRCP_yV,4)-1))</f>
        <v>2020-21</v>
      </c>
      <c r="I106" s="137" t="s">
        <v>349</v>
      </c>
      <c r="J106" s="138">
        <v>6</v>
      </c>
      <c r="L106" s="175" t="s">
        <v>350</v>
      </c>
      <c r="M106" s="176">
        <v>2011</v>
      </c>
      <c r="O106" s="141"/>
      <c r="P106" s="139" t="str">
        <f>VALUE(LEFT(dms_CRYf_y5,4)+1)&amp;"-"&amp;TEXT(MID(dms_CRYf_y5,3,2)+2,"00")</f>
        <v>2023-24</v>
      </c>
      <c r="Q106" s="140" t="s">
        <v>351</v>
      </c>
      <c r="R106" s="129">
        <f>VALUE(LEFT(dms_CRYc_y5,4)+1)</f>
        <v>2024</v>
      </c>
      <c r="S106" s="130" t="s">
        <v>352</v>
      </c>
    </row>
    <row r="107" spans="2:29" x14ac:dyDescent="0.3">
      <c r="B107" s="131">
        <v>7</v>
      </c>
      <c r="C107" s="132" t="s">
        <v>353</v>
      </c>
      <c r="D107" s="133">
        <v>7</v>
      </c>
      <c r="E107" s="132" t="s">
        <v>354</v>
      </c>
      <c r="F107" s="134" t="str">
        <f>IF(dms_RPT="financial",VALUE(LEFT(dms_FRCP_y6,4)+1)&amp;"-"&amp;TEXT(VALUE(RIGHT(dms_FRCP_y6,2)+1),"00"),VALUE(LEFT(dms_FRCP_y6,4)+1))</f>
        <v>2032-33</v>
      </c>
      <c r="G107" s="135" t="s">
        <v>353</v>
      </c>
      <c r="H107" s="136" t="str">
        <f>IF(dms_RPT="financial",VALUE(LEFT(dms_CRCP_yU,4)-1)&amp;"-"&amp;TEXT(VALUE(MID(dms_CRCP_yU,3,2)),"00"),VALUE(LEFT(dms_CRCP_yU,4)-1))</f>
        <v>2019-20</v>
      </c>
      <c r="I107" s="137" t="s">
        <v>355</v>
      </c>
      <c r="J107" s="138">
        <v>7</v>
      </c>
      <c r="L107" s="175" t="s">
        <v>356</v>
      </c>
      <c r="M107" s="176">
        <v>2012</v>
      </c>
      <c r="O107" s="141"/>
      <c r="P107" s="139" t="str">
        <f>VALUE(LEFT(dms_CRYf_y6,4)+1)&amp;"-"&amp;TEXT(MID(dms_CRYf_y6,3,2)+2,"00")</f>
        <v>2024-25</v>
      </c>
      <c r="Q107" s="140" t="s">
        <v>357</v>
      </c>
      <c r="R107" s="129">
        <f>VALUE(LEFT(dms_CRYc_y6,4)+1)</f>
        <v>2025</v>
      </c>
      <c r="S107" s="130" t="s">
        <v>358</v>
      </c>
    </row>
    <row r="108" spans="2:29" x14ac:dyDescent="0.3">
      <c r="B108" s="131">
        <v>8</v>
      </c>
      <c r="C108" s="132" t="s">
        <v>359</v>
      </c>
      <c r="D108" s="133">
        <v>8</v>
      </c>
      <c r="E108" s="132" t="s">
        <v>360</v>
      </c>
      <c r="F108" s="134" t="str">
        <f>IF(dms_RPT="financial",VALUE(LEFT(dms_FRCP_y7,4)+1)&amp;"-"&amp;TEXT(VALUE(RIGHT(dms_FRCP_y7,2)+1),"00"),VALUE(LEFT(dms_FRCP_y7,4)+1))</f>
        <v>2033-34</v>
      </c>
      <c r="G108" s="135" t="s">
        <v>359</v>
      </c>
      <c r="H108" s="136" t="str">
        <f>IF(dms_RPT="financial",VALUE(LEFT(dms_CRCP_yT,4)-1)&amp;"-"&amp;TEXT(VALUE(MID(dms_CRCP_yT,3,2)),"00"),VALUE(LEFT(dms_CRCP_yT,4)-1))</f>
        <v>2018-19</v>
      </c>
      <c r="I108" s="137" t="s">
        <v>361</v>
      </c>
      <c r="J108" s="138">
        <v>8</v>
      </c>
      <c r="L108" s="175" t="s">
        <v>362</v>
      </c>
      <c r="M108" s="176">
        <v>2013</v>
      </c>
      <c r="O108" s="141"/>
      <c r="P108" s="139" t="str">
        <f>VALUE(LEFT(dms_CRYf_y7,4)+1)&amp;"-"&amp;TEXT(MID(dms_CRYf_y7,3,2)+2,"00")</f>
        <v>2025-26</v>
      </c>
      <c r="Q108" s="140" t="s">
        <v>363</v>
      </c>
      <c r="R108" s="129">
        <f>VALUE(LEFT(dms_CRYc_y7,4)+1)</f>
        <v>2026</v>
      </c>
      <c r="S108" s="130" t="s">
        <v>364</v>
      </c>
    </row>
    <row r="109" spans="2:29" x14ac:dyDescent="0.3">
      <c r="B109" s="131">
        <v>9</v>
      </c>
      <c r="C109" s="132" t="s">
        <v>365</v>
      </c>
      <c r="D109" s="133">
        <v>9</v>
      </c>
      <c r="E109" s="132" t="s">
        <v>366</v>
      </c>
      <c r="F109" s="134" t="str">
        <f>IF(dms_RPT="financial",VALUE(LEFT(dms_FRCP_y8,4)+1)&amp;"-"&amp;TEXT(VALUE(RIGHT(dms_FRCP_y8,2)+1),"00"),VALUE(LEFT(dms_FRCP_y8,4)+1))</f>
        <v>2034-35</v>
      </c>
      <c r="G109" s="135" t="s">
        <v>365</v>
      </c>
      <c r="H109" s="136" t="str">
        <f>IF(dms_RPT="financial",VALUE(LEFT(dms_CRCP_yS,4)-1)&amp;"-"&amp;TEXT(VALUE(MID(dms_CRCP_yS,3,2)),"00"),VALUE(LEFT(dms_CRCP_yS,4)-1))</f>
        <v>2017-18</v>
      </c>
      <c r="I109" s="137" t="s">
        <v>367</v>
      </c>
      <c r="J109" s="138">
        <v>9</v>
      </c>
      <c r="L109" s="175" t="s">
        <v>368</v>
      </c>
      <c r="M109" s="176">
        <v>2014</v>
      </c>
      <c r="O109" s="141"/>
      <c r="P109" s="139" t="str">
        <f>VALUE(LEFT(dms_CRYf_y8,4)+1)&amp;"-"&amp;TEXT(MID(dms_CRYf_y8,3,2)+2,"00")</f>
        <v>2026-27</v>
      </c>
      <c r="Q109" s="140" t="s">
        <v>369</v>
      </c>
      <c r="R109" s="129">
        <f>VALUE(LEFT(dms_CRYc_y8,4)+1)</f>
        <v>2027</v>
      </c>
      <c r="S109" s="130" t="s">
        <v>370</v>
      </c>
    </row>
    <row r="110" spans="2:29" x14ac:dyDescent="0.3">
      <c r="B110" s="142">
        <v>10</v>
      </c>
      <c r="C110" s="132" t="s">
        <v>371</v>
      </c>
      <c r="D110" s="144">
        <v>10</v>
      </c>
      <c r="E110" s="132" t="s">
        <v>372</v>
      </c>
      <c r="F110" s="134" t="str">
        <f>IF(dms_RPT="financial",VALUE(LEFT(dms_FRCP_y9,4)+1)&amp;"-"&amp;TEXT(VALUE(RIGHT(dms_FRCP_y9,2)+1),"00"),VALUE(LEFT(dms_FRCP_y9,4)+1))</f>
        <v>2035-36</v>
      </c>
      <c r="G110" s="135" t="s">
        <v>371</v>
      </c>
      <c r="H110" s="136" t="str">
        <f>IF(dms_RPT="financial",VALUE(LEFT(dms_CRCP_yR,4)-1)&amp;"-"&amp;TEXT(VALUE(MID(dms_CRCP_yR,3,2)),"00"),VALUE(LEFT(dms_CRCP_yR,4)-1))</f>
        <v>2016-17</v>
      </c>
      <c r="I110" s="137" t="s">
        <v>373</v>
      </c>
      <c r="J110" s="138">
        <v>10</v>
      </c>
      <c r="L110" s="175" t="s">
        <v>374</v>
      </c>
      <c r="M110" s="176">
        <v>2015</v>
      </c>
      <c r="O110" s="141"/>
      <c r="P110" s="139" t="str">
        <f>VALUE(LEFT(dms_CRYf_y9,4)+1)&amp;"-"&amp;TEXT(MID(dms_CRYf_y9,3,2)+2,"00")</f>
        <v>2027-28</v>
      </c>
      <c r="Q110" s="140" t="s">
        <v>375</v>
      </c>
      <c r="R110" s="129">
        <f>VALUE(LEFT(dms_CRYc_y9,4)+1)</f>
        <v>2028</v>
      </c>
      <c r="S110" s="130" t="s">
        <v>376</v>
      </c>
    </row>
    <row r="111" spans="2:29" x14ac:dyDescent="0.3">
      <c r="B111" s="131">
        <v>11</v>
      </c>
      <c r="C111" s="143" t="s">
        <v>377</v>
      </c>
      <c r="D111" s="133">
        <v>11</v>
      </c>
      <c r="E111" s="143" t="s">
        <v>378</v>
      </c>
      <c r="F111" s="134" t="str">
        <f>IF(dms_RPT="financial",VALUE(LEFT(dms_FRCP_y10,4)+1)&amp;"-"&amp;TEXT(VALUE(RIGHT(dms_FRCP_y10,2)+1),"00"),VALUE(LEFT(dms_FRCP_y10,4)+1))</f>
        <v>2036-37</v>
      </c>
      <c r="G111" s="135" t="s">
        <v>377</v>
      </c>
      <c r="H111" s="136" t="str">
        <f>IF(dms_RPT="financial",VALUE(LEFT(dms_CRCP_yQ,4)-1)&amp;"-"&amp;TEXT(VALUE(MID(dms_CRCP_yQ,3,2)),"00"),VALUE(LEFT(dms_CRCP_yQ,4)-1))</f>
        <v>2015-16</v>
      </c>
      <c r="I111" s="137" t="s">
        <v>379</v>
      </c>
      <c r="J111" s="138">
        <v>11</v>
      </c>
      <c r="L111" s="175" t="s">
        <v>380</v>
      </c>
      <c r="M111" s="176">
        <v>2016</v>
      </c>
      <c r="O111" s="141"/>
      <c r="P111" s="139" t="str">
        <f>VALUE(LEFT(dms_CRYf_y10,4)+1)&amp;"-"&amp;TEXT(MID(dms_CRYf_y10,3,2)+2,"00")</f>
        <v>2028-29</v>
      </c>
      <c r="Q111" s="140" t="s">
        <v>381</v>
      </c>
      <c r="R111" s="129">
        <f>VALUE(LEFT(dms_CRYc_y10,4)+1)</f>
        <v>2029</v>
      </c>
      <c r="S111" s="130" t="s">
        <v>382</v>
      </c>
    </row>
    <row r="112" spans="2:29" x14ac:dyDescent="0.3">
      <c r="B112" s="131">
        <v>12</v>
      </c>
      <c r="C112" s="143" t="s">
        <v>383</v>
      </c>
      <c r="D112" s="133">
        <v>12</v>
      </c>
      <c r="E112" s="143" t="s">
        <v>384</v>
      </c>
      <c r="F112" s="134" t="str">
        <f>IF(dms_RPT="financial",VALUE(LEFT(dms_FRCP_y11,4)+1)&amp;"-"&amp;TEXT(VALUE(RIGHT(dms_FRCP_y11,2)+1),"00"),VALUE(LEFT(dms_FRCP_y11,4)+1))</f>
        <v>2037-38</v>
      </c>
      <c r="G112" s="135" t="s">
        <v>383</v>
      </c>
      <c r="H112" s="136" t="str">
        <f>IF(dms_RPT="financial",VALUE(LEFT(dms_CRCP_yP,4)-1)&amp;"-"&amp;TEXT(VALUE(MID(dms_CRCP_yP,3,2)),"00"),VALUE(LEFT(dms_CRCP_yP,4)-1))</f>
        <v>2014-15</v>
      </c>
      <c r="I112" s="137" t="s">
        <v>385</v>
      </c>
      <c r="J112" s="138">
        <v>12</v>
      </c>
      <c r="L112" s="175" t="s">
        <v>386</v>
      </c>
      <c r="M112" s="176">
        <v>2017</v>
      </c>
      <c r="O112" s="141"/>
      <c r="P112" s="139" t="str">
        <f>VALUE(LEFT(dms_CRYf_y11,4)+1)&amp;"-"&amp;TEXT(MID(dms_CRYf_y11,3,2)+2,"00")</f>
        <v>2029-30</v>
      </c>
      <c r="Q112" s="140" t="s">
        <v>387</v>
      </c>
      <c r="R112" s="129">
        <f>VALUE(LEFT(dms_CRYc_y11,4)+1)</f>
        <v>2030</v>
      </c>
      <c r="S112" s="130" t="s">
        <v>388</v>
      </c>
    </row>
    <row r="113" spans="2:19" x14ac:dyDescent="0.3">
      <c r="B113" s="142">
        <v>13</v>
      </c>
      <c r="C113" s="143" t="s">
        <v>389</v>
      </c>
      <c r="D113" s="144">
        <v>13</v>
      </c>
      <c r="E113" s="143" t="s">
        <v>390</v>
      </c>
      <c r="F113" s="134" t="str">
        <f>IF(dms_RPT="financial",VALUE(LEFT(dms_FRCP_y12,4)+1)&amp;"-"&amp;TEXT(VALUE(RIGHT(dms_FRCP_y12,2)+1),"00"),VALUE(LEFT(dms_FRCP_y12,4)+1))</f>
        <v>2038-39</v>
      </c>
      <c r="G113" s="135" t="s">
        <v>389</v>
      </c>
      <c r="H113" s="136" t="str">
        <f>IF(dms_RPT="financial",VALUE(LEFT(dms_CRCP_yO,4)-1)&amp;"-"&amp;TEXT(VALUE(MID(dms_CRCP_yO,3,2)),"00"),VALUE(LEFT(dms_CRCP_yO,4)-1))</f>
        <v>2013-14</v>
      </c>
      <c r="I113" s="137" t="s">
        <v>391</v>
      </c>
      <c r="J113" s="138">
        <v>13</v>
      </c>
      <c r="L113" s="175" t="s">
        <v>392</v>
      </c>
      <c r="M113" s="176">
        <v>2018</v>
      </c>
      <c r="O113" s="141"/>
      <c r="P113" s="139" t="str">
        <f>VALUE(LEFT(dms_CRYf_y12,4)+1)&amp;"-"&amp;TEXT(MID(dms_CRYf_y12,3,2)+2,"00")</f>
        <v>2030-31</v>
      </c>
      <c r="Q113" s="140" t="s">
        <v>393</v>
      </c>
      <c r="R113" s="129">
        <f>VALUE(LEFT(dms_CRYc_y12,4)+1)</f>
        <v>2031</v>
      </c>
      <c r="S113" s="130" t="s">
        <v>394</v>
      </c>
    </row>
    <row r="114" spans="2:19" x14ac:dyDescent="0.3">
      <c r="B114" s="131">
        <v>14</v>
      </c>
      <c r="C114" s="143" t="s">
        <v>395</v>
      </c>
      <c r="D114" s="133">
        <v>14</v>
      </c>
      <c r="E114" s="143" t="s">
        <v>396</v>
      </c>
      <c r="F114" s="134" t="str">
        <f>IF(dms_RPT="financial",VALUE(LEFT(dms_FRCP_y13,4)+1)&amp;"-"&amp;TEXT(VALUE(RIGHT(dms_FRCP_y13,2)+1),"00"),VALUE(LEFT(dms_FRCP_y13,4)+1))</f>
        <v>2039-40</v>
      </c>
      <c r="G114" s="135" t="s">
        <v>395</v>
      </c>
      <c r="H114" s="136" t="str">
        <f>IF(dms_RPT="financial",VALUE(LEFT(dms_CRCP_yN,4)-1)&amp;"-"&amp;TEXT(VALUE(MID(dms_CRCP_yN,3,2)),"00"),VALUE(LEFT(dms_CRCP_yN,4)-1))</f>
        <v>2012-13</v>
      </c>
      <c r="I114" s="137" t="s">
        <v>397</v>
      </c>
      <c r="J114" s="138">
        <v>14</v>
      </c>
      <c r="L114" s="175" t="s">
        <v>398</v>
      </c>
      <c r="M114" s="176">
        <v>2019</v>
      </c>
      <c r="O114" s="141"/>
      <c r="P114" s="139" t="str">
        <f>VALUE(LEFT(dms_CRYf_y13,4)+1)&amp;"-"&amp;TEXT(MID(dms_CRYf_y13,3,2)+2,"00")</f>
        <v>2031-32</v>
      </c>
      <c r="Q114" s="140" t="s">
        <v>399</v>
      </c>
      <c r="R114" s="129">
        <f>VALUE(LEFT(dms_CRYc_y13,4)+1)</f>
        <v>2032</v>
      </c>
      <c r="S114" s="130" t="s">
        <v>400</v>
      </c>
    </row>
    <row r="115" spans="2:19" x14ac:dyDescent="0.3">
      <c r="B115" s="131">
        <v>15</v>
      </c>
      <c r="C115" s="143" t="s">
        <v>401</v>
      </c>
      <c r="D115" s="133">
        <v>15</v>
      </c>
      <c r="E115" s="143" t="s">
        <v>402</v>
      </c>
      <c r="F115" s="134" t="str">
        <f>IF(dms_RPT="financial",VALUE(LEFT(dms_FRCP_y14,4)+1)&amp;"-"&amp;TEXT(VALUE(RIGHT(dms_FRCP_y14,2)+1),"00"),VALUE(LEFT(dms_FRCP_y14,4)+1))</f>
        <v>2040-41</v>
      </c>
      <c r="G115" s="135" t="s">
        <v>401</v>
      </c>
      <c r="H115" s="136" t="str">
        <f>IF(dms_RPT="financial",VALUE(LEFT(dms_CRCP_yM,4)-1)&amp;"-"&amp;TEXT(VALUE(MID(dms_CRCP_yM,3,2)),"00"),VALUE(LEFT(dms_CRCP_yM,4)-1))</f>
        <v>2011-12</v>
      </c>
      <c r="I115" s="137" t="s">
        <v>403</v>
      </c>
      <c r="J115" s="138">
        <v>15</v>
      </c>
      <c r="L115" s="175" t="s">
        <v>404</v>
      </c>
      <c r="M115" s="176">
        <v>2020</v>
      </c>
      <c r="O115" s="141"/>
      <c r="P115" s="139" t="str">
        <f>VALUE(LEFT(dms_CRYf_y14,4)+1)&amp;"-"&amp;TEXT(MID(dms_CRYf_y14,3,2)+2,"00")</f>
        <v>2032-33</v>
      </c>
      <c r="Q115" s="140" t="s">
        <v>405</v>
      </c>
      <c r="R115" s="129">
        <f>VALUE(LEFT(dms_CRYc_y14,4)+1)</f>
        <v>2033</v>
      </c>
      <c r="S115" s="130" t="s">
        <v>406</v>
      </c>
    </row>
    <row r="116" spans="2:19" x14ac:dyDescent="0.3">
      <c r="B116" s="145"/>
      <c r="C116" s="1"/>
      <c r="E116" s="146"/>
      <c r="F116" s="147"/>
      <c r="G116" s="146"/>
      <c r="H116" s="146"/>
      <c r="I116" s="148"/>
      <c r="J116" s="149"/>
      <c r="L116" s="175" t="s">
        <v>407</v>
      </c>
      <c r="M116" s="176">
        <v>2021</v>
      </c>
      <c r="O116" s="141"/>
      <c r="P116" s="139" t="str">
        <f>VALUE(LEFT(dms_CRYf_y15,4)+1)&amp;"-"&amp;TEXT(MID(dms_CRYf_y15,3,2)+2,"00")</f>
        <v>2033-34</v>
      </c>
      <c r="Q116" s="140" t="s">
        <v>408</v>
      </c>
      <c r="R116" s="129">
        <f>VALUE(LEFT(dms_CRYc_y15,4)+1)</f>
        <v>2034</v>
      </c>
      <c r="S116" s="130" t="s">
        <v>409</v>
      </c>
    </row>
    <row r="117" spans="2:19" ht="15.75" customHeight="1" x14ac:dyDescent="0.3">
      <c r="B117" s="1027" t="s">
        <v>410</v>
      </c>
      <c r="C117" s="1028"/>
      <c r="D117" s="1028"/>
      <c r="E117" s="1028"/>
      <c r="F117" s="1029"/>
      <c r="G117" s="1029"/>
      <c r="H117" s="1029"/>
      <c r="I117" s="1029"/>
      <c r="J117" s="149"/>
      <c r="K117" s="146"/>
      <c r="L117" s="175" t="s">
        <v>411</v>
      </c>
      <c r="M117" s="176">
        <v>2022</v>
      </c>
      <c r="O117" s="141"/>
      <c r="P117" s="139" t="str">
        <f>VALUE(LEFT(dms_CRYf_y16,4)+1)&amp;"-"&amp;TEXT(MID(dms_CRYf_y16,3,2)+2,"00")</f>
        <v>2034-35</v>
      </c>
      <c r="Q117" s="140" t="s">
        <v>412</v>
      </c>
      <c r="R117" s="129">
        <f>VALUE(LEFT(dms_CRYc_y16,4)+1)</f>
        <v>2035</v>
      </c>
      <c r="S117" s="130" t="s">
        <v>413</v>
      </c>
    </row>
    <row r="118" spans="2:19" ht="30.75" customHeight="1" x14ac:dyDescent="0.3">
      <c r="B118" s="150" t="s">
        <v>414</v>
      </c>
      <c r="C118" s="151" t="s">
        <v>415</v>
      </c>
      <c r="D118" s="151" t="s">
        <v>416</v>
      </c>
      <c r="E118" s="152" t="s">
        <v>417</v>
      </c>
      <c r="F118" s="153" t="s">
        <v>418</v>
      </c>
      <c r="G118" s="154" t="s">
        <v>419</v>
      </c>
      <c r="H118" s="155" t="s">
        <v>420</v>
      </c>
      <c r="I118" s="155" t="s">
        <v>421</v>
      </c>
      <c r="J118" s="149"/>
      <c r="L118" s="175" t="s">
        <v>422</v>
      </c>
      <c r="M118" s="176">
        <v>2023</v>
      </c>
      <c r="O118" s="141"/>
      <c r="P118" s="139" t="str">
        <f>VALUE(LEFT(dms_CRYf_y17,4)+1)&amp;"-"&amp;TEXT(MID(dms_CRYf_y17,3,2)+2,"00")</f>
        <v>2035-36</v>
      </c>
      <c r="Q118" s="140" t="s">
        <v>423</v>
      </c>
      <c r="R118" s="129">
        <f>VALUE(LEFT(dms_CRYc_y17,4)+1)</f>
        <v>2036</v>
      </c>
      <c r="S118" s="130" t="s">
        <v>424</v>
      </c>
    </row>
    <row r="119" spans="2:19" x14ac:dyDescent="0.3">
      <c r="B119" s="156" t="s">
        <v>425</v>
      </c>
      <c r="C119" s="157" t="str">
        <f>CRY</f>
        <v>2018-19</v>
      </c>
      <c r="D119" s="158" t="s">
        <v>317</v>
      </c>
      <c r="E119" s="159" t="s">
        <v>426</v>
      </c>
      <c r="F119" s="160" t="s">
        <v>427</v>
      </c>
      <c r="G119" s="161" t="s">
        <v>350</v>
      </c>
      <c r="H119" s="162">
        <v>2011</v>
      </c>
      <c r="I119" s="163" t="s">
        <v>428</v>
      </c>
      <c r="J119" s="149"/>
      <c r="L119" s="175" t="s">
        <v>429</v>
      </c>
      <c r="M119" s="176">
        <v>2024</v>
      </c>
      <c r="O119" s="141"/>
      <c r="P119" s="139" t="str">
        <f>VALUE(LEFT(dms_CRYf_y18,4)+1)&amp;"-"&amp;TEXT(MID(dms_CRYf_y18,3,2)+2,"00")</f>
        <v>2036-37</v>
      </c>
      <c r="Q119" s="140" t="s">
        <v>430</v>
      </c>
      <c r="R119" s="129">
        <f>VALUE(LEFT(dms_CRYc_y18,4)+1)</f>
        <v>2037</v>
      </c>
      <c r="S119" s="130" t="s">
        <v>431</v>
      </c>
    </row>
    <row r="120" spans="2:19" ht="15.75" customHeight="1" x14ac:dyDescent="0.3">
      <c r="B120" s="156" t="s">
        <v>432</v>
      </c>
      <c r="C120" s="157" t="str">
        <f>IF(dms_RPT="financial",VALUE(LEFT(CRY,4)+1)&amp;"-"&amp;TEXT(MID(CRY,3,2)+2,"00"),VALUE(LEFT(CRY,4)+1))</f>
        <v>2019-20</v>
      </c>
      <c r="D120" s="158" t="s">
        <v>324</v>
      </c>
      <c r="E120" s="159" t="s">
        <v>433</v>
      </c>
      <c r="F120" s="164" t="s">
        <v>434</v>
      </c>
      <c r="G120" s="165" t="s">
        <v>356</v>
      </c>
      <c r="H120" s="162">
        <v>2012</v>
      </c>
      <c r="I120" s="166" t="s">
        <v>435</v>
      </c>
      <c r="J120" s="149"/>
      <c r="L120" s="175" t="s">
        <v>436</v>
      </c>
      <c r="M120" s="176">
        <v>2025</v>
      </c>
      <c r="O120" s="167"/>
      <c r="P120" s="168" t="str">
        <f>VALUE(LEFT(dms_CRYf_y19,4)+1)&amp;"-"&amp;TEXT(MID(dms_CRYf_y19,3,2)+2,"00")</f>
        <v>2037-38</v>
      </c>
      <c r="Q120" s="169" t="s">
        <v>437</v>
      </c>
      <c r="R120" s="170">
        <f>VALUE(LEFT(dms_CRYc_y19,4)+1)</f>
        <v>2038</v>
      </c>
      <c r="S120" s="171" t="s">
        <v>438</v>
      </c>
    </row>
    <row r="121" spans="2:19" x14ac:dyDescent="0.3">
      <c r="B121" s="156" t="s">
        <v>439</v>
      </c>
      <c r="C121" s="157" t="str">
        <f>IF(dms_RPT="financial",VALUE(LEFT(dms_fy2,4)+1)&amp;"-"&amp;TEXT(MID(dms_fy2,3,2)+2,"00"),VALUE(LEFT(dms_fy2,4)+1))</f>
        <v>2020-21</v>
      </c>
      <c r="D121" s="158" t="s">
        <v>331</v>
      </c>
      <c r="E121" s="159" t="s">
        <v>440</v>
      </c>
      <c r="F121" s="172" t="s">
        <v>441</v>
      </c>
      <c r="G121" s="165" t="s">
        <v>362</v>
      </c>
      <c r="H121" s="162">
        <v>2013</v>
      </c>
      <c r="I121" s="163" t="s">
        <v>442</v>
      </c>
      <c r="J121" s="149"/>
      <c r="L121" s="175" t="s">
        <v>443</v>
      </c>
      <c r="M121" s="176">
        <v>2026</v>
      </c>
    </row>
    <row r="122" spans="2:19" x14ac:dyDescent="0.3">
      <c r="B122" s="156" t="s">
        <v>444</v>
      </c>
      <c r="C122" s="157" t="str">
        <f>IF(dms_RPT="financial",VALUE(LEFT(dms_fy3,4)+1)&amp;"-"&amp;TEXT(MID(dms_fy3,3,2)+2,"00"),VALUE(LEFT(dms_fy3,4)+1))</f>
        <v>2021-22</v>
      </c>
      <c r="D122" s="158" t="s">
        <v>338</v>
      </c>
      <c r="E122" s="159" t="s">
        <v>445</v>
      </c>
      <c r="F122" s="164" t="s">
        <v>446</v>
      </c>
      <c r="G122" s="165" t="s">
        <v>368</v>
      </c>
      <c r="H122" s="162">
        <v>2014</v>
      </c>
      <c r="I122" s="166" t="s">
        <v>447</v>
      </c>
      <c r="J122" s="149"/>
      <c r="L122" s="175" t="s">
        <v>448</v>
      </c>
      <c r="M122" s="176">
        <v>2027</v>
      </c>
    </row>
    <row r="123" spans="2:19" x14ac:dyDescent="0.3">
      <c r="B123" s="156" t="s">
        <v>449</v>
      </c>
      <c r="C123" s="157" t="str">
        <f>IF(dms_RPT="financial",VALUE(LEFT(dms_fy4,4)+1)&amp;"-"&amp;TEXT(MID(dms_fy4,3,2)+2,"00"),VALUE(LEFT(dms_fy4,4)+1))</f>
        <v>2022-23</v>
      </c>
      <c r="D123" s="158">
        <v>2010</v>
      </c>
      <c r="E123" s="159" t="s">
        <v>450</v>
      </c>
      <c r="F123" s="172" t="s">
        <v>451</v>
      </c>
      <c r="G123" s="165" t="s">
        <v>374</v>
      </c>
      <c r="H123" s="162">
        <v>2015</v>
      </c>
      <c r="I123" s="163" t="s">
        <v>452</v>
      </c>
      <c r="J123" s="149"/>
      <c r="L123" s="175" t="s">
        <v>453</v>
      </c>
      <c r="M123" s="176">
        <v>2028</v>
      </c>
    </row>
    <row r="124" spans="2:19" x14ac:dyDescent="0.3">
      <c r="B124" s="156" t="s">
        <v>454</v>
      </c>
      <c r="C124" s="157" t="str">
        <f>IF(dms_RPT="financial",VALUE(LEFT(dms_fy5,4)+1)&amp;"-"&amp;TEXT(MID(dms_fy5,3,2)+2,"00"),VALUE(LEFT(dms_fy5,4)+1))</f>
        <v>2023-24</v>
      </c>
      <c r="D124" s="158">
        <v>2011</v>
      </c>
      <c r="E124" s="159" t="s">
        <v>455</v>
      </c>
      <c r="F124" s="164" t="s">
        <v>456</v>
      </c>
      <c r="G124" s="165" t="s">
        <v>380</v>
      </c>
      <c r="H124" s="162">
        <v>2016</v>
      </c>
      <c r="I124" s="166" t="s">
        <v>457</v>
      </c>
      <c r="J124" s="149"/>
      <c r="L124" s="175" t="s">
        <v>458</v>
      </c>
      <c r="M124" s="176">
        <v>2029</v>
      </c>
    </row>
    <row r="125" spans="2:19" x14ac:dyDescent="0.3">
      <c r="B125" s="156" t="s">
        <v>459</v>
      </c>
      <c r="C125" s="157" t="str">
        <f>IF(dms_RPT="financial",VALUE(LEFT(dms_fy6,4)+1)&amp;"-"&amp;TEXT(MID(dms_fy6,3,2)+2,"00"),VALUE(LEFT(dms_fy6,4)+1))</f>
        <v>2024-25</v>
      </c>
      <c r="D125" s="158">
        <v>2012</v>
      </c>
      <c r="E125" s="159" t="s">
        <v>460</v>
      </c>
      <c r="F125" s="172" t="s">
        <v>461</v>
      </c>
      <c r="G125" s="165" t="s">
        <v>386</v>
      </c>
      <c r="H125" s="162">
        <v>2017</v>
      </c>
      <c r="I125" s="163" t="s">
        <v>462</v>
      </c>
      <c r="J125" s="149"/>
      <c r="L125" s="175" t="s">
        <v>463</v>
      </c>
      <c r="M125" s="176">
        <v>2030</v>
      </c>
    </row>
    <row r="126" spans="2:19" x14ac:dyDescent="0.3">
      <c r="B126" s="156" t="s">
        <v>464</v>
      </c>
      <c r="C126" s="157" t="str">
        <f>IF(dms_RPT="financial",VALUE(LEFT(dms_fy7,4)+1)&amp;"-"&amp;TEXT(MID(dms_fy7,3,2)+2,"00"),VALUE(LEFT(dms_fy7,4)+1))</f>
        <v>2025-26</v>
      </c>
      <c r="D126" s="158">
        <v>2013</v>
      </c>
      <c r="E126" s="159" t="s">
        <v>465</v>
      </c>
      <c r="F126" s="164" t="s">
        <v>466</v>
      </c>
      <c r="G126" s="165" t="s">
        <v>392</v>
      </c>
      <c r="H126" s="162">
        <v>2018</v>
      </c>
      <c r="I126" s="166" t="s">
        <v>467</v>
      </c>
      <c r="J126" s="149"/>
      <c r="L126" s="175" t="s">
        <v>468</v>
      </c>
      <c r="M126" s="176">
        <v>2031</v>
      </c>
    </row>
    <row r="127" spans="2:19" x14ac:dyDescent="0.3">
      <c r="B127" s="156" t="s">
        <v>469</v>
      </c>
      <c r="C127" s="157" t="str">
        <f>IF(dms_RPT="financial",VALUE(LEFT(dms_fy8,4)+1)&amp;"-"&amp;TEXT(MID(dms_fy8,3,2)+2,"00"),VALUE(LEFT(dms_fy8,4)+1))</f>
        <v>2026-27</v>
      </c>
      <c r="D127" s="158">
        <v>2014</v>
      </c>
      <c r="E127" s="159" t="s">
        <v>470</v>
      </c>
      <c r="F127" s="172" t="s">
        <v>471</v>
      </c>
      <c r="G127" s="165" t="s">
        <v>398</v>
      </c>
      <c r="H127" s="162">
        <v>2019</v>
      </c>
      <c r="I127" s="163" t="s">
        <v>472</v>
      </c>
      <c r="J127" s="149"/>
      <c r="L127" s="175" t="s">
        <v>473</v>
      </c>
      <c r="M127" s="176">
        <v>2032</v>
      </c>
    </row>
    <row r="128" spans="2:19" x14ac:dyDescent="0.3">
      <c r="B128" s="156" t="s">
        <v>474</v>
      </c>
      <c r="C128" s="157" t="str">
        <f>IF(dms_RPT="financial",VALUE(LEFT(dms_fy9,4)+1)&amp;"-"&amp;TEXT(MID(dms_fy9,3,2)+2,"00"),VALUE(LEFT(dms_fy9,4)+1))</f>
        <v>2027-28</v>
      </c>
      <c r="D128" s="158">
        <v>2015</v>
      </c>
      <c r="E128" s="159" t="s">
        <v>475</v>
      </c>
      <c r="F128" s="164" t="s">
        <v>476</v>
      </c>
      <c r="G128" s="165" t="s">
        <v>404</v>
      </c>
      <c r="H128" s="162">
        <v>2020</v>
      </c>
      <c r="I128" s="166" t="s">
        <v>477</v>
      </c>
      <c r="J128" s="149"/>
      <c r="L128" s="175" t="s">
        <v>478</v>
      </c>
      <c r="M128" s="176">
        <v>2033</v>
      </c>
    </row>
    <row r="129" spans="2:15" x14ac:dyDescent="0.3">
      <c r="B129" s="156" t="s">
        <v>479</v>
      </c>
      <c r="C129" s="157" t="str">
        <f>IF(dms_RPT="financial",VALUE(LEFT(dms_fy10,4)+1)&amp;"-"&amp;TEXT(MID(dms_fy10,3,2)+2,"00"),VALUE(LEFT(dms_fy10,4)+1))</f>
        <v>2028-29</v>
      </c>
      <c r="D129" s="158">
        <v>2016</v>
      </c>
      <c r="E129" s="159" t="s">
        <v>480</v>
      </c>
      <c r="F129" s="172" t="s">
        <v>481</v>
      </c>
      <c r="G129" s="165" t="s">
        <v>407</v>
      </c>
      <c r="H129" s="162">
        <v>2021</v>
      </c>
      <c r="I129" s="163" t="s">
        <v>482</v>
      </c>
      <c r="J129" s="149"/>
      <c r="L129" s="175" t="s">
        <v>483</v>
      </c>
      <c r="M129" s="176">
        <v>2034</v>
      </c>
    </row>
    <row r="130" spans="2:15" x14ac:dyDescent="0.3">
      <c r="B130" s="156" t="s">
        <v>484</v>
      </c>
      <c r="C130" s="157" t="str">
        <f>IF(dms_RPT="financial",VALUE(LEFT(dms_fy11,4)+1)&amp;"-"&amp;TEXT(MID(dms_fy11,3,2)+2,"00"),VALUE(LEFT(dms_fy11,4)+1))</f>
        <v>2029-30</v>
      </c>
      <c r="D130" s="158">
        <v>2017</v>
      </c>
      <c r="E130" s="159" t="s">
        <v>485</v>
      </c>
      <c r="F130" s="164" t="s">
        <v>486</v>
      </c>
      <c r="G130" s="165" t="s">
        <v>411</v>
      </c>
      <c r="H130" s="162">
        <v>2022</v>
      </c>
      <c r="I130" s="166" t="s">
        <v>487</v>
      </c>
      <c r="J130" s="149"/>
      <c r="L130" s="175" t="s">
        <v>488</v>
      </c>
      <c r="M130" s="176">
        <v>2035</v>
      </c>
    </row>
    <row r="131" spans="2:15" ht="15.75" customHeight="1" x14ac:dyDescent="0.3">
      <c r="B131" s="156" t="s">
        <v>489</v>
      </c>
      <c r="C131" s="157" t="str">
        <f>IF(dms_RPT="financial",VALUE(LEFT(dms_fy12,4)+1)&amp;"-"&amp;TEXT(MID(dms_fy12,3,2)+2,"00"),VALUE(LEFT(dms_fy12,4)+1))</f>
        <v>2030-31</v>
      </c>
      <c r="D131" s="158">
        <v>2018</v>
      </c>
      <c r="E131" s="159" t="s">
        <v>490</v>
      </c>
      <c r="F131" s="172" t="s">
        <v>491</v>
      </c>
      <c r="G131" s="165" t="s">
        <v>422</v>
      </c>
      <c r="H131" s="162">
        <v>2023</v>
      </c>
      <c r="I131" s="163" t="s">
        <v>492</v>
      </c>
      <c r="J131" s="149"/>
      <c r="L131" s="186" t="s">
        <v>493</v>
      </c>
      <c r="M131" s="187">
        <v>2036</v>
      </c>
    </row>
    <row r="132" spans="2:15" x14ac:dyDescent="0.3">
      <c r="B132" s="156" t="s">
        <v>494</v>
      </c>
      <c r="C132" s="157" t="str">
        <f>IF(dms_RPT="financial",VALUE(LEFT(dms_fy13,4)+1)&amp;"-"&amp;TEXT(MID(dms_fy13,3,2)+2,"00"),VALUE(LEFT(dms_fy13,4)+1))</f>
        <v>2031-32</v>
      </c>
      <c r="D132" s="158">
        <v>2019</v>
      </c>
      <c r="E132" s="159" t="s">
        <v>495</v>
      </c>
      <c r="F132" s="164" t="s">
        <v>496</v>
      </c>
      <c r="G132" s="165" t="s">
        <v>429</v>
      </c>
      <c r="H132" s="162">
        <v>2024</v>
      </c>
      <c r="I132" s="166" t="s">
        <v>497</v>
      </c>
      <c r="J132" s="149"/>
    </row>
    <row r="133" spans="2:15" ht="28.5" customHeight="1" x14ac:dyDescent="0.3">
      <c r="B133" s="156" t="s">
        <v>498</v>
      </c>
      <c r="C133" s="157" t="str">
        <f>IF(dms_RPT="financial",VALUE(LEFT(dms_fy14,4)+1)&amp;"-"&amp;TEXT(MID(dms_fy14,3,2)+2,"00"),VALUE(LEFT(dms_fy14,4)+1))</f>
        <v>2032-33</v>
      </c>
      <c r="D133" s="158">
        <v>2020</v>
      </c>
      <c r="E133" s="159" t="s">
        <v>499</v>
      </c>
      <c r="F133" s="177" t="s">
        <v>500</v>
      </c>
      <c r="G133" s="178" t="s">
        <v>436</v>
      </c>
      <c r="H133" s="179">
        <v>2025</v>
      </c>
      <c r="I133" s="180" t="s">
        <v>501</v>
      </c>
      <c r="J133" s="149"/>
    </row>
    <row r="134" spans="2:15" x14ac:dyDescent="0.3">
      <c r="B134" s="156" t="s">
        <v>502</v>
      </c>
      <c r="C134" s="157" t="str">
        <f>IF(dms_RPT="financial",VALUE(LEFT(dms_fy15,4)+1)&amp;"-"&amp;TEXT(MID(dms_fy15,3,2)+2,"00"),VALUE(LEFT(dms_fy15,4)+1))</f>
        <v>2033-34</v>
      </c>
      <c r="D134" s="158">
        <v>2021</v>
      </c>
      <c r="E134" s="159" t="s">
        <v>503</v>
      </c>
      <c r="J134" s="149"/>
    </row>
    <row r="135" spans="2:15" ht="15.75" customHeight="1" x14ac:dyDescent="0.3">
      <c r="B135" s="156" t="s">
        <v>504</v>
      </c>
      <c r="C135" s="157" t="str">
        <f>IF(dms_RPT="financial",VALUE(LEFT(dms_fy16,4)+1)&amp;"-"&amp;TEXT(MID(dms_fy16,3,2)+2,"00"),VALUE(LEFT(dms_fy16,4)+1))</f>
        <v>2034-35</v>
      </c>
      <c r="D135" s="158">
        <v>2022</v>
      </c>
      <c r="E135" s="159" t="s">
        <v>505</v>
      </c>
      <c r="J135" s="149"/>
    </row>
    <row r="136" spans="2:15" x14ac:dyDescent="0.3">
      <c r="B136" s="156" t="s">
        <v>506</v>
      </c>
      <c r="C136" s="157" t="str">
        <f>IF(dms_RPT="financial",VALUE(LEFT(dms_fy17,4)+1)&amp;"-"&amp;TEXT(MID(dms_fy17,3,2)+2,"00"),VALUE(LEFT(dms_fy17,4)+1))</f>
        <v>2035-36</v>
      </c>
      <c r="D136" s="158">
        <v>2023</v>
      </c>
      <c r="E136" s="159" t="s">
        <v>507</v>
      </c>
      <c r="J136" s="149"/>
    </row>
    <row r="137" spans="2:15" x14ac:dyDescent="0.3">
      <c r="B137" s="156" t="s">
        <v>508</v>
      </c>
      <c r="C137" s="157" t="str">
        <f>IF(dms_RPT="financial",VALUE(LEFT(dms_fy18,4)+1)&amp;"-"&amp;TEXT(MID(dms_fy18,3,2)+2,"00"),VALUE(LEFT(dms_fy18,4)+1))</f>
        <v>2036-37</v>
      </c>
      <c r="D137" s="158">
        <v>2024</v>
      </c>
      <c r="E137" s="159" t="s">
        <v>509</v>
      </c>
      <c r="J137" s="149"/>
    </row>
    <row r="138" spans="2:15" ht="15.75" customHeight="1" x14ac:dyDescent="0.3">
      <c r="B138" s="181" t="s">
        <v>510</v>
      </c>
      <c r="C138" s="182" t="str">
        <f>IF(dms_RPT="financial",VALUE(LEFT(dms_fy19,4)+1)&amp;"-"&amp;TEXT(MID(dms_fy19,3,2)+2,"00"),VALUE(LEFT(dms_fy19)+1))</f>
        <v>2037-38</v>
      </c>
      <c r="D138" s="183">
        <v>2025</v>
      </c>
      <c r="E138" s="184" t="s">
        <v>511</v>
      </c>
      <c r="F138" s="620"/>
      <c r="G138" s="620"/>
      <c r="H138" s="620"/>
      <c r="I138" s="620"/>
      <c r="J138" s="185"/>
    </row>
    <row r="139" spans="2:15" x14ac:dyDescent="0.3">
      <c r="B139" s="1"/>
      <c r="C139" s="1"/>
    </row>
    <row r="140" spans="2:15" x14ac:dyDescent="0.3">
      <c r="B140" s="1"/>
      <c r="C140" s="1"/>
    </row>
    <row r="141" spans="2:15" x14ac:dyDescent="0.3">
      <c r="B141" s="1"/>
      <c r="C141" s="1"/>
    </row>
    <row r="143" spans="2:15" ht="15.75" customHeight="1" x14ac:dyDescent="0.3"/>
    <row r="144" spans="2:15" ht="15.75" customHeight="1" x14ac:dyDescent="0.3">
      <c r="B144" s="621" t="s">
        <v>512</v>
      </c>
      <c r="C144" s="622"/>
      <c r="D144" s="622"/>
      <c r="E144" s="622"/>
      <c r="F144" s="622"/>
      <c r="G144" s="622"/>
      <c r="H144" s="623"/>
      <c r="I144" s="623"/>
      <c r="J144" s="623"/>
      <c r="K144" s="623"/>
      <c r="L144" s="623"/>
      <c r="M144" s="623"/>
      <c r="N144" s="623"/>
      <c r="O144" s="624"/>
    </row>
    <row r="145" spans="2:15" x14ac:dyDescent="0.3">
      <c r="B145" s="625"/>
      <c r="C145" s="626" t="s">
        <v>513</v>
      </c>
      <c r="D145" s="627"/>
      <c r="E145" s="628"/>
      <c r="F145" s="629"/>
      <c r="G145" s="629"/>
      <c r="H145" s="1"/>
      <c r="I145" s="1"/>
      <c r="J145" s="1"/>
      <c r="K145" s="1"/>
      <c r="L145" s="1"/>
      <c r="O145" s="630"/>
    </row>
    <row r="146" spans="2:15" ht="15.75" customHeight="1" x14ac:dyDescent="0.3">
      <c r="B146" s="625"/>
      <c r="C146" s="631" t="s">
        <v>514</v>
      </c>
      <c r="D146" s="631" t="s">
        <v>515</v>
      </c>
      <c r="E146" s="631" t="s">
        <v>516</v>
      </c>
      <c r="F146" s="631" t="s">
        <v>517</v>
      </c>
      <c r="G146" s="632"/>
      <c r="H146" s="1"/>
      <c r="I146" s="1"/>
      <c r="J146" s="1"/>
      <c r="K146" s="1"/>
      <c r="L146" s="1"/>
      <c r="O146" s="630"/>
    </row>
    <row r="147" spans="2:15" ht="39" customHeight="1" x14ac:dyDescent="0.3">
      <c r="B147" s="625"/>
      <c r="C147" s="633" t="s">
        <v>518</v>
      </c>
      <c r="D147" s="634" t="s">
        <v>519</v>
      </c>
      <c r="E147" s="635" t="s">
        <v>520</v>
      </c>
      <c r="F147" s="635" t="s">
        <v>521</v>
      </c>
      <c r="G147" s="2"/>
      <c r="H147" s="1"/>
      <c r="I147" s="1"/>
      <c r="J147" s="1"/>
      <c r="K147" s="1"/>
      <c r="L147" s="1"/>
      <c r="O147" s="630"/>
    </row>
    <row r="148" spans="2:15" x14ac:dyDescent="0.3">
      <c r="B148" s="625"/>
      <c r="C148" s="2"/>
      <c r="D148" s="2"/>
      <c r="E148" s="2"/>
      <c r="F148" s="2"/>
      <c r="G148" s="2"/>
      <c r="H148" s="1"/>
      <c r="I148" s="1"/>
      <c r="J148" s="1"/>
      <c r="K148" s="1"/>
      <c r="L148" s="1"/>
      <c r="O148" s="630"/>
    </row>
    <row r="149" spans="2:15" x14ac:dyDescent="0.3">
      <c r="B149" s="625"/>
      <c r="C149" s="2"/>
      <c r="D149" s="2"/>
      <c r="E149" s="2"/>
      <c r="F149" s="2"/>
      <c r="G149" s="2"/>
      <c r="H149" s="1"/>
      <c r="I149" s="1"/>
      <c r="J149" s="1"/>
      <c r="K149" s="1"/>
      <c r="L149" s="1"/>
      <c r="O149" s="630"/>
    </row>
    <row r="150" spans="2:15" ht="15.75" customHeight="1" x14ac:dyDescent="0.3">
      <c r="B150" s="625"/>
      <c r="C150" s="2"/>
      <c r="D150" s="2"/>
      <c r="E150" s="2"/>
      <c r="F150" s="2"/>
      <c r="G150" s="2"/>
      <c r="H150" s="1"/>
      <c r="I150" s="1"/>
      <c r="J150" s="1"/>
      <c r="K150" s="1"/>
      <c r="L150" s="1"/>
      <c r="O150" s="630"/>
    </row>
    <row r="151" spans="2:15" x14ac:dyDescent="0.3">
      <c r="B151" s="625"/>
      <c r="C151" s="636" t="s">
        <v>522</v>
      </c>
      <c r="D151" s="629"/>
      <c r="E151" s="629"/>
      <c r="F151" s="637"/>
      <c r="G151" s="2"/>
      <c r="H151" s="1"/>
      <c r="I151" s="1"/>
      <c r="J151" s="1"/>
      <c r="K151" s="1"/>
      <c r="L151" s="1"/>
      <c r="O151" s="630"/>
    </row>
    <row r="152" spans="2:15" ht="15.75" customHeight="1" x14ac:dyDescent="0.3">
      <c r="B152" s="625"/>
      <c r="C152" s="631" t="s">
        <v>523</v>
      </c>
      <c r="D152" s="631" t="s">
        <v>524</v>
      </c>
      <c r="E152" s="631" t="s">
        <v>525</v>
      </c>
      <c r="F152" s="630"/>
      <c r="G152" s="2"/>
      <c r="H152" s="1"/>
      <c r="I152" s="1"/>
      <c r="J152" s="1"/>
      <c r="K152" s="1"/>
      <c r="L152" s="1"/>
      <c r="O152" s="630"/>
    </row>
    <row r="153" spans="2:15" ht="64.5" customHeight="1" x14ac:dyDescent="0.3">
      <c r="B153" s="625"/>
      <c r="C153" s="638" t="s">
        <v>526</v>
      </c>
      <c r="D153" s="639" t="s">
        <v>527</v>
      </c>
      <c r="E153" s="640" t="str">
        <f>dms_060701_StartDateTxt</f>
        <v>1-Jul-2024</v>
      </c>
      <c r="F153" s="641"/>
      <c r="G153" s="2"/>
      <c r="H153" s="1"/>
      <c r="I153" s="1"/>
      <c r="J153" s="1"/>
      <c r="K153" s="1"/>
      <c r="L153" s="1"/>
      <c r="O153" s="630"/>
    </row>
    <row r="154" spans="2:15" x14ac:dyDescent="0.3">
      <c r="B154" s="625"/>
      <c r="C154" s="2"/>
      <c r="D154" s="2"/>
      <c r="E154" s="2"/>
      <c r="F154" s="2"/>
      <c r="G154" s="2"/>
      <c r="H154" s="1"/>
      <c r="I154" s="1"/>
      <c r="J154" s="1"/>
      <c r="K154" s="1"/>
      <c r="L154" s="1"/>
      <c r="O154" s="630"/>
    </row>
    <row r="155" spans="2:15" x14ac:dyDescent="0.3">
      <c r="B155" s="625"/>
      <c r="C155" s="2"/>
      <c r="D155" s="2"/>
      <c r="E155" s="2"/>
      <c r="F155" s="2"/>
      <c r="G155" s="2"/>
      <c r="H155" s="1"/>
      <c r="I155" s="1"/>
      <c r="J155" s="1"/>
      <c r="K155" s="1"/>
      <c r="L155" s="1"/>
      <c r="O155" s="630"/>
    </row>
    <row r="156" spans="2:15" ht="15.75" customHeight="1" x14ac:dyDescent="0.3">
      <c r="B156" s="625"/>
      <c r="C156" s="2"/>
      <c r="D156" s="2"/>
      <c r="E156" s="2"/>
      <c r="F156" s="2"/>
      <c r="I156" s="1"/>
      <c r="J156" s="1"/>
      <c r="K156" s="1"/>
      <c r="L156" s="1"/>
      <c r="O156" s="630"/>
    </row>
    <row r="157" spans="2:15" ht="15.75" customHeight="1" x14ac:dyDescent="0.3">
      <c r="B157" s="625"/>
      <c r="C157" s="1"/>
      <c r="H157" s="642" t="s">
        <v>528</v>
      </c>
      <c r="I157" s="643" t="str">
        <f>INDEX(dms_FeederName_1,MATCH(dms_TradingName,dms_TradingName_List))</f>
        <v>CBD</v>
      </c>
      <c r="J157" s="644" t="str">
        <f>INDEX(dms_FeederName_2,MATCH(dms_TradingName,dms_TradingName_List))</f>
        <v>Urban</v>
      </c>
      <c r="K157" s="644" t="str">
        <f>INDEX(dms_FeederName_3,MATCH(dms_TradingName,dms_TradingName_List))</f>
        <v>Short rural</v>
      </c>
      <c r="L157" s="644" t="str">
        <f>INDEX(dms_FeederName_4,MATCH(dms_TradingName,dms_TradingName_List))</f>
        <v>Long rural</v>
      </c>
      <c r="M157" s="645"/>
      <c r="O157" s="630"/>
    </row>
    <row r="158" spans="2:15" x14ac:dyDescent="0.3">
      <c r="B158" s="625"/>
      <c r="C158" s="636" t="s">
        <v>529</v>
      </c>
      <c r="D158" s="629"/>
      <c r="E158" s="629"/>
      <c r="F158" s="637"/>
      <c r="I158" s="1"/>
      <c r="J158" s="1"/>
      <c r="K158" s="1"/>
      <c r="L158" s="1"/>
      <c r="O158" s="630"/>
    </row>
    <row r="159" spans="2:15" x14ac:dyDescent="0.3">
      <c r="B159" s="625"/>
      <c r="C159" s="646" t="s">
        <v>530</v>
      </c>
      <c r="E159" s="200"/>
      <c r="F159" s="200"/>
      <c r="G159" s="200"/>
      <c r="H159" s="1"/>
      <c r="I159" s="1"/>
      <c r="J159" s="210"/>
      <c r="K159" s="1"/>
      <c r="L159" s="1"/>
      <c r="O159" s="630"/>
    </row>
    <row r="160" spans="2:15" x14ac:dyDescent="0.3">
      <c r="B160" s="647" t="s">
        <v>531</v>
      </c>
      <c r="C160" s="648" t="str">
        <f>INDEX(dms_FeederName_1,MATCH(dms_TradingName,dms_TradingName_List))</f>
        <v>CBD</v>
      </c>
      <c r="D160" s="648" t="str">
        <f>INDEX(dms_FeederName_1,MATCH(dms_TradingName,dms_TradingName_List))</f>
        <v>CBD</v>
      </c>
      <c r="E160" s="649" t="str">
        <f>INDEX(dms_FeederName_2,MATCH(dms_TradingName,dms_TradingName_List))</f>
        <v>Urban</v>
      </c>
      <c r="F160" s="649" t="str">
        <f>INDEX(dms_FeederName_2,MATCH(dms_TradingName,dms_TradingName_List))</f>
        <v>Urban</v>
      </c>
      <c r="G160" s="648" t="str">
        <f>INDEX(dms_FeederName_3,MATCH(dms_TradingName,dms_TradingName_List))</f>
        <v>Short rural</v>
      </c>
      <c r="H160" s="648" t="str">
        <f>INDEX(dms_FeederName_3,MATCH(dms_TradingName,dms_TradingName_List))</f>
        <v>Short rural</v>
      </c>
      <c r="I160" s="649" t="str">
        <f>INDEX(dms_FeederName_4,MATCH(dms_TradingName,dms_TradingName_List))</f>
        <v>Long rural</v>
      </c>
      <c r="J160" s="649" t="str">
        <f>INDEX(dms_FeederName_4,MATCH(dms_TradingName,dms_TradingName_List))</f>
        <v>Long rural</v>
      </c>
      <c r="K160" s="648" t="str">
        <f>IF((INDEX(dms_FeederName_5,MATCH(dms_TradingName,dms_TradingName_List))=0),"Network",(INDEX(dms_FeederName_5,MATCH(dms_TradingName,dms_TradingName_List))))</f>
        <v>Network</v>
      </c>
      <c r="L160" s="648" t="str">
        <f>IF((INDEX(dms_FeederName_5,MATCH(dms_TradingName,dms_TradingName_List))=0),"Network",(INDEX(dms_FeederName_5,MATCH(dms_TradingName,dms_TradingName_List))))</f>
        <v>Network</v>
      </c>
      <c r="M160" s="648" t="s">
        <v>532</v>
      </c>
      <c r="N160" s="648" t="s">
        <v>532</v>
      </c>
      <c r="O160" s="630"/>
    </row>
    <row r="161" spans="1:15" ht="15.75" customHeight="1" x14ac:dyDescent="0.3">
      <c r="B161" s="650"/>
      <c r="C161" s="651"/>
      <c r="H161" s="1"/>
      <c r="I161" s="1"/>
      <c r="J161" s="1"/>
      <c r="K161" s="1"/>
      <c r="L161" s="1"/>
      <c r="M161" s="630"/>
      <c r="O161" s="630"/>
    </row>
    <row r="162" spans="1:15" ht="26.25" customHeight="1" x14ac:dyDescent="0.3">
      <c r="B162" s="652" t="s">
        <v>533</v>
      </c>
      <c r="C162" s="653" t="s">
        <v>534</v>
      </c>
      <c r="D162" s="654" t="s">
        <v>535</v>
      </c>
      <c r="E162" s="654" t="s">
        <v>534</v>
      </c>
      <c r="F162" s="654" t="s">
        <v>535</v>
      </c>
      <c r="G162" s="654" t="s">
        <v>534</v>
      </c>
      <c r="H162" s="654" t="s">
        <v>535</v>
      </c>
      <c r="I162" s="654" t="s">
        <v>534</v>
      </c>
      <c r="J162" s="654" t="s">
        <v>535</v>
      </c>
      <c r="K162" s="654" t="s">
        <v>534</v>
      </c>
      <c r="L162" s="655" t="s">
        <v>535</v>
      </c>
      <c r="M162" s="654" t="s">
        <v>534</v>
      </c>
      <c r="N162" s="655" t="s">
        <v>535</v>
      </c>
      <c r="O162" s="630"/>
    </row>
    <row r="163" spans="1:15" x14ac:dyDescent="0.3">
      <c r="B163" s="625"/>
      <c r="C163" s="656" t="s">
        <v>536</v>
      </c>
      <c r="G163" s="200"/>
      <c r="H163" s="1"/>
      <c r="I163" s="200"/>
      <c r="J163" s="200"/>
      <c r="K163" s="1"/>
      <c r="L163" s="1"/>
      <c r="O163" s="630"/>
    </row>
    <row r="164" spans="1:15" x14ac:dyDescent="0.3">
      <c r="A164" s="657"/>
      <c r="B164" s="2"/>
      <c r="C164" s="1"/>
      <c r="H164" s="1"/>
      <c r="I164" s="200"/>
      <c r="J164" s="200"/>
      <c r="K164" s="1"/>
      <c r="L164" s="1"/>
      <c r="O164" s="630"/>
    </row>
    <row r="165" spans="1:15" x14ac:dyDescent="0.3">
      <c r="A165" s="657"/>
      <c r="B165" s="2"/>
      <c r="C165" s="658"/>
      <c r="D165" s="656"/>
      <c r="E165" s="656"/>
      <c r="F165" s="656"/>
      <c r="G165" s="656"/>
      <c r="H165" s="1"/>
      <c r="I165" s="200"/>
      <c r="J165" s="200"/>
      <c r="K165" s="1"/>
      <c r="L165" s="1"/>
      <c r="O165" s="630"/>
    </row>
    <row r="166" spans="1:15" x14ac:dyDescent="0.3">
      <c r="A166" s="657"/>
      <c r="B166" s="2"/>
      <c r="C166" s="1"/>
      <c r="D166" s="659"/>
      <c r="E166" s="200"/>
      <c r="F166" s="200"/>
      <c r="G166" s="200"/>
      <c r="H166" s="1"/>
      <c r="I166" s="660"/>
      <c r="J166" s="659"/>
      <c r="K166" s="1"/>
      <c r="L166" s="1"/>
      <c r="O166" s="630"/>
    </row>
    <row r="167" spans="1:15" ht="15.75" customHeight="1" x14ac:dyDescent="0.3">
      <c r="A167" s="657"/>
      <c r="B167" s="2"/>
      <c r="C167" s="1"/>
      <c r="D167" s="659"/>
      <c r="E167" s="200"/>
      <c r="F167" s="200"/>
      <c r="G167" s="200"/>
      <c r="H167" s="1"/>
      <c r="I167" s="200"/>
      <c r="J167" s="200"/>
      <c r="K167" s="1"/>
      <c r="L167" s="1"/>
      <c r="O167" s="630"/>
    </row>
    <row r="168" spans="1:15" x14ac:dyDescent="0.3">
      <c r="A168" s="657"/>
      <c r="B168" s="2"/>
      <c r="C168" s="636" t="s">
        <v>537</v>
      </c>
      <c r="D168" s="629"/>
      <c r="E168" s="629"/>
      <c r="F168" s="629"/>
      <c r="G168" s="637"/>
      <c r="H168" s="1"/>
      <c r="I168" s="200"/>
      <c r="J168" s="200"/>
      <c r="K168" s="1"/>
      <c r="L168" s="1"/>
      <c r="O168" s="630"/>
    </row>
    <row r="169" spans="1:15" ht="15.75" customHeight="1" x14ac:dyDescent="0.3">
      <c r="A169" s="657"/>
      <c r="B169" s="2"/>
      <c r="C169" s="661" t="s">
        <v>538</v>
      </c>
      <c r="D169" s="632" t="s">
        <v>539</v>
      </c>
      <c r="E169" s="632" t="s">
        <v>540</v>
      </c>
      <c r="F169" s="632" t="s">
        <v>541</v>
      </c>
      <c r="G169" s="630"/>
      <c r="H169" s="1"/>
      <c r="I169" s="200"/>
      <c r="J169" s="200"/>
      <c r="K169" s="1"/>
      <c r="L169" s="1"/>
      <c r="O169" s="630"/>
    </row>
    <row r="170" spans="1:15" ht="26.25" customHeight="1" x14ac:dyDescent="0.3">
      <c r="A170" s="657"/>
      <c r="B170" s="2"/>
      <c r="C170" s="638" t="s">
        <v>542</v>
      </c>
      <c r="D170" s="639" t="s">
        <v>543</v>
      </c>
      <c r="E170" s="662" t="s">
        <v>544</v>
      </c>
      <c r="F170" s="662" t="s">
        <v>545</v>
      </c>
      <c r="G170" s="641"/>
      <c r="H170" s="1"/>
      <c r="I170" s="200"/>
      <c r="J170" s="200"/>
      <c r="K170" s="1"/>
      <c r="L170" s="1"/>
      <c r="O170" s="630"/>
    </row>
    <row r="171" spans="1:15" x14ac:dyDescent="0.3">
      <c r="A171" s="657"/>
      <c r="B171" s="2"/>
      <c r="C171" s="2"/>
      <c r="D171" s="2"/>
      <c r="E171" s="2"/>
      <c r="F171" s="2"/>
      <c r="G171" s="2"/>
      <c r="H171" s="1"/>
      <c r="I171" s="200"/>
      <c r="J171" s="200"/>
      <c r="K171" s="1"/>
      <c r="L171" s="1"/>
      <c r="O171" s="630"/>
    </row>
    <row r="172" spans="1:15" x14ac:dyDescent="0.3">
      <c r="A172" s="657"/>
      <c r="B172" s="2"/>
      <c r="C172" s="2"/>
      <c r="D172" s="2"/>
      <c r="E172" s="2"/>
      <c r="F172" s="2"/>
      <c r="G172" s="2"/>
      <c r="H172" s="1"/>
      <c r="I172" s="200"/>
      <c r="J172" s="200"/>
      <c r="K172" s="1"/>
      <c r="L172" s="1"/>
      <c r="O172" s="630"/>
    </row>
    <row r="173" spans="1:15" x14ac:dyDescent="0.3">
      <c r="A173" s="657"/>
      <c r="B173" s="2"/>
      <c r="C173" s="658"/>
      <c r="D173" s="2"/>
      <c r="E173" s="2"/>
      <c r="F173" s="2"/>
      <c r="G173" s="2"/>
      <c r="H173" s="1"/>
      <c r="I173" s="200"/>
      <c r="J173" s="200"/>
      <c r="K173" s="1"/>
      <c r="L173" s="1"/>
      <c r="O173" s="630"/>
    </row>
    <row r="174" spans="1:15" ht="15.75" customHeight="1" x14ac:dyDescent="0.3">
      <c r="A174" s="657"/>
      <c r="B174" s="2"/>
      <c r="C174" s="2"/>
      <c r="D174" s="2"/>
      <c r="E174" s="2"/>
      <c r="F174" s="2"/>
      <c r="G174" s="2"/>
      <c r="H174" s="1"/>
      <c r="I174" s="200"/>
      <c r="J174" s="200"/>
      <c r="K174" s="1"/>
      <c r="L174" s="1"/>
      <c r="O174" s="630"/>
    </row>
    <row r="175" spans="1:15" ht="15.75" customHeight="1" x14ac:dyDescent="0.3">
      <c r="A175" s="657"/>
      <c r="B175" s="2"/>
      <c r="C175" s="636" t="s">
        <v>546</v>
      </c>
      <c r="D175" s="637"/>
      <c r="H175" s="1"/>
      <c r="I175" s="200"/>
      <c r="J175" s="200"/>
      <c r="K175" s="1"/>
      <c r="L175" s="1"/>
      <c r="O175" s="630"/>
    </row>
    <row r="176" spans="1:15" ht="15.75" customHeight="1" x14ac:dyDescent="0.3">
      <c r="A176" s="657"/>
      <c r="B176" s="663" t="s">
        <v>547</v>
      </c>
      <c r="C176" s="664" t="s">
        <v>548</v>
      </c>
      <c r="D176" s="665" t="s">
        <v>549</v>
      </c>
      <c r="H176" s="1"/>
      <c r="I176" s="200"/>
      <c r="J176" s="200"/>
      <c r="K176" s="1"/>
      <c r="L176" s="1"/>
      <c r="O176" s="630"/>
    </row>
    <row r="177" spans="1:15" x14ac:dyDescent="0.3">
      <c r="A177" s="657"/>
      <c r="D177" s="2"/>
      <c r="H177" s="1"/>
      <c r="I177" s="200"/>
      <c r="J177" s="200"/>
      <c r="K177" s="1"/>
      <c r="L177" s="1"/>
      <c r="O177" s="630"/>
    </row>
    <row r="178" spans="1:15" x14ac:dyDescent="0.3">
      <c r="A178" s="657"/>
      <c r="H178" s="1"/>
      <c r="I178" s="200"/>
      <c r="J178" s="200"/>
      <c r="K178" s="1"/>
      <c r="L178" s="1"/>
      <c r="O178" s="630"/>
    </row>
    <row r="179" spans="1:15" x14ac:dyDescent="0.3">
      <c r="A179" s="657"/>
      <c r="H179" s="1"/>
      <c r="I179" s="1"/>
      <c r="J179" s="1"/>
      <c r="K179" s="1"/>
      <c r="L179" s="1"/>
      <c r="O179" s="630"/>
    </row>
    <row r="180" spans="1:15" x14ac:dyDescent="0.3">
      <c r="A180" s="657"/>
      <c r="H180" s="1"/>
      <c r="I180" s="200"/>
      <c r="J180" s="200"/>
      <c r="K180" s="1"/>
      <c r="L180" s="1"/>
      <c r="O180" s="630"/>
    </row>
    <row r="181" spans="1:15" x14ac:dyDescent="0.3">
      <c r="A181" s="657"/>
      <c r="B181" s="2"/>
      <c r="C181" s="1"/>
      <c r="H181" s="1"/>
      <c r="I181" s="1"/>
      <c r="J181" s="1"/>
      <c r="K181" s="1"/>
      <c r="L181" s="1"/>
      <c r="O181" s="630"/>
    </row>
    <row r="182" spans="1:15" x14ac:dyDescent="0.3">
      <c r="A182" s="657"/>
      <c r="B182" s="2"/>
      <c r="C182" s="646" t="s">
        <v>550</v>
      </c>
      <c r="H182" s="1"/>
      <c r="I182" s="1"/>
      <c r="J182" s="1"/>
      <c r="K182" s="1"/>
      <c r="L182" s="1"/>
      <c r="O182" s="630"/>
    </row>
    <row r="183" spans="1:15" x14ac:dyDescent="0.3">
      <c r="A183" s="657"/>
      <c r="B183" s="2"/>
      <c r="C183" s="666" t="s">
        <v>551</v>
      </c>
      <c r="H183" s="1"/>
      <c r="I183" s="1"/>
      <c r="J183" s="1"/>
      <c r="K183" s="1"/>
      <c r="L183" s="1"/>
      <c r="O183" s="630"/>
    </row>
    <row r="184" spans="1:15" x14ac:dyDescent="0.3">
      <c r="A184" s="657"/>
      <c r="B184" s="2"/>
      <c r="C184" s="200" t="s">
        <v>552</v>
      </c>
      <c r="D184" s="200" t="s">
        <v>553</v>
      </c>
      <c r="E184" s="200" t="s">
        <v>554</v>
      </c>
      <c r="H184" s="1"/>
      <c r="I184" s="200"/>
      <c r="J184" s="200"/>
      <c r="K184" s="1"/>
      <c r="L184" s="1"/>
      <c r="O184" s="630"/>
    </row>
    <row r="185" spans="1:15" x14ac:dyDescent="0.3">
      <c r="A185" s="657"/>
      <c r="B185" s="2"/>
      <c r="C185" s="1"/>
      <c r="H185" s="1"/>
      <c r="I185" s="1"/>
      <c r="J185" s="1"/>
      <c r="K185" s="1"/>
      <c r="L185" s="1"/>
      <c r="O185" s="630"/>
    </row>
    <row r="186" spans="1:15" x14ac:dyDescent="0.3">
      <c r="A186" s="657"/>
      <c r="B186" s="2"/>
      <c r="C186" s="667" t="s">
        <v>555</v>
      </c>
      <c r="D186" s="668"/>
      <c r="E186" s="668"/>
      <c r="F186" s="668"/>
      <c r="G186" s="668"/>
      <c r="H186" s="668"/>
      <c r="I186" s="668"/>
      <c r="J186" s="668"/>
      <c r="K186" s="668"/>
      <c r="L186" s="668"/>
      <c r="M186" s="669"/>
      <c r="O186" s="630"/>
    </row>
    <row r="187" spans="1:15" x14ac:dyDescent="0.3">
      <c r="A187" s="657"/>
      <c r="B187" s="2"/>
      <c r="C187" s="668" t="s">
        <v>556</v>
      </c>
      <c r="D187" s="668" t="s">
        <v>557</v>
      </c>
      <c r="E187" s="668" t="s">
        <v>558</v>
      </c>
      <c r="F187" s="668" t="s">
        <v>559</v>
      </c>
      <c r="G187" s="668" t="s">
        <v>560</v>
      </c>
      <c r="H187" s="668" t="s">
        <v>561</v>
      </c>
      <c r="I187" s="668" t="s">
        <v>562</v>
      </c>
      <c r="J187" s="668" t="s">
        <v>563</v>
      </c>
      <c r="K187" s="668" t="s">
        <v>564</v>
      </c>
      <c r="L187" s="668" t="s">
        <v>565</v>
      </c>
      <c r="M187" s="669"/>
      <c r="O187" s="630"/>
    </row>
    <row r="188" spans="1:15" x14ac:dyDescent="0.3">
      <c r="A188" s="657"/>
      <c r="B188" s="2"/>
      <c r="C188" t="s">
        <v>566</v>
      </c>
      <c r="H188" s="1"/>
      <c r="I188" s="200"/>
      <c r="J188" s="200"/>
      <c r="K188" s="1"/>
      <c r="L188" s="1"/>
      <c r="O188" s="630"/>
    </row>
    <row r="189" spans="1:15" x14ac:dyDescent="0.3">
      <c r="A189" s="657"/>
      <c r="B189" s="2"/>
      <c r="O189" s="630"/>
    </row>
    <row r="190" spans="1:15" x14ac:dyDescent="0.3">
      <c r="A190" s="657"/>
      <c r="B190" s="2"/>
      <c r="C190" s="666" t="s">
        <v>567</v>
      </c>
      <c r="H190" s="1"/>
      <c r="I190" s="200"/>
      <c r="J190" s="200"/>
      <c r="K190" s="1"/>
      <c r="L190" s="1"/>
      <c r="O190" s="630"/>
    </row>
    <row r="191" spans="1:15" x14ac:dyDescent="0.3">
      <c r="A191" s="657"/>
      <c r="B191" s="2"/>
      <c r="C191" t="s">
        <v>568</v>
      </c>
      <c r="D191" t="s">
        <v>569</v>
      </c>
      <c r="E191" t="s">
        <v>570</v>
      </c>
      <c r="F191" t="s">
        <v>571</v>
      </c>
      <c r="G191" t="s">
        <v>572</v>
      </c>
      <c r="H191" t="s">
        <v>573</v>
      </c>
      <c r="I191" t="s">
        <v>574</v>
      </c>
      <c r="J191" t="s">
        <v>575</v>
      </c>
      <c r="K191" t="s">
        <v>576</v>
      </c>
      <c r="L191" t="s">
        <v>577</v>
      </c>
      <c r="M191" t="s">
        <v>578</v>
      </c>
      <c r="O191" s="630"/>
    </row>
    <row r="192" spans="1:15" x14ac:dyDescent="0.3">
      <c r="A192" s="657"/>
      <c r="B192" s="2"/>
      <c r="C192" s="1"/>
      <c r="H192" s="1"/>
      <c r="I192" s="1"/>
      <c r="J192" s="1"/>
      <c r="K192" s="1"/>
      <c r="L192" s="1"/>
      <c r="O192" s="630"/>
    </row>
    <row r="193" spans="1:15" ht="15.75" customHeight="1" x14ac:dyDescent="0.3">
      <c r="A193" s="657"/>
      <c r="B193" s="670"/>
      <c r="C193" s="670"/>
      <c r="D193" s="670"/>
      <c r="E193" s="670"/>
      <c r="F193" s="670"/>
      <c r="G193" s="670"/>
      <c r="H193" s="671"/>
      <c r="I193" s="671"/>
      <c r="J193" s="671"/>
      <c r="K193" s="671"/>
      <c r="L193" s="671"/>
      <c r="M193" s="671"/>
      <c r="N193" s="671"/>
      <c r="O193" s="641"/>
    </row>
    <row r="194" spans="1:15" x14ac:dyDescent="0.3">
      <c r="B194" s="1"/>
      <c r="C194" s="1"/>
      <c r="F194" s="3"/>
      <c r="G194" s="4"/>
      <c r="I194" s="3"/>
      <c r="J194" s="5"/>
      <c r="K194" s="1"/>
      <c r="L194" s="1"/>
      <c r="M194" s="2"/>
      <c r="N194" s="2"/>
    </row>
    <row r="195" spans="1:15" x14ac:dyDescent="0.3">
      <c r="B195" s="1"/>
      <c r="C195" s="1"/>
      <c r="E195" s="3"/>
      <c r="F195" s="4"/>
      <c r="G195" s="3"/>
      <c r="I195" s="5"/>
      <c r="J195" s="1"/>
      <c r="K195" s="1"/>
      <c r="L195" s="2"/>
      <c r="M195" s="2"/>
      <c r="N195" s="2"/>
    </row>
  </sheetData>
  <mergeCells count="16">
    <mergeCell ref="B1:L1"/>
    <mergeCell ref="AB5:AM5"/>
    <mergeCell ref="AB7:AE7"/>
    <mergeCell ref="AH7:AL7"/>
    <mergeCell ref="Z22:AD22"/>
    <mergeCell ref="AE22:AH22"/>
    <mergeCell ref="O23:V23"/>
    <mergeCell ref="Z23:AD23"/>
    <mergeCell ref="AE23:AH23"/>
    <mergeCell ref="O41:P41"/>
    <mergeCell ref="Z41:AC41"/>
    <mergeCell ref="B62:B64"/>
    <mergeCell ref="B65:B69"/>
    <mergeCell ref="B73:B74"/>
    <mergeCell ref="B117:I117"/>
    <mergeCell ref="B23:F23"/>
  </mergeCells>
  <conditionalFormatting sqref="AB11:AF19">
    <cfRule type="containsText" dxfId="47" priority="2" operator="containsText" text="YES">
      <formula>NOT(ISERROR(SEARCH("YES",AB11)))</formula>
    </cfRule>
  </conditionalFormatting>
  <conditionalFormatting sqref="AM11:AM19">
    <cfRule type="cellIs" dxfId="46" priority="1" operator="equal">
      <formula>"YES"</formula>
    </cfRule>
  </conditionalFormatting>
  <pageMargins left="0.7" right="0.7" top="0.75" bottom="0.75" header="0.3" footer="0.3"/>
  <pageSetup paperSize="9" orientation="portrait" r:id="rId1"/>
  <headerFooter>
    <oddFooter>&amp;C_x000D_&amp;1#&amp;"Calibri"&amp;10&amp;K000000 Ringfenced Confidential - Commercially Sensitive</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15967"/>
    <pageSetUpPr fitToPage="1"/>
  </sheetPr>
  <dimension ref="A1:AQ153"/>
  <sheetViews>
    <sheetView showGridLines="0" tabSelected="1" topLeftCell="A25" workbookViewId="0">
      <selection activeCell="C57" sqref="C57"/>
    </sheetView>
  </sheetViews>
  <sheetFormatPr defaultColWidth="9.109375" defaultRowHeight="14.4" x14ac:dyDescent="0.3"/>
  <cols>
    <col min="1" max="1" width="36.33203125" customWidth="1"/>
    <col min="2" max="2" width="44.5546875" style="3" customWidth="1"/>
    <col min="3" max="3" width="24.109375" style="3" customWidth="1"/>
    <col min="4" max="4" width="33.44140625" style="3" customWidth="1"/>
    <col min="5" max="7" width="17.33203125" style="3" customWidth="1"/>
    <col min="8" max="9" width="13.33203125" style="3" customWidth="1"/>
    <col min="10" max="14" width="13.6640625" style="1" customWidth="1"/>
    <col min="15" max="15" width="49" style="209" customWidth="1"/>
    <col min="16" max="19" width="13.6640625" style="1" customWidth="1"/>
    <col min="20" max="20" width="13.6640625" style="3" customWidth="1"/>
    <col min="21" max="22" width="17.33203125" style="3" customWidth="1"/>
    <col min="23" max="24" width="13.33203125" style="3" customWidth="1"/>
    <col min="25" max="39" width="9.109375" style="3"/>
    <col min="40" max="40" width="37" style="3" customWidth="1"/>
    <col min="41" max="41" width="9.109375" style="3"/>
  </cols>
  <sheetData>
    <row r="1" spans="2:9" ht="24" customHeight="1" x14ac:dyDescent="0.3">
      <c r="B1" s="188" t="str">
        <f>IF(dms_DataQuality="backcast",INDEX(dms_Worksheet_List,MATCH(dms_Model,dms_Model_List))&amp;" BACKCAST",INDEX(dms_Worksheet_List,MATCH(dms_Model,dms_Model_List)))</f>
        <v>REGULATORY REPORTING STATEMENT</v>
      </c>
      <c r="C1" s="189"/>
      <c r="D1" s="189"/>
      <c r="E1" s="189"/>
      <c r="F1" s="189"/>
      <c r="G1" s="189"/>
      <c r="H1" s="189"/>
      <c r="I1" s="189"/>
    </row>
    <row r="2" spans="2:9" ht="24" customHeight="1" x14ac:dyDescent="0.3">
      <c r="B2" s="190" t="str">
        <f>INDEX(dms_TradingNameFull_List,MATCH(dms_TradingName,dms_TradingName_List))</f>
        <v>Evoenergy Gas</v>
      </c>
      <c r="C2" s="189"/>
      <c r="D2" s="189"/>
      <c r="E2" s="189"/>
      <c r="F2" s="189"/>
      <c r="G2" s="189"/>
      <c r="H2" s="189"/>
      <c r="I2" s="189"/>
    </row>
    <row r="3" spans="2:9" ht="24" customHeight="1" x14ac:dyDescent="0.3">
      <c r="B3" s="190" t="str">
        <f ca="1">IF(SUM(dms_SingleYear_Model)&gt;0,CONCATENATE(CRY),CONCATENATE(FRCP_y1," to ",dms_MultiYear_FinalYear_Result))</f>
        <v>2026-27 to 2030-31</v>
      </c>
      <c r="C3" s="191"/>
      <c r="D3" s="192"/>
      <c r="E3" s="192"/>
      <c r="F3" s="192"/>
      <c r="G3" s="192"/>
      <c r="H3" s="192"/>
      <c r="I3" s="192"/>
    </row>
    <row r="4" spans="2:9" ht="24" customHeight="1" x14ac:dyDescent="0.3">
      <c r="B4" s="193" t="s">
        <v>579</v>
      </c>
      <c r="C4" s="193"/>
      <c r="D4" s="193"/>
      <c r="E4" s="193"/>
      <c r="F4" s="193"/>
      <c r="G4" s="193"/>
      <c r="H4" s="193"/>
      <c r="I4" s="193"/>
    </row>
    <row r="5" spans="2:9" x14ac:dyDescent="0.3">
      <c r="B5" s="194"/>
    </row>
    <row r="6" spans="2:9" x14ac:dyDescent="0.3">
      <c r="B6" s="194"/>
    </row>
    <row r="7" spans="2:9" x14ac:dyDescent="0.3">
      <c r="B7" s="195" t="s">
        <v>580</v>
      </c>
      <c r="C7" s="196"/>
      <c r="D7" s="196"/>
      <c r="E7" s="196"/>
      <c r="F7" s="196"/>
      <c r="G7" s="196"/>
      <c r="H7" s="196"/>
      <c r="I7" s="196"/>
    </row>
    <row r="8" spans="2:9" ht="38.25" customHeight="1" x14ac:dyDescent="0.3">
      <c r="B8" s="1082" t="s">
        <v>581</v>
      </c>
      <c r="C8" s="1083"/>
      <c r="D8" s="1082"/>
      <c r="E8" s="1082"/>
      <c r="F8" s="1082"/>
      <c r="G8" s="1082"/>
      <c r="H8" s="1082"/>
      <c r="I8" s="1082"/>
    </row>
    <row r="9" spans="2:9" x14ac:dyDescent="0.3">
      <c r="B9" s="197"/>
      <c r="C9" s="198"/>
      <c r="D9" s="198"/>
      <c r="E9" s="198"/>
      <c r="F9" s="198"/>
      <c r="G9" s="198"/>
      <c r="H9" s="198"/>
      <c r="I9" s="198"/>
    </row>
    <row r="10" spans="2:9" ht="15.75" customHeight="1" x14ac:dyDescent="0.3">
      <c r="B10" s="199" t="s">
        <v>582</v>
      </c>
      <c r="C10" s="199"/>
      <c r="D10" s="199"/>
      <c r="E10" s="199"/>
      <c r="F10" s="199"/>
      <c r="G10" s="199"/>
      <c r="H10" s="199"/>
      <c r="I10" s="199"/>
    </row>
    <row r="11" spans="2:9" ht="15.75" customHeight="1" x14ac:dyDescent="0.3">
      <c r="B11" s="200"/>
      <c r="C11" s="200"/>
      <c r="D11" s="200"/>
      <c r="E11" s="200"/>
      <c r="F11" s="200"/>
      <c r="G11" s="200"/>
      <c r="H11" s="200"/>
      <c r="I11" s="200"/>
    </row>
    <row r="12" spans="2:9" ht="20.25" customHeight="1" x14ac:dyDescent="0.4">
      <c r="B12" s="1084" t="s">
        <v>583</v>
      </c>
      <c r="C12" s="1085"/>
      <c r="D12" s="1085"/>
      <c r="E12" s="1085"/>
      <c r="F12" s="1085"/>
      <c r="G12" s="1085"/>
      <c r="H12" s="1085"/>
      <c r="I12" s="1086"/>
    </row>
    <row r="13" spans="2:9" ht="20.25" customHeight="1" x14ac:dyDescent="0.35">
      <c r="B13" s="672"/>
      <c r="C13" s="673"/>
      <c r="D13" s="673"/>
      <c r="E13" s="674"/>
      <c r="F13" s="674"/>
      <c r="G13" s="674"/>
      <c r="H13" s="674"/>
      <c r="I13" s="675"/>
    </row>
    <row r="14" spans="2:9" ht="15.75" customHeight="1" x14ac:dyDescent="0.3">
      <c r="B14" s="676" t="s">
        <v>584</v>
      </c>
      <c r="C14" s="1061" t="s">
        <v>107</v>
      </c>
      <c r="D14" s="1062"/>
      <c r="E14" s="1062"/>
      <c r="F14" s="677" t="s">
        <v>585</v>
      </c>
      <c r="G14" s="674"/>
      <c r="H14" s="674"/>
      <c r="I14" s="675"/>
    </row>
    <row r="15" spans="2:9" ht="15.75" customHeight="1" x14ac:dyDescent="0.3">
      <c r="B15" s="676" t="s">
        <v>586</v>
      </c>
      <c r="C15" s="1088" t="str">
        <f>INDEX(dms_TradingNameFull_List,MATCH(dms_TradingName,dms_TradingName_List))</f>
        <v>Evoenergy Gas</v>
      </c>
      <c r="D15" s="1088"/>
      <c r="E15" s="1088"/>
      <c r="F15" s="677"/>
      <c r="G15" s="674"/>
      <c r="H15" s="674"/>
      <c r="I15" s="675"/>
    </row>
    <row r="16" spans="2:9" x14ac:dyDescent="0.3">
      <c r="B16" s="678" t="s">
        <v>587</v>
      </c>
      <c r="C16" s="1087">
        <f>INDEX(dms_ABN_List,MATCH(dms_TradingName,dms_TradingName_List))</f>
        <v>76670568688</v>
      </c>
      <c r="D16" s="1087"/>
      <c r="E16" s="1087"/>
      <c r="F16" s="679"/>
      <c r="G16" s="679"/>
      <c r="H16" s="679"/>
      <c r="I16" s="675"/>
    </row>
    <row r="17" spans="2:9" ht="15.75" customHeight="1" x14ac:dyDescent="0.3">
      <c r="B17" s="680"/>
      <c r="C17" s="681"/>
      <c r="D17" s="681"/>
      <c r="E17" s="681"/>
      <c r="F17" s="681"/>
      <c r="G17" s="681"/>
      <c r="H17" s="681"/>
      <c r="I17" s="682"/>
    </row>
    <row r="18" spans="2:9" ht="29.25" customHeight="1" x14ac:dyDescent="0.3">
      <c r="B18" s="683"/>
      <c r="C18" s="684"/>
      <c r="D18" s="684"/>
      <c r="E18" s="684"/>
      <c r="F18" s="684"/>
      <c r="G18" s="684"/>
      <c r="H18" s="684"/>
      <c r="I18" s="685"/>
    </row>
    <row r="19" spans="2:9" x14ac:dyDescent="0.3">
      <c r="B19" s="676" t="s">
        <v>588</v>
      </c>
      <c r="C19" s="1064" t="s">
        <v>589</v>
      </c>
      <c r="D19" s="1065"/>
      <c r="E19" s="1066" t="str">
        <f>INDEX(dms_Addr1_List,MATCH(dms_TradingName,dms_TradingName_List))</f>
        <v>40 Bunda Street</v>
      </c>
      <c r="F19" s="1067"/>
      <c r="G19" s="1067"/>
      <c r="H19" s="1068"/>
      <c r="I19" s="686"/>
    </row>
    <row r="20" spans="2:9" x14ac:dyDescent="0.3">
      <c r="B20" s="687"/>
      <c r="C20" s="688"/>
      <c r="D20" s="688" t="s">
        <v>590</v>
      </c>
      <c r="E20" s="1061" t="str">
        <f>IF(ISBLANK(INDEX(dms_Addr2_List,MATCH(dms_TradingName,dms_TradingName_List))),"",(INDEX(dms_Addr2_List,MATCH(dms_TradingName,dms_TradingName_List))))</f>
        <v/>
      </c>
      <c r="F20" s="1062"/>
      <c r="G20" s="1062"/>
      <c r="H20" s="1063"/>
      <c r="I20" s="686"/>
    </row>
    <row r="21" spans="2:9" x14ac:dyDescent="0.3">
      <c r="B21" s="687"/>
      <c r="C21" s="1064" t="s">
        <v>591</v>
      </c>
      <c r="D21" s="1065"/>
      <c r="E21" s="1061" t="str">
        <f>INDEX(dms_Suburb_List,MATCH(dms_TradingName,dms_TradingName_List))</f>
        <v>CANBERRA</v>
      </c>
      <c r="F21" s="1062"/>
      <c r="G21" s="1062"/>
      <c r="H21" s="1063"/>
      <c r="I21" s="686"/>
    </row>
    <row r="22" spans="2:9" x14ac:dyDescent="0.3">
      <c r="B22" s="687"/>
      <c r="C22" s="689"/>
      <c r="D22" s="688" t="s">
        <v>592</v>
      </c>
      <c r="E22" s="201" t="s">
        <v>108</v>
      </c>
      <c r="F22" s="688" t="s">
        <v>593</v>
      </c>
      <c r="G22" s="202">
        <f>INDEX(dms_PostCode_List,MATCH(dms_TradingName,dms_TradingName_List))</f>
        <v>2600</v>
      </c>
      <c r="H22" s="674"/>
      <c r="I22" s="675"/>
    </row>
    <row r="23" spans="2:9" x14ac:dyDescent="0.3">
      <c r="B23" s="687"/>
      <c r="C23" s="689"/>
      <c r="D23" s="689"/>
      <c r="E23" s="689"/>
      <c r="F23" s="674"/>
      <c r="G23" s="689"/>
      <c r="H23" s="674"/>
      <c r="I23" s="675"/>
    </row>
    <row r="24" spans="2:9" x14ac:dyDescent="0.3">
      <c r="B24" s="676" t="s">
        <v>594</v>
      </c>
      <c r="C24" s="1064" t="s">
        <v>589</v>
      </c>
      <c r="D24" s="1065"/>
      <c r="E24" s="1066" t="str">
        <f>INDEX(dms_PAddr1_List,MATCH(dms_TradingName,dms_TradingName_List))</f>
        <v>GPO BOX 366</v>
      </c>
      <c r="F24" s="1067"/>
      <c r="G24" s="1067"/>
      <c r="H24" s="1068"/>
      <c r="I24" s="675"/>
    </row>
    <row r="25" spans="2:9" x14ac:dyDescent="0.3">
      <c r="B25" s="687"/>
      <c r="C25" s="688"/>
      <c r="D25" s="688" t="s">
        <v>590</v>
      </c>
      <c r="E25" s="1069" t="str">
        <f>IF(ISBLANK(INDEX(dms_PAddr2_List,MATCH(dms_TradingName,dms_TradingName_List))),"",(INDEX(dms_PAddr2_List,MATCH(dms_TradingName,dms_TradingName_List))))</f>
        <v/>
      </c>
      <c r="F25" s="1070"/>
      <c r="G25" s="1070"/>
      <c r="H25" s="1071"/>
      <c r="I25" s="675"/>
    </row>
    <row r="26" spans="2:9" x14ac:dyDescent="0.3">
      <c r="B26" s="687"/>
      <c r="C26" s="1064" t="s">
        <v>591</v>
      </c>
      <c r="D26" s="1065"/>
      <c r="E26" s="1072" t="str">
        <f>INDEX(dms_PSuburb_List,MATCH(dms_TradingName,dms_TradingName_List))</f>
        <v>CANBERRA</v>
      </c>
      <c r="F26" s="1073"/>
      <c r="G26" s="1073"/>
      <c r="H26" s="1074"/>
      <c r="I26" s="675"/>
    </row>
    <row r="27" spans="2:9" x14ac:dyDescent="0.3">
      <c r="B27" s="690"/>
      <c r="C27" s="689"/>
      <c r="D27" s="688" t="s">
        <v>592</v>
      </c>
      <c r="E27" s="202" t="s">
        <v>108</v>
      </c>
      <c r="F27" s="688" t="s">
        <v>593</v>
      </c>
      <c r="G27" s="202">
        <f>INDEX(dms_PPostCode_List,MATCH(dms_TradingName,dms_TradingName_List))</f>
        <v>2601</v>
      </c>
      <c r="H27" s="674"/>
      <c r="I27" s="675"/>
    </row>
    <row r="28" spans="2:9" x14ac:dyDescent="0.3">
      <c r="B28" s="691"/>
      <c r="C28" s="692"/>
      <c r="D28" s="692"/>
      <c r="E28" s="692"/>
      <c r="F28" s="692"/>
      <c r="G28" s="692"/>
      <c r="H28" s="692"/>
      <c r="I28" s="693"/>
    </row>
    <row r="29" spans="2:9" ht="15.75" customHeight="1" x14ac:dyDescent="0.3">
      <c r="B29" s="690"/>
      <c r="C29" s="674"/>
      <c r="D29" s="674"/>
      <c r="E29" s="674"/>
      <c r="F29" s="674"/>
      <c r="G29" s="674"/>
      <c r="H29" s="674"/>
      <c r="I29" s="675"/>
    </row>
    <row r="30" spans="2:9" hidden="1" x14ac:dyDescent="0.3">
      <c r="B30" s="694" t="s">
        <v>595</v>
      </c>
      <c r="C30" s="203"/>
      <c r="D30" s="204"/>
      <c r="E30" s="695"/>
      <c r="F30" s="203"/>
      <c r="G30" s="204"/>
      <c r="H30" s="696"/>
      <c r="I30" s="697"/>
    </row>
    <row r="31" spans="2:9" hidden="1" x14ac:dyDescent="0.3">
      <c r="B31" s="676" t="s">
        <v>596</v>
      </c>
      <c r="C31" s="203"/>
      <c r="D31" s="205"/>
      <c r="E31" s="698"/>
      <c r="F31" s="206"/>
      <c r="G31" s="205"/>
      <c r="H31" s="674"/>
      <c r="I31" s="675"/>
    </row>
    <row r="32" spans="2:9" hidden="1" x14ac:dyDescent="0.3">
      <c r="B32" s="676" t="s">
        <v>597</v>
      </c>
      <c r="C32" s="203"/>
      <c r="D32" s="204"/>
      <c r="E32" s="698"/>
      <c r="F32" s="203"/>
      <c r="G32" s="204"/>
      <c r="H32" s="674"/>
      <c r="I32" s="675"/>
    </row>
    <row r="33" spans="2:12" ht="15.75" hidden="1" customHeight="1" x14ac:dyDescent="0.3">
      <c r="B33" s="680"/>
      <c r="C33" s="681"/>
      <c r="D33" s="681"/>
      <c r="E33" s="681"/>
      <c r="F33" s="681"/>
      <c r="G33" s="681"/>
      <c r="H33" s="681"/>
      <c r="I33" s="682"/>
    </row>
    <row r="34" spans="2:12" ht="20.25" customHeight="1" x14ac:dyDescent="0.4">
      <c r="B34" s="1075" t="s">
        <v>598</v>
      </c>
      <c r="C34" s="1076"/>
      <c r="D34" s="1076"/>
      <c r="E34" s="1076"/>
      <c r="F34" s="1076"/>
      <c r="G34" s="1076"/>
      <c r="H34" s="1076"/>
      <c r="I34" s="1077"/>
    </row>
    <row r="35" spans="2:12" ht="15.75" customHeight="1" x14ac:dyDescent="0.3">
      <c r="B35" s="699"/>
      <c r="C35" s="700"/>
      <c r="D35" s="700"/>
      <c r="E35" s="701"/>
      <c r="F35" s="701"/>
      <c r="G35" s="701"/>
      <c r="H35" s="701"/>
      <c r="I35" s="702"/>
    </row>
    <row r="36" spans="2:12" ht="15.75" customHeight="1" x14ac:dyDescent="0.3">
      <c r="B36" s="703" t="s">
        <v>599</v>
      </c>
      <c r="C36" s="704" t="s">
        <v>448</v>
      </c>
      <c r="D36" s="705" t="str">
        <f>dms_FRCP_y2</f>
        <v>2027-28</v>
      </c>
      <c r="E36" s="711" t="str">
        <f>dms_FRCP_y3</f>
        <v>2028-29</v>
      </c>
      <c r="F36" s="711" t="str">
        <f>dms_FRCP_y4</f>
        <v>2029-30</v>
      </c>
      <c r="G36" s="711" t="str">
        <f>dms_FRCP_y5</f>
        <v>2030-31</v>
      </c>
      <c r="H36" s="706"/>
      <c r="I36" s="707"/>
      <c r="J36" s="207"/>
      <c r="K36" s="207"/>
      <c r="L36" s="207"/>
    </row>
    <row r="37" spans="2:12" ht="15.75" customHeight="1" x14ac:dyDescent="0.3">
      <c r="B37" s="703"/>
      <c r="C37" s="1008" t="str">
        <f>dms_FRCP_y6</f>
        <v>2031-32</v>
      </c>
      <c r="D37" s="1008" t="str">
        <f>dms_FRCP_y7</f>
        <v>2032-33</v>
      </c>
      <c r="E37" s="1008" t="str">
        <f>dms_FRCP_y8</f>
        <v>2033-34</v>
      </c>
      <c r="F37" s="1008" t="str">
        <f>dms_FRCP_y9</f>
        <v>2034-35</v>
      </c>
      <c r="G37" s="1008" t="str">
        <f>dms_FRCP_y10</f>
        <v>2035-36</v>
      </c>
      <c r="H37" s="706"/>
      <c r="I37" s="707"/>
      <c r="J37" s="207"/>
      <c r="K37" s="207"/>
      <c r="L37" s="207"/>
    </row>
    <row r="38" spans="2:12" x14ac:dyDescent="0.3">
      <c r="B38" s="708"/>
      <c r="C38" s="709"/>
      <c r="D38" s="709"/>
      <c r="E38" s="709"/>
      <c r="F38" s="709"/>
      <c r="G38" s="709"/>
      <c r="H38" s="709"/>
      <c r="I38" s="710"/>
    </row>
    <row r="39" spans="2:12" x14ac:dyDescent="0.3">
      <c r="B39" s="703" t="s">
        <v>600</v>
      </c>
      <c r="C39" s="711" t="str">
        <f>dms_CRCP_FirstYear_Result</f>
        <v>2021-22</v>
      </c>
      <c r="D39" s="711" t="str">
        <f>IF(dms_RPT="financial",VALUE(LEFT(CRCP_y1,4)+1)&amp;"-"&amp;TEXT(MID(CRCP_y1,3,2)+2,"00"),VALUE(LEFT(CRCP_y1,4)+1))</f>
        <v>2022-23</v>
      </c>
      <c r="E39" s="711" t="str">
        <f>IF(dms_RPT="financial",VALUE(LEFT(CRCP_y1,4)+2)&amp;"-"&amp;TEXT(VALUE(MID(CRCP_y1,3,2)+3),"00"),VALUE(LEFT(CRCP_y1,4)+2))</f>
        <v>2023-24</v>
      </c>
      <c r="F39" s="711" t="str">
        <f>IF(dms_RPT="financial",VALUE(LEFT(CRCP_y1,4)+3)&amp;"-"&amp;TEXT(MID(CRCP_y1,3,2)+4,"00"),VALUE(LEFT(CRCP_y1,4)+3))</f>
        <v>2024-25</v>
      </c>
      <c r="G39" s="711" t="str">
        <f>IF(dms_RPT="financial",VALUE(LEFT(CRCP_y1,4)+4)&amp;"-"&amp;TEXT(MID(CRCP_y1,3,2)+5,"00"),VALUE(LEFT(CRCP_y1,4)+4))</f>
        <v>2025-26</v>
      </c>
      <c r="H39" s="706"/>
      <c r="I39" s="712"/>
      <c r="J39" s="207"/>
      <c r="K39" s="207"/>
      <c r="L39" s="207"/>
    </row>
    <row r="40" spans="2:12" x14ac:dyDescent="0.3">
      <c r="B40" s="713"/>
      <c r="C40" s="1008" t="str">
        <f>IF(dms_RPT="financial",VALUE(LEFT(CRCP_y1,4)+5)&amp;"-"&amp;TEXT(MID(CRCP_y1,3,2)+6,"00"),VALUE(LEFT(CRCP_y1,4)+5))</f>
        <v>2026-27</v>
      </c>
      <c r="D40" s="1008" t="str">
        <f>IF(dms_RPT="financial",VALUE(LEFT(CRCP_y1,4)+6)&amp;"-"&amp;TEXT(MID(CRCP_y1,3,2)+7,"00"),VALUE(LEFT(CRCP_y1,4)+6))</f>
        <v>2027-28</v>
      </c>
      <c r="E40" s="1008" t="str">
        <f>IF(dms_RPT="financial",VALUE(LEFT(CRCP_y1,4)+7)&amp;"-"&amp;TEXT(MID(CRCP_y1,3,2)+8,"00"),VALUE(LEFT(CRCP_y1,4)+7))</f>
        <v>2028-29</v>
      </c>
      <c r="F40" s="1008" t="str">
        <f>IF(dms_RPT="financial",VALUE(LEFT(CRCP_y1,4)+8)&amp;"-"&amp;TEXT(MID(CRCP_y1,3,2)+9,"00"),VALUE(LEFT(CRCP_y1,4)+8))</f>
        <v>2029-30</v>
      </c>
      <c r="G40" s="1008" t="str">
        <f>IF(dms_RPT="financial",VALUE(LEFT(CRCP_y1,4)+9)&amp;"-"&amp;TEXT(MID(CRCP_y1,3,2)+10,"00"),VALUE(LEFT(CRCP_y1,4)+9))</f>
        <v>2030-31</v>
      </c>
      <c r="H40" s="706"/>
      <c r="I40" s="707"/>
    </row>
    <row r="41" spans="2:12" x14ac:dyDescent="0.3">
      <c r="B41" s="713"/>
      <c r="C41" s="1008" t="str">
        <f>IF(dms_RPT="financial",VALUE(LEFT(CRCP_y1,4)+10)&amp;"-"&amp;TEXT(MID(CRCP_y1,3,2)+11,"00"),VALUE(LEFT(CRCP_y1,4)+10))</f>
        <v>2031-32</v>
      </c>
      <c r="D41" s="1008" t="str">
        <f>IF(dms_RPT="financial",VALUE(LEFT(CRCP_y1,4)+11)&amp;"-"&amp;TEXT(MID(CRCP_y1,3,2)+12,"00"),VALUE(LEFT(CRCP_y1,4)+11))</f>
        <v>2032-33</v>
      </c>
      <c r="E41" s="1008" t="str">
        <f>IF(dms_RPT="financial",VALUE(LEFT(CRCP_y1,4)+12)&amp;"-"&amp;TEXT(MID(CRCP_y1,3,2)+13,"00"),VALUE(LEFT(CRCP_y1,4)+12))</f>
        <v>2033-34</v>
      </c>
      <c r="F41" s="1008" t="str">
        <f>IF(dms_RPT="financial",VALUE(LEFT(CRCP_y1,4)+13)&amp;"-"&amp;TEXT(MID(CRCP_y1,3,2)+14,"00"),VALUE(LEFT(CRCP_y1,4)+13))</f>
        <v>2034-35</v>
      </c>
      <c r="G41" s="1008" t="str">
        <f>IF(dms_RPT="financial",VALUE(LEFT(CRCP_y1,4)+14)&amp;"-"&amp;TEXT(MID(CRCP_y1,3,2)+15,"00"),VALUE(LEFT(CRCP_y1,4)+14))</f>
        <v>2035-36</v>
      </c>
      <c r="H41" s="706"/>
      <c r="I41" s="707"/>
    </row>
    <row r="42" spans="2:12" x14ac:dyDescent="0.3">
      <c r="B42" s="703" t="s">
        <v>601</v>
      </c>
      <c r="C42" s="711" t="str">
        <f>IF(dms_RPT="financial",VALUE(LEFT(PRCP_y2,4)-1)&amp;"-"&amp;TEXT(VALUE(MID(PRCP_y2,3,2)),"00"),VALUE(LEFT(PRCP_y2,4)-1))</f>
        <v>2016-17</v>
      </c>
      <c r="D42" s="711" t="str">
        <f>IF(dms_RPT="financial",VALUE(LEFT(PRCP_y3,4)-1)&amp;"-"&amp;TEXT(VALUE(MID(PRCP_y3,3,2)),"00"),VALUE(LEFT(PRCP_y3,4)-1))</f>
        <v>2017-18</v>
      </c>
      <c r="E42" s="711" t="str">
        <f>IF(dms_RPT="financial",VALUE(LEFT(PRCP_y4,4)-1)&amp;"-"&amp;TEXT(VALUE(MID(PRCP_y4,3,2)),"00"),VALUE(LEFT(PRCP_y4,4)-1))</f>
        <v>2018-19</v>
      </c>
      <c r="F42" s="711" t="str">
        <f>IF(dms_RPT="financial",VALUE(LEFT(PRCP_y5,4)-1)&amp;"-"&amp;TEXT(VALUE(RIGHT(PRCP_y5,2)-1),"00"),VALUE(LEFT(PRCP_y5,4)-1))</f>
        <v>2019-20</v>
      </c>
      <c r="G42" s="711" t="str">
        <f>IF(dms_RPT="financial",VALUE(LEFT(CRCP_y1,4)-1)&amp;"-"&amp;TEXT(VALUE(RIGHT(CRCP_y1,2)-1),"00"),VALUE(LEFT(CRCP_y1,4)-1))</f>
        <v>2020-21</v>
      </c>
      <c r="H42" s="706"/>
      <c r="I42" s="714"/>
    </row>
    <row r="43" spans="2:12" x14ac:dyDescent="0.3">
      <c r="B43" s="703"/>
      <c r="C43" s="706"/>
      <c r="D43" s="706"/>
      <c r="E43" s="706"/>
      <c r="F43" s="706"/>
      <c r="G43" s="706"/>
      <c r="H43" s="706"/>
      <c r="I43" s="714"/>
    </row>
    <row r="44" spans="2:12" ht="15.75" hidden="1" customHeight="1" x14ac:dyDescent="0.3">
      <c r="B44" s="715"/>
      <c r="C44" s="716"/>
      <c r="D44" s="716"/>
      <c r="E44" s="717"/>
      <c r="F44" s="716"/>
      <c r="G44" s="716"/>
      <c r="H44" s="716"/>
      <c r="I44" s="718"/>
    </row>
    <row r="45" spans="2:12" ht="15" hidden="1" customHeight="1" x14ac:dyDescent="0.3">
      <c r="B45" s="719"/>
      <c r="C45" s="720"/>
      <c r="D45" s="720"/>
      <c r="E45" s="720"/>
      <c r="F45" s="720"/>
      <c r="G45" s="720"/>
      <c r="H45" s="720"/>
      <c r="I45" s="721"/>
    </row>
    <row r="46" spans="2:12" ht="15" hidden="1" customHeight="1" x14ac:dyDescent="0.3">
      <c r="B46" s="722" t="s">
        <v>602</v>
      </c>
      <c r="C46" s="208" t="s">
        <v>398</v>
      </c>
      <c r="D46" s="723" t="s">
        <v>603</v>
      </c>
      <c r="E46" s="724"/>
      <c r="F46" s="725"/>
      <c r="G46" s="725"/>
      <c r="H46" s="725"/>
      <c r="I46" s="726"/>
    </row>
    <row r="47" spans="2:12" ht="14.25" hidden="1" customHeight="1" x14ac:dyDescent="0.3">
      <c r="B47" s="727"/>
      <c r="C47" s="728"/>
      <c r="D47" s="723"/>
      <c r="E47" s="728"/>
      <c r="F47" s="728"/>
      <c r="G47" s="728"/>
      <c r="H47" s="728"/>
      <c r="I47" s="726"/>
    </row>
    <row r="48" spans="2:12" ht="15" hidden="1" customHeight="1" x14ac:dyDescent="0.3">
      <c r="B48" s="722" t="s">
        <v>604</v>
      </c>
      <c r="C48" s="208" t="s">
        <v>436</v>
      </c>
      <c r="D48" s="723" t="s">
        <v>605</v>
      </c>
      <c r="E48" s="724"/>
      <c r="F48" s="725"/>
      <c r="G48" s="725"/>
      <c r="H48" s="725"/>
      <c r="I48" s="726"/>
    </row>
    <row r="49" spans="2:43" ht="14.25" hidden="1" customHeight="1" x14ac:dyDescent="0.3">
      <c r="B49" s="727"/>
      <c r="C49" s="728"/>
      <c r="D49" s="728"/>
      <c r="E49" s="728"/>
      <c r="F49" s="728"/>
      <c r="G49" s="728"/>
      <c r="H49" s="728"/>
      <c r="I49" s="726"/>
      <c r="K49" s="210"/>
    </row>
    <row r="50" spans="2:43" ht="15" hidden="1" customHeight="1" x14ac:dyDescent="0.3">
      <c r="B50" s="729"/>
      <c r="C50" s="730"/>
      <c r="D50" s="730"/>
      <c r="E50" s="730"/>
      <c r="F50" s="730"/>
      <c r="G50" s="730"/>
      <c r="H50" s="730"/>
      <c r="I50" s="731"/>
    </row>
    <row r="51" spans="2:43" s="1" customFormat="1" ht="15.75" hidden="1" customHeight="1" x14ac:dyDescent="0.3">
      <c r="C51" s="211"/>
      <c r="D51" s="3"/>
      <c r="O51" s="209"/>
      <c r="T51" s="3"/>
      <c r="U51" s="3"/>
      <c r="V51" s="3"/>
      <c r="W51" s="3"/>
      <c r="X51" s="3"/>
      <c r="Y51" s="3"/>
      <c r="Z51" s="3"/>
      <c r="AA51" s="3"/>
      <c r="AB51" s="3"/>
      <c r="AC51" s="3"/>
      <c r="AD51" s="3"/>
      <c r="AE51" s="3"/>
      <c r="AF51" s="3"/>
      <c r="AG51" s="3"/>
      <c r="AH51" s="3"/>
      <c r="AI51" s="3"/>
      <c r="AJ51" s="3"/>
      <c r="AK51" s="3"/>
      <c r="AL51" s="3"/>
      <c r="AM51" s="3"/>
      <c r="AN51" s="3"/>
      <c r="AO51" s="3"/>
      <c r="AP51" s="3"/>
      <c r="AQ51" s="3"/>
    </row>
    <row r="52" spans="2:43" s="1" customFormat="1" ht="15.75" customHeight="1" x14ac:dyDescent="0.3">
      <c r="B52" s="460"/>
      <c r="C52" s="460"/>
      <c r="D52" s="460"/>
      <c r="E52" s="460"/>
      <c r="F52" s="460"/>
      <c r="G52" s="460"/>
      <c r="H52" s="460"/>
      <c r="I52" s="460"/>
      <c r="O52" s="209"/>
      <c r="T52" s="3"/>
      <c r="U52" s="3"/>
      <c r="V52" s="3"/>
      <c r="W52" s="3"/>
      <c r="X52" s="3"/>
      <c r="Y52" s="3"/>
      <c r="Z52" s="3"/>
      <c r="AA52" s="3"/>
      <c r="AB52" s="3"/>
      <c r="AC52" s="3"/>
      <c r="AD52" s="3"/>
      <c r="AE52" s="3"/>
      <c r="AF52" s="3"/>
      <c r="AG52" s="3"/>
      <c r="AH52" s="3"/>
      <c r="AI52" s="3"/>
      <c r="AJ52" s="3"/>
      <c r="AK52" s="3"/>
      <c r="AL52" s="3"/>
      <c r="AM52" s="3"/>
      <c r="AN52" s="3"/>
      <c r="AO52" s="3"/>
      <c r="AP52" s="3"/>
      <c r="AQ52" s="3"/>
    </row>
    <row r="53" spans="2:43" s="1" customFormat="1" ht="15.75" customHeight="1" x14ac:dyDescent="0.25">
      <c r="B53" s="212" t="s">
        <v>606</v>
      </c>
      <c r="C53" s="1078" t="s">
        <v>239</v>
      </c>
      <c r="D53" s="1079"/>
      <c r="E53" s="732" t="s">
        <v>607</v>
      </c>
      <c r="F53" s="214"/>
      <c r="G53" s="214"/>
      <c r="H53" s="214"/>
      <c r="I53" s="215"/>
      <c r="O53" s="209"/>
      <c r="T53" s="3"/>
      <c r="U53" s="3"/>
      <c r="V53" s="3"/>
      <c r="W53" s="3"/>
      <c r="X53" s="3"/>
      <c r="Y53" s="3"/>
      <c r="Z53" s="3"/>
      <c r="AA53" s="3"/>
      <c r="AB53" s="3"/>
      <c r="AC53" s="3"/>
      <c r="AD53" s="3"/>
      <c r="AE53" s="3"/>
      <c r="AF53" s="3"/>
      <c r="AG53" s="3"/>
      <c r="AH53" s="3"/>
      <c r="AI53" s="3"/>
      <c r="AJ53" s="3"/>
      <c r="AK53" s="3"/>
      <c r="AL53" s="3"/>
      <c r="AM53" s="3"/>
      <c r="AN53" s="3"/>
      <c r="AO53" s="3"/>
      <c r="AP53" s="3"/>
      <c r="AQ53" s="3"/>
    </row>
    <row r="54" spans="2:43" s="1" customFormat="1" ht="30.75" customHeight="1" x14ac:dyDescent="0.25">
      <c r="B54" s="216" t="s">
        <v>608</v>
      </c>
      <c r="C54" s="217" t="s">
        <v>216</v>
      </c>
      <c r="D54" s="218"/>
      <c r="E54" s="1080" t="s">
        <v>609</v>
      </c>
      <c r="F54" s="1080"/>
      <c r="G54" s="1080"/>
      <c r="H54" s="1080"/>
      <c r="I54" s="1081"/>
      <c r="O54" s="209"/>
      <c r="T54" s="3"/>
      <c r="U54" s="3"/>
      <c r="V54" s="3"/>
      <c r="W54" s="3"/>
      <c r="X54" s="3"/>
      <c r="Y54" s="3"/>
      <c r="Z54" s="3"/>
      <c r="AA54" s="3"/>
      <c r="AB54" s="3"/>
      <c r="AC54" s="3"/>
      <c r="AD54" s="3"/>
      <c r="AE54" s="3"/>
      <c r="AF54" s="3"/>
      <c r="AG54" s="3"/>
      <c r="AH54" s="3"/>
      <c r="AI54" s="3"/>
      <c r="AJ54" s="3"/>
      <c r="AK54" s="3"/>
      <c r="AL54" s="3"/>
      <c r="AM54" s="3"/>
      <c r="AN54" s="3"/>
      <c r="AO54" s="3"/>
      <c r="AP54" s="3"/>
      <c r="AQ54" s="3"/>
    </row>
    <row r="55" spans="2:43" s="1" customFormat="1" ht="39" customHeight="1" x14ac:dyDescent="0.25">
      <c r="B55" s="220" t="s">
        <v>610</v>
      </c>
      <c r="C55" s="1058" t="s">
        <v>611</v>
      </c>
      <c r="D55" s="1059"/>
      <c r="E55" s="1059"/>
      <c r="F55" s="1059"/>
      <c r="G55" s="1059"/>
      <c r="H55" s="1059"/>
      <c r="I55" s="1060"/>
      <c r="O55" s="209"/>
      <c r="T55" s="3"/>
      <c r="U55" s="3"/>
      <c r="V55" s="3"/>
      <c r="W55" s="3"/>
      <c r="X55" s="3"/>
      <c r="Y55" s="3"/>
      <c r="Z55" s="3"/>
      <c r="AA55" s="3"/>
      <c r="AB55" s="3"/>
      <c r="AC55" s="3"/>
      <c r="AD55" s="3"/>
      <c r="AE55" s="3"/>
      <c r="AF55" s="3"/>
      <c r="AG55" s="3"/>
      <c r="AH55" s="3"/>
      <c r="AI55" s="3"/>
      <c r="AJ55" s="3"/>
      <c r="AK55" s="3"/>
      <c r="AL55" s="3"/>
      <c r="AM55" s="3"/>
      <c r="AN55" s="3"/>
      <c r="AO55" s="3"/>
      <c r="AP55" s="3"/>
      <c r="AQ55" s="3"/>
    </row>
    <row r="56" spans="2:43" s="1" customFormat="1" ht="15" customHeight="1" x14ac:dyDescent="0.25">
      <c r="B56" s="411" t="s">
        <v>612</v>
      </c>
      <c r="C56" s="412">
        <v>45838</v>
      </c>
      <c r="D56" s="413" t="s">
        <v>613</v>
      </c>
      <c r="E56" s="213" t="s">
        <v>614</v>
      </c>
      <c r="F56" s="414"/>
      <c r="G56" s="414"/>
      <c r="H56" s="414"/>
      <c r="I56" s="221"/>
      <c r="O56" s="209"/>
      <c r="T56" s="3"/>
      <c r="U56" s="3"/>
      <c r="V56" s="3"/>
      <c r="W56" s="3"/>
      <c r="X56" s="3"/>
      <c r="Y56" s="3"/>
      <c r="Z56" s="3"/>
      <c r="AA56" s="3"/>
      <c r="AB56" s="3"/>
      <c r="AC56" s="3"/>
      <c r="AD56" s="3"/>
      <c r="AE56" s="3"/>
      <c r="AF56" s="3"/>
      <c r="AG56" s="3"/>
      <c r="AH56" s="3"/>
      <c r="AI56" s="3"/>
      <c r="AJ56" s="3"/>
      <c r="AK56" s="3"/>
      <c r="AL56" s="3"/>
      <c r="AM56" s="3"/>
      <c r="AN56" s="3"/>
      <c r="AO56" s="3"/>
      <c r="AP56" s="3"/>
      <c r="AQ56" s="3"/>
    </row>
    <row r="57" spans="2:43" s="1" customFormat="1" ht="15.75" customHeight="1" x14ac:dyDescent="0.25">
      <c r="B57" s="222" t="s">
        <v>615</v>
      </c>
      <c r="C57" s="223" t="s">
        <v>616</v>
      </c>
      <c r="D57" s="224"/>
      <c r="E57" s="224"/>
      <c r="F57" s="224"/>
      <c r="G57" s="224"/>
      <c r="H57" s="224"/>
      <c r="I57" s="225"/>
      <c r="O57" s="209"/>
      <c r="T57" s="3"/>
      <c r="U57" s="3"/>
      <c r="V57" s="3"/>
      <c r="W57" s="3"/>
      <c r="X57" s="3"/>
      <c r="Y57" s="3"/>
      <c r="Z57" s="3"/>
      <c r="AA57" s="3"/>
      <c r="AB57" s="3"/>
      <c r="AC57" s="3"/>
      <c r="AD57" s="3"/>
      <c r="AE57" s="3"/>
      <c r="AF57" s="3"/>
      <c r="AG57" s="3"/>
      <c r="AH57" s="3"/>
      <c r="AI57" s="3"/>
      <c r="AJ57" s="3"/>
      <c r="AK57" s="3"/>
      <c r="AL57" s="3"/>
      <c r="AM57" s="3"/>
      <c r="AN57" s="3"/>
      <c r="AO57" s="3"/>
      <c r="AP57" s="3"/>
      <c r="AQ57" s="3"/>
    </row>
    <row r="58" spans="2:43" s="15" customFormat="1" ht="13.8" hidden="1" x14ac:dyDescent="0.3">
      <c r="B58" s="226" t="s">
        <v>617</v>
      </c>
      <c r="C58" s="227" t="str">
        <f>INDEX(dms_Sector_List,MATCH(dms_TradingName,dms_TradingName_List))</f>
        <v>Gas</v>
      </c>
      <c r="D58" s="415" t="s">
        <v>618</v>
      </c>
      <c r="E58" s="228" t="s">
        <v>619</v>
      </c>
      <c r="F58" s="229"/>
      <c r="G58" s="229"/>
      <c r="H58" s="229"/>
      <c r="I58" s="229"/>
      <c r="J58" s="733"/>
      <c r="K58" s="734"/>
    </row>
    <row r="59" spans="2:43" s="1" customFormat="1" ht="13.8" hidden="1" x14ac:dyDescent="0.25">
      <c r="B59" s="230" t="s">
        <v>620</v>
      </c>
      <c r="C59" s="231" t="str">
        <f>INDEX(dms_Segment_List,MATCH(dms_TradingName,dms_TradingName_List))</f>
        <v>Distribution</v>
      </c>
      <c r="D59" s="416" t="s">
        <v>621</v>
      </c>
      <c r="E59" s="232" t="s">
        <v>622</v>
      </c>
      <c r="F59" s="233"/>
      <c r="G59" s="233"/>
      <c r="H59" s="233"/>
      <c r="I59" s="233"/>
      <c r="J59" s="735"/>
      <c r="K59" s="736"/>
      <c r="O59" s="209"/>
      <c r="T59" s="3"/>
      <c r="U59" s="3"/>
      <c r="V59" s="3"/>
      <c r="W59" s="3"/>
      <c r="X59" s="3"/>
      <c r="Y59" s="3"/>
      <c r="Z59" s="3"/>
      <c r="AA59" s="3"/>
      <c r="AB59" s="3"/>
      <c r="AC59" s="3"/>
      <c r="AD59" s="3"/>
      <c r="AE59" s="3"/>
      <c r="AF59" s="3"/>
      <c r="AG59" s="3"/>
      <c r="AH59" s="3"/>
      <c r="AI59" s="3"/>
      <c r="AJ59" s="3"/>
      <c r="AK59" s="3"/>
      <c r="AL59" s="3"/>
      <c r="AM59" s="3"/>
      <c r="AN59" s="3"/>
      <c r="AO59" s="3"/>
      <c r="AP59" s="3"/>
      <c r="AQ59" s="3"/>
    </row>
    <row r="60" spans="2:43" s="1" customFormat="1" ht="13.8" hidden="1" x14ac:dyDescent="0.25">
      <c r="B60" s="230" t="s">
        <v>623</v>
      </c>
      <c r="C60" s="235" t="str">
        <f ca="1">IF(dms_MultiYear_Flag=1,LEFT(dms_Specified_FinalYear,2)&amp;RIGHT(dms_Specified_FinalYear,2),INDEX(dms_RYE_Formula_Result,MATCH(dms_Model,dms_Model_List)))</f>
        <v>2031</v>
      </c>
      <c r="D60" s="416" t="s">
        <v>624</v>
      </c>
      <c r="E60" s="232" t="s">
        <v>625</v>
      </c>
      <c r="F60" s="233"/>
      <c r="G60" s="233"/>
      <c r="H60" s="233"/>
      <c r="I60" s="233"/>
      <c r="J60" s="735"/>
      <c r="K60" s="736"/>
      <c r="O60" s="209"/>
      <c r="T60" s="3"/>
      <c r="U60" s="3"/>
      <c r="V60" s="3"/>
      <c r="W60" s="3"/>
      <c r="X60" s="3"/>
      <c r="Y60" s="3"/>
      <c r="Z60" s="3"/>
      <c r="AA60" s="3"/>
      <c r="AB60" s="3"/>
      <c r="AC60" s="3"/>
      <c r="AD60" s="3"/>
      <c r="AE60" s="3"/>
      <c r="AF60" s="3"/>
      <c r="AG60" s="3"/>
      <c r="AH60" s="3"/>
      <c r="AI60" s="3"/>
      <c r="AJ60" s="3"/>
      <c r="AK60" s="3"/>
      <c r="AL60" s="3"/>
      <c r="AM60" s="3"/>
      <c r="AN60" s="3"/>
      <c r="AO60" s="3"/>
      <c r="AP60" s="3"/>
      <c r="AQ60" s="3"/>
    </row>
    <row r="61" spans="2:43" s="1" customFormat="1" ht="13.8" hidden="1" x14ac:dyDescent="0.25">
      <c r="B61" s="230" t="s">
        <v>626</v>
      </c>
      <c r="C61" s="231" t="str">
        <f>INDEX(dms_RPT_List,MATCH(dms_TradingName,dms_TradingName_List))</f>
        <v>Financial</v>
      </c>
      <c r="D61" s="416" t="s">
        <v>627</v>
      </c>
      <c r="E61" s="232" t="s">
        <v>628</v>
      </c>
      <c r="F61" s="233"/>
      <c r="G61" s="233"/>
      <c r="H61" s="233"/>
      <c r="I61" s="233"/>
      <c r="J61" s="735"/>
      <c r="K61" s="736"/>
      <c r="O61" s="209"/>
      <c r="T61" s="3"/>
      <c r="U61" s="3"/>
      <c r="V61" s="3"/>
      <c r="W61" s="3"/>
      <c r="X61" s="3"/>
      <c r="Y61" s="3"/>
      <c r="Z61" s="3"/>
      <c r="AA61" s="3"/>
      <c r="AB61" s="3"/>
      <c r="AC61" s="3"/>
      <c r="AD61" s="3"/>
      <c r="AE61" s="3"/>
      <c r="AF61" s="3"/>
      <c r="AG61" s="3"/>
      <c r="AH61" s="3"/>
      <c r="AI61" s="3"/>
      <c r="AJ61" s="3"/>
      <c r="AK61" s="3"/>
      <c r="AL61" s="3"/>
      <c r="AM61" s="3"/>
      <c r="AN61" s="3"/>
      <c r="AO61" s="3"/>
      <c r="AP61" s="3"/>
      <c r="AQ61" s="3"/>
    </row>
    <row r="62" spans="2:43" s="1" customFormat="1" ht="13.8" hidden="1" x14ac:dyDescent="0.25">
      <c r="B62" s="230" t="s">
        <v>629</v>
      </c>
      <c r="C62" s="236" t="s">
        <v>196</v>
      </c>
      <c r="D62" s="417" t="s">
        <v>630</v>
      </c>
      <c r="E62" s="737" t="s">
        <v>631</v>
      </c>
      <c r="F62" s="233"/>
      <c r="G62" s="233"/>
      <c r="H62" s="233"/>
      <c r="I62" s="233"/>
      <c r="J62" s="735"/>
      <c r="K62" s="736"/>
      <c r="O62" s="209"/>
      <c r="T62" s="3"/>
      <c r="U62" s="3"/>
      <c r="V62" s="3"/>
      <c r="W62" s="3"/>
      <c r="X62" s="3"/>
      <c r="Y62" s="3"/>
      <c r="Z62" s="3"/>
      <c r="AA62" s="3"/>
      <c r="AB62" s="3"/>
      <c r="AC62" s="3"/>
      <c r="AD62" s="3"/>
      <c r="AE62" s="3"/>
      <c r="AF62" s="3"/>
      <c r="AG62" s="3"/>
      <c r="AH62" s="3"/>
      <c r="AI62" s="3"/>
      <c r="AJ62" s="3"/>
      <c r="AK62" s="3"/>
      <c r="AL62" s="3"/>
      <c r="AM62" s="3"/>
      <c r="AN62" s="3"/>
      <c r="AO62" s="3"/>
      <c r="AP62" s="3"/>
      <c r="AQ62" s="3"/>
    </row>
    <row r="63" spans="2:43" hidden="1" x14ac:dyDescent="0.3">
      <c r="B63" s="230" t="s">
        <v>632</v>
      </c>
      <c r="C63" s="260" t="s">
        <v>181</v>
      </c>
      <c r="D63" s="416" t="s">
        <v>633</v>
      </c>
      <c r="E63" s="738" t="s">
        <v>634</v>
      </c>
      <c r="F63" s="262"/>
      <c r="G63" s="262"/>
      <c r="H63" s="262"/>
      <c r="I63" s="262"/>
      <c r="J63" s="262"/>
      <c r="K63" s="263"/>
    </row>
    <row r="64" spans="2:43" s="1" customFormat="1" ht="13.8" hidden="1" x14ac:dyDescent="0.25">
      <c r="B64" s="230" t="s">
        <v>635</v>
      </c>
      <c r="C64" s="231" t="s">
        <v>218</v>
      </c>
      <c r="D64" s="417" t="s">
        <v>636</v>
      </c>
      <c r="E64" s="737" t="s">
        <v>637</v>
      </c>
      <c r="F64" s="233"/>
      <c r="G64" s="233"/>
      <c r="H64" s="233"/>
      <c r="I64" s="233"/>
      <c r="J64" s="735"/>
      <c r="K64" s="736"/>
      <c r="O64" s="209"/>
      <c r="T64" s="3"/>
      <c r="U64" s="3"/>
      <c r="V64" s="3"/>
      <c r="W64" s="3"/>
      <c r="X64" s="3"/>
      <c r="Y64" s="3"/>
      <c r="Z64" s="3"/>
      <c r="AA64" s="3"/>
      <c r="AB64" s="3"/>
      <c r="AC64" s="3"/>
      <c r="AD64" s="3"/>
      <c r="AE64" s="3"/>
      <c r="AF64" s="3"/>
      <c r="AG64" s="3"/>
      <c r="AH64" s="3"/>
      <c r="AI64" s="3"/>
      <c r="AJ64" s="3"/>
      <c r="AK64" s="3"/>
      <c r="AL64" s="3"/>
      <c r="AM64" s="3"/>
      <c r="AN64" s="3"/>
      <c r="AO64" s="3"/>
      <c r="AP64" s="3"/>
      <c r="AQ64" s="3"/>
    </row>
    <row r="65" spans="2:43" s="1" customFormat="1" ht="15.75" hidden="1" customHeight="1" x14ac:dyDescent="0.25">
      <c r="B65" s="237" t="s">
        <v>638</v>
      </c>
      <c r="C65" s="238" t="str">
        <f>INDEX(dms_JurisdictionList,MATCH(dms_TradingName,dms_TradingName_List))</f>
        <v>ACT</v>
      </c>
      <c r="D65" s="419" t="s">
        <v>639</v>
      </c>
      <c r="E65" s="239" t="s">
        <v>640</v>
      </c>
      <c r="F65" s="240"/>
      <c r="G65" s="240"/>
      <c r="H65" s="240"/>
      <c r="I65" s="240"/>
      <c r="J65" s="739"/>
      <c r="K65" s="740"/>
      <c r="O65" s="209"/>
      <c r="T65" s="3"/>
      <c r="U65" s="3"/>
      <c r="V65" s="3"/>
      <c r="W65" s="3"/>
      <c r="X65" s="3"/>
      <c r="Y65" s="3"/>
      <c r="Z65" s="3"/>
      <c r="AA65" s="3"/>
      <c r="AB65" s="3"/>
      <c r="AC65" s="3"/>
      <c r="AD65" s="3"/>
      <c r="AE65" s="3"/>
      <c r="AF65" s="3"/>
      <c r="AG65" s="3"/>
      <c r="AH65" s="3"/>
      <c r="AI65" s="3"/>
      <c r="AJ65" s="3"/>
      <c r="AK65" s="3"/>
      <c r="AL65" s="3"/>
      <c r="AM65" s="3"/>
      <c r="AN65" s="3"/>
      <c r="AO65" s="3"/>
      <c r="AP65" s="3"/>
      <c r="AQ65" s="3"/>
    </row>
    <row r="66" spans="2:43" s="1" customFormat="1" ht="22.5" hidden="1" customHeight="1" x14ac:dyDescent="0.3">
      <c r="B66" s="741" t="s">
        <v>641</v>
      </c>
      <c r="C66" s="742"/>
      <c r="D66" s="742"/>
      <c r="E66" s="742"/>
      <c r="F66" s="743"/>
      <c r="G66" s="743"/>
      <c r="H66" s="743"/>
      <c r="I66" s="743"/>
      <c r="J66" s="743"/>
      <c r="K66" s="744"/>
      <c r="O66" s="209"/>
    </row>
    <row r="67" spans="2:43" s="1" customFormat="1" hidden="1" x14ac:dyDescent="0.3">
      <c r="B67" s="230" t="s">
        <v>642</v>
      </c>
      <c r="C67" s="231" t="e">
        <f ca="1">IF(dms_RPT="financial",VALUE(LEFT(dms_SingleYear_FinalYear_Result,4)),VALUE(LEFT(dms_SingleYear_FinalYear_Result,4)-1))</f>
        <v>#VALUE!</v>
      </c>
      <c r="D67" s="417" t="s">
        <v>643</v>
      </c>
      <c r="E67" s="232" t="s">
        <v>644</v>
      </c>
      <c r="F67" s="233"/>
      <c r="G67" s="233"/>
      <c r="H67" s="233"/>
      <c r="I67" s="233"/>
      <c r="J67" s="735"/>
      <c r="K67" s="745"/>
      <c r="O67" s="209"/>
      <c r="T67" s="3"/>
      <c r="U67" s="3"/>
      <c r="V67" s="3"/>
      <c r="W67" s="3"/>
      <c r="X67" s="3"/>
      <c r="Y67" s="3"/>
      <c r="Z67" s="3"/>
      <c r="AA67" s="3"/>
      <c r="AB67" s="3"/>
      <c r="AC67" s="3"/>
      <c r="AD67" s="3"/>
      <c r="AE67" s="3"/>
      <c r="AF67" s="3"/>
      <c r="AG67" s="3"/>
      <c r="AH67" s="3"/>
      <c r="AI67" s="3"/>
      <c r="AJ67" s="3"/>
      <c r="AK67" s="3"/>
      <c r="AL67" s="3"/>
      <c r="AM67" s="3"/>
      <c r="AN67" s="3"/>
      <c r="AO67" s="3"/>
      <c r="AP67" s="3"/>
      <c r="AQ67" s="3"/>
    </row>
    <row r="68" spans="2:43" s="1" customFormat="1" hidden="1" x14ac:dyDescent="0.3">
      <c r="B68" s="230" t="s">
        <v>645</v>
      </c>
      <c r="C68" s="231" t="str">
        <f>INDEX(dms_RPTMonth_List,MATCH(dms_TradingName,dms_TradingName_List))</f>
        <v>June</v>
      </c>
      <c r="D68" s="417" t="s">
        <v>646</v>
      </c>
      <c r="E68" s="232" t="s">
        <v>647</v>
      </c>
      <c r="F68" s="233"/>
      <c r="G68" s="233"/>
      <c r="H68" s="233"/>
      <c r="I68" s="233"/>
      <c r="J68" s="735"/>
      <c r="K68" s="745"/>
      <c r="O68" s="209"/>
      <c r="T68" s="3"/>
      <c r="U68" s="3"/>
      <c r="V68" s="3"/>
      <c r="W68" s="3"/>
      <c r="X68" s="3"/>
      <c r="Y68" s="3"/>
      <c r="Z68" s="3"/>
      <c r="AA68" s="3"/>
      <c r="AB68" s="3"/>
      <c r="AC68" s="3"/>
      <c r="AD68" s="3"/>
      <c r="AE68" s="3"/>
      <c r="AF68" s="3"/>
      <c r="AG68" s="3"/>
      <c r="AH68" s="3"/>
      <c r="AI68" s="3"/>
      <c r="AJ68" s="3"/>
      <c r="AK68" s="3"/>
      <c r="AL68" s="3"/>
      <c r="AM68" s="3"/>
      <c r="AN68" s="3"/>
      <c r="AO68" s="3"/>
      <c r="AP68" s="3"/>
      <c r="AQ68" s="3"/>
    </row>
    <row r="69" spans="2:43" s="1" customFormat="1" ht="14.25" hidden="1" customHeight="1" x14ac:dyDescent="0.3">
      <c r="B69" s="230" t="s">
        <v>648</v>
      </c>
      <c r="C69" s="231" t="str">
        <f>IF(SUM(dms_SingleYear_Model)&gt;0,CONCATENATE(dms_RPTMonth)&amp;" "&amp;VALUE((LEFT(CRY,2))&amp;RIGHT(CRY,2)),CONCATENATE(dms_RPTMonth)&amp;" "&amp;VALUE((LEFT(dms_CRCP_FinalYear_Result,2)&amp;RIGHT(dms_CRCP_FinalYear_Result,2))))</f>
        <v>June 2026</v>
      </c>
      <c r="D69" s="416" t="s">
        <v>649</v>
      </c>
      <c r="E69" s="232" t="s">
        <v>650</v>
      </c>
      <c r="F69" s="233"/>
      <c r="G69" s="233"/>
      <c r="H69" s="233"/>
      <c r="I69" s="233"/>
      <c r="J69" s="735"/>
      <c r="K69" s="745"/>
      <c r="O69" s="209"/>
      <c r="T69" s="3"/>
      <c r="U69" s="3"/>
      <c r="V69" s="3"/>
      <c r="W69" s="3"/>
      <c r="X69" s="3"/>
      <c r="Y69" s="3"/>
      <c r="Z69" s="3"/>
      <c r="AA69" s="3"/>
      <c r="AB69" s="3"/>
      <c r="AC69" s="3"/>
      <c r="AD69" s="3"/>
      <c r="AE69" s="3"/>
      <c r="AF69" s="3"/>
      <c r="AG69" s="3"/>
      <c r="AH69" s="3"/>
      <c r="AI69" s="3"/>
      <c r="AJ69" s="3"/>
      <c r="AK69" s="3"/>
      <c r="AL69" s="3"/>
      <c r="AM69" s="3"/>
      <c r="AN69" s="3"/>
      <c r="AO69" s="3"/>
      <c r="AP69" s="3"/>
      <c r="AQ69" s="3"/>
    </row>
    <row r="70" spans="2:43" s="1" customFormat="1" ht="24" hidden="1" customHeight="1" x14ac:dyDescent="0.3">
      <c r="B70" s="230" t="s">
        <v>651</v>
      </c>
      <c r="C70" s="231" t="str">
        <f>IF(SUM(dms_SingleYear_Model)&gt;0,CONCATENATE(dms_RPTMonth)&amp;" "&amp;VALUE(((LEFT(CRY,2))&amp;RIGHT(CRY,2))-1),CONCATENATE(dms_RPTMonth)&amp;" "&amp;VALUE(((LEFT(dms_CRCP_FirstYear_Result,2)&amp;RIGHT(dms_CRCP_FirstYear_Result,2))))-1)</f>
        <v>June 2021</v>
      </c>
      <c r="D70" s="416" t="s">
        <v>652</v>
      </c>
      <c r="E70" s="232" t="s">
        <v>653</v>
      </c>
      <c r="F70" s="233"/>
      <c r="G70" s="233"/>
      <c r="H70" s="233"/>
      <c r="I70" s="233"/>
      <c r="J70" s="735"/>
      <c r="K70" s="745"/>
      <c r="O70" s="209"/>
      <c r="T70" s="3"/>
      <c r="U70" s="3"/>
      <c r="V70" s="3"/>
      <c r="W70" s="3"/>
      <c r="X70" s="3"/>
      <c r="Y70" s="3"/>
      <c r="Z70" s="3"/>
      <c r="AA70" s="3"/>
      <c r="AB70" s="3"/>
      <c r="AC70" s="3"/>
      <c r="AD70" s="3"/>
      <c r="AE70" s="3"/>
      <c r="AF70" s="3"/>
      <c r="AG70" s="3"/>
      <c r="AH70" s="3"/>
      <c r="AI70" s="3"/>
      <c r="AJ70" s="3"/>
      <c r="AK70" s="3"/>
      <c r="AL70" s="3"/>
      <c r="AM70" s="3"/>
      <c r="AN70" s="3"/>
      <c r="AO70" s="3"/>
      <c r="AP70" s="3"/>
      <c r="AQ70" s="3"/>
    </row>
    <row r="71" spans="2:43" s="1" customFormat="1" ht="24" hidden="1" customHeight="1" x14ac:dyDescent="0.3">
      <c r="B71" s="741" t="s">
        <v>654</v>
      </c>
      <c r="C71" s="742"/>
      <c r="D71" s="742"/>
      <c r="E71" s="742"/>
      <c r="F71" s="743"/>
      <c r="G71" s="743"/>
      <c r="H71" s="743"/>
      <c r="I71" s="743"/>
      <c r="J71" s="743"/>
      <c r="K71" s="744"/>
      <c r="O71" s="209"/>
      <c r="T71" s="3"/>
      <c r="U71" s="3"/>
      <c r="V71" s="3"/>
      <c r="W71" s="3"/>
      <c r="X71" s="3"/>
      <c r="Y71" s="3"/>
      <c r="Z71" s="3"/>
      <c r="AA71" s="3"/>
      <c r="AB71" s="3"/>
      <c r="AC71" s="3"/>
      <c r="AD71" s="3"/>
      <c r="AE71" s="3"/>
      <c r="AF71" s="3"/>
      <c r="AG71" s="3"/>
      <c r="AH71" s="3"/>
      <c r="AI71" s="3"/>
      <c r="AJ71" s="3"/>
      <c r="AK71" s="3"/>
      <c r="AL71" s="3"/>
      <c r="AM71" s="3"/>
      <c r="AN71" s="3"/>
      <c r="AO71" s="3"/>
      <c r="AP71" s="3"/>
      <c r="AQ71" s="3"/>
    </row>
    <row r="72" spans="2:43" s="1" customFormat="1" ht="13.8" hidden="1" x14ac:dyDescent="0.25">
      <c r="B72" s="245" t="s">
        <v>655</v>
      </c>
      <c r="C72" s="30">
        <f>IF(dms_Model="EB",1,0)</f>
        <v>0</v>
      </c>
      <c r="D72" s="746" t="s">
        <v>656</v>
      </c>
      <c r="E72" s="246"/>
      <c r="F72" s="247"/>
      <c r="G72" s="247"/>
      <c r="H72" s="247"/>
      <c r="I72" s="247"/>
      <c r="J72" s="747"/>
      <c r="K72" s="748"/>
      <c r="O72" s="209"/>
      <c r="T72" s="3"/>
      <c r="U72" s="3"/>
      <c r="V72" s="3"/>
      <c r="W72" s="3"/>
      <c r="X72" s="3"/>
      <c r="Y72" s="3"/>
      <c r="Z72" s="3"/>
      <c r="AA72" s="3"/>
      <c r="AB72" s="3"/>
      <c r="AC72" s="3"/>
      <c r="AD72" s="3"/>
      <c r="AE72" s="3"/>
      <c r="AF72" s="3"/>
      <c r="AG72" s="3"/>
      <c r="AH72" s="3"/>
      <c r="AI72" s="3"/>
      <c r="AJ72" s="3"/>
      <c r="AK72" s="3"/>
      <c r="AL72" s="3"/>
      <c r="AM72" s="3"/>
      <c r="AN72" s="3"/>
      <c r="AO72" s="3"/>
      <c r="AP72" s="3"/>
      <c r="AQ72" s="3"/>
    </row>
    <row r="73" spans="2:43" s="1" customFormat="1" ht="13.8" hidden="1" x14ac:dyDescent="0.25">
      <c r="B73" s="245"/>
      <c r="C73" s="30">
        <f>IF(dms_Model="CA",1,0)</f>
        <v>0</v>
      </c>
      <c r="D73" s="416" t="s">
        <v>657</v>
      </c>
      <c r="E73" s="232" t="s">
        <v>658</v>
      </c>
      <c r="F73" s="233"/>
      <c r="G73" s="233"/>
      <c r="H73" s="233"/>
      <c r="I73" s="233"/>
      <c r="J73" s="735"/>
      <c r="K73" s="736"/>
      <c r="O73" s="209"/>
      <c r="T73" s="3"/>
      <c r="U73" s="3"/>
      <c r="V73" s="3"/>
      <c r="W73" s="3"/>
      <c r="X73" s="3"/>
      <c r="Y73" s="3"/>
      <c r="Z73" s="3"/>
      <c r="AA73" s="3"/>
      <c r="AB73" s="3"/>
      <c r="AC73" s="3"/>
      <c r="AD73" s="3"/>
      <c r="AE73" s="3"/>
      <c r="AF73" s="3"/>
      <c r="AG73" s="3"/>
      <c r="AH73" s="3"/>
      <c r="AI73" s="3"/>
      <c r="AJ73" s="3"/>
      <c r="AK73" s="3"/>
      <c r="AL73" s="3"/>
      <c r="AM73" s="3"/>
      <c r="AN73" s="3"/>
      <c r="AO73" s="3"/>
      <c r="AP73" s="3"/>
      <c r="AQ73" s="3"/>
    </row>
    <row r="74" spans="2:43" s="1" customFormat="1" ht="13.8" hidden="1" x14ac:dyDescent="0.25">
      <c r="B74" s="249"/>
      <c r="C74" s="30">
        <f>IF(dms_Model="ARR",1,0)</f>
        <v>0</v>
      </c>
      <c r="D74" s="416" t="s">
        <v>659</v>
      </c>
      <c r="E74" s="232"/>
      <c r="F74" s="233"/>
      <c r="G74" s="233"/>
      <c r="H74" s="233"/>
      <c r="I74" s="233"/>
      <c r="J74" s="735"/>
      <c r="K74" s="736"/>
      <c r="O74" s="209"/>
      <c r="T74" s="3"/>
      <c r="U74" s="3"/>
      <c r="V74" s="3"/>
      <c r="W74" s="3"/>
      <c r="X74" s="3"/>
      <c r="Y74" s="3"/>
      <c r="Z74" s="3"/>
      <c r="AA74" s="3"/>
      <c r="AB74" s="3"/>
      <c r="AC74" s="3"/>
      <c r="AD74" s="3"/>
      <c r="AE74" s="3"/>
      <c r="AF74" s="3"/>
      <c r="AG74" s="3"/>
      <c r="AH74" s="3"/>
      <c r="AI74" s="3"/>
      <c r="AJ74" s="3"/>
      <c r="AK74" s="3"/>
      <c r="AL74" s="3"/>
      <c r="AM74" s="3"/>
      <c r="AN74" s="3"/>
      <c r="AO74" s="3"/>
      <c r="AP74" s="3"/>
      <c r="AQ74" s="3"/>
    </row>
    <row r="75" spans="2:43" s="1" customFormat="1" ht="13.8" hidden="1" x14ac:dyDescent="0.25">
      <c r="B75" s="749" t="s">
        <v>660</v>
      </c>
      <c r="C75" s="30" t="str">
        <f>IF(SUM(dms_SingleYear_Model)=1,"yes","no")</f>
        <v>no</v>
      </c>
      <c r="D75" s="416"/>
      <c r="E75" s="232" t="s">
        <v>661</v>
      </c>
      <c r="F75" s="414"/>
      <c r="G75" s="414"/>
      <c r="H75" s="414"/>
      <c r="I75" s="233"/>
      <c r="J75" s="735"/>
      <c r="K75" s="736"/>
      <c r="O75" s="209"/>
      <c r="T75" s="3"/>
      <c r="U75" s="3"/>
      <c r="V75" s="3"/>
      <c r="W75" s="3"/>
      <c r="X75" s="3"/>
      <c r="Y75" s="3"/>
      <c r="Z75" s="3"/>
      <c r="AA75" s="3"/>
      <c r="AB75" s="3"/>
      <c r="AC75" s="3"/>
      <c r="AD75" s="3"/>
      <c r="AE75" s="3"/>
      <c r="AF75" s="3"/>
      <c r="AG75" s="3"/>
      <c r="AH75" s="3"/>
      <c r="AI75" s="3"/>
      <c r="AJ75" s="3"/>
      <c r="AK75" s="3"/>
      <c r="AL75" s="3"/>
      <c r="AM75" s="3"/>
      <c r="AN75" s="3"/>
      <c r="AO75" s="3"/>
      <c r="AP75" s="3"/>
      <c r="AQ75" s="3"/>
    </row>
    <row r="76" spans="2:43" s="1" customFormat="1" ht="13.8" hidden="1" x14ac:dyDescent="0.25">
      <c r="B76" s="250" t="s">
        <v>662</v>
      </c>
      <c r="C76" s="251" t="s">
        <v>603</v>
      </c>
      <c r="D76" s="416" t="s">
        <v>663</v>
      </c>
      <c r="E76" s="750" t="s">
        <v>664</v>
      </c>
      <c r="F76" s="751"/>
      <c r="G76" s="218"/>
      <c r="H76" s="218"/>
      <c r="I76" s="752"/>
      <c r="J76" s="735"/>
      <c r="K76" s="736"/>
      <c r="O76" s="209"/>
      <c r="T76" s="3"/>
      <c r="U76" s="3"/>
      <c r="V76" s="3"/>
      <c r="W76" s="3"/>
      <c r="X76" s="3"/>
      <c r="Y76" s="3"/>
      <c r="Z76" s="3"/>
      <c r="AA76" s="3"/>
      <c r="AB76" s="3"/>
      <c r="AC76" s="3"/>
      <c r="AD76" s="3"/>
      <c r="AE76" s="3"/>
      <c r="AF76" s="3"/>
      <c r="AG76" s="3"/>
      <c r="AH76" s="3"/>
      <c r="AI76" s="3"/>
      <c r="AJ76" s="3"/>
      <c r="AK76" s="3"/>
      <c r="AL76" s="3"/>
      <c r="AM76" s="3"/>
      <c r="AN76" s="3"/>
      <c r="AO76" s="3"/>
      <c r="AP76" s="3"/>
      <c r="AQ76" s="3"/>
    </row>
    <row r="77" spans="2:43" s="1" customFormat="1" ht="13.8" hidden="1" x14ac:dyDescent="0.25">
      <c r="B77" s="753" t="s">
        <v>665</v>
      </c>
      <c r="C77" s="758" t="str">
        <f ca="1">IFERROR(IF(SUM(dms_SingleYear_Model)&lt;&gt;0,(INDIRECT(dms_SingleYear_FinalYear_Ref)),"not a single year RIN"),"CRY not present")</f>
        <v>not a single year RIN</v>
      </c>
      <c r="D77" s="754" t="s">
        <v>666</v>
      </c>
      <c r="E77" s="755" t="s">
        <v>667</v>
      </c>
      <c r="F77" s="756"/>
      <c r="G77" s="756"/>
      <c r="H77" s="756"/>
      <c r="I77" s="756"/>
      <c r="J77" s="756"/>
      <c r="K77" s="757"/>
      <c r="O77" s="209"/>
      <c r="T77" s="3"/>
      <c r="U77" s="3"/>
      <c r="V77" s="3"/>
      <c r="W77" s="3"/>
      <c r="X77" s="3"/>
      <c r="Y77" s="3"/>
      <c r="Z77" s="3"/>
      <c r="AA77" s="3"/>
      <c r="AB77" s="3"/>
      <c r="AC77" s="3"/>
      <c r="AD77" s="3"/>
      <c r="AE77" s="3"/>
      <c r="AF77" s="3"/>
      <c r="AG77" s="3"/>
      <c r="AH77" s="3"/>
      <c r="AI77" s="3"/>
      <c r="AJ77" s="3"/>
      <c r="AK77" s="3"/>
      <c r="AL77" s="3"/>
      <c r="AM77" s="3"/>
      <c r="AN77" s="3"/>
      <c r="AO77" s="3"/>
      <c r="AP77" s="3"/>
      <c r="AQ77" s="3"/>
    </row>
    <row r="78" spans="2:43" s="1" customFormat="1" ht="13.8" hidden="1" x14ac:dyDescent="0.25">
      <c r="B78" s="249" t="s">
        <v>668</v>
      </c>
      <c r="C78" s="259">
        <f>INDEX(dms_FRCPlength_List,MATCH(dms_TradingName,dms_TradingName_List))</f>
        <v>5</v>
      </c>
      <c r="D78" s="746" t="s">
        <v>669</v>
      </c>
      <c r="E78" s="246" t="s">
        <v>670</v>
      </c>
      <c r="F78" s="247"/>
      <c r="G78" s="247"/>
      <c r="H78" s="247"/>
      <c r="I78" s="247"/>
      <c r="J78" s="247"/>
      <c r="K78" s="248"/>
      <c r="O78" s="209"/>
      <c r="T78" s="3"/>
      <c r="U78" s="3"/>
      <c r="V78" s="3"/>
      <c r="W78" s="3"/>
      <c r="X78" s="3"/>
      <c r="Y78" s="3"/>
      <c r="Z78" s="3"/>
      <c r="AA78" s="3"/>
      <c r="AB78" s="3"/>
      <c r="AC78" s="3"/>
      <c r="AD78" s="3"/>
      <c r="AE78" s="3"/>
      <c r="AF78" s="3"/>
      <c r="AG78" s="3"/>
      <c r="AH78" s="3"/>
      <c r="AI78" s="3"/>
      <c r="AJ78" s="3"/>
      <c r="AK78" s="3"/>
      <c r="AL78" s="3"/>
      <c r="AM78" s="3"/>
      <c r="AN78" s="3"/>
      <c r="AO78" s="3"/>
      <c r="AP78" s="3"/>
      <c r="AQ78" s="3"/>
    </row>
    <row r="79" spans="2:43" s="1" customFormat="1" ht="13.8" hidden="1" x14ac:dyDescent="0.25">
      <c r="B79" s="250" t="s">
        <v>671</v>
      </c>
      <c r="C79" s="231" t="str">
        <f>INDEX(dms_FinalYear_List,MATCH(dms_FRCPlength_Num,dms_FRCPlength_Num_List))</f>
        <v>dms_FRCP_y5</v>
      </c>
      <c r="D79" s="416" t="s">
        <v>672</v>
      </c>
      <c r="E79" s="232" t="s">
        <v>673</v>
      </c>
      <c r="F79" s="218"/>
      <c r="G79" s="218"/>
      <c r="H79" s="218"/>
      <c r="I79" s="218"/>
      <c r="J79" s="218"/>
      <c r="K79" s="219"/>
      <c r="O79" s="209"/>
      <c r="T79" s="3"/>
      <c r="U79" s="3"/>
      <c r="V79" s="3"/>
      <c r="W79" s="3"/>
      <c r="X79" s="3"/>
      <c r="Y79" s="3"/>
      <c r="Z79" s="3"/>
      <c r="AA79" s="3"/>
      <c r="AB79" s="3"/>
      <c r="AC79" s="3"/>
      <c r="AD79" s="3"/>
      <c r="AE79" s="3"/>
      <c r="AF79" s="3"/>
      <c r="AG79" s="3"/>
      <c r="AH79" s="3"/>
      <c r="AI79" s="3"/>
      <c r="AJ79" s="3"/>
      <c r="AK79" s="3"/>
      <c r="AL79" s="3"/>
      <c r="AM79" s="3"/>
      <c r="AN79" s="3"/>
      <c r="AO79" s="3"/>
      <c r="AP79" s="3"/>
      <c r="AQ79" s="3"/>
    </row>
    <row r="80" spans="2:43" s="1" customFormat="1" ht="13.8" hidden="1" x14ac:dyDescent="0.25">
      <c r="B80" s="753" t="s">
        <v>674</v>
      </c>
      <c r="C80" s="758" t="str">
        <f ca="1">IF(dms_MultiYear_Flag=0,INDIRECT(dms_MultiYear_FinalYear_Ref),dms_Specified_FinalYear)</f>
        <v>2030-31</v>
      </c>
      <c r="D80" s="754" t="s">
        <v>675</v>
      </c>
      <c r="E80" s="755" t="s">
        <v>676</v>
      </c>
      <c r="F80" s="756"/>
      <c r="G80" s="756"/>
      <c r="H80" s="756"/>
      <c r="I80" s="756" t="s">
        <v>677</v>
      </c>
      <c r="J80" s="756"/>
      <c r="K80" s="757"/>
      <c r="O80" s="209"/>
      <c r="T80" s="3"/>
      <c r="U80" s="3"/>
      <c r="V80" s="3"/>
      <c r="W80" s="3"/>
      <c r="X80" s="3"/>
      <c r="Y80" s="3"/>
      <c r="Z80" s="3"/>
      <c r="AA80" s="3"/>
      <c r="AB80" s="3"/>
      <c r="AC80" s="3"/>
      <c r="AD80" s="3"/>
      <c r="AE80" s="3"/>
      <c r="AF80" s="3"/>
      <c r="AG80" s="3"/>
      <c r="AH80" s="3"/>
      <c r="AI80" s="3"/>
      <c r="AJ80" s="3"/>
      <c r="AK80" s="3"/>
      <c r="AL80" s="3"/>
      <c r="AM80" s="3"/>
      <c r="AN80" s="3"/>
      <c r="AO80" s="3"/>
      <c r="AP80" s="3"/>
      <c r="AQ80" s="3"/>
    </row>
    <row r="81" spans="2:43" s="1" customFormat="1" ht="13.8" hidden="1" x14ac:dyDescent="0.25">
      <c r="B81" s="249" t="s">
        <v>678</v>
      </c>
      <c r="C81" s="259">
        <f>INDEX(dms_CRCPlength_List,MATCH(dms_TradingName,dms_TradingName_List))</f>
        <v>5</v>
      </c>
      <c r="D81" s="759" t="s">
        <v>679</v>
      </c>
      <c r="E81" s="760" t="s">
        <v>680</v>
      </c>
      <c r="F81" s="247"/>
      <c r="G81" s="247"/>
      <c r="H81" s="247"/>
      <c r="I81" s="247"/>
      <c r="J81" s="247"/>
      <c r="K81" s="248"/>
      <c r="O81" s="209"/>
      <c r="T81" s="3"/>
      <c r="U81" s="3"/>
      <c r="V81" s="3"/>
      <c r="W81" s="3"/>
      <c r="X81" s="3"/>
      <c r="Y81" s="3"/>
      <c r="Z81" s="3"/>
      <c r="AA81" s="3"/>
      <c r="AB81" s="3"/>
      <c r="AC81" s="3"/>
      <c r="AD81" s="3"/>
      <c r="AE81" s="3"/>
      <c r="AF81" s="3"/>
      <c r="AG81" s="3"/>
      <c r="AH81" s="3"/>
      <c r="AI81" s="3"/>
      <c r="AJ81" s="3"/>
      <c r="AK81" s="3"/>
      <c r="AL81" s="3"/>
      <c r="AM81" s="3"/>
      <c r="AN81" s="3"/>
      <c r="AO81" s="3"/>
      <c r="AP81" s="3"/>
      <c r="AQ81" s="3"/>
    </row>
    <row r="82" spans="2:43" s="1" customFormat="1" ht="13.8" hidden="1" x14ac:dyDescent="0.25">
      <c r="B82" s="252" t="s">
        <v>681</v>
      </c>
      <c r="C82" s="231" t="str">
        <f>INDEX(dms_CFinalYear_List,MATCH(dms_CRCPlength_Num,dms_CRCPlength_Num_List))</f>
        <v>CRCP_y5</v>
      </c>
      <c r="D82" s="761" t="s">
        <v>682</v>
      </c>
      <c r="E82" s="253" t="s">
        <v>683</v>
      </c>
      <c r="F82" s="233"/>
      <c r="G82" s="233"/>
      <c r="H82" s="233"/>
      <c r="I82" s="233"/>
      <c r="J82" s="233"/>
      <c r="K82" s="234"/>
      <c r="O82" s="209"/>
      <c r="T82" s="3"/>
      <c r="U82" s="3"/>
      <c r="V82" s="3"/>
      <c r="W82" s="3"/>
      <c r="X82" s="3"/>
      <c r="Y82" s="3"/>
      <c r="Z82" s="3"/>
      <c r="AA82" s="3"/>
      <c r="AB82" s="3"/>
      <c r="AC82" s="3"/>
      <c r="AD82" s="3"/>
      <c r="AE82" s="3"/>
      <c r="AF82" s="3"/>
      <c r="AG82" s="3"/>
      <c r="AH82" s="3"/>
      <c r="AI82" s="3"/>
      <c r="AJ82" s="3"/>
      <c r="AK82" s="3"/>
      <c r="AL82" s="3"/>
      <c r="AM82" s="3"/>
      <c r="AN82" s="3"/>
      <c r="AO82" s="3"/>
      <c r="AP82" s="3"/>
      <c r="AQ82" s="3"/>
    </row>
    <row r="83" spans="2:43" s="1" customFormat="1" ht="13.8" hidden="1" x14ac:dyDescent="0.25">
      <c r="B83" s="254" t="s">
        <v>684</v>
      </c>
      <c r="C83" s="231" t="str">
        <f>INDEX(dms_CRCP_years,MATCH(dms_CRCPlength_Num,dms_CRCP_index))</f>
        <v>2021-22</v>
      </c>
      <c r="D83" s="762" t="s">
        <v>685</v>
      </c>
      <c r="E83" s="253" t="s">
        <v>686</v>
      </c>
      <c r="F83" s="255"/>
      <c r="G83" s="255"/>
      <c r="H83" s="255"/>
      <c r="I83" s="255"/>
      <c r="J83" s="255"/>
      <c r="K83" s="763"/>
      <c r="O83" s="209"/>
      <c r="T83" s="3"/>
      <c r="U83" s="3"/>
      <c r="V83" s="3"/>
      <c r="W83" s="3"/>
      <c r="X83" s="3"/>
      <c r="Y83" s="3"/>
      <c r="Z83" s="3"/>
      <c r="AA83" s="3"/>
      <c r="AB83" s="3"/>
      <c r="AC83" s="3"/>
      <c r="AD83" s="3"/>
      <c r="AE83" s="3"/>
      <c r="AF83" s="3"/>
      <c r="AG83" s="3"/>
      <c r="AH83" s="3"/>
      <c r="AI83" s="3"/>
      <c r="AJ83" s="3"/>
      <c r="AK83" s="3"/>
      <c r="AL83" s="3"/>
      <c r="AM83" s="3"/>
      <c r="AN83" s="3"/>
      <c r="AO83" s="3"/>
      <c r="AP83" s="3"/>
      <c r="AQ83" s="3"/>
    </row>
    <row r="84" spans="2:43" s="1" customFormat="1" ht="15.75" hidden="1" customHeight="1" x14ac:dyDescent="0.25">
      <c r="B84" s="256" t="s">
        <v>687</v>
      </c>
      <c r="C84" s="257" t="str">
        <f>IF(dms_MultiYear_Flag=0,(IF(SUM(dms_SingleYear_Model)&gt;0,CRY,dms_CRCP_yZ)),dms_Specified_FinalYear)</f>
        <v>2025-26</v>
      </c>
      <c r="D84" s="764" t="s">
        <v>688</v>
      </c>
      <c r="E84" s="258" t="s">
        <v>689</v>
      </c>
      <c r="F84" s="240"/>
      <c r="G84" s="240"/>
      <c r="H84" s="240"/>
      <c r="I84" s="240"/>
      <c r="J84" s="240"/>
      <c r="K84" s="241"/>
      <c r="O84" s="209"/>
      <c r="T84" s="3"/>
      <c r="U84" s="3"/>
      <c r="V84" s="3"/>
      <c r="W84" s="3"/>
      <c r="X84" s="3"/>
      <c r="Y84" s="3"/>
      <c r="Z84" s="3"/>
      <c r="AA84" s="3"/>
      <c r="AB84" s="3"/>
      <c r="AC84" s="3"/>
      <c r="AD84" s="3"/>
      <c r="AE84" s="3"/>
      <c r="AF84" s="3"/>
      <c r="AG84" s="3"/>
      <c r="AH84" s="3"/>
      <c r="AI84" s="3"/>
      <c r="AJ84" s="3"/>
      <c r="AK84" s="3"/>
      <c r="AL84" s="3"/>
      <c r="AM84" s="3"/>
      <c r="AN84" s="3"/>
      <c r="AO84" s="3"/>
      <c r="AP84" s="3"/>
      <c r="AQ84" s="3"/>
    </row>
    <row r="85" spans="2:43" s="1" customFormat="1" ht="24" hidden="1" customHeight="1" x14ac:dyDescent="0.3">
      <c r="B85" s="741" t="s">
        <v>690</v>
      </c>
      <c r="C85" s="742"/>
      <c r="D85" s="742"/>
      <c r="E85" s="742"/>
      <c r="F85" s="743"/>
      <c r="G85" s="743"/>
      <c r="H85" s="743"/>
      <c r="I85" s="743"/>
      <c r="J85" s="743"/>
      <c r="K85" s="744"/>
      <c r="O85" s="209"/>
    </row>
    <row r="86" spans="2:43" s="1" customFormat="1" ht="15.75" hidden="1" customHeight="1" x14ac:dyDescent="0.3">
      <c r="B86" s="230" t="s">
        <v>691</v>
      </c>
      <c r="C86" s="231" t="str">
        <f>INDEX(dms_FormControl_List,MATCH(dms_TradingName,dms_TradingName_List))</f>
        <v>Weighted average price cap</v>
      </c>
      <c r="D86" s="416" t="s">
        <v>692</v>
      </c>
      <c r="E86" s="232" t="s">
        <v>693</v>
      </c>
      <c r="F86" s="233"/>
      <c r="G86" s="233"/>
      <c r="H86" s="233"/>
      <c r="I86" s="233"/>
      <c r="J86" s="735"/>
      <c r="K86" s="745"/>
      <c r="O86" s="209"/>
      <c r="T86" s="3"/>
      <c r="U86" s="3"/>
      <c r="V86" s="3"/>
      <c r="W86" s="3"/>
      <c r="X86" s="3"/>
      <c r="Y86" s="3"/>
      <c r="Z86" s="3"/>
      <c r="AA86" s="3"/>
      <c r="AB86" s="3"/>
      <c r="AC86" s="3"/>
      <c r="AD86" s="3"/>
      <c r="AE86" s="3"/>
      <c r="AF86" s="3"/>
      <c r="AG86" s="3"/>
      <c r="AH86" s="3"/>
      <c r="AI86" s="3"/>
      <c r="AJ86" s="3"/>
      <c r="AK86" s="3"/>
      <c r="AL86" s="3"/>
      <c r="AM86" s="3"/>
      <c r="AN86" s="3"/>
      <c r="AO86" s="3"/>
      <c r="AP86" s="3"/>
      <c r="AQ86" s="3"/>
    </row>
    <row r="87" spans="2:43" s="1" customFormat="1" ht="15.75" hidden="1" customHeight="1" x14ac:dyDescent="0.3">
      <c r="B87" s="741" t="s">
        <v>694</v>
      </c>
      <c r="C87" s="742"/>
      <c r="D87" s="742"/>
      <c r="E87" s="742"/>
      <c r="F87" s="743"/>
      <c r="G87" s="743"/>
      <c r="H87" s="743"/>
      <c r="I87" s="743"/>
      <c r="J87" s="743"/>
      <c r="K87" s="744"/>
      <c r="O87" s="209"/>
    </row>
    <row r="88" spans="2:43" s="1" customFormat="1" ht="15.75" hidden="1" customHeight="1" x14ac:dyDescent="0.25">
      <c r="B88" s="765" t="s">
        <v>695</v>
      </c>
      <c r="C88" s="766" t="s">
        <v>616</v>
      </c>
      <c r="D88" s="767"/>
      <c r="E88" s="768"/>
      <c r="F88" s="414"/>
      <c r="G88" s="414"/>
      <c r="H88" s="414"/>
      <c r="I88" s="247"/>
      <c r="J88" s="747"/>
      <c r="K88" s="748"/>
      <c r="O88" s="209"/>
      <c r="T88" s="3"/>
      <c r="U88" s="3"/>
      <c r="V88" s="3"/>
      <c r="W88" s="3"/>
      <c r="X88" s="3"/>
      <c r="Y88" s="3"/>
      <c r="Z88" s="3"/>
      <c r="AA88" s="3"/>
      <c r="AB88" s="3"/>
      <c r="AC88" s="3"/>
      <c r="AD88" s="3"/>
      <c r="AE88" s="3"/>
      <c r="AF88" s="3"/>
      <c r="AG88" s="3"/>
      <c r="AH88" s="3"/>
      <c r="AI88" s="3"/>
      <c r="AJ88" s="3"/>
      <c r="AK88" s="3"/>
      <c r="AL88" s="3"/>
      <c r="AM88" s="3"/>
      <c r="AN88" s="3"/>
      <c r="AO88" s="3"/>
      <c r="AP88" s="3"/>
      <c r="AQ88" s="3"/>
    </row>
    <row r="89" spans="2:43" s="1" customFormat="1" ht="13.8" hidden="1" x14ac:dyDescent="0.25">
      <c r="B89" s="245" t="s">
        <v>696</v>
      </c>
      <c r="C89" s="769">
        <f>IF(dms_MultiYear_ResponseFlag="No",0,1)</f>
        <v>0</v>
      </c>
      <c r="D89" s="767" t="s">
        <v>697</v>
      </c>
      <c r="E89" s="737" t="s">
        <v>698</v>
      </c>
      <c r="F89" s="414"/>
      <c r="G89" s="414"/>
      <c r="H89" s="414"/>
      <c r="I89" s="233"/>
      <c r="J89" s="735"/>
      <c r="K89" s="736"/>
      <c r="O89" s="209"/>
      <c r="T89" s="3"/>
      <c r="U89" s="3"/>
      <c r="V89" s="3"/>
      <c r="W89" s="3"/>
      <c r="X89" s="3"/>
      <c r="Y89" s="3"/>
      <c r="Z89" s="3"/>
      <c r="AA89" s="3"/>
      <c r="AB89" s="3"/>
      <c r="AC89" s="3"/>
      <c r="AD89" s="3"/>
      <c r="AE89" s="3"/>
      <c r="AF89" s="3"/>
      <c r="AG89" s="3"/>
      <c r="AH89" s="3"/>
      <c r="AI89" s="3"/>
      <c r="AJ89" s="3"/>
      <c r="AK89" s="3"/>
      <c r="AL89" s="3"/>
      <c r="AM89" s="3"/>
      <c r="AN89" s="3"/>
      <c r="AO89" s="3"/>
      <c r="AP89" s="3"/>
      <c r="AQ89" s="3"/>
    </row>
    <row r="90" spans="2:43" s="1" customFormat="1" ht="26.25" hidden="1" customHeight="1" x14ac:dyDescent="0.25">
      <c r="B90" s="242"/>
      <c r="C90" s="770" t="str">
        <f>IF(dms_MultiYear_Flag=1,FRY,"not a Multiple year submission")</f>
        <v>not a Multiple year submission</v>
      </c>
      <c r="D90" s="771" t="s">
        <v>699</v>
      </c>
      <c r="E90" s="772" t="s">
        <v>700</v>
      </c>
      <c r="F90" s="243"/>
      <c r="G90" s="243"/>
      <c r="H90" s="243"/>
      <c r="I90" s="240"/>
      <c r="J90" s="739"/>
      <c r="K90" s="740"/>
      <c r="O90" s="209"/>
      <c r="T90" s="3"/>
      <c r="U90" s="3"/>
      <c r="V90" s="3"/>
      <c r="W90" s="3"/>
      <c r="X90" s="3"/>
      <c r="Y90" s="3"/>
      <c r="Z90" s="3"/>
      <c r="AA90" s="3"/>
      <c r="AB90" s="3"/>
      <c r="AC90" s="3"/>
      <c r="AD90" s="3"/>
      <c r="AE90" s="3"/>
      <c r="AF90" s="3"/>
      <c r="AG90" s="3"/>
      <c r="AH90" s="3"/>
      <c r="AI90" s="3"/>
      <c r="AJ90" s="3"/>
      <c r="AK90" s="3"/>
      <c r="AL90" s="3"/>
      <c r="AM90" s="3"/>
      <c r="AN90" s="3"/>
      <c r="AO90" s="3"/>
      <c r="AP90" s="3"/>
      <c r="AQ90" s="3"/>
    </row>
    <row r="91" spans="2:43" s="1" customFormat="1" ht="15.75" hidden="1" customHeight="1" x14ac:dyDescent="0.25">
      <c r="B91" s="773" t="s">
        <v>701</v>
      </c>
      <c r="C91" s="231" t="str">
        <f>IF(dms_MultiYear_Flag=1,FRY,CRY)</f>
        <v>2018-19</v>
      </c>
      <c r="D91" s="774" t="s">
        <v>702</v>
      </c>
      <c r="E91" s="774" t="s">
        <v>703</v>
      </c>
      <c r="F91" s="414"/>
      <c r="G91" s="414" t="s">
        <v>704</v>
      </c>
      <c r="H91" s="414"/>
      <c r="I91" s="414"/>
      <c r="J91" s="775"/>
      <c r="K91" s="776"/>
      <c r="O91" s="209"/>
      <c r="T91" s="3"/>
      <c r="U91" s="3"/>
      <c r="V91" s="3"/>
      <c r="W91" s="3"/>
      <c r="X91" s="3"/>
      <c r="Y91" s="3"/>
      <c r="Z91" s="3"/>
      <c r="AA91" s="3"/>
      <c r="AB91" s="3"/>
      <c r="AC91" s="3"/>
      <c r="AD91" s="3"/>
      <c r="AE91" s="3"/>
      <c r="AF91" s="3"/>
      <c r="AG91" s="3"/>
      <c r="AH91" s="3"/>
      <c r="AI91" s="3"/>
      <c r="AJ91" s="3"/>
      <c r="AK91" s="3"/>
      <c r="AL91" s="3"/>
      <c r="AM91" s="3"/>
      <c r="AN91" s="3"/>
      <c r="AO91" s="3"/>
      <c r="AP91" s="3"/>
      <c r="AQ91" s="3"/>
    </row>
    <row r="92" spans="2:43" s="1" customFormat="1" ht="28.5" hidden="1" customHeight="1" x14ac:dyDescent="0.3">
      <c r="B92" s="741" t="s">
        <v>705</v>
      </c>
      <c r="C92" s="742"/>
      <c r="D92" s="742"/>
      <c r="E92" s="742"/>
      <c r="F92" s="743"/>
      <c r="G92" s="743"/>
      <c r="H92" s="743"/>
      <c r="I92" s="743"/>
      <c r="J92" s="743"/>
      <c r="K92" s="744"/>
      <c r="O92" s="209"/>
    </row>
    <row r="93" spans="2:43" s="1" customFormat="1" ht="24.75" hidden="1" customHeight="1" x14ac:dyDescent="0.3">
      <c r="B93" s="230" t="s">
        <v>706</v>
      </c>
      <c r="C93" s="231" t="e">
        <f ca="1">IF(dms_RPT="financial",VALUE(LEFT(dms_SingleYear_FinalYear_Result,4)),VALUE(LEFT(dms_SingleYear_FinalYear_Result,4)-1))</f>
        <v>#VALUE!</v>
      </c>
      <c r="D93" s="416" t="s">
        <v>707</v>
      </c>
      <c r="E93" s="232" t="s">
        <v>708</v>
      </c>
      <c r="F93" s="233"/>
      <c r="G93" s="233"/>
      <c r="H93" s="233"/>
      <c r="I93" s="233"/>
      <c r="J93" s="735"/>
      <c r="K93" s="745"/>
      <c r="O93" s="209"/>
      <c r="T93" s="3"/>
      <c r="U93" s="3"/>
      <c r="V93" s="3"/>
      <c r="W93" s="3"/>
      <c r="X93" s="3"/>
      <c r="Y93" s="3"/>
      <c r="Z93" s="3"/>
      <c r="AA93" s="3"/>
      <c r="AB93" s="3"/>
      <c r="AC93" s="3"/>
      <c r="AD93" s="3"/>
      <c r="AE93" s="3"/>
      <c r="AF93" s="3"/>
      <c r="AG93" s="3"/>
      <c r="AH93" s="3"/>
      <c r="AI93" s="3"/>
      <c r="AJ93" s="3"/>
      <c r="AK93" s="3"/>
      <c r="AL93" s="3"/>
      <c r="AM93" s="3"/>
      <c r="AN93" s="3"/>
      <c r="AO93" s="3"/>
      <c r="AP93" s="3"/>
      <c r="AQ93" s="3"/>
    </row>
    <row r="94" spans="2:43" s="1" customFormat="1" ht="15.75" hidden="1" customHeight="1" x14ac:dyDescent="0.3">
      <c r="B94" s="741" t="s">
        <v>709</v>
      </c>
      <c r="C94" s="742"/>
      <c r="D94" s="742"/>
      <c r="E94" s="742"/>
      <c r="F94" s="743"/>
      <c r="G94" s="743"/>
      <c r="H94" s="743"/>
      <c r="I94" s="743"/>
      <c r="J94" s="743"/>
      <c r="K94" s="744"/>
      <c r="O94" s="209"/>
    </row>
    <row r="95" spans="2:43" s="1" customFormat="1" ht="13.2" hidden="1" x14ac:dyDescent="0.25">
      <c r="B95" s="777" t="s">
        <v>710</v>
      </c>
      <c r="C95" s="778"/>
      <c r="D95" s="779"/>
      <c r="E95" s="737" t="s">
        <v>711</v>
      </c>
      <c r="F95" s="414"/>
      <c r="G95" s="414"/>
      <c r="H95" s="414"/>
      <c r="I95" s="414"/>
      <c r="J95" s="414"/>
      <c r="K95" s="221"/>
      <c r="O95" s="209"/>
    </row>
    <row r="96" spans="2:43" s="1" customFormat="1" ht="13.2" hidden="1" x14ac:dyDescent="0.25">
      <c r="B96" s="777"/>
      <c r="C96" s="778" t="str">
        <f>IF(dms_Model&lt;&gt;"CA","not a CA","Is a CA")</f>
        <v>not a CA</v>
      </c>
      <c r="D96" s="779"/>
      <c r="E96" s="780" t="s">
        <v>712</v>
      </c>
      <c r="F96" s="414"/>
      <c r="G96" s="414"/>
      <c r="H96" s="414"/>
      <c r="I96" s="414"/>
      <c r="J96" s="414"/>
      <c r="K96" s="221"/>
      <c r="O96" s="209"/>
    </row>
    <row r="97" spans="2:19" s="1" customFormat="1" ht="13.2" hidden="1" x14ac:dyDescent="0.25">
      <c r="B97" s="781" t="s">
        <v>713</v>
      </c>
      <c r="C97" s="778" t="str">
        <f>IFERROR(IF(INDEX(dms_060301_Avg_Duration_Sustained_Int_Values,1,1)&lt;&gt;"","yes","no"),"no")</f>
        <v>no</v>
      </c>
      <c r="D97" s="779" t="s">
        <v>714</v>
      </c>
      <c r="E97" s="782" t="s">
        <v>715</v>
      </c>
      <c r="F97" s="414"/>
      <c r="G97" s="414"/>
      <c r="H97" s="414"/>
      <c r="I97" s="414"/>
      <c r="J97" s="414"/>
      <c r="K97" s="221"/>
      <c r="O97" s="209"/>
    </row>
    <row r="98" spans="2:19" s="1" customFormat="1" ht="13.2" hidden="1" x14ac:dyDescent="0.25">
      <c r="B98" s="781"/>
      <c r="C98" s="1009" t="str">
        <f>IF(AND(dms_Model="CA",(dms_060301_checkvalue="no")),"error - NR not present","no errors")</f>
        <v>no errors</v>
      </c>
      <c r="D98" s="779"/>
      <c r="E98" s="782" t="s">
        <v>716</v>
      </c>
      <c r="F98" s="414"/>
      <c r="G98" s="414"/>
      <c r="H98" s="414"/>
      <c r="I98" s="414"/>
      <c r="J98" s="414"/>
      <c r="K98" s="221"/>
      <c r="O98" s="209"/>
    </row>
    <row r="99" spans="2:19" s="1" customFormat="1" ht="13.2" hidden="1" x14ac:dyDescent="0.25">
      <c r="B99" s="783" t="s">
        <v>717</v>
      </c>
      <c r="C99" s="778" t="str">
        <f>IFERROR(IF(dms_Model="CA",LOOKUP(2,1/(dms_060301_Avg_Duration_Sustained_Int_Values&lt;&gt;""),(ROW(dms_060301_Avg_Duration_Sustained_Int_Values))),"not a CA"),"6.3 not present")</f>
        <v>not a CA</v>
      </c>
      <c r="D99" s="779" t="s">
        <v>718</v>
      </c>
      <c r="E99" s="782" t="s">
        <v>719</v>
      </c>
      <c r="F99" s="414"/>
      <c r="G99" s="414"/>
      <c r="H99" s="414"/>
      <c r="I99" s="414"/>
      <c r="J99" s="414"/>
      <c r="K99" s="221"/>
      <c r="O99" s="209"/>
    </row>
    <row r="100" spans="2:19" s="1" customFormat="1" ht="13.2" hidden="1" x14ac:dyDescent="0.25">
      <c r="B100" s="784" t="s">
        <v>720</v>
      </c>
      <c r="C100" s="1010" t="str">
        <f>IFERROR(IF(dms_Model="CA",(dms_060301_LastRow-15),"not a CA"),"error")</f>
        <v>not a CA</v>
      </c>
      <c r="D100" s="785" t="s">
        <v>721</v>
      </c>
      <c r="E100" s="786" t="s">
        <v>722</v>
      </c>
      <c r="F100" s="243"/>
      <c r="G100" s="243"/>
      <c r="H100" s="243"/>
      <c r="I100" s="243"/>
      <c r="J100" s="243"/>
      <c r="K100" s="244"/>
      <c r="L100" s="210"/>
      <c r="O100" s="209"/>
    </row>
    <row r="101" spans="2:19" ht="15.75" hidden="1" customHeight="1" x14ac:dyDescent="0.3">
      <c r="B101" s="787" t="s">
        <v>723</v>
      </c>
      <c r="C101" s="788" t="str">
        <f>INDEX(dms_663_List,MATCH(dms_TradingName,dms_TradingName_List))</f>
        <v>x</v>
      </c>
      <c r="D101" s="767" t="s">
        <v>724</v>
      </c>
      <c r="E101" s="782" t="s">
        <v>725</v>
      </c>
      <c r="F101" s="789"/>
      <c r="G101" s="789"/>
      <c r="H101" s="789"/>
      <c r="I101" s="789"/>
      <c r="J101" s="789"/>
      <c r="K101" s="790"/>
    </row>
    <row r="102" spans="2:19" s="1" customFormat="1" ht="15.75" hidden="1" customHeight="1" x14ac:dyDescent="0.3">
      <c r="B102" s="741" t="s">
        <v>726</v>
      </c>
      <c r="C102" s="742"/>
      <c r="D102" s="742"/>
      <c r="E102" s="742"/>
      <c r="F102" s="743"/>
      <c r="G102" s="743"/>
      <c r="H102" s="743"/>
      <c r="I102" s="743"/>
      <c r="J102" s="743"/>
      <c r="K102" s="744"/>
      <c r="O102" s="209"/>
    </row>
    <row r="103" spans="2:19" ht="25.5" hidden="1" customHeight="1" x14ac:dyDescent="0.3">
      <c r="B103" s="777" t="s">
        <v>727</v>
      </c>
      <c r="C103" s="791" t="s">
        <v>728</v>
      </c>
      <c r="D103" s="792"/>
      <c r="E103" s="793" t="s">
        <v>729</v>
      </c>
      <c r="F103" s="794"/>
      <c r="G103" s="794"/>
      <c r="H103" s="789"/>
      <c r="I103" s="789"/>
      <c r="J103" s="789"/>
      <c r="K103" s="790"/>
      <c r="O103" s="795"/>
    </row>
    <row r="104" spans="2:19" hidden="1" x14ac:dyDescent="0.3">
      <c r="B104" s="783" t="s">
        <v>730</v>
      </c>
      <c r="C104" s="791" t="str">
        <f>IFERROR(IF(dms_LeapYear,"yes"),"no")</f>
        <v>no</v>
      </c>
      <c r="D104" s="792"/>
      <c r="E104" s="796"/>
      <c r="F104" s="794"/>
      <c r="G104" s="794"/>
      <c r="H104" s="789"/>
      <c r="I104" s="789"/>
      <c r="J104" s="789"/>
      <c r="K104" s="790"/>
      <c r="O104" s="795"/>
    </row>
    <row r="105" spans="2:19" hidden="1" x14ac:dyDescent="0.3">
      <c r="B105" s="797" t="s">
        <v>731</v>
      </c>
      <c r="C105" s="1011" t="str">
        <f xml:space="preserve">
IFERROR(IF(MONTH(DATE(YEAR(dms_LeapYear),2,29))=2,"is a leap year","not a leap year"),
"dms_LeapYear not present")</f>
        <v>dms_LeapYear not present</v>
      </c>
      <c r="D105" s="767" t="s">
        <v>732</v>
      </c>
      <c r="E105" s="767" t="s">
        <v>733</v>
      </c>
      <c r="F105" s="789"/>
      <c r="G105" s="789"/>
      <c r="H105" s="789"/>
      <c r="I105" s="789"/>
      <c r="J105" s="789"/>
      <c r="K105" s="790"/>
    </row>
    <row r="106" spans="2:19" hidden="1" x14ac:dyDescent="0.3">
      <c r="B106" s="797" t="s">
        <v>734</v>
      </c>
      <c r="C106" s="1012">
        <f>IF(dms_LeapYear_Result="is a leap year",1827,1826)</f>
        <v>1826</v>
      </c>
      <c r="D106" s="767" t="s">
        <v>735</v>
      </c>
      <c r="E106" s="768" t="s">
        <v>736</v>
      </c>
      <c r="F106" s="789"/>
      <c r="G106" s="789"/>
      <c r="H106" s="233" t="s">
        <v>737</v>
      </c>
      <c r="I106" s="789"/>
      <c r="J106" s="789"/>
      <c r="K106" s="790"/>
    </row>
    <row r="107" spans="2:19" hidden="1" x14ac:dyDescent="0.3">
      <c r="B107" s="797" t="s">
        <v>738</v>
      </c>
      <c r="C107" s="1012">
        <f>IF(dms_LeapYear_Result="is a leap year",366,365)</f>
        <v>365</v>
      </c>
      <c r="D107" s="767" t="s">
        <v>739</v>
      </c>
      <c r="E107" s="768" t="s">
        <v>740</v>
      </c>
      <c r="F107" s="789"/>
      <c r="G107" s="789"/>
      <c r="H107" s="233" t="s">
        <v>741</v>
      </c>
      <c r="I107" s="789"/>
      <c r="J107" s="789"/>
      <c r="K107" s="790"/>
    </row>
    <row r="108" spans="2:19" ht="15.75" hidden="1" customHeight="1" x14ac:dyDescent="0.3">
      <c r="B108" s="798" t="s">
        <v>742</v>
      </c>
      <c r="C108" s="1013">
        <f>IF(dms_Model="ARR",dms_060701_ARR_MaxRows,IF(dms_Model="Reset",dms_060701_Reset_MaxRows,"not a relevant RIN type"))</f>
        <v>1826</v>
      </c>
      <c r="D108" s="799" t="s">
        <v>743</v>
      </c>
      <c r="E108" s="800" t="s">
        <v>744</v>
      </c>
      <c r="F108" s="801"/>
      <c r="G108" s="801"/>
      <c r="H108" s="801"/>
      <c r="I108" s="801"/>
      <c r="J108" s="801"/>
      <c r="K108" s="802"/>
    </row>
    <row r="109" spans="2:19" s="3" customFormat="1" ht="24" hidden="1" customHeight="1" x14ac:dyDescent="0.25">
      <c r="B109" s="803" t="s">
        <v>745</v>
      </c>
      <c r="C109" s="1014" t="str">
        <f>IF(dms_FifthFeeder_flag_NSP="NO","This NSP has only 4 feeder categories","This NSP has 5 feeder categories")</f>
        <v>This NSP has only 4 feeder categories</v>
      </c>
      <c r="D109" s="804"/>
      <c r="E109" s="805"/>
      <c r="F109" s="218"/>
      <c r="G109" s="218"/>
      <c r="H109" s="218"/>
      <c r="I109" s="218"/>
      <c r="J109" s="218"/>
      <c r="K109" s="219"/>
      <c r="L109" s="1"/>
      <c r="M109" s="1"/>
      <c r="N109" s="1"/>
      <c r="O109" s="209"/>
      <c r="P109" s="1"/>
      <c r="Q109" s="1"/>
      <c r="R109" s="1"/>
      <c r="S109" s="1"/>
    </row>
    <row r="110" spans="2:19" hidden="1" x14ac:dyDescent="0.3">
      <c r="B110" s="783" t="s">
        <v>746</v>
      </c>
      <c r="C110" s="1015">
        <f>IF(dms_FifthFeeder_flag_NSP="NO",10,12)</f>
        <v>10</v>
      </c>
      <c r="D110" s="767" t="s">
        <v>747</v>
      </c>
      <c r="E110" s="782" t="s">
        <v>748</v>
      </c>
      <c r="F110" s="789"/>
      <c r="G110" s="789"/>
      <c r="H110" s="789"/>
      <c r="I110" s="789"/>
      <c r="J110" s="789"/>
      <c r="K110" s="790"/>
      <c r="O110" s="806"/>
    </row>
    <row r="111" spans="2:19" hidden="1" x14ac:dyDescent="0.3">
      <c r="B111" s="784" t="s">
        <v>749</v>
      </c>
      <c r="C111" s="1016">
        <f>IF(dms_Model="ARR",15,9)</f>
        <v>9</v>
      </c>
      <c r="D111" s="771" t="s">
        <v>750</v>
      </c>
      <c r="E111" s="807" t="s">
        <v>751</v>
      </c>
      <c r="F111" s="808"/>
      <c r="G111" s="808"/>
      <c r="H111" s="808"/>
      <c r="I111" s="808"/>
      <c r="J111" s="808"/>
      <c r="K111" s="809"/>
      <c r="O111" s="806"/>
    </row>
    <row r="112" spans="2:19" hidden="1" x14ac:dyDescent="0.3">
      <c r="B112" s="777" t="s">
        <v>752</v>
      </c>
      <c r="C112" s="810"/>
      <c r="D112" s="811"/>
      <c r="E112" s="737" t="s">
        <v>753</v>
      </c>
      <c r="F112" s="789"/>
      <c r="G112" s="789"/>
      <c r="H112" s="789"/>
      <c r="I112" s="789"/>
      <c r="J112" s="789"/>
      <c r="K112" s="790"/>
    </row>
    <row r="113" spans="2:15" hidden="1" x14ac:dyDescent="0.3">
      <c r="B113" s="783" t="s">
        <v>754</v>
      </c>
      <c r="C113" s="788" t="str">
        <f>IF(SUM(dms_SingleYear_Model)&gt;0,(CONCATENATE(IF(LEN(CRY)=4,"1-Jan-","1-Jul-"),LEFT(CRY,4))),(CONCATENATE(IF(LEN(CRCP_y4)=4,"1-Jan-","1-Jul-"),LEFT(CRCP_y4,4))))</f>
        <v>1-Jul-2024</v>
      </c>
      <c r="D113" s="767" t="s">
        <v>525</v>
      </c>
      <c r="E113" s="780" t="s">
        <v>755</v>
      </c>
      <c r="F113" s="789"/>
      <c r="G113" s="789"/>
      <c r="H113" s="789"/>
      <c r="I113" s="789"/>
      <c r="J113" s="789"/>
      <c r="K113" s="790"/>
      <c r="O113" s="795"/>
    </row>
    <row r="114" spans="2:15" ht="15.75" hidden="1" customHeight="1" x14ac:dyDescent="0.3">
      <c r="B114" s="812" t="s">
        <v>756</v>
      </c>
      <c r="C114" s="845">
        <f>DATEVALUE(dms_060701_StartDateTxt)</f>
        <v>45474</v>
      </c>
      <c r="D114" s="813" t="s">
        <v>757</v>
      </c>
      <c r="E114" s="814" t="s">
        <v>758</v>
      </c>
      <c r="F114" s="815"/>
      <c r="G114" s="815"/>
      <c r="H114" s="815"/>
      <c r="I114" s="815"/>
      <c r="J114" s="815"/>
      <c r="K114" s="816"/>
      <c r="L114" s="210"/>
      <c r="O114" s="795"/>
    </row>
    <row r="115" spans="2:15" s="1" customFormat="1" ht="15.75" hidden="1" customHeight="1" x14ac:dyDescent="0.3">
      <c r="B115" s="741" t="s">
        <v>759</v>
      </c>
      <c r="C115" s="742"/>
      <c r="D115" s="742"/>
      <c r="E115" s="742"/>
      <c r="F115" s="743"/>
      <c r="G115" s="743"/>
      <c r="H115" s="743"/>
      <c r="I115" s="743"/>
      <c r="J115" s="743"/>
      <c r="K115" s="744"/>
      <c r="O115" s="209"/>
    </row>
    <row r="116" spans="2:15" ht="38.25" hidden="1" customHeight="1" x14ac:dyDescent="0.3">
      <c r="B116" s="817" t="s">
        <v>760</v>
      </c>
      <c r="C116" s="791" t="s">
        <v>761</v>
      </c>
      <c r="D116" s="737"/>
      <c r="E116" s="737" t="s">
        <v>762</v>
      </c>
      <c r="F116" s="818"/>
      <c r="G116" s="818"/>
      <c r="H116" s="818"/>
      <c r="I116" s="818"/>
      <c r="J116" s="818"/>
      <c r="K116" s="819"/>
      <c r="L116" s="210"/>
      <c r="O116" s="795"/>
    </row>
    <row r="117" spans="2:15" hidden="1" x14ac:dyDescent="0.3">
      <c r="B117" s="777" t="s">
        <v>763</v>
      </c>
      <c r="C117" s="791" t="s">
        <v>764</v>
      </c>
      <c r="D117" s="820"/>
      <c r="E117" s="782" t="s">
        <v>765</v>
      </c>
      <c r="F117" s="789"/>
      <c r="G117" s="789"/>
      <c r="H117" s="789"/>
      <c r="I117" s="789"/>
      <c r="J117" s="789"/>
      <c r="K117" s="790"/>
      <c r="L117" s="210"/>
      <c r="O117" s="795"/>
    </row>
    <row r="118" spans="2:15" hidden="1" x14ac:dyDescent="0.3">
      <c r="B118" s="783" t="s">
        <v>766</v>
      </c>
      <c r="C118" s="810">
        <v>12</v>
      </c>
      <c r="D118" s="767" t="s">
        <v>767</v>
      </c>
      <c r="E118" s="782" t="s">
        <v>768</v>
      </c>
      <c r="F118" s="789"/>
      <c r="G118" s="789"/>
      <c r="H118" s="789"/>
      <c r="I118" s="789"/>
      <c r="J118" s="789"/>
      <c r="K118" s="790"/>
      <c r="O118" s="795"/>
    </row>
    <row r="119" spans="2:15" hidden="1" x14ac:dyDescent="0.3">
      <c r="B119" s="783" t="s">
        <v>769</v>
      </c>
      <c r="C119" s="810" t="s">
        <v>770</v>
      </c>
      <c r="D119" s="767" t="s">
        <v>771</v>
      </c>
      <c r="E119" s="768" t="s">
        <v>772</v>
      </c>
      <c r="F119" s="789"/>
      <c r="G119" s="789"/>
      <c r="H119" s="789"/>
      <c r="I119" s="789"/>
      <c r="J119" s="789"/>
      <c r="K119" s="790"/>
    </row>
    <row r="120" spans="2:15" ht="15.75" hidden="1" customHeight="1" x14ac:dyDescent="0.3">
      <c r="B120" s="812" t="s">
        <v>773</v>
      </c>
      <c r="C120" s="1017" t="str">
        <f>IFERROR(IF(dms_Model="ARR",(MAX(0,dms_0608_LastRow-dms_0608_OffsetRows)),"not an ARR"),"6.8 not present")</f>
        <v>not an ARR</v>
      </c>
      <c r="D120" s="813" t="s">
        <v>774</v>
      </c>
      <c r="E120" s="821" t="s">
        <v>775</v>
      </c>
      <c r="F120" s="822"/>
      <c r="G120" s="815"/>
      <c r="H120" s="815"/>
      <c r="I120" s="815"/>
      <c r="J120" s="815"/>
      <c r="K120" s="816"/>
    </row>
    <row r="121" spans="2:15" s="1" customFormat="1" ht="15.75" hidden="1" customHeight="1" x14ac:dyDescent="0.3">
      <c r="B121" s="741" t="s">
        <v>776</v>
      </c>
      <c r="C121" s="742"/>
      <c r="D121" s="742"/>
      <c r="E121" s="742"/>
      <c r="F121" s="743"/>
      <c r="G121" s="743"/>
      <c r="H121" s="743"/>
      <c r="I121" s="743"/>
      <c r="J121" s="743"/>
      <c r="K121" s="744"/>
      <c r="O121" s="209"/>
    </row>
    <row r="122" spans="2:15" hidden="1" x14ac:dyDescent="0.3">
      <c r="B122" s="777" t="s">
        <v>777</v>
      </c>
      <c r="C122" s="823"/>
      <c r="D122" s="767"/>
      <c r="E122" s="782"/>
      <c r="F122" s="824"/>
      <c r="G122" s="789"/>
      <c r="H122" s="789"/>
      <c r="I122" s="789"/>
      <c r="J122" s="789"/>
      <c r="K122" s="790"/>
    </row>
    <row r="123" spans="2:15" ht="15.75" hidden="1" customHeight="1" x14ac:dyDescent="0.3">
      <c r="B123" s="783" t="s">
        <v>778</v>
      </c>
      <c r="C123" s="788" t="str">
        <f>LEFT(PRCP_y3,4)</f>
        <v>2018</v>
      </c>
      <c r="D123" s="767" t="s">
        <v>779</v>
      </c>
      <c r="E123" s="825" t="s">
        <v>780</v>
      </c>
      <c r="F123" s="789"/>
      <c r="G123" s="789"/>
      <c r="H123" s="789"/>
      <c r="I123" s="789"/>
      <c r="J123" s="789"/>
      <c r="K123" s="790"/>
    </row>
    <row r="124" spans="2:15" s="1" customFormat="1" ht="15.75" hidden="1" customHeight="1" x14ac:dyDescent="0.3">
      <c r="B124" s="741" t="s">
        <v>781</v>
      </c>
      <c r="C124" s="742"/>
      <c r="D124" s="742"/>
      <c r="E124" s="742"/>
      <c r="F124" s="743"/>
      <c r="G124" s="743"/>
      <c r="H124" s="743"/>
      <c r="I124" s="743"/>
      <c r="J124" s="743"/>
      <c r="K124" s="744"/>
      <c r="O124" s="209"/>
    </row>
    <row r="125" spans="2:15" ht="15.75" hidden="1" customHeight="1" x14ac:dyDescent="0.3">
      <c r="B125" s="230" t="s">
        <v>782</v>
      </c>
      <c r="C125" s="260" t="s">
        <v>75</v>
      </c>
      <c r="D125" s="416" t="s">
        <v>783</v>
      </c>
      <c r="E125" s="261"/>
      <c r="F125" s="262"/>
      <c r="G125" s="262"/>
      <c r="H125" s="262"/>
      <c r="I125" s="262"/>
      <c r="J125" s="262"/>
      <c r="K125" s="263"/>
    </row>
    <row r="126" spans="2:15" s="1" customFormat="1" ht="15.75" hidden="1" customHeight="1" x14ac:dyDescent="0.3">
      <c r="B126" s="741" t="s">
        <v>784</v>
      </c>
      <c r="C126" s="742"/>
      <c r="D126" s="742"/>
      <c r="E126" s="742"/>
      <c r="F126" s="743"/>
      <c r="G126" s="743"/>
      <c r="H126" s="743"/>
      <c r="I126" s="743"/>
      <c r="J126" s="743"/>
      <c r="K126" s="744"/>
      <c r="O126" s="209"/>
    </row>
    <row r="127" spans="2:15" s="1" customFormat="1" ht="14.25" hidden="1" customHeight="1" x14ac:dyDescent="0.25">
      <c r="B127" s="826" t="s">
        <v>785</v>
      </c>
      <c r="C127" s="827">
        <f>INDEX(dms_DeterminationRef_List,MATCH(dms_TradingName,dms_TradingName_List))</f>
        <v>0</v>
      </c>
      <c r="D127" s="828" t="s">
        <v>786</v>
      </c>
      <c r="E127" s="829"/>
      <c r="F127" s="830"/>
      <c r="G127" s="830"/>
      <c r="H127" s="830"/>
      <c r="I127" s="830"/>
      <c r="J127" s="830"/>
      <c r="K127" s="831"/>
      <c r="O127" s="209"/>
    </row>
    <row r="128" spans="2:15" s="1" customFormat="1" ht="14.25" hidden="1" customHeight="1" x14ac:dyDescent="0.25">
      <c r="B128" s="832" t="s">
        <v>787</v>
      </c>
      <c r="C128" s="1018" t="str">
        <f>INDEX(dms_Public_Lighting_List,MATCH(dms_TradingName,dms_TradingName_List))</f>
        <v>NO</v>
      </c>
      <c r="D128" s="833" t="s">
        <v>788</v>
      </c>
      <c r="E128" s="834" t="s">
        <v>789</v>
      </c>
      <c r="F128" s="835"/>
      <c r="G128" s="835"/>
      <c r="H128" s="835"/>
      <c r="I128" s="835"/>
      <c r="J128" s="835"/>
      <c r="K128" s="836"/>
      <c r="O128" s="209"/>
    </row>
    <row r="129" spans="2:15" ht="15" hidden="1" customHeight="1" x14ac:dyDescent="0.3">
      <c r="B129" s="249" t="s">
        <v>790</v>
      </c>
      <c r="C129" s="259" t="str">
        <f>INDEX(dms_CBD_flag,MATCH(dms_TradingName,dms_TradingName_List))</f>
        <v>NO</v>
      </c>
      <c r="D129" s="746" t="s">
        <v>791</v>
      </c>
      <c r="E129" s="746"/>
      <c r="F129" s="837"/>
      <c r="G129" s="837"/>
      <c r="H129" s="837"/>
      <c r="I129" s="837"/>
      <c r="J129" s="837"/>
      <c r="K129" s="838"/>
    </row>
    <row r="130" spans="2:15" ht="15" hidden="1" customHeight="1" x14ac:dyDescent="0.3">
      <c r="B130" s="252" t="s">
        <v>792</v>
      </c>
      <c r="C130" s="231" t="str">
        <f>INDEX(dms_Urban_flag,MATCH(dms_TradingName,dms_TradingName_List))</f>
        <v>NO</v>
      </c>
      <c r="D130" s="416" t="s">
        <v>793</v>
      </c>
      <c r="E130" s="416"/>
      <c r="F130" s="417"/>
      <c r="G130" s="417"/>
      <c r="H130" s="417"/>
      <c r="I130" s="417"/>
      <c r="J130" s="417"/>
      <c r="K130" s="418"/>
    </row>
    <row r="131" spans="2:15" ht="15" hidden="1" customHeight="1" x14ac:dyDescent="0.3">
      <c r="B131" s="252" t="s">
        <v>794</v>
      </c>
      <c r="C131" s="231" t="str">
        <f>INDEX(dms_ShortRural_flag,MATCH(dms_TradingName,dms_TradingName_List))</f>
        <v>NO</v>
      </c>
      <c r="D131" s="416" t="s">
        <v>795</v>
      </c>
      <c r="E131" s="416"/>
      <c r="F131" s="417"/>
      <c r="G131" s="417"/>
      <c r="H131" s="417"/>
      <c r="I131" s="417"/>
      <c r="J131" s="417"/>
      <c r="K131" s="418"/>
    </row>
    <row r="132" spans="2:15" ht="15" hidden="1" customHeight="1" x14ac:dyDescent="0.3">
      <c r="B132" s="839" t="s">
        <v>796</v>
      </c>
      <c r="C132" s="840" t="str">
        <f>INDEX(dms_LongRural_flag,MATCH(dms_TradingName,dms_TradingName_List))</f>
        <v>NO</v>
      </c>
      <c r="D132" s="841" t="s">
        <v>797</v>
      </c>
      <c r="E132" s="841"/>
      <c r="F132" s="842"/>
      <c r="G132" s="842"/>
      <c r="H132" s="842"/>
      <c r="I132" s="842"/>
      <c r="J132" s="842"/>
      <c r="K132" s="843"/>
    </row>
    <row r="133" spans="2:15" ht="15.75" hidden="1" customHeight="1" x14ac:dyDescent="0.3">
      <c r="B133" s="844" t="s">
        <v>798</v>
      </c>
      <c r="C133" s="845" t="str">
        <f>INDEX(dms_FeederType_5_flag,MATCH(dms_TradingName,dms_TradingName_List))</f>
        <v>NO</v>
      </c>
      <c r="D133" s="813" t="s">
        <v>799</v>
      </c>
      <c r="E133" s="821" t="s">
        <v>800</v>
      </c>
      <c r="F133" s="846"/>
      <c r="G133" s="846"/>
      <c r="H133" s="846"/>
      <c r="I133" s="846"/>
      <c r="J133" s="846"/>
      <c r="K133" s="847"/>
    </row>
    <row r="134" spans="2:15" ht="15.75" hidden="1" customHeight="1" x14ac:dyDescent="0.3"/>
    <row r="135" spans="2:15" s="1" customFormat="1" ht="15.75" hidden="1" customHeight="1" x14ac:dyDescent="0.3">
      <c r="B135" s="741" t="s">
        <v>801</v>
      </c>
      <c r="C135" s="742"/>
      <c r="D135" s="742"/>
      <c r="E135" s="742"/>
      <c r="F135" s="743"/>
      <c r="G135" s="743"/>
      <c r="H135" s="743"/>
      <c r="I135" s="743"/>
      <c r="J135" s="743"/>
      <c r="K135" s="744"/>
      <c r="O135" s="209"/>
    </row>
    <row r="136" spans="2:15" ht="15.75" hidden="1" customHeight="1" x14ac:dyDescent="0.3">
      <c r="B136" s="848" t="s">
        <v>802</v>
      </c>
      <c r="C136" s="849" t="s">
        <v>75</v>
      </c>
      <c r="D136" s="850" t="s">
        <v>803</v>
      </c>
      <c r="E136" s="851" t="s">
        <v>804</v>
      </c>
      <c r="F136" s="852"/>
      <c r="G136" s="852"/>
      <c r="H136" s="852"/>
      <c r="I136" s="852"/>
      <c r="J136" s="852"/>
      <c r="K136" s="853"/>
    </row>
    <row r="137" spans="2:15" hidden="1" x14ac:dyDescent="0.3"/>
    <row r="138" spans="2:15" ht="20.25" hidden="1" customHeight="1" x14ac:dyDescent="0.35">
      <c r="B138" s="854" t="s">
        <v>805</v>
      </c>
      <c r="C138" s="855" t="s">
        <v>764</v>
      </c>
      <c r="D138" s="264" t="s">
        <v>806</v>
      </c>
      <c r="E138" s="265"/>
      <c r="F138" s="265"/>
      <c r="G138" s="265"/>
      <c r="H138" s="265"/>
      <c r="I138" s="265"/>
      <c r="J138" s="265"/>
      <c r="K138" s="265"/>
    </row>
    <row r="139" spans="2:15" ht="15.75" hidden="1" customHeight="1" x14ac:dyDescent="0.3"/>
    <row r="140" spans="2:15" ht="15.75" hidden="1" customHeight="1" x14ac:dyDescent="0.3">
      <c r="B140" s="856" t="s">
        <v>807</v>
      </c>
      <c r="C140" s="857"/>
      <c r="D140" s="857"/>
      <c r="E140" s="857"/>
      <c r="F140" s="858"/>
      <c r="G140" s="858"/>
      <c r="H140" s="858"/>
      <c r="I140" s="858"/>
      <c r="J140" s="858"/>
      <c r="K140" s="859"/>
    </row>
    <row r="141" spans="2:15" hidden="1" x14ac:dyDescent="0.3">
      <c r="B141" s="860" t="s">
        <v>808</v>
      </c>
      <c r="C141" s="861" t="s">
        <v>75</v>
      </c>
      <c r="D141" s="862" t="s">
        <v>809</v>
      </c>
      <c r="E141" s="863"/>
      <c r="F141" s="864"/>
      <c r="G141" s="864"/>
      <c r="H141" s="864"/>
      <c r="I141" s="864"/>
      <c r="J141" s="864"/>
      <c r="K141" s="865"/>
    </row>
    <row r="142" spans="2:15" hidden="1" x14ac:dyDescent="0.3">
      <c r="B142" s="866"/>
      <c r="C142" s="867" t="s">
        <v>810</v>
      </c>
      <c r="D142" s="868" t="s">
        <v>811</v>
      </c>
      <c r="E142" s="869"/>
      <c r="F142" s="870"/>
      <c r="G142" s="870"/>
      <c r="H142" s="870"/>
      <c r="I142" s="870"/>
      <c r="J142" s="870"/>
      <c r="K142" s="871"/>
    </row>
    <row r="143" spans="2:15" hidden="1" x14ac:dyDescent="0.3">
      <c r="B143" s="866"/>
      <c r="C143" s="872">
        <v>2013</v>
      </c>
      <c r="D143" s="873" t="s">
        <v>812</v>
      </c>
      <c r="E143" s="874"/>
      <c r="F143" s="875"/>
      <c r="G143" s="875"/>
      <c r="H143" s="875"/>
      <c r="I143" s="875"/>
      <c r="J143" s="875"/>
      <c r="K143" s="876"/>
    </row>
    <row r="144" spans="2:15" hidden="1" x14ac:dyDescent="0.3">
      <c r="B144" s="866"/>
      <c r="C144" s="872">
        <v>2014</v>
      </c>
      <c r="D144" s="873" t="s">
        <v>813</v>
      </c>
      <c r="E144" s="874"/>
      <c r="F144" s="875"/>
      <c r="G144" s="875"/>
      <c r="H144" s="875"/>
      <c r="I144" s="875"/>
      <c r="J144" s="875"/>
      <c r="K144" s="876"/>
    </row>
    <row r="145" spans="1:11" ht="14.25" hidden="1" customHeight="1" x14ac:dyDescent="0.3">
      <c r="A145" s="200"/>
      <c r="B145" s="866"/>
      <c r="C145" s="872">
        <v>2015</v>
      </c>
      <c r="D145" s="873" t="s">
        <v>814</v>
      </c>
      <c r="E145" s="874"/>
      <c r="F145" s="875"/>
      <c r="G145" s="875"/>
      <c r="H145" s="875"/>
      <c r="I145" s="875"/>
      <c r="J145" s="875"/>
      <c r="K145" s="876"/>
    </row>
    <row r="146" spans="1:11" ht="14.25" hidden="1" customHeight="1" x14ac:dyDescent="0.3">
      <c r="A146" s="200"/>
      <c r="B146" s="866"/>
      <c r="C146" s="872">
        <v>2016</v>
      </c>
      <c r="D146" s="873" t="s">
        <v>815</v>
      </c>
      <c r="E146" s="874"/>
      <c r="F146" s="875"/>
      <c r="G146" s="875"/>
      <c r="H146" s="875"/>
      <c r="I146" s="875"/>
      <c r="J146" s="875"/>
      <c r="K146" s="876"/>
    </row>
    <row r="147" spans="1:11" ht="14.25" hidden="1" customHeight="1" x14ac:dyDescent="0.3">
      <c r="A147" s="200"/>
      <c r="B147" s="877"/>
      <c r="C147" s="878">
        <v>2017</v>
      </c>
      <c r="D147" s="879" t="s">
        <v>816</v>
      </c>
      <c r="E147" s="880"/>
      <c r="F147" s="881"/>
      <c r="G147" s="881"/>
      <c r="H147" s="881"/>
      <c r="I147" s="881"/>
      <c r="J147" s="881"/>
      <c r="K147" s="882"/>
    </row>
    <row r="148" spans="1:11" ht="14.25" hidden="1" customHeight="1" x14ac:dyDescent="0.3">
      <c r="A148" s="200"/>
      <c r="B148" s="877"/>
      <c r="C148" s="878">
        <v>2018</v>
      </c>
      <c r="D148" s="879" t="s">
        <v>817</v>
      </c>
      <c r="E148" s="880"/>
      <c r="F148" s="881"/>
      <c r="G148" s="881"/>
      <c r="H148" s="881"/>
      <c r="I148" s="881"/>
      <c r="J148" s="881"/>
      <c r="K148" s="882"/>
    </row>
    <row r="149" spans="1:11" ht="14.25" hidden="1" customHeight="1" x14ac:dyDescent="0.3">
      <c r="A149" s="200"/>
      <c r="B149" s="877"/>
      <c r="C149" s="878">
        <v>2019</v>
      </c>
      <c r="D149" s="879" t="s">
        <v>818</v>
      </c>
      <c r="E149" s="880"/>
      <c r="F149" s="881"/>
      <c r="G149" s="881"/>
      <c r="H149" s="881"/>
      <c r="I149" s="881"/>
      <c r="J149" s="881"/>
      <c r="K149" s="882"/>
    </row>
    <row r="150" spans="1:11" ht="14.25" hidden="1" customHeight="1" x14ac:dyDescent="0.3">
      <c r="A150" s="200"/>
      <c r="B150" s="877"/>
      <c r="C150" s="878">
        <v>2020</v>
      </c>
      <c r="D150" s="879" t="s">
        <v>819</v>
      </c>
      <c r="E150" s="880"/>
      <c r="F150" s="881"/>
      <c r="G150" s="881"/>
      <c r="H150" s="881"/>
      <c r="I150" s="881"/>
      <c r="J150" s="881"/>
      <c r="K150" s="882"/>
    </row>
    <row r="151" spans="1:11" hidden="1" x14ac:dyDescent="0.3">
      <c r="A151" s="200"/>
      <c r="B151" s="883"/>
      <c r="C151" s="884">
        <v>2021</v>
      </c>
      <c r="D151" s="885" t="s">
        <v>820</v>
      </c>
      <c r="E151" s="886"/>
      <c r="F151" s="887"/>
      <c r="G151" s="887"/>
      <c r="H151" s="887"/>
      <c r="I151" s="887"/>
      <c r="J151" s="887"/>
      <c r="K151" s="888"/>
    </row>
    <row r="152" spans="1:11" ht="14.25" hidden="1" customHeight="1" x14ac:dyDescent="0.3">
      <c r="A152" s="200"/>
      <c r="B152" s="200"/>
      <c r="C152" s="200"/>
    </row>
    <row r="153" spans="1:11" ht="14.25" customHeight="1" x14ac:dyDescent="0.3">
      <c r="A153" s="200"/>
      <c r="B153" s="200"/>
      <c r="C153" s="200"/>
    </row>
  </sheetData>
  <sheetProtection formatColumns="0" formatRows="0" insertRows="0" autoFilter="0"/>
  <mergeCells count="19">
    <mergeCell ref="B8:I8"/>
    <mergeCell ref="B12:I12"/>
    <mergeCell ref="C14:E14"/>
    <mergeCell ref="C16:E16"/>
    <mergeCell ref="C19:D19"/>
    <mergeCell ref="E19:H19"/>
    <mergeCell ref="C15:E15"/>
    <mergeCell ref="C55:I55"/>
    <mergeCell ref="E20:H20"/>
    <mergeCell ref="C21:D21"/>
    <mergeCell ref="E21:H21"/>
    <mergeCell ref="C24:D24"/>
    <mergeCell ref="E24:H24"/>
    <mergeCell ref="E25:H25"/>
    <mergeCell ref="C26:D26"/>
    <mergeCell ref="E26:H26"/>
    <mergeCell ref="B34:I34"/>
    <mergeCell ref="C53:D53"/>
    <mergeCell ref="E54:I54"/>
  </mergeCells>
  <conditionalFormatting sqref="B92">
    <cfRule type="expression" dxfId="45" priority="40">
      <formula>"dms_Model=""EB"""</formula>
    </cfRule>
  </conditionalFormatting>
  <conditionalFormatting sqref="B94">
    <cfRule type="expression" dxfId="44" priority="39">
      <formula>dms_Model="CA"</formula>
    </cfRule>
  </conditionalFormatting>
  <conditionalFormatting sqref="B102">
    <cfRule type="expression" dxfId="43" priority="42">
      <formula>IF(OR(dms_Model="ARR",dms_Model="Reset"),"True")</formula>
    </cfRule>
  </conditionalFormatting>
  <conditionalFormatting sqref="B115">
    <cfRule type="expression" dxfId="42" priority="41">
      <formula>dms_Model="ARR"</formula>
    </cfRule>
  </conditionalFormatting>
  <conditionalFormatting sqref="C37">
    <cfRule type="expression" dxfId="41" priority="26">
      <formula>dms_FRCPlength_Num&lt;6</formula>
    </cfRule>
  </conditionalFormatting>
  <conditionalFormatting sqref="C40">
    <cfRule type="expression" dxfId="40" priority="17">
      <formula>dms_CRCPlength_Num&lt;6</formula>
    </cfRule>
  </conditionalFormatting>
  <conditionalFormatting sqref="C41">
    <cfRule type="expression" dxfId="39" priority="12">
      <formula>dms_CRCPlength_Num&lt;11</formula>
    </cfRule>
  </conditionalFormatting>
  <conditionalFormatting sqref="C42">
    <cfRule type="expression" dxfId="38" priority="3">
      <formula>dms_PRCPlength_Num&lt;1</formula>
    </cfRule>
  </conditionalFormatting>
  <conditionalFormatting sqref="C43">
    <cfRule type="expression" dxfId="37" priority="34">
      <formula>dms_PRCPlength_Num&lt;6</formula>
    </cfRule>
  </conditionalFormatting>
  <conditionalFormatting sqref="C63">
    <cfRule type="expression" dxfId="36" priority="1">
      <formula>SUM(dms_SingleYear_Model)&gt;0</formula>
    </cfRule>
  </conditionalFormatting>
  <conditionalFormatting sqref="C90">
    <cfRule type="expression" dxfId="35" priority="2">
      <formula>dms_MultiYear_Flag=1</formula>
    </cfRule>
  </conditionalFormatting>
  <conditionalFormatting sqref="C98">
    <cfRule type="containsText" dxfId="34" priority="44" operator="containsText" text="&quot;error - NR not present&quot;">
      <formula>NOT(ISERROR(SEARCH("error - NR not present",C98)))</formula>
    </cfRule>
  </conditionalFormatting>
  <conditionalFormatting sqref="C100">
    <cfRule type="cellIs" dxfId="33" priority="43" operator="equal">
      <formula>"error"</formula>
    </cfRule>
  </conditionalFormatting>
  <conditionalFormatting sqref="D37">
    <cfRule type="expression" dxfId="32" priority="25">
      <formula>dms_FRCPlength_Num&lt;7</formula>
    </cfRule>
  </conditionalFormatting>
  <conditionalFormatting sqref="D39">
    <cfRule type="expression" dxfId="31" priority="21">
      <formula>dms_CRCPlength_Num&lt;2</formula>
    </cfRule>
  </conditionalFormatting>
  <conditionalFormatting sqref="D40">
    <cfRule type="expression" dxfId="30" priority="16">
      <formula>dms_CRCPlength_Num&lt;7</formula>
    </cfRule>
  </conditionalFormatting>
  <conditionalFormatting sqref="D41">
    <cfRule type="expression" dxfId="29" priority="11">
      <formula>dms_CRCPlength_Num&lt;12</formula>
    </cfRule>
  </conditionalFormatting>
  <conditionalFormatting sqref="D42">
    <cfRule type="expression" dxfId="28" priority="38">
      <formula>dms_PRCPlength_Num&lt;2</formula>
    </cfRule>
  </conditionalFormatting>
  <conditionalFormatting sqref="D43">
    <cfRule type="expression" dxfId="27" priority="33">
      <formula>dms_PRCPlength_Num&lt;7</formula>
    </cfRule>
  </conditionalFormatting>
  <conditionalFormatting sqref="E36">
    <cfRule type="expression" dxfId="26" priority="29">
      <formula>dms_FRCPlength_Num&lt;3</formula>
    </cfRule>
  </conditionalFormatting>
  <conditionalFormatting sqref="E37">
    <cfRule type="expression" dxfId="25" priority="24">
      <formula>dms_FRCPlength_Num&lt;8</formula>
    </cfRule>
  </conditionalFormatting>
  <conditionalFormatting sqref="E39">
    <cfRule type="expression" dxfId="24" priority="20">
      <formula>dms_CRCPlength_Num&lt;3</formula>
    </cfRule>
  </conditionalFormatting>
  <conditionalFormatting sqref="E40">
    <cfRule type="expression" dxfId="23" priority="15">
      <formula>dms_CRCPlength_Num&lt;8</formula>
    </cfRule>
  </conditionalFormatting>
  <conditionalFormatting sqref="E41">
    <cfRule type="expression" dxfId="22" priority="10">
      <formula>dms_CRCPlength_Num&lt;13</formula>
    </cfRule>
  </conditionalFormatting>
  <conditionalFormatting sqref="E42">
    <cfRule type="expression" dxfId="21" priority="37">
      <formula>dms_PRCPlength_Num&lt;3</formula>
    </cfRule>
  </conditionalFormatting>
  <conditionalFormatting sqref="E43">
    <cfRule type="expression" dxfId="20" priority="32">
      <formula>dms_PRCPlength_Num&lt;8</formula>
    </cfRule>
  </conditionalFormatting>
  <conditionalFormatting sqref="F36">
    <cfRule type="expression" dxfId="19" priority="28">
      <formula>dms_FRCPlength_Num&lt;4</formula>
    </cfRule>
  </conditionalFormatting>
  <conditionalFormatting sqref="F37">
    <cfRule type="expression" dxfId="18" priority="23">
      <formula>dms_FRCPlength_Num&lt;9</formula>
    </cfRule>
  </conditionalFormatting>
  <conditionalFormatting sqref="F39">
    <cfRule type="expression" dxfId="17" priority="19">
      <formula>dms_CRCPlength_Num&lt;4</formula>
    </cfRule>
  </conditionalFormatting>
  <conditionalFormatting sqref="F40">
    <cfRule type="expression" dxfId="16" priority="14">
      <formula>dms_CRCPlength_Num&lt;9</formula>
    </cfRule>
  </conditionalFormatting>
  <conditionalFormatting sqref="F41">
    <cfRule type="expression" dxfId="15" priority="9">
      <formula>dms_CRCPlength_Num&lt;14</formula>
    </cfRule>
  </conditionalFormatting>
  <conditionalFormatting sqref="F42">
    <cfRule type="expression" dxfId="14" priority="36">
      <formula>dms_PRCPlength_Num&lt;4</formula>
    </cfRule>
  </conditionalFormatting>
  <conditionalFormatting sqref="F43">
    <cfRule type="expression" dxfId="13" priority="31">
      <formula>dms_PRCPlength_Num&lt;9</formula>
    </cfRule>
  </conditionalFormatting>
  <conditionalFormatting sqref="G36">
    <cfRule type="expression" dxfId="12" priority="27">
      <formula>dms_FRCPlength_Num&lt;5</formula>
    </cfRule>
  </conditionalFormatting>
  <conditionalFormatting sqref="G37">
    <cfRule type="expression" dxfId="11" priority="22">
      <formula>dms_FRCPlength_Num&lt;10</formula>
    </cfRule>
  </conditionalFormatting>
  <conditionalFormatting sqref="G39">
    <cfRule type="expression" dxfId="10" priority="18">
      <formula>dms_CRCPlength_Num&lt;5</formula>
    </cfRule>
  </conditionalFormatting>
  <conditionalFormatting sqref="G40">
    <cfRule type="expression" dxfId="9" priority="13">
      <formula>dms_CRCPlength_Num&lt;10</formula>
    </cfRule>
  </conditionalFormatting>
  <conditionalFormatting sqref="G41">
    <cfRule type="expression" dxfId="8" priority="8">
      <formula>dms_CRCPlength_Num&lt;15</formula>
    </cfRule>
  </conditionalFormatting>
  <conditionalFormatting sqref="G42">
    <cfRule type="expression" dxfId="7" priority="35">
      <formula>dms_PRCPlength_Num&lt;5</formula>
    </cfRule>
  </conditionalFormatting>
  <conditionalFormatting sqref="G43">
    <cfRule type="expression" dxfId="6" priority="30">
      <formula>dms_PRCPlength_Num&lt;10</formula>
    </cfRule>
  </conditionalFormatting>
  <conditionalFormatting sqref="H36:H37">
    <cfRule type="expression" dxfId="5" priority="6">
      <formula>dms_CRCPlength_Num&lt;6</formula>
    </cfRule>
  </conditionalFormatting>
  <conditionalFormatting sqref="H39:H41">
    <cfRule type="expression" dxfId="4" priority="4">
      <formula>dms_CRCPlength_Num&lt;6</formula>
    </cfRule>
  </conditionalFormatting>
  <dataValidations count="16">
    <dataValidation type="list" allowBlank="1" showInputMessage="1" showErrorMessage="1" sqref="C64" xr:uid="{00000000-0002-0000-0100-000000000000}">
      <formula1>"Public, Confidential"</formula1>
    </dataValidation>
    <dataValidation type="list" allowBlank="1" showInputMessage="1" showErrorMessage="1" sqref="C88" xr:uid="{00000000-0002-0000-0100-000001000000}">
      <formula1>"Yes, No, yes, no"</formula1>
    </dataValidation>
    <dataValidation type="list" allowBlank="1" showInputMessage="1" showErrorMessage="1" promptTitle="Model" prompt="Make sure corresponding Source type is correctly selected !!!_x000a__x000a_eg: ABC=Reporting, Reset=Regulatory proposal  etc" sqref="C62" xr:uid="{00000000-0002-0000-0100-000002000000}">
      <formula1>dms_Model_List</formula1>
    </dataValidation>
    <dataValidation type="list" allowBlank="1" showInputMessage="1" showErrorMessage="1" sqref="C61" xr:uid="{00000000-0002-0000-0100-000003000000}">
      <formula1>"Financial, Calendar, Other"</formula1>
    </dataValidation>
    <dataValidation type="list" allowBlank="1" showInputMessage="1" showErrorMessage="1" sqref="C57" xr:uid="{00000000-0002-0000-0100-000004000000}">
      <formula1>"Yes, No"</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0" xr:uid="{00000000-0002-0000-0100-000005000000}"/>
    <dataValidation type="list" allowBlank="1" showInputMessage="1" showErrorMessage="1" sqref="C54" xr:uid="{00000000-0002-0000-0100-000006000000}">
      <formula1>dms_DataQuality_List</formula1>
    </dataValidation>
    <dataValidation type="list" allowBlank="1" showInputMessage="1" showErrorMessage="1" prompt="Please use drop down to select correct state." sqref="E22" xr:uid="{00000000-0002-0000-0100-000007000000}">
      <formula1>"ACT,NSW,NT,Qld,SA,Tas,Vic,WA"</formula1>
    </dataValidation>
    <dataValidation type="list" operator="lessThanOrEqual" showInputMessage="1" showErrorMessage="1" sqref="E27" xr:uid="{00000000-0002-0000-0100-000008000000}">
      <formula1>"ACT,NSW,NT,Qld,SA,Tas,Vic,WA"</formula1>
    </dataValidation>
    <dataValidation type="list" allowBlank="1" showInputMessage="1" showErrorMessage="1" sqref="C36 C48 C46" xr:uid="{00000000-0002-0000-0100-000009000000}">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5:I55" xr:uid="{00000000-0002-0000-0100-00000A000000}">
      <formula1>150</formula1>
    </dataValidation>
    <dataValidation type="list" operator="lessThanOrEqual" showInputMessage="1" showErrorMessage="1" prompt="Please use drop down to select correct business name. ABN will auto populate." sqref="C14:E14" xr:uid="{00000000-0002-0000-0100-00000B000000}">
      <formula1>dms_TradingName_List</formula1>
    </dataValidation>
    <dataValidation type="list" allowBlank="1" showInputMessage="1" showErrorMessage="1" sqref="C53:D53" xr:uid="{00000000-0002-0000-0100-00000C000000}">
      <formula1>dms_SourceList</formula1>
    </dataValidation>
    <dataValidation type="textLength" operator="greaterThan" showInputMessage="1" showErrorMessage="1" sqref="E21:H21 E24 E19 E26:H26" xr:uid="{00000000-0002-0000-0100-00000D000000}">
      <formula1>1</formula1>
    </dataValidation>
    <dataValidation type="whole" allowBlank="1" showInputMessage="1" showErrorMessage="1" sqref="G27:G28 G22" xr:uid="{00000000-0002-0000-0100-00000E000000}">
      <formula1>1</formula1>
      <formula2>9999</formula2>
    </dataValidation>
    <dataValidation type="list" operator="lessThanOrEqual" showInputMessage="1" showErrorMessage="1" sqref="H14:H15" xr:uid="{00000000-0002-0000-0100-00000F000000}">
      <formula1>dms_TradingName_List</formula1>
    </dataValidation>
  </dataValidations>
  <pageMargins left="0.25" right="0.25" top="0.75" bottom="0.75" header="0.3" footer="0.3"/>
  <pageSetup paperSize="9" scale="90" orientation="landscape" r:id="rId1"/>
  <headerFooter>
    <oddFooter>&amp;C_x000D_&amp;1#&amp;"Calibri"&amp;10&amp;K000000 Ringfenced Confidential - Commercially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08080"/>
    <pageSetUpPr fitToPage="1"/>
  </sheetPr>
  <dimension ref="A1:Z80"/>
  <sheetViews>
    <sheetView showGridLines="0" topLeftCell="A51" zoomScale="85" zoomScaleNormal="85" workbookViewId="0">
      <selection activeCell="K59" sqref="K59"/>
    </sheetView>
  </sheetViews>
  <sheetFormatPr defaultColWidth="9.109375" defaultRowHeight="14.4" x14ac:dyDescent="0.3"/>
  <cols>
    <col min="1" max="1" width="17.33203125" style="3" customWidth="1"/>
    <col min="2" max="2" width="65.6640625" style="267" customWidth="1"/>
    <col min="3" max="23" width="12.33203125" style="267" customWidth="1"/>
    <col min="24" max="24" width="9.109375" style="267"/>
  </cols>
  <sheetData>
    <row r="1" spans="1:26" ht="30" customHeight="1" x14ac:dyDescent="0.3">
      <c r="B1" s="192" t="s">
        <v>197</v>
      </c>
      <c r="C1" s="192"/>
      <c r="D1" s="192"/>
      <c r="E1" s="192"/>
      <c r="F1" s="192"/>
      <c r="G1" s="266"/>
      <c r="H1" s="266"/>
      <c r="I1" s="266"/>
      <c r="J1" s="266"/>
      <c r="K1" s="266"/>
      <c r="L1" s="266"/>
      <c r="M1" s="266"/>
      <c r="N1" s="266"/>
      <c r="O1" s="266"/>
      <c r="P1" s="266"/>
      <c r="Q1" s="266"/>
      <c r="R1" s="266"/>
      <c r="S1" s="266"/>
      <c r="T1" s="266"/>
      <c r="U1" s="266"/>
      <c r="V1" s="266"/>
      <c r="W1" s="266"/>
      <c r="X1" s="266"/>
      <c r="Y1" s="266"/>
      <c r="Z1" s="266"/>
    </row>
    <row r="2" spans="1:26" ht="30" customHeight="1" x14ac:dyDescent="0.3">
      <c r="B2" s="190" t="str">
        <f>dms_TradingNameFull</f>
        <v>Evoenergy Gas</v>
      </c>
      <c r="C2" s="190"/>
      <c r="D2" s="190"/>
      <c r="E2" s="190"/>
      <c r="F2" s="190"/>
      <c r="G2" s="266"/>
      <c r="H2" s="266"/>
      <c r="I2" s="266"/>
      <c r="J2" s="266"/>
      <c r="K2" s="266"/>
      <c r="L2" s="266"/>
      <c r="M2" s="266"/>
      <c r="N2" s="266"/>
      <c r="O2" s="266"/>
      <c r="P2" s="266"/>
      <c r="Q2" s="266"/>
      <c r="R2" s="266"/>
      <c r="S2" s="266"/>
      <c r="T2" s="266"/>
      <c r="U2" s="266"/>
      <c r="V2" s="266"/>
      <c r="W2" s="266"/>
      <c r="X2" s="266"/>
      <c r="Y2" s="266"/>
      <c r="Z2" s="266"/>
    </row>
    <row r="3" spans="1:26" ht="30" customHeight="1" x14ac:dyDescent="0.3">
      <c r="B3" s="192" t="str">
        <f ca="1">dms_Reg_Year_Span</f>
        <v>2026-27 to 2030-31</v>
      </c>
      <c r="C3" s="192"/>
      <c r="D3" s="192"/>
      <c r="E3" s="192"/>
      <c r="F3" s="192"/>
      <c r="G3" s="266"/>
      <c r="H3" s="266"/>
      <c r="I3" s="266"/>
      <c r="J3" s="266"/>
      <c r="K3" s="266"/>
      <c r="L3" s="266"/>
      <c r="M3" s="266"/>
      <c r="N3" s="266"/>
      <c r="O3" s="266"/>
      <c r="P3" s="266"/>
      <c r="Q3" s="266"/>
      <c r="R3" s="266"/>
      <c r="S3" s="266"/>
      <c r="T3" s="266"/>
      <c r="U3" s="266"/>
      <c r="V3" s="266"/>
      <c r="W3" s="266"/>
      <c r="X3" s="266"/>
      <c r="Y3" s="266"/>
      <c r="Z3" s="266"/>
    </row>
    <row r="4" spans="1:26" ht="30" customHeight="1" x14ac:dyDescent="0.3">
      <c r="B4" s="268" t="s">
        <v>821</v>
      </c>
      <c r="C4" s="268"/>
      <c r="D4" s="268"/>
      <c r="E4" s="268"/>
      <c r="F4" s="268"/>
      <c r="G4" s="268"/>
      <c r="H4" s="268"/>
      <c r="I4" s="268"/>
      <c r="J4" s="268"/>
      <c r="K4" s="268"/>
      <c r="L4" s="268"/>
      <c r="M4" s="268"/>
      <c r="N4" s="268"/>
      <c r="O4" s="268"/>
      <c r="P4" s="268"/>
      <c r="Q4" s="268"/>
      <c r="R4" s="268"/>
      <c r="S4" s="268"/>
      <c r="T4" s="268"/>
      <c r="U4" s="268"/>
      <c r="V4" s="268"/>
      <c r="W4" s="268"/>
      <c r="X4" s="268"/>
      <c r="Y4" s="268"/>
      <c r="Z4" s="268"/>
    </row>
    <row r="6" spans="1:26" ht="25.5" customHeight="1" x14ac:dyDescent="0.3">
      <c r="B6" s="269" t="s">
        <v>822</v>
      </c>
      <c r="C6" s="269"/>
      <c r="D6" s="269"/>
      <c r="E6" s="269"/>
      <c r="F6" s="269"/>
      <c r="G6" s="269"/>
      <c r="H6" s="269"/>
      <c r="I6" s="269"/>
      <c r="J6" s="269"/>
      <c r="K6" s="269"/>
      <c r="L6" s="269"/>
      <c r="M6" s="269"/>
      <c r="N6" s="269"/>
      <c r="O6" s="269"/>
      <c r="P6" s="269"/>
      <c r="Q6" s="269"/>
      <c r="R6" s="269"/>
      <c r="S6" s="269"/>
      <c r="T6" s="269"/>
      <c r="U6" s="269"/>
      <c r="V6" s="269"/>
      <c r="W6" s="269"/>
    </row>
    <row r="7" spans="1:26" ht="21.75" customHeight="1" x14ac:dyDescent="0.3">
      <c r="A7" s="421"/>
      <c r="B7" s="422" t="str">
        <f>CONCATENATE(dms_TradingName, " is required to populate all input cells (yellow) in this worksheet.")</f>
        <v>Evoenergy Gas is required to populate all input cells (yellow) in this worksheet.</v>
      </c>
      <c r="C7" s="423"/>
      <c r="D7" s="423"/>
      <c r="E7" s="423"/>
      <c r="F7" s="423"/>
      <c r="G7" s="423"/>
      <c r="H7" s="423"/>
      <c r="I7" s="423"/>
      <c r="J7" s="423"/>
      <c r="K7" s="423"/>
      <c r="L7" s="423"/>
      <c r="M7" s="424"/>
      <c r="R7" s="269"/>
      <c r="S7" s="269"/>
      <c r="T7" s="269"/>
      <c r="U7" s="269"/>
      <c r="V7" s="269"/>
      <c r="W7" s="269"/>
    </row>
    <row r="8" spans="1:26" ht="128.25" customHeight="1" x14ac:dyDescent="0.3">
      <c r="A8" s="267"/>
      <c r="B8" s="1099" t="s">
        <v>823</v>
      </c>
      <c r="C8" s="1100"/>
      <c r="D8" s="1100"/>
      <c r="E8" s="1100"/>
      <c r="F8" s="1100"/>
      <c r="G8" s="1100"/>
      <c r="H8" s="1100"/>
      <c r="I8" s="1100"/>
      <c r="J8" s="1100"/>
      <c r="K8" s="1100"/>
      <c r="L8" s="1100"/>
      <c r="M8" s="1101"/>
      <c r="S8" s="425"/>
    </row>
    <row r="9" spans="1:26" x14ac:dyDescent="0.3">
      <c r="B9" s="270"/>
      <c r="C9" s="270"/>
      <c r="D9" s="270"/>
      <c r="E9" s="270"/>
      <c r="F9" s="270"/>
      <c r="G9" s="270"/>
      <c r="H9" s="270"/>
      <c r="I9" s="270"/>
      <c r="J9" s="270"/>
      <c r="K9" s="270"/>
      <c r="L9" s="270"/>
      <c r="M9" s="270"/>
      <c r="N9" s="270"/>
      <c r="O9" s="270"/>
      <c r="P9" s="270"/>
      <c r="Q9" s="270"/>
      <c r="R9" s="270"/>
      <c r="S9" s="270"/>
      <c r="T9" s="270"/>
      <c r="U9" s="270"/>
      <c r="V9" s="270"/>
      <c r="W9" s="270"/>
    </row>
    <row r="10" spans="1:26" x14ac:dyDescent="0.3">
      <c r="B10" s="270"/>
      <c r="C10" s="270"/>
      <c r="D10" s="270"/>
      <c r="E10" s="270"/>
      <c r="F10" s="270"/>
      <c r="G10" s="270"/>
      <c r="H10" s="270"/>
      <c r="I10" s="270"/>
      <c r="J10" s="270"/>
      <c r="K10" s="270"/>
      <c r="L10" s="270"/>
      <c r="M10" s="270"/>
      <c r="N10" s="270"/>
      <c r="O10" s="270"/>
      <c r="P10" s="270"/>
      <c r="Q10" s="270"/>
      <c r="R10" s="270"/>
      <c r="S10" s="270"/>
      <c r="T10" s="270"/>
      <c r="U10" s="270"/>
      <c r="V10" s="270"/>
      <c r="W10" s="270"/>
    </row>
    <row r="11" spans="1:26" ht="15.75" customHeight="1" x14ac:dyDescent="0.3"/>
    <row r="12" spans="1:26" ht="16.5" customHeight="1" x14ac:dyDescent="0.3">
      <c r="B12" s="271" t="s">
        <v>824</v>
      </c>
      <c r="C12" s="272"/>
      <c r="D12" s="273"/>
      <c r="E12" s="273"/>
      <c r="F12" s="273"/>
      <c r="G12" s="273"/>
      <c r="H12" s="273"/>
      <c r="I12" s="273"/>
      <c r="J12" s="273"/>
      <c r="K12" s="273"/>
      <c r="L12" s="273"/>
      <c r="M12" s="273"/>
      <c r="N12" s="273"/>
    </row>
    <row r="13" spans="1:26" s="275" customFormat="1" ht="15.75" customHeight="1" x14ac:dyDescent="0.25">
      <c r="A13" s="3"/>
      <c r="B13" s="274"/>
      <c r="C13" s="1002" t="s">
        <v>213</v>
      </c>
      <c r="D13" s="1003"/>
      <c r="E13" s="1003"/>
      <c r="F13" s="1003"/>
      <c r="G13" s="1003"/>
      <c r="H13" s="1003"/>
      <c r="I13" s="1003"/>
      <c r="J13" s="1003"/>
      <c r="K13" s="1003"/>
      <c r="L13" s="1003"/>
      <c r="M13" s="1003" t="s">
        <v>825</v>
      </c>
      <c r="N13" s="1004"/>
    </row>
    <row r="14" spans="1:26" ht="16.5" customHeight="1" x14ac:dyDescent="0.3">
      <c r="B14" s="274"/>
      <c r="C14" s="276" t="str">
        <f>IF(dms_RPT="financial",VALUE(LEFT(D14,4)-1)&amp;"-"&amp;TEXT(VALUE(MID(D14,3,2)),"0#"),VALUE(LEFT(D14,4)+1))</f>
        <v>2014-15</v>
      </c>
      <c r="D14" s="276" t="str">
        <f>IF(dms_RPT="financial",VALUE(LEFT(E14,4)-1)&amp;"-"&amp;TEXT(VALUE(MID(E14,3,2)),"0#"),VALUE(LEFT(E14,4)+1))</f>
        <v>2015-16</v>
      </c>
      <c r="E14" s="276" t="str">
        <f>PRCP_y1</f>
        <v>2016-17</v>
      </c>
      <c r="F14" s="276" t="str">
        <f>PRCP_y2</f>
        <v>2017-18</v>
      </c>
      <c r="G14" s="276" t="str">
        <f>PRCP_y3</f>
        <v>2018-19</v>
      </c>
      <c r="H14" s="276" t="str">
        <f>PRCP_y4</f>
        <v>2019-20</v>
      </c>
      <c r="I14" s="276" t="str">
        <f>PRCP_y5</f>
        <v>2020-21</v>
      </c>
      <c r="J14" s="276" t="str">
        <f>CRCP_y1</f>
        <v>2021-22</v>
      </c>
      <c r="K14" s="276" t="str">
        <f>CRCP_y2</f>
        <v>2022-23</v>
      </c>
      <c r="L14" s="276" t="str">
        <f>CRCP_y3</f>
        <v>2023-24</v>
      </c>
      <c r="M14" s="276" t="str">
        <f>CRCP_y4</f>
        <v>2024-25</v>
      </c>
      <c r="N14" s="277" t="str">
        <f>CRCP_y5</f>
        <v>2025-26</v>
      </c>
    </row>
    <row r="15" spans="1:26" x14ac:dyDescent="0.3">
      <c r="B15" s="279" t="s">
        <v>826</v>
      </c>
      <c r="C15" s="444">
        <v>107.5</v>
      </c>
      <c r="D15" s="442">
        <v>108.6</v>
      </c>
      <c r="E15" s="442">
        <v>110.7</v>
      </c>
      <c r="F15" s="442">
        <v>113</v>
      </c>
      <c r="G15" s="443">
        <v>114.8</v>
      </c>
      <c r="H15" s="443">
        <v>114.4</v>
      </c>
      <c r="I15" s="443">
        <v>118.8</v>
      </c>
      <c r="J15" s="967">
        <v>126.1</v>
      </c>
      <c r="K15" s="967">
        <v>133.69999999999999</v>
      </c>
      <c r="L15" s="967">
        <v>138.80000000000001</v>
      </c>
      <c r="M15" s="967">
        <v>142.13</v>
      </c>
      <c r="N15" s="968">
        <v>146.68</v>
      </c>
    </row>
    <row r="16" spans="1:26" x14ac:dyDescent="0.3">
      <c r="B16" s="280" t="s">
        <v>827</v>
      </c>
      <c r="C16" s="278" t="s">
        <v>828</v>
      </c>
      <c r="D16" s="1019">
        <f t="shared" ref="D16:N16" si="0">+D15/C15-1</f>
        <v>1.0232558139534831E-2</v>
      </c>
      <c r="E16" s="1019">
        <f t="shared" si="0"/>
        <v>1.9337016574585641E-2</v>
      </c>
      <c r="F16" s="1019">
        <f t="shared" si="0"/>
        <v>2.0776874435411097E-2</v>
      </c>
      <c r="G16" s="1019">
        <f t="shared" si="0"/>
        <v>1.5929203539823078E-2</v>
      </c>
      <c r="H16" s="1019">
        <f t="shared" si="0"/>
        <v>-3.4843205574912606E-3</v>
      </c>
      <c r="I16" s="1019">
        <f t="shared" si="0"/>
        <v>3.8461538461538325E-2</v>
      </c>
      <c r="J16" s="1019">
        <f t="shared" si="0"/>
        <v>6.1447811447811418E-2</v>
      </c>
      <c r="K16" s="1019">
        <f t="shared" si="0"/>
        <v>6.0269627279936566E-2</v>
      </c>
      <c r="L16" s="1019">
        <f t="shared" si="0"/>
        <v>3.8145100972326373E-2</v>
      </c>
      <c r="M16" s="1019">
        <f t="shared" si="0"/>
        <v>2.3991354466858628E-2</v>
      </c>
      <c r="N16" s="1020">
        <f t="shared" si="0"/>
        <v>3.2012945894603684E-2</v>
      </c>
    </row>
    <row r="17" spans="1:26" ht="15.75" customHeight="1" x14ac:dyDescent="0.3">
      <c r="B17" s="281" t="str">
        <f>CONCATENATE("Reconstructed cumulative index (",CRCP_y5,"=1)")</f>
        <v>Reconstructed cumulative index (2025-26=1)</v>
      </c>
      <c r="C17" s="282">
        <v>0.73</v>
      </c>
      <c r="D17" s="1021">
        <f t="shared" ref="D17:M17" si="1">E17/(1+E16)</f>
        <v>0.74038723752386126</v>
      </c>
      <c r="E17" s="1022">
        <f t="shared" si="1"/>
        <v>0.75470411780747182</v>
      </c>
      <c r="F17" s="1022">
        <f t="shared" si="1"/>
        <v>0.77038451049904533</v>
      </c>
      <c r="G17" s="1022">
        <f t="shared" si="1"/>
        <v>0.78265612217071157</v>
      </c>
      <c r="H17" s="1022">
        <f t="shared" si="1"/>
        <v>0.77992909735478577</v>
      </c>
      <c r="I17" s="1022">
        <f t="shared" si="1"/>
        <v>0.80992637032996972</v>
      </c>
      <c r="J17" s="1022">
        <f t="shared" si="1"/>
        <v>0.85969457322061604</v>
      </c>
      <c r="K17" s="1022">
        <f t="shared" si="1"/>
        <v>0.91150804472320668</v>
      </c>
      <c r="L17" s="1022">
        <f t="shared" si="1"/>
        <v>0.94627761112626119</v>
      </c>
      <c r="M17" s="1022">
        <f t="shared" si="1"/>
        <v>0.96898009271884356</v>
      </c>
      <c r="N17" s="1023">
        <v>1</v>
      </c>
    </row>
    <row r="18" spans="1:26" x14ac:dyDescent="0.3">
      <c r="B18" s="283"/>
      <c r="C18" s="284"/>
      <c r="D18" s="284"/>
      <c r="E18" s="284"/>
      <c r="F18" s="284"/>
      <c r="G18" s="284"/>
      <c r="H18" s="284"/>
      <c r="I18" s="284"/>
      <c r="J18" s="285"/>
      <c r="K18" s="286"/>
      <c r="L18" s="285"/>
      <c r="M18" s="3"/>
      <c r="N18" s="286"/>
      <c r="O18" s="285"/>
      <c r="P18" s="285"/>
      <c r="Q18" s="285"/>
      <c r="R18" s="285"/>
      <c r="S18" s="286"/>
      <c r="T18" s="286"/>
      <c r="U18" s="286"/>
      <c r="V18" s="286"/>
      <c r="W18" s="286"/>
    </row>
    <row r="19" spans="1:26" x14ac:dyDescent="0.3">
      <c r="B19" s="283"/>
      <c r="C19" s="284"/>
      <c r="D19" s="284"/>
      <c r="E19" s="284"/>
      <c r="F19" s="284"/>
      <c r="G19" s="284"/>
      <c r="H19" s="284"/>
      <c r="I19" s="284"/>
      <c r="J19" s="285"/>
      <c r="R19" s="285"/>
      <c r="S19" s="286"/>
      <c r="T19" s="286"/>
      <c r="U19" s="286"/>
      <c r="V19" s="286"/>
      <c r="W19" s="286"/>
    </row>
    <row r="20" spans="1:26" x14ac:dyDescent="0.3">
      <c r="B20" s="283"/>
      <c r="C20" s="284"/>
      <c r="D20" s="284"/>
      <c r="E20" s="284"/>
      <c r="F20" s="284"/>
      <c r="G20" s="284"/>
      <c r="H20" s="284"/>
      <c r="I20" s="284"/>
      <c r="J20" s="285"/>
      <c r="K20" s="286"/>
      <c r="L20" s="285"/>
      <c r="M20" s="3"/>
      <c r="N20" s="286"/>
      <c r="O20" s="285"/>
      <c r="P20" s="285"/>
      <c r="Q20" s="285"/>
      <c r="R20" s="285"/>
      <c r="S20" s="286"/>
      <c r="T20" s="286"/>
      <c r="U20" s="286"/>
      <c r="V20" s="286"/>
      <c r="W20" s="286"/>
    </row>
    <row r="21" spans="1:26" s="289" customFormat="1" ht="18.75" customHeight="1" x14ac:dyDescent="0.35">
      <c r="A21" s="3"/>
      <c r="B21" s="287" t="s">
        <v>829</v>
      </c>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row>
    <row r="22" spans="1:26" ht="15.75" customHeight="1" x14ac:dyDescent="0.3"/>
    <row r="23" spans="1:26" ht="15.75" customHeight="1" x14ac:dyDescent="0.3">
      <c r="B23" s="962" t="s">
        <v>830</v>
      </c>
      <c r="C23" s="963" t="s">
        <v>404</v>
      </c>
    </row>
    <row r="24" spans="1:26" s="293" customFormat="1" ht="16.5" customHeight="1" x14ac:dyDescent="0.3">
      <c r="A24" s="3"/>
      <c r="B24" s="290" t="s">
        <v>831</v>
      </c>
      <c r="C24" s="429"/>
      <c r="D24" s="429"/>
      <c r="E24" s="429"/>
      <c r="F24" s="429"/>
      <c r="G24" s="429"/>
      <c r="H24" s="429"/>
      <c r="I24" s="429"/>
      <c r="J24" s="429"/>
      <c r="K24" s="429"/>
      <c r="L24" s="429"/>
      <c r="M24" s="291"/>
      <c r="N24" s="291"/>
      <c r="O24" s="291"/>
      <c r="P24" s="291"/>
      <c r="Q24" s="291"/>
      <c r="R24" s="291"/>
      <c r="S24" s="291"/>
      <c r="T24" s="292"/>
    </row>
    <row r="25" spans="1:26" x14ac:dyDescent="0.3">
      <c r="C25" s="988" t="str">
        <f>CONCATENATE("$m, real ",dms_RPTMonth," ",(LEFT(PRCP_y1,2)&amp;RIGHT(PRCP_y1,2))-2)</f>
        <v>$m, real June 2015</v>
      </c>
      <c r="D25" s="989"/>
      <c r="E25" s="989"/>
      <c r="F25" s="989"/>
      <c r="G25" s="990"/>
      <c r="H25" s="991" t="str">
        <f>CONCATENATE("$m, real ",dms_RPTMonth," ",(LEFT(PRCP_y5,2)&amp;RIGHT(PRCP_y5,2)))</f>
        <v>$m, real June 2021</v>
      </c>
      <c r="I25" s="989"/>
      <c r="J25" s="989"/>
      <c r="K25" s="989"/>
      <c r="L25" s="992"/>
      <c r="M25" s="3"/>
      <c r="N25" s="980" t="str">
        <f>CONCATENATE("$m, real ", dms_DollarReal)</f>
        <v>$m, real June 2026</v>
      </c>
      <c r="O25" s="981"/>
      <c r="P25" s="981"/>
      <c r="Q25" s="981"/>
      <c r="R25" s="981"/>
      <c r="S25" s="981"/>
      <c r="T25" s="982"/>
    </row>
    <row r="26" spans="1:26" ht="15.75" customHeight="1" x14ac:dyDescent="0.3">
      <c r="C26" s="993" t="s">
        <v>832</v>
      </c>
      <c r="D26" s="994"/>
      <c r="E26" s="994"/>
      <c r="F26" s="994"/>
      <c r="G26" s="995"/>
      <c r="H26" s="996" t="s">
        <v>600</v>
      </c>
      <c r="I26" s="997"/>
      <c r="J26" s="997"/>
      <c r="K26" s="997"/>
      <c r="L26" s="998"/>
      <c r="M26" s="3"/>
      <c r="N26" s="983" t="s">
        <v>832</v>
      </c>
      <c r="O26" s="984"/>
      <c r="P26" s="985" t="s">
        <v>600</v>
      </c>
      <c r="Q26" s="986"/>
      <c r="R26" s="986"/>
      <c r="S26" s="986"/>
      <c r="T26" s="987"/>
    </row>
    <row r="27" spans="1:26" ht="15.75" customHeight="1" x14ac:dyDescent="0.3">
      <c r="C27" s="895" t="str">
        <f>PRCP_y1</f>
        <v>2016-17</v>
      </c>
      <c r="D27" s="896" t="str">
        <f>PRCP_y2</f>
        <v>2017-18</v>
      </c>
      <c r="E27" s="896" t="str">
        <f>PRCP_y3</f>
        <v>2018-19</v>
      </c>
      <c r="F27" s="896" t="str">
        <f>PRCP_y4</f>
        <v>2019-20</v>
      </c>
      <c r="G27" s="897" t="str">
        <f>PRCP_y5</f>
        <v>2020-21</v>
      </c>
      <c r="H27" s="914" t="str">
        <f>CRCP_y1</f>
        <v>2021-22</v>
      </c>
      <c r="I27" s="915" t="str">
        <f>CRCP_y2</f>
        <v>2022-23</v>
      </c>
      <c r="J27" s="915" t="str">
        <f>CRCP_y3</f>
        <v>2023-24</v>
      </c>
      <c r="K27" s="915" t="str">
        <f>CRCP_y4</f>
        <v>2024-25</v>
      </c>
      <c r="L27" s="916" t="str">
        <f>CRCP_y5</f>
        <v>2025-26</v>
      </c>
      <c r="M27" s="3"/>
      <c r="N27" s="943" t="str">
        <f>dms_PRCP_BaseYear</f>
        <v>2019-20</v>
      </c>
      <c r="O27" s="952" t="str">
        <f>PRCP_y5</f>
        <v>2020-21</v>
      </c>
      <c r="P27" s="953" t="str">
        <f>CRCP_y1</f>
        <v>2021-22</v>
      </c>
      <c r="Q27" s="953" t="str">
        <f>CRCP_y2</f>
        <v>2022-23</v>
      </c>
      <c r="R27" s="953" t="str">
        <f>CRCP_y3</f>
        <v>2023-24</v>
      </c>
      <c r="S27" s="953" t="str">
        <f>CRCP_y4</f>
        <v>2024-25</v>
      </c>
      <c r="T27" s="954" t="str">
        <f>CRCP_y5</f>
        <v>2025-26</v>
      </c>
    </row>
    <row r="28" spans="1:26" x14ac:dyDescent="0.3">
      <c r="B28" s="426" t="s">
        <v>833</v>
      </c>
      <c r="C28" s="921"/>
      <c r="D28" s="922"/>
      <c r="E28" s="922"/>
      <c r="F28" s="922">
        <v>31.643999999999998</v>
      </c>
      <c r="G28" s="910">
        <v>31.660399999999999</v>
      </c>
      <c r="H28" s="900">
        <v>32.938400000000001</v>
      </c>
      <c r="I28" s="901">
        <v>34.295200000000001</v>
      </c>
      <c r="J28" s="901">
        <v>33.671599999999998</v>
      </c>
      <c r="K28" s="901">
        <v>34.453200000000002</v>
      </c>
      <c r="L28" s="902">
        <v>35.612900000000003</v>
      </c>
      <c r="M28" s="3"/>
      <c r="N28" s="955">
        <f>+LOOKUP(dms_PRCP_BaseYear,C$27:G$27,C28:G28)/$D$17</f>
        <v>42.739796685082879</v>
      </c>
      <c r="O28" s="942">
        <f>+G28/$D$17</f>
        <v>42.761947255985277</v>
      </c>
      <c r="P28" s="956">
        <f>+H28/$I$17</f>
        <v>40.668388148148161</v>
      </c>
      <c r="Q28" s="957">
        <f>+I28/$I$17</f>
        <v>42.34360215488217</v>
      </c>
      <c r="R28" s="957">
        <f>+J28/$I$17</f>
        <v>41.573655622895636</v>
      </c>
      <c r="S28" s="957">
        <f>+K28/$I$17</f>
        <v>42.538681616161632</v>
      </c>
      <c r="T28" s="958">
        <f>+L28/$I$17</f>
        <v>43.97054016835019</v>
      </c>
    </row>
    <row r="29" spans="1:26" x14ac:dyDescent="0.3">
      <c r="B29" s="433" t="s">
        <v>834</v>
      </c>
      <c r="C29" s="903"/>
      <c r="D29" s="898"/>
      <c r="E29" s="898"/>
      <c r="F29" s="898"/>
      <c r="G29" s="911"/>
      <c r="H29" s="909"/>
      <c r="I29" s="431"/>
      <c r="J29" s="431"/>
      <c r="K29" s="431"/>
      <c r="L29" s="439"/>
      <c r="M29" s="284"/>
      <c r="N29" s="944"/>
      <c r="O29" s="294"/>
      <c r="P29" s="296"/>
      <c r="Q29" s="297"/>
      <c r="R29" s="297"/>
      <c r="S29" s="297"/>
      <c r="T29" s="298"/>
    </row>
    <row r="30" spans="1:26" x14ac:dyDescent="0.3">
      <c r="B30" s="427" t="s">
        <v>835</v>
      </c>
      <c r="C30" s="923"/>
      <c r="D30" s="924"/>
      <c r="E30" s="924"/>
      <c r="F30" s="924">
        <v>-0.20419999999999999</v>
      </c>
      <c r="G30" s="912">
        <v>-0.20349999999999999</v>
      </c>
      <c r="H30" s="905">
        <v>-0.19409999999999999</v>
      </c>
      <c r="I30" s="890">
        <v>-0.19389999999999999</v>
      </c>
      <c r="J30" s="890">
        <v>-0.19320000000000001</v>
      </c>
      <c r="K30" s="890">
        <v>-0.19070000000000001</v>
      </c>
      <c r="L30" s="889">
        <v>-0.18729999999999999</v>
      </c>
      <c r="M30" s="284"/>
      <c r="N30" s="945">
        <f t="shared" ref="N30:N35" si="2">+LOOKUP(dms_PRCP_BaseYear,C$27:G$27,C30:G30)/$D$17</f>
        <v>-0.2758016206261511</v>
      </c>
      <c r="O30" s="927">
        <f t="shared" ref="O30:O35" si="3">+G30/$D$17</f>
        <v>-0.27485616942909769</v>
      </c>
      <c r="P30" s="299">
        <f t="shared" ref="P30:T35" si="4">H30/$I$17</f>
        <v>-0.23965141414141422</v>
      </c>
      <c r="Q30" s="299">
        <f t="shared" si="4"/>
        <v>-0.23940447811447818</v>
      </c>
      <c r="R30" s="299">
        <f t="shared" si="4"/>
        <v>-0.23854020202020212</v>
      </c>
      <c r="S30" s="299">
        <f t="shared" si="4"/>
        <v>-0.23545350168350176</v>
      </c>
      <c r="T30" s="434">
        <f t="shared" si="4"/>
        <v>-0.23125558922558931</v>
      </c>
    </row>
    <row r="31" spans="1:26" ht="38.25" customHeight="1" x14ac:dyDescent="0.3">
      <c r="B31" s="969" t="s">
        <v>836</v>
      </c>
      <c r="C31" s="923"/>
      <c r="D31" s="924"/>
      <c r="E31" s="924"/>
      <c r="F31" s="924">
        <v>-10.5547</v>
      </c>
      <c r="G31" s="912">
        <v>-10.268599999999999</v>
      </c>
      <c r="H31" s="905">
        <v>-11.857900000000001</v>
      </c>
      <c r="I31" s="890">
        <v>-12.6637</v>
      </c>
      <c r="J31" s="890">
        <v>-12.9047</v>
      </c>
      <c r="K31" s="890">
        <v>-13.2879</v>
      </c>
      <c r="L31" s="889">
        <v>-13.692600000000001</v>
      </c>
      <c r="M31" s="284"/>
      <c r="N31" s="945">
        <f t="shared" si="2"/>
        <v>-14.255648213627998</v>
      </c>
      <c r="O31" s="927">
        <f t="shared" si="3"/>
        <v>-13.869228802946596</v>
      </c>
      <c r="P31" s="299">
        <f t="shared" si="4"/>
        <v>-14.640713569023575</v>
      </c>
      <c r="Q31" s="299">
        <f t="shared" si="4"/>
        <v>-15.635618821548828</v>
      </c>
      <c r="R31" s="299">
        <f t="shared" si="4"/>
        <v>-15.933176734006739</v>
      </c>
      <c r="S31" s="299">
        <f t="shared" si="4"/>
        <v>-16.406306161616168</v>
      </c>
      <c r="T31" s="434">
        <f t="shared" si="4"/>
        <v>-16.905981212121219</v>
      </c>
    </row>
    <row r="32" spans="1:26" x14ac:dyDescent="0.3">
      <c r="B32" s="427"/>
      <c r="C32" s="923"/>
      <c r="D32" s="924"/>
      <c r="E32" s="924"/>
      <c r="F32" s="924"/>
      <c r="G32" s="912"/>
      <c r="H32" s="905"/>
      <c r="I32" s="890"/>
      <c r="J32" s="890"/>
      <c r="K32" s="890"/>
      <c r="L32" s="889"/>
      <c r="M32" s="284"/>
      <c r="N32" s="945">
        <f t="shared" si="2"/>
        <v>0</v>
      </c>
      <c r="O32" s="927">
        <f t="shared" si="3"/>
        <v>0</v>
      </c>
      <c r="P32" s="299">
        <f t="shared" si="4"/>
        <v>0</v>
      </c>
      <c r="Q32" s="299">
        <f t="shared" si="4"/>
        <v>0</v>
      </c>
      <c r="R32" s="299">
        <f t="shared" si="4"/>
        <v>0</v>
      </c>
      <c r="S32" s="299">
        <f t="shared" si="4"/>
        <v>0</v>
      </c>
      <c r="T32" s="434">
        <f t="shared" si="4"/>
        <v>0</v>
      </c>
    </row>
    <row r="33" spans="1:26" x14ac:dyDescent="0.3">
      <c r="B33" s="432"/>
      <c r="C33" s="923"/>
      <c r="D33" s="924"/>
      <c r="E33" s="924"/>
      <c r="F33" s="924"/>
      <c r="G33" s="912"/>
      <c r="H33" s="905"/>
      <c r="I33" s="890"/>
      <c r="J33" s="890"/>
      <c r="K33" s="890"/>
      <c r="L33" s="889"/>
      <c r="M33" s="301"/>
      <c r="N33" s="945">
        <f t="shared" si="2"/>
        <v>0</v>
      </c>
      <c r="O33" s="927">
        <f t="shared" si="3"/>
        <v>0</v>
      </c>
      <c r="P33" s="299">
        <f t="shared" si="4"/>
        <v>0</v>
      </c>
      <c r="Q33" s="299">
        <f t="shared" si="4"/>
        <v>0</v>
      </c>
      <c r="R33" s="299">
        <f t="shared" si="4"/>
        <v>0</v>
      </c>
      <c r="S33" s="299">
        <f t="shared" si="4"/>
        <v>0</v>
      </c>
      <c r="T33" s="434">
        <f t="shared" si="4"/>
        <v>0</v>
      </c>
      <c r="Z33" s="295"/>
    </row>
    <row r="34" spans="1:26" x14ac:dyDescent="0.3">
      <c r="B34" s="432" t="s">
        <v>837</v>
      </c>
      <c r="C34" s="923"/>
      <c r="D34" s="924"/>
      <c r="E34" s="924"/>
      <c r="F34" s="924"/>
      <c r="G34" s="912"/>
      <c r="H34" s="905"/>
      <c r="I34" s="890"/>
      <c r="J34" s="890"/>
      <c r="K34" s="890"/>
      <c r="L34" s="889"/>
      <c r="M34" s="301"/>
      <c r="N34" s="945">
        <f t="shared" si="2"/>
        <v>0</v>
      </c>
      <c r="O34" s="927">
        <f t="shared" si="3"/>
        <v>0</v>
      </c>
      <c r="P34" s="299">
        <f t="shared" si="4"/>
        <v>0</v>
      </c>
      <c r="Q34" s="299">
        <f t="shared" si="4"/>
        <v>0</v>
      </c>
      <c r="R34" s="299">
        <f t="shared" si="4"/>
        <v>0</v>
      </c>
      <c r="S34" s="299">
        <f t="shared" si="4"/>
        <v>0</v>
      </c>
      <c r="T34" s="434">
        <f t="shared" si="4"/>
        <v>0</v>
      </c>
      <c r="Z34" s="295"/>
    </row>
    <row r="35" spans="1:26" ht="15.75" customHeight="1" x14ac:dyDescent="0.3">
      <c r="B35" s="432" t="s">
        <v>838</v>
      </c>
      <c r="C35" s="934"/>
      <c r="D35" s="926"/>
      <c r="E35" s="926"/>
      <c r="F35" s="926"/>
      <c r="G35" s="935"/>
      <c r="H35" s="936"/>
      <c r="I35" s="937"/>
      <c r="J35" s="937"/>
      <c r="K35" s="937"/>
      <c r="L35" s="938"/>
      <c r="M35" s="284"/>
      <c r="N35" s="946">
        <f t="shared" si="2"/>
        <v>0</v>
      </c>
      <c r="O35" s="928">
        <f t="shared" si="3"/>
        <v>0</v>
      </c>
      <c r="P35" s="435">
        <f t="shared" si="4"/>
        <v>0</v>
      </c>
      <c r="Q35" s="435">
        <f t="shared" si="4"/>
        <v>0</v>
      </c>
      <c r="R35" s="435">
        <f t="shared" si="4"/>
        <v>0</v>
      </c>
      <c r="S35" s="435">
        <f t="shared" si="4"/>
        <v>0</v>
      </c>
      <c r="T35" s="436">
        <f t="shared" si="4"/>
        <v>0</v>
      </c>
      <c r="Z35" s="295"/>
    </row>
    <row r="36" spans="1:26" ht="15.75" customHeight="1" x14ac:dyDescent="0.3">
      <c r="B36" s="939" t="s">
        <v>839</v>
      </c>
      <c r="C36" s="940">
        <f t="shared" ref="C36:L36" si="5">SUM(C28:C35)</f>
        <v>0</v>
      </c>
      <c r="D36" s="940">
        <f t="shared" si="5"/>
        <v>0</v>
      </c>
      <c r="E36" s="940">
        <f t="shared" si="5"/>
        <v>0</v>
      </c>
      <c r="F36" s="940">
        <f t="shared" si="5"/>
        <v>20.885099999999998</v>
      </c>
      <c r="G36" s="940">
        <f t="shared" si="5"/>
        <v>21.188300000000002</v>
      </c>
      <c r="H36" s="940">
        <f t="shared" si="5"/>
        <v>20.886400000000002</v>
      </c>
      <c r="I36" s="940">
        <f t="shared" si="5"/>
        <v>21.437600000000003</v>
      </c>
      <c r="J36" s="940">
        <f t="shared" si="5"/>
        <v>20.573700000000002</v>
      </c>
      <c r="K36" s="940">
        <f t="shared" si="5"/>
        <v>20.974600000000002</v>
      </c>
      <c r="L36" s="941">
        <f t="shared" si="5"/>
        <v>21.733000000000004</v>
      </c>
      <c r="M36" s="284"/>
      <c r="N36" s="929">
        <f t="shared" ref="N36:T36" si="6">+SUM(N28:N35)</f>
        <v>28.208346850828725</v>
      </c>
      <c r="O36" s="302">
        <f t="shared" si="6"/>
        <v>28.617862283609583</v>
      </c>
      <c r="P36" s="302">
        <f t="shared" si="6"/>
        <v>25.788023164983173</v>
      </c>
      <c r="Q36" s="302">
        <f t="shared" si="6"/>
        <v>26.468578855218862</v>
      </c>
      <c r="R36" s="302">
        <f t="shared" si="6"/>
        <v>25.401938686868693</v>
      </c>
      <c r="S36" s="302">
        <f t="shared" si="6"/>
        <v>25.896921952861963</v>
      </c>
      <c r="T36" s="303">
        <f t="shared" si="6"/>
        <v>26.833303367003381</v>
      </c>
      <c r="Z36" s="295"/>
    </row>
    <row r="37" spans="1:26" ht="15.75" customHeight="1" x14ac:dyDescent="0.3">
      <c r="B37" s="304"/>
      <c r="C37" s="305"/>
      <c r="D37" s="305"/>
      <c r="E37" s="305"/>
      <c r="F37" s="305"/>
      <c r="G37" s="306"/>
      <c r="H37" s="306"/>
      <c r="I37" s="306"/>
      <c r="J37" s="306"/>
      <c r="K37" s="306"/>
      <c r="L37" s="306"/>
      <c r="M37" s="307"/>
      <c r="N37" s="305"/>
      <c r="O37" s="305"/>
      <c r="P37" s="305"/>
      <c r="Q37" s="305"/>
      <c r="R37" s="305"/>
      <c r="S37" s="305"/>
      <c r="T37" s="305"/>
      <c r="Z37" s="295"/>
    </row>
    <row r="38" spans="1:26" s="293" customFormat="1" ht="16.5" customHeight="1" x14ac:dyDescent="0.3">
      <c r="A38" s="3"/>
      <c r="B38" s="290" t="s">
        <v>840</v>
      </c>
      <c r="C38" s="291"/>
      <c r="D38" s="291"/>
      <c r="E38" s="291"/>
      <c r="F38" s="291"/>
      <c r="G38" s="291"/>
      <c r="H38" s="291"/>
      <c r="I38" s="291"/>
      <c r="J38" s="291"/>
      <c r="K38" s="291"/>
      <c r="L38" s="291"/>
      <c r="M38" s="291"/>
      <c r="N38" s="291"/>
      <c r="O38" s="291"/>
      <c r="P38" s="291"/>
      <c r="Q38" s="291"/>
      <c r="R38" s="291"/>
      <c r="S38" s="291"/>
      <c r="T38" s="292"/>
    </row>
    <row r="39" spans="1:26" x14ac:dyDescent="0.3">
      <c r="B39" s="308"/>
      <c r="C39" s="999" t="s">
        <v>841</v>
      </c>
      <c r="D39" s="1000"/>
      <c r="E39" s="1000"/>
      <c r="F39" s="1000"/>
      <c r="G39" s="1000"/>
      <c r="H39" s="1000"/>
      <c r="I39" s="1000"/>
      <c r="J39" s="1000"/>
      <c r="K39" s="1000"/>
      <c r="L39" s="1001"/>
      <c r="M39" s="309"/>
      <c r="N39" s="980" t="str">
        <f>CONCATENATE("$m, real ", dms_DollarReal)</f>
        <v>$m, real June 2026</v>
      </c>
      <c r="O39" s="981"/>
      <c r="P39" s="981"/>
      <c r="Q39" s="981"/>
      <c r="R39" s="981"/>
      <c r="S39" s="981"/>
      <c r="T39" s="982"/>
    </row>
    <row r="40" spans="1:26" ht="15.75" customHeight="1" x14ac:dyDescent="0.3">
      <c r="B40" s="308"/>
      <c r="C40" s="993" t="s">
        <v>832</v>
      </c>
      <c r="D40" s="994"/>
      <c r="E40" s="994"/>
      <c r="F40" s="994"/>
      <c r="G40" s="995"/>
      <c r="H40" s="996" t="s">
        <v>600</v>
      </c>
      <c r="I40" s="997"/>
      <c r="J40" s="997"/>
      <c r="K40" s="997"/>
      <c r="L40" s="998"/>
      <c r="M40" s="309"/>
      <c r="N40" s="983" t="s">
        <v>832</v>
      </c>
      <c r="O40" s="984"/>
      <c r="P40" s="985" t="s">
        <v>600</v>
      </c>
      <c r="Q40" s="986"/>
      <c r="R40" s="986"/>
      <c r="S40" s="986"/>
      <c r="T40" s="987"/>
    </row>
    <row r="41" spans="1:26" ht="15.75" customHeight="1" x14ac:dyDescent="0.3">
      <c r="B41" s="310"/>
      <c r="C41" s="895" t="str">
        <f>PRCP_y1</f>
        <v>2016-17</v>
      </c>
      <c r="D41" s="896" t="str">
        <f>PRCP_y2</f>
        <v>2017-18</v>
      </c>
      <c r="E41" s="896" t="str">
        <f>PRCP_y3</f>
        <v>2018-19</v>
      </c>
      <c r="F41" s="896" t="str">
        <f>PRCP_y4</f>
        <v>2019-20</v>
      </c>
      <c r="G41" s="897" t="str">
        <f>PRCP_y5</f>
        <v>2020-21</v>
      </c>
      <c r="H41" s="914" t="str">
        <f>CRCP_y1</f>
        <v>2021-22</v>
      </c>
      <c r="I41" s="915" t="str">
        <f>CRCP_y2</f>
        <v>2022-23</v>
      </c>
      <c r="J41" s="915" t="str">
        <f>CRCP_y3</f>
        <v>2023-24</v>
      </c>
      <c r="K41" s="915" t="str">
        <f>CRCP_y4</f>
        <v>2024-25</v>
      </c>
      <c r="L41" s="447" t="str">
        <f>CRCP_y5</f>
        <v>2025-26</v>
      </c>
      <c r="M41" s="301"/>
      <c r="N41" s="943" t="str">
        <f>dms_PRCP_BaseYear</f>
        <v>2019-20</v>
      </c>
      <c r="O41" s="952" t="str">
        <f>PRCP_y5</f>
        <v>2020-21</v>
      </c>
      <c r="P41" s="953" t="str">
        <f>CRCP_y1</f>
        <v>2021-22</v>
      </c>
      <c r="Q41" s="953" t="str">
        <f>CRCP_y2</f>
        <v>2022-23</v>
      </c>
      <c r="R41" s="953" t="str">
        <f>CRCP_y3</f>
        <v>2023-24</v>
      </c>
      <c r="S41" s="953" t="str">
        <f>CRCP_y4</f>
        <v>2024-25</v>
      </c>
      <c r="T41" s="954" t="str">
        <f>CRCP_y5</f>
        <v>2025-26</v>
      </c>
      <c r="W41" s="891"/>
    </row>
    <row r="42" spans="1:26" x14ac:dyDescent="0.3">
      <c r="B42" s="426" t="s">
        <v>842</v>
      </c>
      <c r="C42" s="921"/>
      <c r="D42" s="922"/>
      <c r="E42" s="922"/>
      <c r="F42" s="922">
        <v>31.189599999999999</v>
      </c>
      <c r="G42" s="910">
        <v>30.184000000000001</v>
      </c>
      <c r="H42" s="900">
        <v>29.933399999999999</v>
      </c>
      <c r="I42" s="901">
        <v>31.6068</v>
      </c>
      <c r="J42" s="901">
        <v>34.6496</v>
      </c>
      <c r="K42" s="902">
        <v>38.255099999999999</v>
      </c>
      <c r="L42" s="918"/>
      <c r="M42" s="301"/>
      <c r="N42" s="959">
        <f>+LOOKUP(dms_PRCP_BaseYear,C$41:G$41,C42:G42)/LOOKUP(dms_PRCP_BaseYear,C$14:N$14,C$17:N$17)*(1+LOOKUP(dms_PRCP_BaseYear,C$14:N$14,C$16:N$16))^0.5</f>
        <v>39.920571509129424</v>
      </c>
      <c r="O42" s="947">
        <f>+G42/I$17*(1+I$16)^0.5</f>
        <v>37.977507740891305</v>
      </c>
      <c r="P42" s="948">
        <f>+H42/J$17*(1+J$16)^0.5</f>
        <v>35.872462219893812</v>
      </c>
      <c r="Q42" s="949">
        <f>+I42/K$17*(1+K$16)^0.5</f>
        <v>35.704929731876874</v>
      </c>
      <c r="R42" s="949">
        <f>+J42/L$17*(1+L$16)^0.5</f>
        <v>37.308577450452951</v>
      </c>
      <c r="S42" s="950">
        <f>+K42/M$17*(1+M$16)^0.5</f>
        <v>39.950537962204542</v>
      </c>
      <c r="T42" s="951"/>
      <c r="W42" s="891"/>
    </row>
    <row r="43" spans="1:26" x14ac:dyDescent="0.3">
      <c r="B43" s="433" t="s">
        <v>843</v>
      </c>
      <c r="C43" s="903"/>
      <c r="D43" s="898"/>
      <c r="E43" s="898"/>
      <c r="F43" s="898"/>
      <c r="G43" s="917"/>
      <c r="H43" s="903"/>
      <c r="I43" s="898"/>
      <c r="J43" s="898"/>
      <c r="K43" s="904"/>
      <c r="L43" s="919"/>
      <c r="M43" s="284"/>
      <c r="N43" s="944"/>
      <c r="O43" s="294"/>
      <c r="P43" s="296"/>
      <c r="Q43" s="297"/>
      <c r="R43" s="297"/>
      <c r="S43" s="294"/>
      <c r="T43" s="311"/>
    </row>
    <row r="44" spans="1:26" x14ac:dyDescent="0.3">
      <c r="B44" s="899" t="s">
        <v>835</v>
      </c>
      <c r="C44" s="923"/>
      <c r="D44" s="924"/>
      <c r="E44" s="924"/>
      <c r="F44" s="924"/>
      <c r="G44" s="912"/>
      <c r="H44" s="905"/>
      <c r="I44" s="890"/>
      <c r="J44" s="890"/>
      <c r="K44" s="889"/>
      <c r="L44" s="919"/>
      <c r="M44" s="301"/>
      <c r="N44" s="960">
        <f t="shared" ref="N44:N49" si="7">+LOOKUP(dms_PRCP_BaseYear,C$41:G$41,C44:G44)/LOOKUP(dms_PRCP_BaseYear,C$14:N$14,C$17:N$17)*(1+LOOKUP(dms_PRCP_BaseYear,C$14:N$14,C$16:N$16))^0.5</f>
        <v>0</v>
      </c>
      <c r="O44" s="930">
        <f t="shared" ref="O44:S49" si="8">G44/I$17*(1+I$16)^0.5</f>
        <v>0</v>
      </c>
      <c r="P44" s="312">
        <f t="shared" si="8"/>
        <v>0</v>
      </c>
      <c r="Q44" s="312">
        <f t="shared" si="8"/>
        <v>0</v>
      </c>
      <c r="R44" s="312">
        <f t="shared" si="8"/>
        <v>0</v>
      </c>
      <c r="S44" s="440">
        <f t="shared" si="8"/>
        <v>0</v>
      </c>
      <c r="T44" s="314"/>
    </row>
    <row r="45" spans="1:26" ht="25.5" customHeight="1" x14ac:dyDescent="0.3">
      <c r="B45" s="899" t="s">
        <v>836</v>
      </c>
      <c r="C45" s="923"/>
      <c r="D45" s="924"/>
      <c r="E45" s="924"/>
      <c r="F45" s="924">
        <v>-10.844900000000001</v>
      </c>
      <c r="G45" s="912">
        <v>-11.834899999999999</v>
      </c>
      <c r="H45" s="905">
        <v>-12.5242</v>
      </c>
      <c r="I45" s="890">
        <v>-15.3925</v>
      </c>
      <c r="J45" s="890">
        <v>-15.1973</v>
      </c>
      <c r="K45" s="889">
        <v>-14.777200000000001</v>
      </c>
      <c r="L45" s="919"/>
      <c r="M45" s="284"/>
      <c r="N45" s="960">
        <f t="shared" si="7"/>
        <v>-13.880736077389827</v>
      </c>
      <c r="O45" s="930">
        <f t="shared" si="8"/>
        <v>-14.890670764732127</v>
      </c>
      <c r="P45" s="312">
        <f t="shared" si="8"/>
        <v>-15.009116616702215</v>
      </c>
      <c r="Q45" s="312">
        <f t="shared" si="8"/>
        <v>-17.388287675370957</v>
      </c>
      <c r="R45" s="312">
        <f t="shared" si="8"/>
        <v>-16.363526392448069</v>
      </c>
      <c r="S45" s="440">
        <f t="shared" si="8"/>
        <v>-15.432114661184759</v>
      </c>
      <c r="T45" s="314"/>
    </row>
    <row r="46" spans="1:26" x14ac:dyDescent="0.3">
      <c r="B46" s="899"/>
      <c r="C46" s="923"/>
      <c r="D46" s="924"/>
      <c r="E46" s="924"/>
      <c r="F46" s="924"/>
      <c r="G46" s="912"/>
      <c r="H46" s="905"/>
      <c r="I46" s="890"/>
      <c r="J46" s="890"/>
      <c r="K46" s="889"/>
      <c r="L46" s="919"/>
      <c r="M46" s="284"/>
      <c r="N46" s="960">
        <f t="shared" si="7"/>
        <v>0</v>
      </c>
      <c r="O46" s="930">
        <f t="shared" si="8"/>
        <v>0</v>
      </c>
      <c r="P46" s="312">
        <f t="shared" si="8"/>
        <v>0</v>
      </c>
      <c r="Q46" s="312">
        <f t="shared" si="8"/>
        <v>0</v>
      </c>
      <c r="R46" s="312">
        <f t="shared" si="8"/>
        <v>0</v>
      </c>
      <c r="S46" s="440">
        <f t="shared" si="8"/>
        <v>0</v>
      </c>
      <c r="T46" s="314"/>
      <c r="V46" s="1093" t="str">
        <f>CONCATENATE(dms_TradingName," to nominate base year used to forecast opex 
(drop down menu)")</f>
        <v>Evoenergy Gas to nominate base year used to forecast opex 
(drop down menu)</v>
      </c>
      <c r="W46" s="1094"/>
    </row>
    <row r="47" spans="1:26" ht="15" customHeight="1" x14ac:dyDescent="0.3">
      <c r="B47" s="279"/>
      <c r="C47" s="923"/>
      <c r="D47" s="924"/>
      <c r="E47" s="924"/>
      <c r="F47" s="924"/>
      <c r="G47" s="912"/>
      <c r="H47" s="905"/>
      <c r="I47" s="890"/>
      <c r="J47" s="890"/>
      <c r="K47" s="889"/>
      <c r="L47" s="919"/>
      <c r="M47" s="300"/>
      <c r="N47" s="960">
        <f t="shared" si="7"/>
        <v>0</v>
      </c>
      <c r="O47" s="930">
        <f t="shared" si="8"/>
        <v>0</v>
      </c>
      <c r="P47" s="312">
        <f t="shared" si="8"/>
        <v>0</v>
      </c>
      <c r="Q47" s="312">
        <f t="shared" si="8"/>
        <v>0</v>
      </c>
      <c r="R47" s="312">
        <f t="shared" si="8"/>
        <v>0</v>
      </c>
      <c r="S47" s="440">
        <f t="shared" si="8"/>
        <v>0</v>
      </c>
      <c r="T47" s="315"/>
      <c r="V47" s="1095"/>
      <c r="W47" s="1096"/>
    </row>
    <row r="48" spans="1:26" ht="15" customHeight="1" x14ac:dyDescent="0.3">
      <c r="B48" s="279" t="s">
        <v>844</v>
      </c>
      <c r="C48" s="923"/>
      <c r="D48" s="924"/>
      <c r="E48" s="924"/>
      <c r="F48" s="924"/>
      <c r="G48" s="912"/>
      <c r="H48" s="905"/>
      <c r="I48" s="890"/>
      <c r="J48" s="890"/>
      <c r="K48" s="889"/>
      <c r="L48" s="919"/>
      <c r="M48" s="300"/>
      <c r="N48" s="960">
        <f t="shared" si="7"/>
        <v>0</v>
      </c>
      <c r="O48" s="930">
        <f t="shared" si="8"/>
        <v>0</v>
      </c>
      <c r="P48" s="312">
        <f t="shared" si="8"/>
        <v>0</v>
      </c>
      <c r="Q48" s="312">
        <f t="shared" si="8"/>
        <v>0</v>
      </c>
      <c r="R48" s="312">
        <f t="shared" si="8"/>
        <v>0</v>
      </c>
      <c r="S48" s="440">
        <f t="shared" si="8"/>
        <v>0</v>
      </c>
      <c r="T48" s="315"/>
      <c r="V48" s="1095"/>
      <c r="W48" s="1096"/>
    </row>
    <row r="49" spans="1:26" ht="15.75" customHeight="1" x14ac:dyDescent="0.3">
      <c r="B49" s="428"/>
      <c r="C49" s="925"/>
      <c r="D49" s="926"/>
      <c r="E49" s="926"/>
      <c r="F49" s="926"/>
      <c r="G49" s="913"/>
      <c r="H49" s="906"/>
      <c r="I49" s="907"/>
      <c r="J49" s="907"/>
      <c r="K49" s="908"/>
      <c r="L49" s="920"/>
      <c r="M49" s="300"/>
      <c r="N49" s="961">
        <f t="shared" si="7"/>
        <v>0</v>
      </c>
      <c r="O49" s="931">
        <f t="shared" si="8"/>
        <v>0</v>
      </c>
      <c r="P49" s="437">
        <f t="shared" si="8"/>
        <v>0</v>
      </c>
      <c r="Q49" s="437">
        <f t="shared" si="8"/>
        <v>0</v>
      </c>
      <c r="R49" s="437">
        <f t="shared" si="8"/>
        <v>0</v>
      </c>
      <c r="S49" s="441">
        <f t="shared" si="8"/>
        <v>0</v>
      </c>
      <c r="T49" s="438"/>
      <c r="V49" s="1095"/>
      <c r="W49" s="1096"/>
    </row>
    <row r="50" spans="1:26" s="267" customFormat="1" ht="15.75" customHeight="1" x14ac:dyDescent="0.3">
      <c r="A50" s="3"/>
      <c r="B50" s="316" t="s">
        <v>845</v>
      </c>
      <c r="C50" s="940">
        <f t="shared" ref="C50:K50" si="9">SUM(C42:C49)</f>
        <v>0</v>
      </c>
      <c r="D50" s="940">
        <f t="shared" si="9"/>
        <v>0</v>
      </c>
      <c r="E50" s="940">
        <f t="shared" si="9"/>
        <v>0</v>
      </c>
      <c r="F50" s="940">
        <f t="shared" si="9"/>
        <v>20.344699999999996</v>
      </c>
      <c r="G50" s="940">
        <f t="shared" si="9"/>
        <v>18.3491</v>
      </c>
      <c r="H50" s="430">
        <f t="shared" si="9"/>
        <v>17.409199999999998</v>
      </c>
      <c r="I50" s="430">
        <f t="shared" si="9"/>
        <v>16.214300000000001</v>
      </c>
      <c r="J50" s="430">
        <f t="shared" si="9"/>
        <v>19.452300000000001</v>
      </c>
      <c r="K50" s="430">
        <f t="shared" si="9"/>
        <v>23.477899999999998</v>
      </c>
      <c r="L50" s="448"/>
      <c r="M50" s="284"/>
      <c r="N50" s="929">
        <f t="shared" ref="N50:S50" si="10">N42+SUM(N44:N49)</f>
        <v>26.039835431739597</v>
      </c>
      <c r="O50" s="302">
        <f t="shared" si="10"/>
        <v>23.086836976159177</v>
      </c>
      <c r="P50" s="302">
        <f t="shared" si="10"/>
        <v>20.863345603191597</v>
      </c>
      <c r="Q50" s="302">
        <f t="shared" si="10"/>
        <v>18.316642056505916</v>
      </c>
      <c r="R50" s="302">
        <f t="shared" si="10"/>
        <v>20.945051058004882</v>
      </c>
      <c r="S50" s="302">
        <f t="shared" si="10"/>
        <v>24.518423301019784</v>
      </c>
      <c r="T50" s="303">
        <f>(T36-(LOOKUP(U50,P27:T27,P36:T36)-LOOKUP(U50,P41:T41,P50:T50)))+U51</f>
        <v>22.376415738139571</v>
      </c>
      <c r="U50" s="893" t="s">
        <v>429</v>
      </c>
      <c r="V50" s="1097"/>
      <c r="W50" s="1098"/>
    </row>
    <row r="51" spans="1:26" x14ac:dyDescent="0.3">
      <c r="U51" s="894"/>
      <c r="V51" s="892" t="s">
        <v>846</v>
      </c>
    </row>
    <row r="52" spans="1:26" x14ac:dyDescent="0.3">
      <c r="V52" s="892"/>
    </row>
    <row r="53" spans="1:26" ht="15.75" customHeight="1" x14ac:dyDescent="0.3">
      <c r="V53" s="892"/>
    </row>
    <row r="54" spans="1:26" s="23" customFormat="1" ht="18.75" customHeight="1" x14ac:dyDescent="0.25">
      <c r="A54" s="3"/>
      <c r="B54" s="455"/>
      <c r="C54" s="933"/>
      <c r="D54" s="933"/>
      <c r="E54" s="933"/>
      <c r="F54" s="933"/>
      <c r="G54" s="933"/>
      <c r="J54" s="932"/>
      <c r="N54" s="454" t="str">
        <f>CONCATENATE("Incremental gain $m, real ", dms_DollarReal)</f>
        <v>Incremental gain $m, real June 2026</v>
      </c>
      <c r="O54" s="318"/>
      <c r="P54" s="317"/>
      <c r="Q54" s="318"/>
      <c r="R54" s="318"/>
      <c r="S54" s="318"/>
      <c r="T54" s="319"/>
    </row>
    <row r="55" spans="1:26" ht="15.75" customHeight="1" x14ac:dyDescent="0.3">
      <c r="B55" s="3"/>
      <c r="C55" s="3"/>
      <c r="D55" s="3"/>
      <c r="E55" s="3"/>
      <c r="F55" s="3"/>
      <c r="G55" s="3"/>
      <c r="H55" s="3"/>
      <c r="I55" s="3"/>
      <c r="J55" s="932"/>
      <c r="K55" s="3"/>
      <c r="L55" s="3"/>
      <c r="M55" s="3"/>
      <c r="N55" s="320"/>
      <c r="O55" s="453"/>
      <c r="P55" s="321">
        <f>(P36-P50)-(O36-O50)+IF(N27=O27,O36-O50,N36-N50)</f>
        <v>1.5621636734302982</v>
      </c>
      <c r="Q55" s="322">
        <f>(Q36-Q50)-(P36-P50)</f>
        <v>3.2272592369213697</v>
      </c>
      <c r="R55" s="322">
        <f>(R36-R50)-(Q36-Q50)</f>
        <v>-3.6950491698491348</v>
      </c>
      <c r="S55" s="322">
        <f>(S36-S50)-(R36-R50)</f>
        <v>-3.0783889770216319</v>
      </c>
      <c r="T55" s="323">
        <f>(T36-T50)-(S36-S50)</f>
        <v>3.0783889770216319</v>
      </c>
    </row>
    <row r="56" spans="1:26" ht="23.25" customHeight="1" x14ac:dyDescent="0.3">
      <c r="C56" s="324"/>
      <c r="D56" s="324"/>
      <c r="E56" s="324"/>
      <c r="F56" s="324"/>
      <c r="G56" s="3"/>
      <c r="H56" s="3"/>
      <c r="I56" s="3"/>
      <c r="J56" s="932"/>
      <c r="K56" s="3"/>
      <c r="L56" s="3"/>
      <c r="M56" s="3"/>
      <c r="N56" s="325"/>
      <c r="O56" s="325"/>
      <c r="P56" s="325"/>
      <c r="Q56" s="325"/>
      <c r="R56" s="325"/>
      <c r="S56" s="325"/>
      <c r="T56" s="325"/>
    </row>
    <row r="57" spans="1:26" s="23" customFormat="1" ht="18.75" customHeight="1" x14ac:dyDescent="0.25">
      <c r="A57" s="3"/>
      <c r="J57" s="932"/>
      <c r="N57" s="326" t="s">
        <v>847</v>
      </c>
      <c r="O57" s="327"/>
      <c r="P57" s="318"/>
      <c r="Q57" s="318"/>
      <c r="R57" s="318"/>
      <c r="S57" s="318"/>
      <c r="T57" s="318"/>
      <c r="U57" s="318"/>
      <c r="V57" s="318"/>
      <c r="W57" s="318"/>
      <c r="X57" s="318"/>
      <c r="Y57" s="328"/>
      <c r="Z57" s="329"/>
    </row>
    <row r="58" spans="1:26" ht="30" customHeight="1" x14ac:dyDescent="0.3">
      <c r="C58" s="324"/>
      <c r="D58" s="324"/>
      <c r="E58" s="324"/>
      <c r="F58" s="324"/>
      <c r="G58" s="3"/>
      <c r="H58" s="3"/>
      <c r="I58" s="3"/>
      <c r="J58" s="932"/>
      <c r="K58" s="3"/>
      <c r="L58" s="3"/>
      <c r="M58" s="3"/>
      <c r="N58" s="330"/>
      <c r="O58" s="331"/>
      <c r="P58" s="976" t="s">
        <v>600</v>
      </c>
      <c r="Q58" s="977"/>
      <c r="R58" s="977"/>
      <c r="S58" s="977"/>
      <c r="T58" s="977"/>
      <c r="U58" s="978" t="s">
        <v>599</v>
      </c>
      <c r="V58" s="979"/>
      <c r="W58" s="979"/>
      <c r="X58" s="979"/>
      <c r="Y58" s="979"/>
      <c r="Z58" s="445"/>
    </row>
    <row r="59" spans="1:26" x14ac:dyDescent="0.3">
      <c r="C59" s="324"/>
      <c r="D59" s="324"/>
      <c r="E59" s="324"/>
      <c r="F59" s="324"/>
      <c r="G59" s="3"/>
      <c r="H59" s="3"/>
      <c r="I59" s="3"/>
      <c r="J59" s="3"/>
      <c r="K59" s="3"/>
      <c r="L59" s="3"/>
      <c r="M59" s="3"/>
      <c r="N59" s="332"/>
      <c r="O59" s="333"/>
      <c r="P59" s="334" t="str">
        <f>CONCATENATE("$m, real ", dms_DollarReal)</f>
        <v>$m, real June 2026</v>
      </c>
      <c r="Q59" s="335"/>
      <c r="R59" s="335"/>
      <c r="S59" s="335"/>
      <c r="T59" s="335"/>
      <c r="U59" s="335"/>
      <c r="V59" s="335"/>
      <c r="W59" s="336"/>
      <c r="X59" s="337"/>
      <c r="Y59" s="338"/>
      <c r="Z59" s="446"/>
    </row>
    <row r="60" spans="1:26" ht="15.75" customHeight="1" x14ac:dyDescent="0.3">
      <c r="C60" s="324"/>
      <c r="D60" s="324"/>
      <c r="E60" s="324"/>
      <c r="F60" s="324"/>
      <c r="G60" s="3"/>
      <c r="H60" s="3"/>
      <c r="I60" s="3"/>
      <c r="J60" s="3"/>
      <c r="K60" s="3"/>
      <c r="L60" s="3"/>
      <c r="M60" s="3"/>
      <c r="N60" s="332"/>
      <c r="O60" s="333"/>
      <c r="P60" s="339" t="str">
        <f>CRCP_y1</f>
        <v>2021-22</v>
      </c>
      <c r="Q60" s="340" t="str">
        <f>CRCP_y2</f>
        <v>2022-23</v>
      </c>
      <c r="R60" s="340" t="str">
        <f>CRCP_y3</f>
        <v>2023-24</v>
      </c>
      <c r="S60" s="340" t="str">
        <f>CRCP_y4</f>
        <v>2024-25</v>
      </c>
      <c r="T60" s="340" t="str">
        <f>CRCP_y5</f>
        <v>2025-26</v>
      </c>
      <c r="U60" s="341" t="str">
        <f>FRCP_y1</f>
        <v>2026-27</v>
      </c>
      <c r="V60" s="341" t="str">
        <f>FRCP_y2</f>
        <v>2027-28</v>
      </c>
      <c r="W60" s="341" t="str">
        <f>FRCP_y3</f>
        <v>2028-29</v>
      </c>
      <c r="X60" s="341" t="str">
        <f>FRCP_y4</f>
        <v>2029-30</v>
      </c>
      <c r="Y60" s="341" t="str">
        <f>FRCP_y5</f>
        <v>2030-31</v>
      </c>
      <c r="Z60" s="342" t="s">
        <v>848</v>
      </c>
    </row>
    <row r="61" spans="1:26" ht="15.75" customHeight="1" x14ac:dyDescent="0.3">
      <c r="B61" s="3"/>
      <c r="C61" s="3"/>
      <c r="D61" s="3"/>
      <c r="E61" s="3"/>
      <c r="F61" s="3"/>
      <c r="G61" s="3"/>
      <c r="H61" s="3"/>
      <c r="I61" s="3"/>
      <c r="J61" s="3"/>
      <c r="K61" s="3"/>
      <c r="L61" s="3"/>
      <c r="M61" s="3"/>
      <c r="N61" s="1102" t="str">
        <f>CRCP_y1</f>
        <v>2021-22</v>
      </c>
      <c r="O61" s="1103"/>
      <c r="P61" s="343"/>
      <c r="Q61" s="344">
        <f>$P$55</f>
        <v>1.5621636734302982</v>
      </c>
      <c r="R61" s="345">
        <f>$P$55</f>
        <v>1.5621636734302982</v>
      </c>
      <c r="S61" s="346">
        <f>$P$55</f>
        <v>1.5621636734302982</v>
      </c>
      <c r="T61" s="345">
        <f>$P$55</f>
        <v>1.5621636734302982</v>
      </c>
      <c r="U61" s="449">
        <f>$P$55</f>
        <v>1.5621636734302982</v>
      </c>
      <c r="V61" s="347"/>
      <c r="W61" s="347"/>
      <c r="X61" s="347"/>
      <c r="Y61" s="347"/>
      <c r="Z61" s="348"/>
    </row>
    <row r="62" spans="1:26" ht="15.75" customHeight="1" x14ac:dyDescent="0.3">
      <c r="B62" s="3"/>
      <c r="C62" s="3"/>
      <c r="D62" s="3"/>
      <c r="E62" s="3"/>
      <c r="F62" s="3"/>
      <c r="G62" s="3"/>
      <c r="H62" s="3"/>
      <c r="I62" s="3"/>
      <c r="J62" s="3"/>
      <c r="K62" s="3"/>
      <c r="L62" s="3"/>
      <c r="M62" s="3"/>
      <c r="N62" s="1089" t="str">
        <f>CRCP_y2</f>
        <v>2022-23</v>
      </c>
      <c r="O62" s="1090"/>
      <c r="P62" s="343"/>
      <c r="Q62" s="343"/>
      <c r="R62" s="349">
        <f>$Q$55</f>
        <v>3.2272592369213697</v>
      </c>
      <c r="S62" s="350">
        <f>$Q$55</f>
        <v>3.2272592369213697</v>
      </c>
      <c r="T62" s="313">
        <f>$Q$55</f>
        <v>3.2272592369213697</v>
      </c>
      <c r="U62" s="350">
        <f>$Q$55</f>
        <v>3.2272592369213697</v>
      </c>
      <c r="V62" s="449">
        <f>$Q$55</f>
        <v>3.2272592369213697</v>
      </c>
      <c r="W62" s="347"/>
      <c r="X62" s="347"/>
      <c r="Y62" s="347"/>
      <c r="Z62" s="348"/>
    </row>
    <row r="63" spans="1:26" ht="15.75" customHeight="1" x14ac:dyDescent="0.3">
      <c r="B63" s="3"/>
      <c r="C63" s="3"/>
      <c r="D63" s="3"/>
      <c r="E63" s="3"/>
      <c r="F63" s="3"/>
      <c r="G63" s="3"/>
      <c r="H63" s="3"/>
      <c r="I63" s="3"/>
      <c r="J63" s="3"/>
      <c r="K63" s="3"/>
      <c r="L63" s="3"/>
      <c r="M63" s="3"/>
      <c r="N63" s="1089" t="str">
        <f>CRCP_y3</f>
        <v>2023-24</v>
      </c>
      <c r="O63" s="1090"/>
      <c r="P63" s="347"/>
      <c r="Q63" s="347"/>
      <c r="R63" s="343"/>
      <c r="S63" s="351">
        <f>$R$55</f>
        <v>-3.6950491698491348</v>
      </c>
      <c r="T63" s="313">
        <f>$R$55</f>
        <v>-3.6950491698491348</v>
      </c>
      <c r="U63" s="350">
        <f>$R$55</f>
        <v>-3.6950491698491348</v>
      </c>
      <c r="V63" s="313">
        <f>$R$55</f>
        <v>-3.6950491698491348</v>
      </c>
      <c r="W63" s="450">
        <f>$R$55</f>
        <v>-3.6950491698491348</v>
      </c>
      <c r="X63" s="451"/>
      <c r="Y63" s="347"/>
      <c r="Z63" s="348"/>
    </row>
    <row r="64" spans="1:26" ht="15.75" customHeight="1" x14ac:dyDescent="0.3">
      <c r="B64" s="3"/>
      <c r="C64" s="3"/>
      <c r="D64" s="3"/>
      <c r="E64" s="3"/>
      <c r="F64" s="3"/>
      <c r="G64" s="3"/>
      <c r="H64" s="3"/>
      <c r="I64" s="3"/>
      <c r="J64" s="3"/>
      <c r="K64" s="3"/>
      <c r="L64" s="3"/>
      <c r="M64" s="3"/>
      <c r="N64" s="1089" t="str">
        <f>CRCP_y4</f>
        <v>2024-25</v>
      </c>
      <c r="O64" s="1090"/>
      <c r="P64" s="347"/>
      <c r="Q64" s="347"/>
      <c r="R64" s="347"/>
      <c r="S64" s="343"/>
      <c r="T64" s="349">
        <f>$S$55</f>
        <v>-3.0783889770216319</v>
      </c>
      <c r="U64" s="313">
        <f>$S$55</f>
        <v>-3.0783889770216319</v>
      </c>
      <c r="V64" s="352">
        <f>$S$55</f>
        <v>-3.0783889770216319</v>
      </c>
      <c r="W64" s="350">
        <f>$S$55</f>
        <v>-3.0783889770216319</v>
      </c>
      <c r="X64" s="452">
        <f>$S$55</f>
        <v>-3.0783889770216319</v>
      </c>
      <c r="Y64" s="451"/>
      <c r="Z64" s="348"/>
    </row>
    <row r="65" spans="1:26" ht="15.75" customHeight="1" x14ac:dyDescent="0.3">
      <c r="B65" s="354"/>
      <c r="C65" s="354"/>
      <c r="D65" s="354"/>
      <c r="E65" s="354"/>
      <c r="F65" s="354"/>
      <c r="G65" s="354"/>
      <c r="H65" s="354"/>
      <c r="I65" s="354"/>
      <c r="J65" s="355"/>
      <c r="K65" s="355"/>
      <c r="L65" s="355"/>
      <c r="M65" s="355"/>
      <c r="N65" s="1091" t="str">
        <f>CRCP_y5</f>
        <v>2025-26</v>
      </c>
      <c r="O65" s="1092"/>
      <c r="P65" s="353"/>
      <c r="Q65" s="353"/>
      <c r="R65" s="347"/>
      <c r="S65" s="353"/>
      <c r="T65" s="343"/>
      <c r="U65" s="351">
        <f>+$T$55</f>
        <v>3.0783889770216319</v>
      </c>
      <c r="V65" s="356">
        <f>+$T$55</f>
        <v>3.0783889770216319</v>
      </c>
      <c r="W65" s="357">
        <f>+$T$55</f>
        <v>3.0783889770216319</v>
      </c>
      <c r="X65" s="358">
        <f>+$T$55</f>
        <v>3.0783889770216319</v>
      </c>
      <c r="Y65" s="359">
        <f>+$T$55</f>
        <v>3.0783889770216319</v>
      </c>
      <c r="Z65" s="348"/>
    </row>
    <row r="66" spans="1:26" s="267" customFormat="1" ht="15.75" customHeight="1" x14ac:dyDescent="0.3">
      <c r="A66" s="3"/>
      <c r="B66" s="354"/>
      <c r="C66" s="354"/>
      <c r="D66" s="354"/>
      <c r="E66" s="354"/>
      <c r="F66" s="354"/>
      <c r="G66" s="354"/>
      <c r="H66" s="354"/>
      <c r="I66" s="354"/>
      <c r="J66" s="355"/>
      <c r="K66" s="355"/>
      <c r="L66" s="355"/>
      <c r="M66" s="355"/>
      <c r="N66" s="360" t="str">
        <f>CONCATENATE("Total Carryover Amount ($m, ",dms_DollarReal,")")</f>
        <v>Total Carryover Amount ($m, June 2026)</v>
      </c>
      <c r="O66" s="361"/>
      <c r="P66" s="362"/>
      <c r="Q66" s="362"/>
      <c r="R66" s="362"/>
      <c r="S66" s="362"/>
      <c r="T66" s="363"/>
      <c r="U66" s="364">
        <f>+SUM(U61:U65)</f>
        <v>1.0943737405025331</v>
      </c>
      <c r="V66" s="365">
        <f>+SUM(V62:V65)</f>
        <v>-0.46778993292776505</v>
      </c>
      <c r="W66" s="366">
        <f>+SUM(W63:W65)</f>
        <v>-3.6950491698491348</v>
      </c>
      <c r="X66" s="367">
        <f>+SUM(X64:X65)</f>
        <v>0</v>
      </c>
      <c r="Y66" s="367">
        <f>+SUM(Y65)</f>
        <v>3.0783889770216319</v>
      </c>
      <c r="Z66" s="368">
        <f>+SUM(U66:Y66)</f>
        <v>9.9236147472652192E-3</v>
      </c>
    </row>
    <row r="67" spans="1:26" ht="15.75" customHeight="1" x14ac:dyDescent="0.3">
      <c r="B67" s="354"/>
      <c r="C67" s="354"/>
      <c r="D67" s="354"/>
      <c r="E67" s="354"/>
      <c r="F67" s="354"/>
      <c r="G67" s="354"/>
      <c r="H67" s="354"/>
      <c r="I67" s="354"/>
      <c r="J67" s="355"/>
      <c r="K67" s="355"/>
      <c r="L67" s="355"/>
      <c r="M67" s="355"/>
      <c r="N67" s="369"/>
      <c r="O67" s="369"/>
      <c r="P67" s="369"/>
      <c r="Q67" s="369"/>
      <c r="R67" s="369"/>
      <c r="S67" s="369"/>
      <c r="T67" s="369"/>
      <c r="U67" s="370"/>
      <c r="V67" s="370"/>
      <c r="W67" s="370"/>
      <c r="X67" s="370"/>
      <c r="Y67" s="370"/>
    </row>
    <row r="68" spans="1:26" ht="15.75" customHeight="1" x14ac:dyDescent="0.3">
      <c r="B68" s="354"/>
      <c r="C68" s="354"/>
      <c r="D68" s="354"/>
      <c r="E68" s="354"/>
      <c r="F68" s="354"/>
      <c r="G68" s="354"/>
      <c r="H68" s="354"/>
      <c r="I68" s="354"/>
      <c r="J68" s="354"/>
      <c r="K68" s="354"/>
      <c r="L68" s="354"/>
      <c r="M68" s="354"/>
      <c r="N68" s="371" t="str">
        <f>CONCATENATE("PTRM inputs ($m, ",dms_DollarReal,")")</f>
        <v>PTRM inputs ($m, June 2026)</v>
      </c>
      <c r="O68" s="372"/>
      <c r="P68" s="373"/>
      <c r="Q68" s="373"/>
      <c r="R68" s="373"/>
      <c r="S68" s="373"/>
      <c r="T68" s="374"/>
      <c r="U68" s="375">
        <f>U66</f>
        <v>1.0943737405025331</v>
      </c>
      <c r="V68" s="375">
        <f>V66</f>
        <v>-0.46778993292776505</v>
      </c>
      <c r="W68" s="375">
        <f>W66</f>
        <v>-3.6950491698491348</v>
      </c>
      <c r="X68" s="376">
        <f>X66</f>
        <v>0</v>
      </c>
      <c r="Y68" s="376">
        <f>Y66</f>
        <v>3.0783889770216319</v>
      </c>
      <c r="Z68" s="368">
        <f>+SUM(U68:Y68)</f>
        <v>9.9236147472652192E-3</v>
      </c>
    </row>
    <row r="69" spans="1:26" ht="15.75" customHeight="1" x14ac:dyDescent="0.3">
      <c r="L69" s="209"/>
      <c r="M69" s="209"/>
      <c r="N69" s="209"/>
      <c r="O69" s="209"/>
      <c r="P69" s="377"/>
      <c r="Q69" s="209"/>
      <c r="R69" s="209"/>
      <c r="S69" s="209"/>
      <c r="T69" s="377"/>
      <c r="U69" s="377"/>
      <c r="V69" s="377"/>
      <c r="W69" s="378"/>
      <c r="X69" s="378"/>
    </row>
    <row r="70" spans="1:26" s="384" customFormat="1" ht="19.5" customHeight="1" x14ac:dyDescent="0.25">
      <c r="A70" s="3"/>
      <c r="B70" s="379" t="s">
        <v>849</v>
      </c>
      <c r="C70" s="380"/>
      <c r="D70" s="380"/>
      <c r="E70" s="380"/>
      <c r="F70" s="380"/>
      <c r="G70" s="380"/>
      <c r="H70" s="381"/>
      <c r="I70" s="382"/>
      <c r="J70" s="382"/>
      <c r="K70" s="382"/>
      <c r="L70" s="382"/>
      <c r="M70" s="383"/>
      <c r="N70" s="383"/>
      <c r="O70" s="383"/>
      <c r="P70" s="383"/>
      <c r="Q70" s="383"/>
      <c r="R70" s="383"/>
      <c r="S70" s="383"/>
      <c r="T70" s="383"/>
      <c r="U70" s="383"/>
      <c r="V70" s="383"/>
      <c r="W70" s="383"/>
    </row>
    <row r="71" spans="1:26" x14ac:dyDescent="0.3">
      <c r="B71" s="385"/>
      <c r="C71" s="970" t="s">
        <v>599</v>
      </c>
      <c r="D71" s="971"/>
      <c r="E71" s="971"/>
      <c r="F71" s="971"/>
      <c r="G71" s="972"/>
      <c r="H71" s="386"/>
      <c r="I71" s="209"/>
      <c r="J71" s="209"/>
      <c r="K71" s="209"/>
      <c r="L71" s="209"/>
      <c r="M71" s="1"/>
      <c r="N71" s="387"/>
      <c r="O71" s="387"/>
      <c r="P71" s="387"/>
      <c r="Q71" s="1"/>
      <c r="R71" s="1"/>
      <c r="S71" s="1"/>
      <c r="T71" s="378"/>
      <c r="U71" s="378"/>
    </row>
    <row r="72" spans="1:26" s="275" customFormat="1" ht="15.75" customHeight="1" x14ac:dyDescent="0.3">
      <c r="A72" s="3"/>
      <c r="B72" s="385"/>
      <c r="C72" s="973" t="str">
        <f>CONCATENATE("$m, real ", dms_DollarReal)</f>
        <v>$m, real June 2026</v>
      </c>
      <c r="D72" s="974"/>
      <c r="E72" s="974"/>
      <c r="F72" s="974"/>
      <c r="G72" s="975"/>
      <c r="H72" s="388"/>
    </row>
    <row r="73" spans="1:26" ht="15.75" customHeight="1" x14ac:dyDescent="0.3">
      <c r="B73" s="389"/>
      <c r="C73" s="390" t="str">
        <f>FRCP_y1</f>
        <v>2026-27</v>
      </c>
      <c r="D73" s="391" t="str">
        <f>FRCP_y2</f>
        <v>2027-28</v>
      </c>
      <c r="E73" s="391" t="str">
        <f>FRCP_y3</f>
        <v>2028-29</v>
      </c>
      <c r="F73" s="391" t="str">
        <f>FRCP_y4</f>
        <v>2029-30</v>
      </c>
      <c r="G73" s="391" t="str">
        <f>FRCP_y5</f>
        <v>2030-31</v>
      </c>
      <c r="H73" s="392"/>
      <c r="I73" s="393"/>
      <c r="J73" s="1"/>
      <c r="K73" s="1"/>
      <c r="L73" s="1"/>
      <c r="M73" s="393"/>
      <c r="N73" s="393"/>
      <c r="O73" s="393"/>
      <c r="P73" s="378"/>
      <c r="Q73" s="378"/>
    </row>
    <row r="74" spans="1:26" x14ac:dyDescent="0.3">
      <c r="B74" s="394" t="s">
        <v>850</v>
      </c>
      <c r="C74" s="395">
        <v>25.194500000000001</v>
      </c>
      <c r="D74" s="396">
        <v>24.8566</v>
      </c>
      <c r="E74" s="396">
        <v>24.687999999999999</v>
      </c>
      <c r="F74" s="396">
        <v>24.444800000000001</v>
      </c>
      <c r="G74" s="396">
        <v>24.239699999999999</v>
      </c>
      <c r="H74" s="397">
        <f>+SUM(C74:G74)</f>
        <v>123.42360000000001</v>
      </c>
      <c r="I74" s="387"/>
      <c r="J74" s="209"/>
      <c r="K74" s="209"/>
      <c r="L74" s="209"/>
      <c r="M74" s="387"/>
      <c r="N74" s="387"/>
      <c r="O74" s="387"/>
      <c r="P74" s="378"/>
      <c r="Q74" s="378"/>
    </row>
    <row r="75" spans="1:26" x14ac:dyDescent="0.3">
      <c r="B75" s="398" t="s">
        <v>851</v>
      </c>
      <c r="C75" s="399"/>
      <c r="D75" s="400"/>
      <c r="E75" s="400"/>
      <c r="F75" s="400"/>
      <c r="G75" s="400"/>
      <c r="H75" s="401"/>
      <c r="I75" s="1"/>
      <c r="J75" s="209"/>
      <c r="K75" s="209"/>
      <c r="L75" s="209"/>
      <c r="M75" s="1"/>
      <c r="N75" s="1"/>
      <c r="O75" s="1"/>
      <c r="P75" s="402"/>
      <c r="Q75" s="378"/>
    </row>
    <row r="76" spans="1:26" x14ac:dyDescent="0.3">
      <c r="B76" s="403" t="s">
        <v>835</v>
      </c>
      <c r="C76" s="404">
        <v>0.20030000000000001</v>
      </c>
      <c r="D76" s="405">
        <v>0.18390000000000001</v>
      </c>
      <c r="E76" s="405">
        <v>0.16669999999999999</v>
      </c>
      <c r="F76" s="405">
        <v>0.1492</v>
      </c>
      <c r="G76" s="405">
        <v>0.1326</v>
      </c>
      <c r="H76" s="397">
        <f>+SUM(C76:G76)</f>
        <v>0.8327</v>
      </c>
      <c r="I76" s="209"/>
      <c r="J76" s="209"/>
      <c r="K76" s="209"/>
      <c r="L76" s="209"/>
      <c r="M76" s="209"/>
      <c r="N76" s="209"/>
      <c r="O76" s="209"/>
      <c r="P76" s="378"/>
      <c r="Q76" s="402"/>
    </row>
    <row r="77" spans="1:26" x14ac:dyDescent="0.3">
      <c r="B77" s="406" t="s">
        <v>852</v>
      </c>
      <c r="C77" s="404">
        <v>2.3456000000000001</v>
      </c>
      <c r="D77" s="405">
        <v>2.0291999999999999</v>
      </c>
      <c r="E77" s="405">
        <v>1.8862000000000001</v>
      </c>
      <c r="F77" s="405">
        <v>1.6706000000000001</v>
      </c>
      <c r="G77" s="405">
        <v>1.4903</v>
      </c>
      <c r="H77" s="397">
        <f>+SUM(C77:G77)</f>
        <v>9.4219000000000008</v>
      </c>
      <c r="I77" s="209"/>
      <c r="M77" s="209"/>
      <c r="N77" s="209"/>
      <c r="O77" s="209"/>
      <c r="P77" s="378"/>
      <c r="Q77" s="378"/>
    </row>
    <row r="78" spans="1:26" x14ac:dyDescent="0.3">
      <c r="B78" s="406"/>
      <c r="C78" s="404"/>
      <c r="D78" s="405"/>
      <c r="E78" s="405"/>
      <c r="F78" s="405"/>
      <c r="G78" s="405"/>
      <c r="H78" s="397">
        <f>+SUM(C78:G78)</f>
        <v>0</v>
      </c>
      <c r="I78" s="209"/>
      <c r="M78" s="209"/>
      <c r="N78" s="209"/>
      <c r="O78" s="209"/>
      <c r="P78" s="378"/>
      <c r="Q78" s="378"/>
    </row>
    <row r="79" spans="1:26" ht="15.75" customHeight="1" x14ac:dyDescent="0.3">
      <c r="B79" s="406"/>
      <c r="C79" s="404"/>
      <c r="D79" s="405"/>
      <c r="E79" s="405"/>
      <c r="F79" s="405"/>
      <c r="G79" s="405"/>
      <c r="H79" s="397">
        <f>+SUM(C79:G79)</f>
        <v>0</v>
      </c>
      <c r="Q79" s="378"/>
    </row>
    <row r="80" spans="1:26" s="267" customFormat="1" ht="15.75" customHeight="1" x14ac:dyDescent="0.3">
      <c r="A80" s="3"/>
      <c r="B80" s="407" t="str">
        <f>CONCATENATE("Adjusted forecast opex ($m, ",CRCP_y5,")")</f>
        <v>Adjusted forecast opex ($m, 2025-26)</v>
      </c>
      <c r="C80" s="408">
        <f t="shared" ref="C80:H80" si="11">+C74-SUM(C76:C79)</f>
        <v>22.648600000000002</v>
      </c>
      <c r="D80" s="409">
        <f t="shared" si="11"/>
        <v>22.6435</v>
      </c>
      <c r="E80" s="409">
        <f t="shared" si="11"/>
        <v>22.635099999999998</v>
      </c>
      <c r="F80" s="409">
        <f t="shared" si="11"/>
        <v>22.625</v>
      </c>
      <c r="G80" s="409">
        <f t="shared" si="11"/>
        <v>22.616799999999998</v>
      </c>
      <c r="H80" s="410">
        <f t="shared" si="11"/>
        <v>113.16900000000001</v>
      </c>
    </row>
  </sheetData>
  <sheetProtection autoFilter="0"/>
  <mergeCells count="7">
    <mergeCell ref="N64:O64"/>
    <mergeCell ref="N65:O65"/>
    <mergeCell ref="V46:W50"/>
    <mergeCell ref="B8:M8"/>
    <mergeCell ref="N61:O61"/>
    <mergeCell ref="N62:O62"/>
    <mergeCell ref="N63:O63"/>
  </mergeCells>
  <conditionalFormatting sqref="C28 C30:C35 C42 C44:C49">
    <cfRule type="expression" dxfId="3" priority="4">
      <formula>dms_PRCP_BaseYear=PRCP_y1</formula>
    </cfRule>
  </conditionalFormatting>
  <conditionalFormatting sqref="D28 D30:D35 D42 D44:D49">
    <cfRule type="expression" dxfId="2" priority="3">
      <formula>dms_PRCP_BaseYear=PRCP_y2</formula>
    </cfRule>
  </conditionalFormatting>
  <conditionalFormatting sqref="E28 E30:E35 E42 E44:E49">
    <cfRule type="expression" dxfId="1" priority="2">
      <formula>dms_PRCP_BaseYear=PRCP_y3</formula>
    </cfRule>
  </conditionalFormatting>
  <conditionalFormatting sqref="F28 F30:F35 F42 F44:F49">
    <cfRule type="expression" dxfId="0" priority="1">
      <formula>dms_PRCP_BaseYear=PRCP_y4</formula>
    </cfRule>
  </conditionalFormatting>
  <dataValidations count="4">
    <dataValidation type="list" allowBlank="1" showInputMessage="1" showErrorMessage="1" sqref="U50" xr:uid="{00000000-0002-0000-0200-000000000000}">
      <formula1>$P$41:$S$41</formula1>
    </dataValidation>
    <dataValidation type="textLength" operator="lessThanOrEqual" allowBlank="1" showInputMessage="1" showErrorMessage="1" prompt="Enter category proposed for exclusion." sqref="B77:B79" xr:uid="{00000000-0002-0000-0200-000002000000}">
      <formula1>150</formula1>
    </dataValidation>
    <dataValidation type="custom" allowBlank="1" showInputMessage="1" showErrorMessage="1" error="Must be a number" promptTitle="Excluded costs" prompt="Enter value in $million." sqref="C76:G79" xr:uid="{00000000-0002-0000-0200-000003000000}">
      <formula1>ISNUMBER(C76)</formula1>
    </dataValidation>
    <dataValidation type="custom" allowBlank="1" showInputMessage="1" showErrorMessage="1" error="Must be a number" promptTitle="Opex allowance" prompt="Enter value. _x000a__x000a_As set out in the approved PTRM for the current regulatory control period." sqref="C28:L28" xr:uid="{00000000-0002-0000-0200-000004000000}">
      <formula1>ISNUMBER(C28)</formula1>
    </dataValidation>
  </dataValidations>
  <pageMargins left="0.7" right="0.7" top="0.75" bottom="0.75" header="0.3" footer="0.3"/>
  <pageSetup paperSize="8" scale="42" fitToWidth="0" orientation="landscape" r:id="rId1"/>
  <headerFooter>
    <oddFooter>&amp;C_x000D_&amp;1#&amp;"Calibri"&amp;10&amp;K000000 Ringfenced Confidential - Commercially Sensitive</oddFooter>
  </headerFooter>
  <rowBreaks count="1" manualBreakCount="1">
    <brk id="50"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'Business &amp; other details'!$C$42:$G$42</xm:f>
          </x14:formula1>
          <xm:sqref>C23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31dddaa-878a-4ea0-a049-155b52ca24f9" xsi:nil="true"/>
    <lcf76f155ced4ddcb4097134ff3c332f xmlns="20e708b7-70c9-4619-8adb-98af544b73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F24BB75BCEF649A3A4EA2C8EA2DEE6" ma:contentTypeVersion="15" ma:contentTypeDescription="Create a new document." ma:contentTypeScope="" ma:versionID="f3a2c1669e6be8d5d6ac90f34d3e0791">
  <xsd:schema xmlns:xsd="http://www.w3.org/2001/XMLSchema" xmlns:xs="http://www.w3.org/2001/XMLSchema" xmlns:p="http://schemas.microsoft.com/office/2006/metadata/properties" xmlns:ns2="20e708b7-70c9-4619-8adb-98af544b7362" xmlns:ns3="d31dddaa-878a-4ea0-a049-155b52ca24f9" targetNamespace="http://schemas.microsoft.com/office/2006/metadata/properties" ma:root="true" ma:fieldsID="296f4dc2f06fa6070f284d8771c9a073" ns2:_="" ns3:_="">
    <xsd:import namespace="20e708b7-70c9-4619-8adb-98af544b7362"/>
    <xsd:import namespace="d31dddaa-878a-4ea0-a049-155b52ca2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708b7-70c9-4619-8adb-98af544b7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1dddaa-878a-4ea0-a049-155b52ca24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432c59-4d96-4a01-9b84-7b4fb17f7643}" ma:internalName="TaxCatchAll" ma:showField="CatchAllData" ma:web="d31dddaa-878a-4ea0-a049-155b52ca24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DF1FB-C95D-480B-BFD7-DF008141B4C7}">
  <ds:schemaRefs>
    <ds:schemaRef ds:uri="http://schemas.microsoft.com/sharepoint/v3/contenttype/forms"/>
  </ds:schemaRefs>
</ds:datastoreItem>
</file>

<file path=customXml/itemProps2.xml><?xml version="1.0" encoding="utf-8"?>
<ds:datastoreItem xmlns:ds="http://schemas.openxmlformats.org/officeDocument/2006/customXml" ds:itemID="{E1CB19F3-F6E4-4E7A-A3E6-20CE9BC5224E}">
  <ds:schemaRef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d31dddaa-878a-4ea0-a049-155b52ca24f9"/>
    <ds:schemaRef ds:uri="20e708b7-70c9-4619-8adb-98af544b7362"/>
    <ds:schemaRef ds:uri="http://purl.org/dc/dcmitype/"/>
  </ds:schemaRefs>
</ds:datastoreItem>
</file>

<file path=customXml/itemProps3.xml><?xml version="1.0" encoding="utf-8"?>
<ds:datastoreItem xmlns:ds="http://schemas.openxmlformats.org/officeDocument/2006/customXml" ds:itemID="{B70D9CA1-6561-465D-8EDC-1A9118818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708b7-70c9-4619-8adb-98af544b7362"/>
    <ds:schemaRef ds:uri="d31dddaa-878a-4ea0-a049-155b52ca2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388</vt:i4>
      </vt:variant>
    </vt:vector>
  </HeadingPairs>
  <TitlesOfParts>
    <vt:vector size="390" baseType="lpstr">
      <vt:lpstr>Business &amp; other details</vt:lpstr>
      <vt:lpstr>ECM</vt:lpstr>
      <vt:lpstr>CRCP_y1</vt:lpstr>
      <vt:lpstr>CRCP_y2</vt:lpstr>
      <vt:lpstr>CRCP_y3</vt:lpstr>
      <vt:lpstr>CRCP_y4</vt:lpstr>
      <vt:lpstr>CRCP_y5</vt:lpstr>
      <vt:lpstr>CRCP_y6</vt:lpstr>
      <vt:lpstr>CRCP_y7</vt:lpstr>
      <vt:lpstr>CRY</vt:lpstr>
      <vt:lpstr>CRY_calendar</vt:lpstr>
      <vt:lpstr>CRY_financial</vt:lpstr>
      <vt:lpstr>dms_0203_ProjectType</vt:lpstr>
      <vt:lpstr>dms_020301_ProjectType_List</vt:lpstr>
      <vt:lpstr>dms_020302_ProjectType_List</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'Business &amp; other details'!dms_060101_StartDateTxt</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dms_AmendmentReason</vt:lpstr>
      <vt:lpstr>dms_ARR</vt:lpstr>
      <vt:lpstr>dms_CA</vt:lpstr>
      <vt:lpstr>dms_Cal_Year_B4_CRY</vt:lpstr>
      <vt:lpstr>dms_Calendar_Years</vt:lpstr>
      <vt:lpstr>dms_CalYears</vt:lpstr>
      <vt:lpstr>dms_CBD_flag</vt:lpstr>
      <vt:lpstr>dms_CBD_flag_NSP</vt:lpstr>
      <vt:lpstr>dms_CFinalYear_List</vt:lpstr>
      <vt:lpstr>dms_Classification</vt:lpstr>
      <vt:lpstr>dms_ContactEmail</vt:lpstr>
      <vt:lpstr>dms_ContactEmail_List</vt:lpstr>
      <vt:lpstr>dms_ContactEmail2</vt:lpstr>
      <vt:lpstr>dms_ContactName1</vt:lpstr>
      <vt:lpstr>dms_ContactName1_List</vt:lpstr>
      <vt:lpstr>dms_ContactName2</vt:lpstr>
      <vt:lpstr>dms_ContactPh1</vt:lpstr>
      <vt:lpstr>dms_ContactPh1_List</vt:lpstr>
      <vt:lpstr>dms_ContactPh2</vt:lpstr>
      <vt:lpstr>dms_crcp_cy1</vt:lpstr>
      <vt:lpstr>dms_crcp_cy10</vt:lpstr>
      <vt:lpstr>dms_crcp_cy11</vt:lpstr>
      <vt:lpstr>dms_crcp_cy12</vt:lpstr>
      <vt:lpstr>dms_crcp_cy13</vt:lpstr>
      <vt:lpstr>dms_crcp_cy14</vt:lpstr>
      <vt:lpstr>dms_crcp_cy15</vt:lpstr>
      <vt:lpstr>dms_crcp_cy2</vt:lpstr>
      <vt:lpstr>dms_crcp_cy3</vt:lpstr>
      <vt:lpstr>dms_crcp_cy4</vt:lpstr>
      <vt:lpstr>dms_crcp_cy5</vt:lpstr>
      <vt:lpstr>dms_crcp_cy6</vt:lpstr>
      <vt:lpstr>dms_crcp_cy7</vt:lpstr>
      <vt:lpstr>dms_crcp_cy8</vt:lpstr>
      <vt:lpstr>dms_crcp_cy9</vt:lpstr>
      <vt:lpstr>dms_CRCP_FinalYear_Ref</vt:lpstr>
      <vt:lpstr>dms_CRCP_FinalYear_Result</vt:lpstr>
      <vt:lpstr>dms_CRCP_FirstYear_Result</vt:lpstr>
      <vt:lpstr>dms_CRCP_index</vt:lpstr>
      <vt:lpstr>dms_CRCP_years</vt:lpstr>
      <vt:lpstr>dms_CRCP_yL</vt:lpstr>
      <vt:lpstr>dms_CRCP_yM</vt:lpstr>
      <vt:lpstr>dms_CRCP_yN</vt:lpstr>
      <vt:lpstr>dms_CRCP_yO</vt:lpstr>
      <vt:lpstr>dms_CRCP_yP</vt:lpstr>
      <vt:lpstr>dms_CRCP_yQ</vt:lpstr>
      <vt:lpstr>dms_CRCP_yR</vt:lpstr>
      <vt:lpstr>dms_CRCP_yS</vt:lpstr>
      <vt:lpstr>dms_CRCP_yT</vt:lpstr>
      <vt:lpstr>dms_CRCP_yU</vt:lpstr>
      <vt:lpstr>dms_CRCP_yV</vt:lpstr>
      <vt:lpstr>dms_CRCP_yW</vt:lpstr>
      <vt:lpstr>dms_CRCP_yX</vt:lpstr>
      <vt:lpstr>dms_CRCP_yY</vt:lpstr>
      <vt:lpstr>dms_CRCP_yZ</vt:lpstr>
      <vt:lpstr>dms_CRCPlength_List</vt:lpstr>
      <vt:lpstr>dms_CRCPlength_Num</vt:lpstr>
      <vt:lpstr>dms_CRCPlength_Num_List</vt:lpstr>
      <vt:lpstr>dms_CRY_ListC</vt:lpstr>
      <vt:lpstr>dms_CRY_ListF</vt:lpstr>
      <vt:lpstr>dms_CRYc_y1</vt:lpstr>
      <vt:lpstr>dms_CRYc_y10</vt:lpstr>
      <vt:lpstr>dms_CRYc_y11</vt:lpstr>
      <vt:lpstr>dms_CRYc_y12</vt:lpstr>
      <vt:lpstr>dms_CRYc_y13</vt:lpstr>
      <vt:lpstr>dms_CRYc_y14</vt:lpstr>
      <vt:lpstr>dms_CRYc_y15</vt:lpstr>
      <vt:lpstr>dms_CRYc_y16</vt:lpstr>
      <vt:lpstr>dms_CRYc_y17</vt:lpstr>
      <vt:lpstr>dms_CRYc_y18</vt:lpstr>
      <vt:lpstr>dms_CRYc_y19</vt:lpstr>
      <vt:lpstr>dms_CRYc_y2</vt:lpstr>
      <vt:lpstr>dms_CRYc_y20</vt:lpstr>
      <vt:lpstr>dms_CRYc_y3</vt:lpstr>
      <vt:lpstr>dms_CRYc_y4</vt:lpstr>
      <vt:lpstr>dms_CRYc_y5</vt:lpstr>
      <vt:lpstr>dms_CRYc_y6</vt:lpstr>
      <vt:lpstr>dms_CRYc_y7</vt:lpstr>
      <vt:lpstr>dms_CRYc_y8</vt:lpstr>
      <vt:lpstr>dms_CRYc_y9</vt:lpstr>
      <vt:lpstr>dms_CRYf_y1</vt:lpstr>
      <vt:lpstr>dms_CRYf_y10</vt:lpstr>
      <vt:lpstr>dms_CRYf_y11</vt:lpstr>
      <vt:lpstr>dms_CRYf_y12</vt:lpstr>
      <vt:lpstr>dms_CRYf_y13</vt:lpstr>
      <vt:lpstr>dms_CRYf_y14</vt:lpstr>
      <vt:lpstr>dms_CRYf_y15</vt:lpstr>
      <vt:lpstr>dms_CRYf_y16</vt:lpstr>
      <vt:lpstr>dms_CRYf_y17</vt:lpstr>
      <vt:lpstr>dms_CRYf_y18</vt:lpstr>
      <vt:lpstr>dms_CRYf_y19</vt:lpstr>
      <vt:lpstr>dms_CRYf_y2</vt:lpstr>
      <vt:lpstr>dms_CRYf_y20</vt:lpstr>
      <vt:lpstr>dms_CRYf_y3</vt:lpstr>
      <vt:lpstr>dms_CRYf_y4</vt:lpstr>
      <vt:lpstr>dms_CRYf_y5</vt:lpstr>
      <vt:lpstr>dms_CRYf_y6</vt:lpstr>
      <vt:lpstr>dms_CRYf_y7</vt:lpstr>
      <vt:lpstr>dms_CRYf_y8</vt:lpstr>
      <vt:lpstr>dms_CRYf_y9</vt:lpstr>
      <vt:lpstr>dms_cy1</vt:lpstr>
      <vt:lpstr>dms_cy10</vt:lpstr>
      <vt:lpstr>dms_cy11</vt:lpstr>
      <vt:lpstr>dms_cy12</vt:lpstr>
      <vt:lpstr>dms_cy13</vt:lpstr>
      <vt:lpstr>dms_cy14</vt:lpstr>
      <vt:lpstr>dms_cy15</vt:lpstr>
      <vt:lpstr>dms_cy16</vt:lpstr>
      <vt:lpstr>dms_cy17</vt:lpstr>
      <vt:lpstr>dms_cy18</vt:lpstr>
      <vt:lpstr>dms_cy19</vt:lpstr>
      <vt:lpstr>dms_cy2</vt:lpstr>
      <vt:lpstr>dms_cy20</vt:lpstr>
      <vt:lpstr>dms_cy3</vt:lpstr>
      <vt:lpstr>dms_cy4</vt:lpstr>
      <vt:lpstr>dms_cy5</vt:lpstr>
      <vt:lpstr>dms_cy6</vt:lpstr>
      <vt:lpstr>dms_cy7</vt:lpstr>
      <vt:lpstr>dms_cy8</vt:lpstr>
      <vt:lpstr>dms_cy9</vt:lpstr>
      <vt:lpstr>dms_DataQuality</vt:lpstr>
      <vt:lpstr>dms_DataQuality_List</vt:lpstr>
      <vt:lpstr>dms_Defined_Names_Used</vt:lpstr>
      <vt:lpstr>dms_DeterminationRef</vt:lpstr>
      <vt:lpstr>dms_DeterminationRef_List</vt:lpstr>
      <vt:lpstr>dms_DISCARD</vt:lpstr>
      <vt:lpstr>dms_dollar_nom_UOM</vt:lpstr>
      <vt:lpstr>dms_DollarReal</vt:lpstr>
      <vt:lpstr>dms_DollarReal_Prev</vt:lpstr>
      <vt:lpstr>dms_EB</vt:lpstr>
      <vt:lpstr>dms_EBSS_status</vt:lpstr>
      <vt:lpstr>dms_FeederName_1</vt:lpstr>
      <vt:lpstr>dms_FeederName_2</vt:lpstr>
      <vt:lpstr>dms_FeederName_3</vt:lpstr>
      <vt:lpstr>dms_FeederName_4</vt:lpstr>
      <vt:lpstr>dms_FeederName_5</vt:lpstr>
      <vt:lpstr>dms_FeederType_5_flag</vt:lpstr>
      <vt:lpstr>dms_FifthFeeder_flag_NSP</vt:lpstr>
      <vt:lpstr>dms_FinalYear_List</vt:lpstr>
      <vt:lpstr>dms_Financial_Years</vt:lpstr>
      <vt:lpstr>dms_FinYears</vt:lpstr>
      <vt:lpstr>dms_FormControl</vt:lpstr>
      <vt:lpstr>dms_FormControl_Choices</vt:lpstr>
      <vt:lpstr>dms_FormControl_List</vt:lpstr>
      <vt:lpstr>dms_FRCP_cyear_list</vt:lpstr>
      <vt:lpstr>dms_frcp_fy1</vt:lpstr>
      <vt:lpstr>dms_frcp_fy10</vt:lpstr>
      <vt:lpstr>dms_frcp_fy11</vt:lpstr>
      <vt:lpstr>dms_frcp_fy12</vt:lpstr>
      <vt:lpstr>dms_frcp_fy13</vt:lpstr>
      <vt:lpstr>dms_frcp_fy14</vt:lpstr>
      <vt:lpstr>dms_frcp_fy15</vt:lpstr>
      <vt:lpstr>dms_frcp_fy2</vt:lpstr>
      <vt:lpstr>dms_frcp_fy3</vt:lpstr>
      <vt:lpstr>dms_frcp_fy4</vt:lpstr>
      <vt:lpstr>dms_frcp_fy5</vt:lpstr>
      <vt:lpstr>dms_frcp_fy6</vt:lpstr>
      <vt:lpstr>dms_frcp_fy7</vt:lpstr>
      <vt:lpstr>dms_frcp_fy8</vt:lpstr>
      <vt:lpstr>dms_frcp_fy9</vt:lpstr>
      <vt:lpstr>dms_FRCP_fyear_list</vt:lpstr>
      <vt:lpstr>dms_FRCP_ListC</vt:lpstr>
      <vt:lpstr>dms_FRCP_ListF</vt:lpstr>
      <vt:lpstr>dms_FRCP_y1</vt:lpstr>
      <vt:lpstr>dms_FRCP_y10</vt:lpstr>
      <vt:lpstr>dms_FRCP_y11</vt:lpstr>
      <vt:lpstr>dms_FRCP_y12</vt:lpstr>
      <vt:lpstr>dms_FRCP_y13</vt:lpstr>
      <vt:lpstr>dms_FRCP_y14</vt:lpstr>
      <vt:lpstr>dms_FRCP_y15</vt:lpstr>
      <vt:lpstr>dms_FRCP_y2</vt:lpstr>
      <vt:lpstr>dms_FRCP_y3</vt:lpstr>
      <vt:lpstr>dms_FRCP_y4</vt:lpstr>
      <vt:lpstr>dms_FRCP_y5</vt:lpstr>
      <vt:lpstr>dms_FRCP_y6</vt:lpstr>
      <vt:lpstr>dms_FRCP_y7</vt:lpstr>
      <vt:lpstr>dms_FRCP_y8</vt:lpstr>
      <vt:lpstr>dms_FRCP_y9</vt:lpstr>
      <vt:lpstr>dms_FRCP_years</vt:lpstr>
      <vt:lpstr>dms_FRCPlength_List</vt:lpstr>
      <vt:lpstr>dms_FRCPlength_Num</vt:lpstr>
      <vt:lpstr>dms_FRCPlength_Num_List</vt:lpstr>
      <vt:lpstr>dms_fy1</vt:lpstr>
      <vt:lpstr>dms_fy10</vt:lpstr>
      <vt:lpstr>dms_fy11</vt:lpstr>
      <vt:lpstr>dms_fy12</vt:lpstr>
      <vt:lpstr>dms_fy13</vt:lpstr>
      <vt:lpstr>dms_fy14</vt:lpstr>
      <vt:lpstr>dms_fy15</vt:lpstr>
      <vt:lpstr>dms_fy16</vt:lpstr>
      <vt:lpstr>dms_fy17</vt:lpstr>
      <vt:lpstr>dms_fy18</vt:lpstr>
      <vt:lpstr>dms_fy19</vt:lpstr>
      <vt:lpstr>dms_fy2</vt:lpstr>
      <vt:lpstr>dms_fy20</vt:lpstr>
      <vt:lpstr>dms_fy3</vt:lpstr>
      <vt:lpstr>dms_fy4</vt:lpstr>
      <vt:lpstr>dms_fy5</vt:lpstr>
      <vt:lpstr>dms_fy6</vt:lpstr>
      <vt:lpstr>dms_fy7</vt:lpstr>
      <vt:lpstr>dms_fy8</vt:lpstr>
      <vt:lpstr>dms_fy9</vt:lpstr>
      <vt:lpstr>dms_Jurisdiction</vt:lpstr>
      <vt:lpstr>dms_JurisdictionList</vt:lpstr>
      <vt:lpstr>dms_LeapYear_Result</vt:lpstr>
      <vt:lpstr>dms_LongRural_flag</vt:lpstr>
      <vt:lpstr>dms_LongRural_flag_NSP</vt:lpstr>
      <vt:lpstr>dms_MAIFI_flag_List</vt:lpstr>
      <vt:lpstr>dms_Model</vt:lpstr>
      <vt:lpstr>dms_Model_List</vt:lpstr>
      <vt:lpstr>dms_Multi_RYE_flag</vt:lpstr>
      <vt:lpstr>dms_MultiYear_FinalYear_Ref</vt:lpstr>
      <vt:lpstr>dms_MultiYear_FinalYear_Result</vt:lpstr>
      <vt:lpstr>dms_MultiYear_Flag</vt:lpstr>
      <vt:lpstr>dms_MultiYear_ResponseFlag</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dms_PRCP_BaseYear</vt:lpstr>
      <vt:lpstr>dms_PRCPlength_Num</vt:lpstr>
      <vt:lpstr>dms_PState</vt:lpstr>
      <vt:lpstr>dms_PState_List</vt:lpstr>
      <vt:lpstr>dms_PSuburb</vt:lpstr>
      <vt:lpstr>dms_PSuburb_List</vt:lpstr>
      <vt:lpstr>dms_Public_Lighting</vt:lpstr>
      <vt:lpstr>dms_Public_Lighting_List</vt:lpstr>
      <vt:lpstr>dms_RCP_cyear_list</vt:lpstr>
      <vt:lpstr>dms_RCP_fyear_list</vt:lpstr>
      <vt:lpstr>dms_Reason_Interruption</vt:lpstr>
      <vt:lpstr>dms_Reason_Interruption_Detailed</vt:lpstr>
      <vt:lpstr>dms_Reg_Year_Span</vt:lpstr>
      <vt:lpstr>dms_RPT</vt:lpstr>
      <vt:lpstr>dms_RPT_List</vt:lpstr>
      <vt:lpstr>dms_RPTMonth</vt:lpstr>
      <vt:lpstr>dms_RPTMonth_List</vt:lpstr>
      <vt:lpstr>DMS_RSwapc2</vt:lpstr>
      <vt:lpstr>dms_RYE</vt:lpstr>
      <vt:lpstr>dms_RYE_01</vt:lpstr>
      <vt:lpstr>dms_RYE_02</vt:lpstr>
      <vt:lpstr>dms_RYE_03</vt:lpstr>
      <vt:lpstr>dms_RYE_04</vt:lpstr>
      <vt:lpstr>dms_RYE_05</vt:lpstr>
      <vt:lpstr>dms_RYE_Formula_Result</vt:lpstr>
      <vt:lpstr>dms_Sector</vt:lpstr>
      <vt:lpstr>dms_Sector_List</vt:lpstr>
      <vt:lpstr>dms_Segment</vt:lpstr>
      <vt:lpstr>dms_Segment_List</vt:lpstr>
      <vt:lpstr>dms_ShortRural_flag</vt:lpstr>
      <vt:lpstr>dms_ShortRural_flag_NSP</vt:lpstr>
      <vt:lpstr>dms_SingleYear_FinalYear_Ref</vt:lpstr>
      <vt:lpstr>dms_SingleYear_FinalYear_Result</vt:lpstr>
      <vt:lpstr>dms_SingleYear_Model</vt:lpstr>
      <vt:lpstr>dms_Source</vt:lpstr>
      <vt:lpstr>dms_SourceList</vt:lpstr>
      <vt:lpstr>dms_Specified_FinalYear</vt:lpstr>
      <vt:lpstr>dms_State</vt:lpstr>
      <vt:lpstr>dms_State_List</vt:lpstr>
      <vt:lpstr>dms_STPIS_Exclusion_List</vt:lpstr>
      <vt:lpstr>dms_SubmissionDate</vt:lpstr>
      <vt:lpstr>dms_Suburb</vt:lpstr>
      <vt:lpstr>dms_Suburb_List</vt:lpstr>
      <vt:lpstr>dms_TradingName</vt:lpstr>
      <vt:lpstr>dms_TradingName_List</vt:lpstr>
      <vt:lpstr>dms_TradingNameFull</vt:lpstr>
      <vt:lpstr>dms_TradingNameFull_List</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dms_y17</vt:lpstr>
      <vt:lpstr>dms_y18</vt:lpstr>
      <vt:lpstr>dms_y19</vt:lpstr>
      <vt:lpstr>dms_y2</vt:lpstr>
      <vt:lpstr>dms_y20</vt:lpstr>
      <vt:lpstr>dms_y3</vt:lpstr>
      <vt:lpstr>dms_y4</vt:lpstr>
      <vt:lpstr>dms_y5</vt:lpstr>
      <vt:lpstr>dms_y6</vt:lpstr>
      <vt:lpstr>dms_y7</vt:lpstr>
      <vt:lpstr>dms_y8</vt:lpstr>
      <vt:lpstr>dms_y9</vt:lpstr>
      <vt:lpstr>FRCP_y1</vt:lpstr>
      <vt:lpstr>FRCP_y2</vt:lpstr>
      <vt:lpstr>FRCP_y3</vt:lpstr>
      <vt:lpstr>FRCP_y4</vt:lpstr>
      <vt:lpstr>FRCP_y5</vt:lpstr>
      <vt:lpstr>FRCP_y6</vt:lpstr>
      <vt:lpstr>FRCP_y7</vt:lpstr>
      <vt:lpstr>FRY</vt:lpstr>
      <vt:lpstr>MAIFI_flag</vt:lpstr>
      <vt:lpstr>PRCP_y1</vt:lpstr>
      <vt:lpstr>PRCP_y10</vt:lpstr>
      <vt:lpstr>PRCP_y2</vt:lpstr>
      <vt:lpstr>PRCP_y3</vt:lpstr>
      <vt:lpstr>PRCP_y4</vt:lpstr>
      <vt:lpstr>PRCP_y5</vt:lpstr>
      <vt:lpstr>PRCP_y6</vt:lpstr>
      <vt:lpstr>PRCP_y7</vt:lpstr>
      <vt:lpstr>PRCP_y8</vt:lpstr>
      <vt:lpstr>PRCP_y9</vt:lpstr>
      <vt:lpstr>Reason_for_interruption</vt:lpstr>
      <vt:lpstr>SheetHeader</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AER</dc:creator>
  <cp:keywords>DNSP; Reset; ECM; 2027-31</cp:keywords>
  <dc:description>based on JGN (NSW) 2026-30 final RIN -- for AGN (SA) &amp; Evoenergy</dc:description>
  <cp:lastModifiedBy>Alexis Hardin</cp:lastModifiedBy>
  <dcterms:created xsi:type="dcterms:W3CDTF">2017-02-08T22:08:38Z</dcterms:created>
  <dcterms:modified xsi:type="dcterms:W3CDTF">2025-06-29T23:55:43Z</dcterms:modified>
  <cp:category>DNSP;Reset;ECM;2027-31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9d5a995-dfdf-4407-9a97-edbbc68c9f53_Enabled">
    <vt:lpwstr>true</vt:lpwstr>
  </property>
  <property fmtid="{D5CDD505-2E9C-101B-9397-08002B2CF9AE}" pid="4" name="MSIP_Label_d9d5a995-dfdf-4407-9a97-edbbc68c9f53_SetDate">
    <vt:lpwstr>2024-07-31T23:23:06Z</vt:lpwstr>
  </property>
  <property fmtid="{D5CDD505-2E9C-101B-9397-08002B2CF9AE}" pid="5" name="MSIP_Label_d9d5a995-dfdf-4407-9a97-edbbc68c9f53_Method">
    <vt:lpwstr>Privileged</vt:lpwstr>
  </property>
  <property fmtid="{D5CDD505-2E9C-101B-9397-08002B2CF9AE}" pid="6" name="MSIP_Label_d9d5a995-dfdf-4407-9a97-edbbc68c9f53_Name">
    <vt:lpwstr>OFFICIAL</vt:lpwstr>
  </property>
  <property fmtid="{D5CDD505-2E9C-101B-9397-08002B2CF9AE}" pid="7" name="MSIP_Label_d9d5a995-dfdf-4407-9a97-edbbc68c9f53_SiteId">
    <vt:lpwstr>b33e9e1a-e443-4edd-9789-24bed26d38d6</vt:lpwstr>
  </property>
  <property fmtid="{D5CDD505-2E9C-101B-9397-08002B2CF9AE}" pid="8" name="MSIP_Label_d9d5a995-dfdf-4407-9a97-edbbc68c9f53_ActionId">
    <vt:lpwstr>8fe4e772-914d-4deb-8da6-4d53396ec3a0</vt:lpwstr>
  </property>
  <property fmtid="{D5CDD505-2E9C-101B-9397-08002B2CF9AE}" pid="9" name="MSIP_Label_d9d5a995-dfdf-4407-9a97-edbbc68c9f53_ContentBits">
    <vt:lpwstr>0</vt:lpwstr>
  </property>
  <property fmtid="{D5CDD505-2E9C-101B-9397-08002B2CF9AE}" pid="10" name="MSIP_Label_0ff90ac2-05f6-41f9-9160-8854fab2ec53_Enabled">
    <vt:lpwstr>true</vt:lpwstr>
  </property>
  <property fmtid="{D5CDD505-2E9C-101B-9397-08002B2CF9AE}" pid="11" name="MSIP_Label_0ff90ac2-05f6-41f9-9160-8854fab2ec53_SetDate">
    <vt:lpwstr>2025-06-25T01:47:05Z</vt:lpwstr>
  </property>
  <property fmtid="{D5CDD505-2E9C-101B-9397-08002B2CF9AE}" pid="12" name="MSIP_Label_0ff90ac2-05f6-41f9-9160-8854fab2ec53_Method">
    <vt:lpwstr>Privileged</vt:lpwstr>
  </property>
  <property fmtid="{D5CDD505-2E9C-101B-9397-08002B2CF9AE}" pid="13" name="MSIP_Label_0ff90ac2-05f6-41f9-9160-8854fab2ec53_Name">
    <vt:lpwstr>Ringfenced Confidential – Commercially Sensitive</vt:lpwstr>
  </property>
  <property fmtid="{D5CDD505-2E9C-101B-9397-08002B2CF9AE}" pid="14" name="MSIP_Label_0ff90ac2-05f6-41f9-9160-8854fab2ec53_SiteId">
    <vt:lpwstr>2a61d4c5-077b-4aba-8d42-5cd0ebd862ef</vt:lpwstr>
  </property>
  <property fmtid="{D5CDD505-2E9C-101B-9397-08002B2CF9AE}" pid="15" name="MSIP_Label_0ff90ac2-05f6-41f9-9160-8854fab2ec53_ActionId">
    <vt:lpwstr>a56c25b3-5a78-4e8b-9cd8-ae3d934e553d</vt:lpwstr>
  </property>
  <property fmtid="{D5CDD505-2E9C-101B-9397-08002B2CF9AE}" pid="16" name="MSIP_Label_0ff90ac2-05f6-41f9-9160-8854fab2ec53_ContentBits">
    <vt:lpwstr>2</vt:lpwstr>
  </property>
  <property fmtid="{D5CDD505-2E9C-101B-9397-08002B2CF9AE}" pid="17" name="MSIP_Label_0ff90ac2-05f6-41f9-9160-8854fab2ec53_Tag">
    <vt:lpwstr>10, 0, 1, 1</vt:lpwstr>
  </property>
  <property fmtid="{D5CDD505-2E9C-101B-9397-08002B2CF9AE}" pid="18" name="ContentTypeId">
    <vt:lpwstr>0x010100C8F24BB75BCEF649A3A4EA2C8EA2DEE6</vt:lpwstr>
  </property>
  <property fmtid="{D5CDD505-2E9C-101B-9397-08002B2CF9AE}" pid="19" name="MediaServiceImageTags">
    <vt:lpwstr/>
  </property>
</Properties>
</file>