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fileSharing readOnlyRecommended="1"/>
  <workbookPr showInkAnnotation="0" codeName="ThisWorkbook" defaultThemeVersion="124226"/>
  <mc:AlternateContent xmlns:mc="http://schemas.openxmlformats.org/markup-compatibility/2006">
    <mc:Choice Requires="x15">
      <x15ac:absPath xmlns:x15ac="http://schemas.microsoft.com/office/spreadsheetml/2010/11/ac" url="https://transgridnet.sharepoint.com/sites/DELIDCWOREZNCProject/Shared Documents/10 Regulatory/05_CWOREZ revenue scenarios/03_Models/Submission Models/Confidential/"/>
    </mc:Choice>
  </mc:AlternateContent>
  <xr:revisionPtr revIDLastSave="0" documentId="13_ncr:1_{3BF26E4E-8339-4575-BF61-63C38924981E}" xr6:coauthVersionLast="47" xr6:coauthVersionMax="47" xr10:uidLastSave="{00000000-0000-0000-0000-000000000000}"/>
  <bookViews>
    <workbookView xWindow="-28920" yWindow="9840" windowWidth="29040" windowHeight="15225" tabRatio="847" xr2:uid="{00000000-000D-0000-FFFF-FFFF00000000}"/>
  </bookViews>
  <sheets>
    <sheet name="Cover" sheetId="27" r:id="rId1"/>
    <sheet name="TOC" sheetId="28" r:id="rId2"/>
    <sheet name="Input_CPI" sheetId="79" r:id="rId3"/>
    <sheet name="Input_Data" sheetId="34" r:id="rId4"/>
    <sheet name="Calc_Returns" sheetId="49" r:id="rId5"/>
    <sheet name="Output_PTRM" sheetId="78" r:id="rId6"/>
    <sheet name="Lookup" sheetId="4" r:id="rId7"/>
    <sheet name="Checks" sheetId="25" r:id="rId8"/>
  </sheets>
  <definedNames>
    <definedName name="Beta">Input_Data!$J$98</definedName>
    <definedName name="Days_In_Wk">Lookup!$D$29</definedName>
    <definedName name="Days_In_Yr">Lookup!$D$30</definedName>
    <definedName name="Dollars">Lookup!$D$44</definedName>
    <definedName name="End_year">Lookup!$F$65</definedName>
    <definedName name="Error">Lookup!$D$34</definedName>
    <definedName name="Factor">Lookup!$D$47</definedName>
    <definedName name="Gamma">Input_Data!$J$99</definedName>
    <definedName name="Half">Lookup!$D$31</definedName>
    <definedName name="Inflation">Calc_Returns!$J$79</definedName>
    <definedName name="Kilometres">Lookup!$D$51</definedName>
    <definedName name="Leverage">Input_Data!$J$100</definedName>
    <definedName name="LU_Basis">Lookup!$D$56:$D$59</definedName>
    <definedName name="LU_Source">Lookup!$D$70:$D$71</definedName>
    <definedName name="LU_Timing">Lookup!$D$63:$D$66</definedName>
    <definedName name="LU_Timing_Value">Lookup!$E$63:$E$66</definedName>
    <definedName name="LU_Units">Lookup!$D$43:$D$52</definedName>
    <definedName name="Mid_year">Lookup!$D$64</definedName>
    <definedName name="Millions">Lookup!$D$45</definedName>
    <definedName name="Model_Name">Cover!$B$3</definedName>
    <definedName name="Model_Start_Date">Lookup!$E$10</definedName>
    <definedName name="MRP">Input_Data!$J$97</definedName>
    <definedName name="Mths_In_Mth">Lookup!$D$25</definedName>
    <definedName name="Mths_In_Qtr">Lookup!$D$26</definedName>
    <definedName name="Mths_In_Yr">Lookup!$D$28</definedName>
    <definedName name="NA">Lookup!$D$33</definedName>
    <definedName name="No">Lookup!$D$39</definedName>
    <definedName name="Nominal">Lookup!$D$59</definedName>
    <definedName name="Number">Lookup!$D$48</definedName>
    <definedName name="Ok">Lookup!$D$32</definedName>
    <definedName name="Percent">Lookup!$D$43</definedName>
    <definedName name="Qtrs_In_Yr">Lookup!$D$27</definedName>
    <definedName name="Real2018">Lookup!$D$56</definedName>
    <definedName name="Real2019">Lookup!$D$57</definedName>
    <definedName name="RFR">Calc_Returns!$R$40</definedName>
    <definedName name="ROD">Calc_Returns!$J$81</definedName>
    <definedName name="ROE">Calc_Returns!$J$80</definedName>
    <definedName name="Start_year">Lookup!$D$63</definedName>
    <definedName name="Thousands">Lookup!$D$46</definedName>
    <definedName name="Title_Msg">Checks!$H$10</definedName>
    <definedName name="Weight_New_Debt">Input_Data!$J$72</definedName>
    <definedName name="Yes">Lookup!$D$38</definedName>
    <definedName name="Yes_No">Lookup!$D$38:$D$39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6" i="78" l="1"/>
  <c r="K19" i="78"/>
  <c r="L19" i="78"/>
  <c r="M19" i="78"/>
  <c r="N19" i="78"/>
  <c r="J19" i="78"/>
  <c r="O19" i="78" a="1"/>
  <c r="F19" i="78"/>
  <c r="H19" i="78"/>
  <c r="G19" i="78"/>
  <c r="O19" i="78" l="1"/>
  <c r="K57" i="49" l="1"/>
  <c r="J57" i="49"/>
  <c r="L57" i="49" s="1"/>
  <c r="N55" i="49"/>
  <c r="P55" i="49" s="1"/>
  <c r="J55" i="49"/>
  <c r="L55" i="49" s="1"/>
  <c r="K53" i="49"/>
  <c r="J53" i="49"/>
  <c r="L53" i="49" s="1"/>
  <c r="N51" i="49"/>
  <c r="P51" i="49" s="1"/>
  <c r="K51" i="49"/>
  <c r="J51" i="49"/>
  <c r="L51" i="49" s="1"/>
  <c r="O58" i="49"/>
  <c r="N58" i="49"/>
  <c r="P58" i="49" s="1"/>
  <c r="S58" i="49" s="1"/>
  <c r="O57" i="49"/>
  <c r="N57" i="49"/>
  <c r="O56" i="49"/>
  <c r="N56" i="49"/>
  <c r="O55" i="49"/>
  <c r="O54" i="49"/>
  <c r="N54" i="49"/>
  <c r="O53" i="49"/>
  <c r="N53" i="49"/>
  <c r="O52" i="49"/>
  <c r="N52" i="49"/>
  <c r="O51" i="49"/>
  <c r="O50" i="49"/>
  <c r="N50" i="49"/>
  <c r="P50" i="49" s="1"/>
  <c r="O49" i="49"/>
  <c r="P49" i="49" s="1"/>
  <c r="P52" i="49"/>
  <c r="N49" i="49"/>
  <c r="P56" i="49"/>
  <c r="O47" i="49"/>
  <c r="P47" i="49"/>
  <c r="N47" i="49"/>
  <c r="N46" i="49"/>
  <c r="K58" i="49"/>
  <c r="K56" i="49"/>
  <c r="K55" i="49"/>
  <c r="K54" i="49"/>
  <c r="L54" i="49" s="1"/>
  <c r="K52" i="49"/>
  <c r="K50" i="49"/>
  <c r="K49" i="49"/>
  <c r="J58" i="49"/>
  <c r="L58" i="49" s="1"/>
  <c r="J56" i="49"/>
  <c r="L56" i="49" s="1"/>
  <c r="J54" i="49"/>
  <c r="J52" i="49"/>
  <c r="L52" i="49" s="1"/>
  <c r="J50" i="49"/>
  <c r="L50" i="49" s="1"/>
  <c r="J49" i="49"/>
  <c r="L49" i="49" s="1"/>
  <c r="K47" i="49"/>
  <c r="J47" i="49"/>
  <c r="J46" i="49"/>
  <c r="N78" i="34"/>
  <c r="M78" i="34"/>
  <c r="S50" i="49" l="1"/>
  <c r="S49" i="49"/>
  <c r="S55" i="49"/>
  <c r="S51" i="49"/>
  <c r="P53" i="49"/>
  <c r="S53" i="49" s="1"/>
  <c r="P54" i="49"/>
  <c r="S54" i="49" s="1"/>
  <c r="S56" i="49"/>
  <c r="S52" i="49"/>
  <c r="P57" i="49"/>
  <c r="S57" i="49" s="1"/>
  <c r="A1" i="49" l="1"/>
  <c r="N33" i="79" l="1"/>
  <c r="O33" i="79"/>
  <c r="K28" i="79" l="1"/>
  <c r="L28" i="79"/>
  <c r="M28" i="79"/>
  <c r="N28" i="79"/>
  <c r="O28" i="79"/>
  <c r="L21" i="79"/>
  <c r="M21" i="79"/>
  <c r="N21" i="79"/>
  <c r="O18" i="34" s="1"/>
  <c r="O21" i="79"/>
  <c r="P19" i="34" s="1"/>
  <c r="Q19" i="34" s="1"/>
  <c r="R19" i="34" s="1"/>
  <c r="S19" i="34" s="1"/>
  <c r="T19" i="34" s="1"/>
  <c r="K16" i="79"/>
  <c r="L16" i="79"/>
  <c r="M16" i="79"/>
  <c r="N16" i="79"/>
  <c r="O16" i="79"/>
  <c r="K21" i="79"/>
  <c r="J5" i="79"/>
  <c r="K5" i="79"/>
  <c r="L5" i="79"/>
  <c r="M5" i="79"/>
  <c r="N5" i="79"/>
  <c r="O5" i="79"/>
  <c r="J6" i="79"/>
  <c r="K6" i="79"/>
  <c r="L6" i="79"/>
  <c r="M6" i="79"/>
  <c r="N6" i="79"/>
  <c r="O6" i="79"/>
  <c r="J7" i="79"/>
  <c r="K7" i="79"/>
  <c r="L7" i="79"/>
  <c r="M7" i="79"/>
  <c r="N7" i="79"/>
  <c r="O7" i="79"/>
  <c r="J8" i="79"/>
  <c r="K8" i="79"/>
  <c r="L8" i="79"/>
  <c r="M8" i="79"/>
  <c r="N8" i="79"/>
  <c r="O8" i="79"/>
  <c r="J9" i="79"/>
  <c r="K9" i="79"/>
  <c r="L9" i="79"/>
  <c r="M9" i="79"/>
  <c r="N9" i="79"/>
  <c r="O9" i="79"/>
  <c r="J10" i="79"/>
  <c r="K10" i="79"/>
  <c r="L10" i="79"/>
  <c r="M10" i="79"/>
  <c r="N10" i="79"/>
  <c r="O10" i="79"/>
  <c r="M10" i="34"/>
  <c r="M16" i="34" s="1"/>
  <c r="L10" i="34"/>
  <c r="L16" i="34" s="1"/>
  <c r="K10" i="34"/>
  <c r="K16" i="34" s="1"/>
  <c r="J10" i="34"/>
  <c r="J16" i="34" s="1"/>
  <c r="M9" i="34"/>
  <c r="L9" i="34"/>
  <c r="K9" i="34"/>
  <c r="J9" i="34"/>
  <c r="M8" i="34"/>
  <c r="L8" i="34"/>
  <c r="K8" i="34"/>
  <c r="J8" i="34"/>
  <c r="M7" i="34"/>
  <c r="L7" i="34"/>
  <c r="K7" i="34"/>
  <c r="J7" i="34"/>
  <c r="M6" i="34"/>
  <c r="L6" i="34"/>
  <c r="K6" i="34"/>
  <c r="J6" i="34"/>
  <c r="M5" i="34"/>
  <c r="L5" i="34"/>
  <c r="K5" i="34"/>
  <c r="J5" i="34"/>
  <c r="T10" i="34"/>
  <c r="S10" i="34"/>
  <c r="R10" i="34"/>
  <c r="Q10" i="34"/>
  <c r="P10" i="34"/>
  <c r="O10" i="34"/>
  <c r="N10" i="34"/>
  <c r="N63" i="34" s="1"/>
  <c r="T9" i="34"/>
  <c r="S9" i="34"/>
  <c r="R9" i="34"/>
  <c r="Q9" i="34"/>
  <c r="P9" i="34"/>
  <c r="O9" i="34"/>
  <c r="N9" i="34"/>
  <c r="T8" i="34"/>
  <c r="S8" i="34"/>
  <c r="R8" i="34"/>
  <c r="Q8" i="34"/>
  <c r="P8" i="34"/>
  <c r="O8" i="34"/>
  <c r="N8" i="34"/>
  <c r="T7" i="34"/>
  <c r="S7" i="34"/>
  <c r="R7" i="34"/>
  <c r="Q7" i="34"/>
  <c r="P7" i="34"/>
  <c r="O7" i="34"/>
  <c r="N7" i="34"/>
  <c r="T6" i="34"/>
  <c r="S6" i="34"/>
  <c r="R6" i="34"/>
  <c r="Q6" i="34"/>
  <c r="P6" i="34"/>
  <c r="O6" i="34"/>
  <c r="N6" i="34"/>
  <c r="T5" i="34"/>
  <c r="S5" i="34"/>
  <c r="R5" i="34"/>
  <c r="Q5" i="34"/>
  <c r="P5" i="34"/>
  <c r="O5" i="34"/>
  <c r="N5" i="34"/>
  <c r="M10" i="49"/>
  <c r="L10" i="49"/>
  <c r="K10" i="49"/>
  <c r="J10" i="49"/>
  <c r="M9" i="49"/>
  <c r="L9" i="49"/>
  <c r="K9" i="49"/>
  <c r="J9" i="49"/>
  <c r="M8" i="49"/>
  <c r="L8" i="49"/>
  <c r="K8" i="49"/>
  <c r="J8" i="49"/>
  <c r="M7" i="49"/>
  <c r="L7" i="49"/>
  <c r="K7" i="49"/>
  <c r="J7" i="49"/>
  <c r="M6" i="49"/>
  <c r="L6" i="49"/>
  <c r="K6" i="49"/>
  <c r="J6" i="49"/>
  <c r="M5" i="49"/>
  <c r="L5" i="49"/>
  <c r="K5" i="49"/>
  <c r="J5" i="49"/>
  <c r="M10" i="78"/>
  <c r="L10" i="78"/>
  <c r="K10" i="78"/>
  <c r="J10" i="78"/>
  <c r="M9" i="78"/>
  <c r="L9" i="78"/>
  <c r="K9" i="78"/>
  <c r="J9" i="78"/>
  <c r="M8" i="78"/>
  <c r="L8" i="78"/>
  <c r="K8" i="78"/>
  <c r="J8" i="78"/>
  <c r="M7" i="78"/>
  <c r="L7" i="78"/>
  <c r="K7" i="78"/>
  <c r="J7" i="78"/>
  <c r="M6" i="78"/>
  <c r="L6" i="78"/>
  <c r="K6" i="78"/>
  <c r="J6" i="78"/>
  <c r="M5" i="78"/>
  <c r="L5" i="78"/>
  <c r="K5" i="78"/>
  <c r="J5" i="78"/>
  <c r="S16" i="4"/>
  <c r="T16" i="4" s="1"/>
  <c r="C44" i="49"/>
  <c r="H60" i="49"/>
  <c r="F60" i="49"/>
  <c r="H58" i="49"/>
  <c r="F58" i="49"/>
  <c r="H57" i="49"/>
  <c r="F57" i="49"/>
  <c r="H56" i="49"/>
  <c r="F56" i="49"/>
  <c r="H55" i="49"/>
  <c r="F55" i="49"/>
  <c r="H54" i="49"/>
  <c r="F54" i="49"/>
  <c r="H53" i="49"/>
  <c r="F53" i="49"/>
  <c r="H52" i="49"/>
  <c r="F52" i="49"/>
  <c r="H51" i="49"/>
  <c r="F51" i="49"/>
  <c r="H50" i="49"/>
  <c r="F50" i="49"/>
  <c r="H49" i="49"/>
  <c r="F49" i="49"/>
  <c r="H47" i="49"/>
  <c r="G47" i="49"/>
  <c r="F47" i="49"/>
  <c r="E47" i="49"/>
  <c r="C14" i="49"/>
  <c r="D49" i="49"/>
  <c r="R49" i="49" s="1"/>
  <c r="D50" i="49"/>
  <c r="R50" i="49" s="1"/>
  <c r="D51" i="49"/>
  <c r="R51" i="49" s="1"/>
  <c r="D52" i="49"/>
  <c r="R52" i="49" s="1"/>
  <c r="D53" i="49"/>
  <c r="R53" i="49" s="1"/>
  <c r="D54" i="49"/>
  <c r="R54" i="49" s="1"/>
  <c r="D55" i="49"/>
  <c r="R55" i="49" s="1"/>
  <c r="D56" i="49"/>
  <c r="R56" i="49" s="1"/>
  <c r="D57" i="49"/>
  <c r="R57" i="49" s="1"/>
  <c r="D58" i="49"/>
  <c r="R58" i="49" s="1"/>
  <c r="H89" i="34"/>
  <c r="G89" i="34"/>
  <c r="F89" i="34"/>
  <c r="H88" i="34"/>
  <c r="G88" i="34"/>
  <c r="F88" i="34"/>
  <c r="H87" i="34"/>
  <c r="G87" i="34"/>
  <c r="F87" i="34"/>
  <c r="H86" i="34"/>
  <c r="G86" i="34"/>
  <c r="F86" i="34"/>
  <c r="H85" i="34"/>
  <c r="G85" i="34"/>
  <c r="F85" i="34"/>
  <c r="H84" i="34"/>
  <c r="G84" i="34"/>
  <c r="F84" i="34"/>
  <c r="H83" i="34"/>
  <c r="G83" i="34"/>
  <c r="F83" i="34"/>
  <c r="E83" i="34"/>
  <c r="E84" i="34" s="1"/>
  <c r="E85" i="34" s="1"/>
  <c r="E86" i="34" s="1"/>
  <c r="E87" i="34" s="1"/>
  <c r="E88" i="34" s="1"/>
  <c r="E89" i="34" s="1"/>
  <c r="H82" i="34"/>
  <c r="G82" i="34"/>
  <c r="F82" i="34"/>
  <c r="H81" i="34"/>
  <c r="G81" i="34"/>
  <c r="F81" i="34"/>
  <c r="H80" i="34"/>
  <c r="G80" i="34"/>
  <c r="F80" i="34"/>
  <c r="L18" i="34" l="1"/>
  <c r="M18" i="34"/>
  <c r="N18" i="34"/>
  <c r="J63" i="34"/>
  <c r="K63" i="34"/>
  <c r="L63" i="34"/>
  <c r="M63" i="34"/>
  <c r="S60" i="49" l="1"/>
  <c r="J21" i="78" l="1"/>
  <c r="J22" i="78" l="1"/>
  <c r="M33" i="79"/>
  <c r="I9" i="79"/>
  <c r="I16" i="4"/>
  <c r="J16" i="4" s="1"/>
  <c r="D19" i="49"/>
  <c r="P19" i="49" s="1"/>
  <c r="J19" i="49"/>
  <c r="J20" i="49" s="1"/>
  <c r="J21" i="49" s="1"/>
  <c r="J22" i="49" s="1"/>
  <c r="J23" i="49" s="1"/>
  <c r="J24" i="49" s="1"/>
  <c r="J25" i="49" s="1"/>
  <c r="J26" i="49" s="1"/>
  <c r="J27" i="49" s="1"/>
  <c r="J28" i="49" s="1"/>
  <c r="J29" i="49" s="1"/>
  <c r="J30" i="49" s="1"/>
  <c r="J31" i="49" s="1"/>
  <c r="J32" i="49" s="1"/>
  <c r="J33" i="49" s="1"/>
  <c r="J34" i="49" s="1"/>
  <c r="J35" i="49" s="1"/>
  <c r="J36" i="49" s="1"/>
  <c r="J37" i="49" s="1"/>
  <c r="J38" i="49" s="1"/>
  <c r="M19" i="49"/>
  <c r="M20" i="49" s="1"/>
  <c r="M21" i="49" s="1"/>
  <c r="M22" i="49" s="1"/>
  <c r="M23" i="49" s="1"/>
  <c r="M24" i="49" s="1"/>
  <c r="M25" i="49" s="1"/>
  <c r="M26" i="49" s="1"/>
  <c r="M27" i="49" s="1"/>
  <c r="M28" i="49" s="1"/>
  <c r="M29" i="49" s="1"/>
  <c r="M30" i="49" s="1"/>
  <c r="M31" i="49" s="1"/>
  <c r="M32" i="49" s="1"/>
  <c r="M33" i="49" s="1"/>
  <c r="M34" i="49" s="1"/>
  <c r="M35" i="49" s="1"/>
  <c r="M36" i="49" s="1"/>
  <c r="M37" i="49" s="1"/>
  <c r="M38" i="49" s="1"/>
  <c r="N19" i="49"/>
  <c r="K19" i="49"/>
  <c r="D20" i="49"/>
  <c r="P20" i="49" s="1"/>
  <c r="N20" i="49"/>
  <c r="K20" i="49"/>
  <c r="D21" i="49"/>
  <c r="P21" i="49" s="1"/>
  <c r="N21" i="49"/>
  <c r="K21" i="49"/>
  <c r="D22" i="49"/>
  <c r="P22" i="49" s="1"/>
  <c r="N22" i="49"/>
  <c r="K22" i="49"/>
  <c r="D23" i="49"/>
  <c r="P23" i="49" s="1"/>
  <c r="N23" i="49"/>
  <c r="K23" i="49"/>
  <c r="D24" i="49"/>
  <c r="P24" i="49" s="1"/>
  <c r="N24" i="49"/>
  <c r="K24" i="49"/>
  <c r="D25" i="49"/>
  <c r="P25" i="49" s="1"/>
  <c r="N25" i="49"/>
  <c r="K25" i="49"/>
  <c r="D26" i="49"/>
  <c r="P26" i="49" s="1"/>
  <c r="N26" i="49"/>
  <c r="K26" i="49"/>
  <c r="D27" i="49"/>
  <c r="P27" i="49" s="1"/>
  <c r="N27" i="49"/>
  <c r="K27" i="49"/>
  <c r="D28" i="49"/>
  <c r="P28" i="49" s="1"/>
  <c r="N28" i="49"/>
  <c r="K28" i="49"/>
  <c r="D29" i="49"/>
  <c r="P29" i="49" s="1"/>
  <c r="N29" i="49"/>
  <c r="K29" i="49"/>
  <c r="D30" i="49"/>
  <c r="P30" i="49" s="1"/>
  <c r="N30" i="49"/>
  <c r="K30" i="49"/>
  <c r="D31" i="49"/>
  <c r="P31" i="49" s="1"/>
  <c r="N31" i="49"/>
  <c r="K31" i="49"/>
  <c r="D32" i="49"/>
  <c r="P32" i="49" s="1"/>
  <c r="N32" i="49"/>
  <c r="K32" i="49"/>
  <c r="D33" i="49"/>
  <c r="P33" i="49" s="1"/>
  <c r="N33" i="49"/>
  <c r="K33" i="49"/>
  <c r="D34" i="49"/>
  <c r="P34" i="49" s="1"/>
  <c r="N34" i="49"/>
  <c r="K34" i="49"/>
  <c r="D35" i="49"/>
  <c r="P35" i="49" s="1"/>
  <c r="N35" i="49"/>
  <c r="K35" i="49"/>
  <c r="D36" i="49"/>
  <c r="P36" i="49" s="1"/>
  <c r="N36" i="49"/>
  <c r="K36" i="49"/>
  <c r="D37" i="49"/>
  <c r="P37" i="49" s="1"/>
  <c r="N37" i="49"/>
  <c r="K37" i="49"/>
  <c r="D38" i="49"/>
  <c r="P38" i="49" s="1"/>
  <c r="N38" i="49"/>
  <c r="K38" i="49"/>
  <c r="H57" i="34"/>
  <c r="G57" i="34"/>
  <c r="F57" i="34"/>
  <c r="E41" i="34"/>
  <c r="E42" i="34" s="1"/>
  <c r="E43" i="34" s="1"/>
  <c r="E44" i="34" s="1"/>
  <c r="E45" i="34" s="1"/>
  <c r="E46" i="34" s="1"/>
  <c r="E47" i="34" s="1"/>
  <c r="E48" i="34" s="1"/>
  <c r="E49" i="34" s="1"/>
  <c r="E50" i="34" s="1"/>
  <c r="E51" i="34" s="1"/>
  <c r="E52" i="34" s="1"/>
  <c r="E53" i="34" s="1"/>
  <c r="E54" i="34" s="1"/>
  <c r="E55" i="34" s="1"/>
  <c r="E56" i="34" s="1"/>
  <c r="E57" i="34" s="1"/>
  <c r="H56" i="34"/>
  <c r="G56" i="34"/>
  <c r="F56" i="34"/>
  <c r="H55" i="34"/>
  <c r="G55" i="34"/>
  <c r="F55" i="34"/>
  <c r="H54" i="34"/>
  <c r="G54" i="34"/>
  <c r="F54" i="34"/>
  <c r="H53" i="34"/>
  <c r="G53" i="34"/>
  <c r="F53" i="34"/>
  <c r="H52" i="34"/>
  <c r="G52" i="34"/>
  <c r="F52" i="34"/>
  <c r="H51" i="34"/>
  <c r="G51" i="34"/>
  <c r="F51" i="34"/>
  <c r="H50" i="34"/>
  <c r="G50" i="34"/>
  <c r="F50" i="34"/>
  <c r="H49" i="34"/>
  <c r="G49" i="34"/>
  <c r="F49" i="34"/>
  <c r="H48" i="34"/>
  <c r="G48" i="34"/>
  <c r="F48" i="34"/>
  <c r="H47" i="34"/>
  <c r="G47" i="34"/>
  <c r="F47" i="34"/>
  <c r="H46" i="34"/>
  <c r="G46" i="34"/>
  <c r="F46" i="34"/>
  <c r="H45" i="34"/>
  <c r="G45" i="34"/>
  <c r="F45" i="34"/>
  <c r="H44" i="34"/>
  <c r="G44" i="34"/>
  <c r="F44" i="34"/>
  <c r="H43" i="34"/>
  <c r="G43" i="34"/>
  <c r="F43" i="34"/>
  <c r="H42" i="34"/>
  <c r="G42" i="34"/>
  <c r="F42" i="34"/>
  <c r="H41" i="34"/>
  <c r="G41" i="34"/>
  <c r="F41" i="34"/>
  <c r="H40" i="34"/>
  <c r="G40" i="34"/>
  <c r="F40" i="34"/>
  <c r="H39" i="34"/>
  <c r="G39" i="34"/>
  <c r="F39" i="34"/>
  <c r="H38" i="34"/>
  <c r="G38" i="34"/>
  <c r="F38" i="34"/>
  <c r="H34" i="34"/>
  <c r="G34" i="34"/>
  <c r="H33" i="34"/>
  <c r="G33" i="34"/>
  <c r="D66" i="49"/>
  <c r="J66" i="49" s="1"/>
  <c r="D67" i="49"/>
  <c r="J67" i="49" s="1"/>
  <c r="K68" i="49"/>
  <c r="K71" i="49"/>
  <c r="L68" i="49"/>
  <c r="L71" i="49"/>
  <c r="M68" i="49"/>
  <c r="M71" i="49"/>
  <c r="N68" i="49"/>
  <c r="N71" i="49"/>
  <c r="I21" i="79"/>
  <c r="J33" i="79"/>
  <c r="L33" i="79"/>
  <c r="H26" i="78"/>
  <c r="G26" i="78"/>
  <c r="F26" i="78"/>
  <c r="N18" i="78"/>
  <c r="H21" i="49"/>
  <c r="F21" i="49"/>
  <c r="H20" i="49"/>
  <c r="F20" i="49"/>
  <c r="D18" i="25"/>
  <c r="D10" i="28"/>
  <c r="K33" i="79"/>
  <c r="I33" i="79"/>
  <c r="H33" i="79"/>
  <c r="G33" i="79"/>
  <c r="F33" i="79"/>
  <c r="D33" i="79"/>
  <c r="H31" i="79"/>
  <c r="G31" i="79"/>
  <c r="F31" i="79"/>
  <c r="H30" i="79"/>
  <c r="G30" i="79"/>
  <c r="F30" i="79"/>
  <c r="H28" i="79"/>
  <c r="G28" i="79"/>
  <c r="F28" i="79"/>
  <c r="E28" i="79"/>
  <c r="J21" i="79"/>
  <c r="D21" i="79"/>
  <c r="H21" i="79"/>
  <c r="G21" i="79"/>
  <c r="F21" i="79"/>
  <c r="H19" i="79"/>
  <c r="G19" i="79"/>
  <c r="F19" i="79"/>
  <c r="H18" i="79"/>
  <c r="G18" i="79"/>
  <c r="F18" i="79"/>
  <c r="H16" i="79"/>
  <c r="G16" i="79"/>
  <c r="F16" i="79"/>
  <c r="E16" i="79"/>
  <c r="H10" i="79"/>
  <c r="G10" i="79"/>
  <c r="F10" i="79"/>
  <c r="E10" i="79"/>
  <c r="B10" i="79"/>
  <c r="B9" i="79"/>
  <c r="B8" i="79"/>
  <c r="B7" i="79"/>
  <c r="B6" i="79"/>
  <c r="B5" i="79"/>
  <c r="B4" i="79"/>
  <c r="B3" i="79"/>
  <c r="A1" i="79"/>
  <c r="H18" i="25"/>
  <c r="J32" i="78"/>
  <c r="J34" i="78"/>
  <c r="J35" i="78"/>
  <c r="J36" i="78"/>
  <c r="J71" i="49"/>
  <c r="H72" i="34"/>
  <c r="F72" i="34"/>
  <c r="H70" i="34"/>
  <c r="H66" i="34"/>
  <c r="F66" i="34"/>
  <c r="H73" i="49"/>
  <c r="F73" i="49"/>
  <c r="H71" i="49"/>
  <c r="G71" i="49"/>
  <c r="F71" i="49"/>
  <c r="H68" i="49"/>
  <c r="F68" i="49"/>
  <c r="H67" i="49"/>
  <c r="F67" i="49"/>
  <c r="H63" i="49"/>
  <c r="G63" i="49"/>
  <c r="F63" i="49"/>
  <c r="E63" i="49"/>
  <c r="H66" i="49"/>
  <c r="F66" i="49"/>
  <c r="H81" i="49"/>
  <c r="F22" i="49"/>
  <c r="H22" i="49"/>
  <c r="H24" i="49"/>
  <c r="F24" i="49"/>
  <c r="H23" i="49"/>
  <c r="F23" i="49"/>
  <c r="D19" i="25"/>
  <c r="D21" i="25"/>
  <c r="H79" i="49"/>
  <c r="F79" i="49"/>
  <c r="H19" i="34"/>
  <c r="G19" i="34"/>
  <c r="F19" i="34"/>
  <c r="F40" i="49"/>
  <c r="H80" i="49"/>
  <c r="F80" i="49"/>
  <c r="F81" i="49"/>
  <c r="H77" i="49"/>
  <c r="G77" i="49"/>
  <c r="F77" i="49"/>
  <c r="E77" i="49"/>
  <c r="H40" i="49"/>
  <c r="H17" i="49"/>
  <c r="G17" i="49"/>
  <c r="F17" i="49"/>
  <c r="E17" i="49"/>
  <c r="H38" i="49"/>
  <c r="F38" i="49"/>
  <c r="H37" i="49"/>
  <c r="F37" i="49"/>
  <c r="H36" i="49"/>
  <c r="F36" i="49"/>
  <c r="H35" i="49"/>
  <c r="F35" i="49"/>
  <c r="H34" i="49"/>
  <c r="F34" i="49"/>
  <c r="H33" i="49"/>
  <c r="F33" i="49"/>
  <c r="H32" i="49"/>
  <c r="F32" i="49"/>
  <c r="H31" i="49"/>
  <c r="F31" i="49"/>
  <c r="H30" i="49"/>
  <c r="F30" i="49"/>
  <c r="H29" i="49"/>
  <c r="F29" i="49"/>
  <c r="H28" i="49"/>
  <c r="F28" i="49"/>
  <c r="H27" i="49"/>
  <c r="F27" i="49"/>
  <c r="H26" i="49"/>
  <c r="F26" i="49"/>
  <c r="H25" i="49"/>
  <c r="F25" i="49"/>
  <c r="H19" i="49"/>
  <c r="F19" i="49"/>
  <c r="M16" i="49"/>
  <c r="J16" i="49"/>
  <c r="N9" i="78"/>
  <c r="H24" i="78"/>
  <c r="G24" i="78"/>
  <c r="F24" i="78"/>
  <c r="H22" i="78"/>
  <c r="G22" i="78"/>
  <c r="F22" i="78"/>
  <c r="H21" i="78"/>
  <c r="G21" i="78"/>
  <c r="F21" i="78"/>
  <c r="H20" i="78"/>
  <c r="G20" i="78"/>
  <c r="F20" i="78"/>
  <c r="H18" i="78"/>
  <c r="G18" i="78"/>
  <c r="F18" i="78"/>
  <c r="J33" i="78"/>
  <c r="H36" i="78"/>
  <c r="G36" i="78"/>
  <c r="F36" i="78"/>
  <c r="H35" i="78"/>
  <c r="G35" i="78"/>
  <c r="F35" i="78"/>
  <c r="H34" i="78"/>
  <c r="G34" i="78"/>
  <c r="F34" i="78"/>
  <c r="H33" i="78"/>
  <c r="G33" i="78"/>
  <c r="F33" i="78"/>
  <c r="H32" i="78"/>
  <c r="G32" i="78"/>
  <c r="F32" i="78"/>
  <c r="H30" i="78"/>
  <c r="G30" i="78"/>
  <c r="F30" i="78"/>
  <c r="E30" i="78"/>
  <c r="H16" i="78"/>
  <c r="G16" i="78"/>
  <c r="F16" i="78"/>
  <c r="E16" i="78"/>
  <c r="H63" i="34"/>
  <c r="H99" i="34"/>
  <c r="F99" i="34"/>
  <c r="H110" i="34"/>
  <c r="F110" i="34"/>
  <c r="H109" i="34"/>
  <c r="F109" i="34"/>
  <c r="H108" i="34"/>
  <c r="F108" i="34"/>
  <c r="H107" i="34"/>
  <c r="F107" i="34"/>
  <c r="H104" i="34"/>
  <c r="H106" i="34"/>
  <c r="F106" i="34"/>
  <c r="H100" i="34"/>
  <c r="F100" i="34"/>
  <c r="H98" i="34"/>
  <c r="F98" i="34"/>
  <c r="H97" i="34"/>
  <c r="F97" i="34"/>
  <c r="H95" i="34"/>
  <c r="D12" i="28"/>
  <c r="H10" i="78"/>
  <c r="G10" i="78"/>
  <c r="F10" i="78"/>
  <c r="E10" i="78"/>
  <c r="B10" i="78"/>
  <c r="B9" i="78"/>
  <c r="B8" i="78"/>
  <c r="B7" i="78"/>
  <c r="B6" i="78"/>
  <c r="B5" i="78"/>
  <c r="B4" i="78"/>
  <c r="B3" i="78"/>
  <c r="D13" i="28"/>
  <c r="D20" i="25"/>
  <c r="H10" i="49"/>
  <c r="G10" i="49"/>
  <c r="F10" i="49"/>
  <c r="E10" i="49"/>
  <c r="B10" i="49"/>
  <c r="N9" i="49"/>
  <c r="B9" i="49"/>
  <c r="B8" i="49"/>
  <c r="B7" i="49"/>
  <c r="B6" i="49"/>
  <c r="B5" i="49"/>
  <c r="B4" i="49"/>
  <c r="B3" i="49"/>
  <c r="D11" i="28"/>
  <c r="H18" i="34"/>
  <c r="G18" i="34"/>
  <c r="F18" i="34"/>
  <c r="H16" i="34"/>
  <c r="G16" i="34"/>
  <c r="F16" i="34"/>
  <c r="E16" i="34"/>
  <c r="H10" i="34"/>
  <c r="G10" i="34"/>
  <c r="F10" i="34"/>
  <c r="E10" i="34"/>
  <c r="B10" i="34"/>
  <c r="U9" i="34"/>
  <c r="B9" i="34"/>
  <c r="B8" i="34"/>
  <c r="B7" i="34"/>
  <c r="B6" i="34"/>
  <c r="B5" i="34"/>
  <c r="B4" i="34"/>
  <c r="B3" i="34"/>
  <c r="D58" i="4"/>
  <c r="E66" i="4"/>
  <c r="D66" i="4"/>
  <c r="D52" i="4"/>
  <c r="B3" i="25"/>
  <c r="B3" i="4"/>
  <c r="D18" i="28"/>
  <c r="D17" i="28"/>
  <c r="B6" i="28"/>
  <c r="B4" i="28"/>
  <c r="B4" i="25"/>
  <c r="B4" i="4"/>
  <c r="A1" i="78"/>
  <c r="H21" i="25" s="1"/>
  <c r="A1" i="34"/>
  <c r="H19" i="25" s="1"/>
  <c r="J18" i="34" l="1"/>
  <c r="K18" i="34"/>
  <c r="K16" i="4"/>
  <c r="I7" i="79"/>
  <c r="I14" i="4"/>
  <c r="H20" i="25"/>
  <c r="H23" i="25" s="1"/>
  <c r="H8" i="25" s="1"/>
  <c r="H10" i="25" s="1"/>
  <c r="B2" i="78" s="1"/>
  <c r="J68" i="49"/>
  <c r="J73" i="49" s="1"/>
  <c r="K73" i="49" s="1"/>
  <c r="Q21" i="49"/>
  <c r="R21" i="49" s="1"/>
  <c r="Q35" i="49"/>
  <c r="R35" i="49" s="1"/>
  <c r="Q25" i="49"/>
  <c r="R25" i="49" s="1"/>
  <c r="Q24" i="49"/>
  <c r="R24" i="49" s="1"/>
  <c r="Q30" i="49"/>
  <c r="R30" i="49" s="1"/>
  <c r="Q36" i="49"/>
  <c r="R36" i="49" s="1"/>
  <c r="Q19" i="49"/>
  <c r="R19" i="49" s="1"/>
  <c r="Q20" i="49"/>
  <c r="R20" i="49" s="1"/>
  <c r="Q31" i="49"/>
  <c r="R31" i="49" s="1"/>
  <c r="Q26" i="49"/>
  <c r="R26" i="49" s="1"/>
  <c r="Q27" i="49"/>
  <c r="R27" i="49" s="1"/>
  <c r="Q22" i="49"/>
  <c r="R22" i="49" s="1"/>
  <c r="Q37" i="49"/>
  <c r="R37" i="49" s="1"/>
  <c r="Q32" i="49"/>
  <c r="R32" i="49" s="1"/>
  <c r="Q38" i="49"/>
  <c r="R38" i="49" s="1"/>
  <c r="Q33" i="49"/>
  <c r="R33" i="49" s="1"/>
  <c r="Q28" i="49"/>
  <c r="R28" i="49" s="1"/>
  <c r="Q23" i="49"/>
  <c r="R23" i="49" s="1"/>
  <c r="Q34" i="49"/>
  <c r="R34" i="49" s="1"/>
  <c r="Q29" i="49"/>
  <c r="R29" i="49" s="1"/>
  <c r="L16" i="4" l="1"/>
  <c r="I15" i="4"/>
  <c r="I5" i="79"/>
  <c r="J81" i="49"/>
  <c r="J24" i="78" s="1"/>
  <c r="B2" i="4"/>
  <c r="B2" i="79"/>
  <c r="B2" i="28"/>
  <c r="B2" i="34"/>
  <c r="B2" i="49"/>
  <c r="B2" i="25"/>
  <c r="J79" i="49" a="1"/>
  <c r="R40" i="49"/>
  <c r="K81" i="49"/>
  <c r="K24" i="78" s="1"/>
  <c r="L73" i="49"/>
  <c r="J80" i="49" l="1"/>
  <c r="J20" i="78" s="1"/>
  <c r="J26" i="78" s="1"/>
  <c r="I6" i="79"/>
  <c r="I17" i="4"/>
  <c r="J14" i="4"/>
  <c r="M16" i="4"/>
  <c r="M73" i="49"/>
  <c r="L81" i="49"/>
  <c r="L24" i="78" s="1"/>
  <c r="L26" i="78" l="1"/>
  <c r="K26" i="78"/>
  <c r="J15" i="4"/>
  <c r="I19" i="4"/>
  <c r="I8" i="79"/>
  <c r="N16" i="4"/>
  <c r="M81" i="49"/>
  <c r="M24" i="78" s="1"/>
  <c r="N73" i="49"/>
  <c r="N81" i="49" s="1"/>
  <c r="N24" i="78" s="1"/>
  <c r="N26" i="78" l="1"/>
  <c r="M26" i="78"/>
  <c r="N16" i="34"/>
  <c r="I10" i="79"/>
  <c r="O16" i="4"/>
  <c r="P16" i="4" s="1"/>
  <c r="J17" i="4"/>
  <c r="K14" i="4"/>
  <c r="Q16" i="4" l="1"/>
  <c r="K15" i="4"/>
  <c r="J19" i="4"/>
  <c r="I28" i="79"/>
  <c r="I16" i="79"/>
  <c r="R16" i="4" l="1"/>
  <c r="K17" i="4"/>
  <c r="L14" i="4"/>
  <c r="L15" i="4" l="1"/>
  <c r="K19" i="4"/>
  <c r="O16" i="34"/>
  <c r="O63" i="34"/>
  <c r="J16" i="79"/>
  <c r="J28" i="79"/>
  <c r="N7" i="78" l="1"/>
  <c r="N7" i="49"/>
  <c r="U7" i="34"/>
  <c r="L17" i="4"/>
  <c r="M14" i="4"/>
  <c r="M15" i="4" l="1"/>
  <c r="P63" i="34"/>
  <c r="P16" i="34"/>
  <c r="L19" i="4"/>
  <c r="M17" i="4" l="1"/>
  <c r="N14" i="4"/>
  <c r="J77" i="49" l="1"/>
  <c r="J63" i="49"/>
  <c r="N15" i="4"/>
  <c r="J16" i="78"/>
  <c r="M19" i="4"/>
  <c r="Q63" i="34"/>
  <c r="Q16" i="34"/>
  <c r="R16" i="34" l="1"/>
  <c r="K16" i="78"/>
  <c r="N17" i="4"/>
  <c r="O14" i="4"/>
  <c r="N19" i="4" l="1"/>
  <c r="K77" i="49"/>
  <c r="K63" i="49"/>
  <c r="O15" i="4"/>
  <c r="P14" i="4" s="1"/>
  <c r="P15" i="4" s="1"/>
  <c r="P17" i="4" l="1"/>
  <c r="P19" i="4" s="1"/>
  <c r="Q14" i="4"/>
  <c r="Q15" i="4" s="1"/>
  <c r="O17" i="4"/>
  <c r="S16" i="34"/>
  <c r="L16" i="78"/>
  <c r="Q17" i="4" l="1"/>
  <c r="Q19" i="4" s="1"/>
  <c r="R14" i="4"/>
  <c r="R15" i="4" s="1"/>
  <c r="S14" i="4" s="1"/>
  <c r="S15" i="4" s="1"/>
  <c r="L77" i="49"/>
  <c r="L63" i="49"/>
  <c r="O19" i="4"/>
  <c r="S17" i="4" l="1"/>
  <c r="S19" i="4" s="1"/>
  <c r="T14" i="4"/>
  <c r="T15" i="4" s="1"/>
  <c r="T17" i="4" s="1"/>
  <c r="T19" i="4" s="1"/>
  <c r="R17" i="4"/>
  <c r="R19" i="4" s="1"/>
  <c r="T16" i="34"/>
  <c r="M16" i="78"/>
  <c r="U5" i="34" l="1"/>
  <c r="N5" i="49"/>
  <c r="N5" i="78"/>
  <c r="M77" i="49"/>
  <c r="M63" i="49"/>
  <c r="N6" i="78" l="1"/>
  <c r="N6" i="49"/>
  <c r="U6" i="34"/>
  <c r="U8" i="34" l="1"/>
  <c r="N8" i="49"/>
  <c r="N8" i="78"/>
  <c r="N10" i="78" l="1"/>
  <c r="N10" i="49"/>
  <c r="U10" i="34"/>
  <c r="U16" i="34" s="1"/>
  <c r="N77" i="49" l="1"/>
  <c r="N63" i="49"/>
  <c r="N16" i="78"/>
  <c r="J30" i="78"/>
  <c r="K18" i="78" l="1"/>
  <c r="J18" i="78"/>
  <c r="L18" i="78" l="1"/>
  <c r="M18" i="78"/>
  <c r="J79" i="4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 Grace-Webb</author>
  </authors>
  <commentList>
    <comment ref="Q17" authorId="0" shapeId="0" xr:uid="{00000000-0006-0000-0500-000001000000}">
      <text>
        <r>
          <rPr>
            <b/>
            <sz val="9"/>
            <color indexed="81"/>
            <rFont val="Tahoma"/>
            <family val="2"/>
          </rPr>
          <t>Note:</t>
        </r>
        <r>
          <rPr>
            <sz val="9"/>
            <color indexed="81"/>
            <rFont val="Tahoma"/>
            <family val="2"/>
          </rPr>
          <t xml:space="preserve">
Semi-annual yield calculated by interpolating the yield on the bonds that fall either side of the target date</t>
        </r>
      </text>
    </comment>
  </commentList>
</comments>
</file>

<file path=xl/sharedStrings.xml><?xml version="1.0" encoding="utf-8"?>
<sst xmlns="http://schemas.openxmlformats.org/spreadsheetml/2006/main" count="449" uniqueCount="225">
  <si>
    <t>General Model Constant</t>
  </si>
  <si>
    <t>Name</t>
  </si>
  <si>
    <t>Mths_In_Mth</t>
  </si>
  <si>
    <t>Mths_In_Qtr</t>
  </si>
  <si>
    <t>Mths_In_Yr</t>
  </si>
  <si>
    <t>Heading 1</t>
  </si>
  <si>
    <t>Ok</t>
  </si>
  <si>
    <t>Error</t>
  </si>
  <si>
    <t>Half</t>
  </si>
  <si>
    <t>Yes</t>
  </si>
  <si>
    <t>No</t>
  </si>
  <si>
    <t>Yes_No</t>
  </si>
  <si>
    <t>Error Checks</t>
  </si>
  <si>
    <t>Days_In_Wk</t>
  </si>
  <si>
    <t>Assumptions</t>
  </si>
  <si>
    <t>Checks</t>
  </si>
  <si>
    <t>Error Message</t>
  </si>
  <si>
    <t>Model Title Message</t>
  </si>
  <si>
    <t>Alert Message</t>
  </si>
  <si>
    <t>Model Message</t>
  </si>
  <si>
    <t>Input</t>
  </si>
  <si>
    <t>Output</t>
  </si>
  <si>
    <t>Cells containing input texts/numbers NOT intended to be changed by model users</t>
  </si>
  <si>
    <t>Cells containing formulae NOT intended to be changed by model users</t>
  </si>
  <si>
    <t>Heading 2</t>
  </si>
  <si>
    <t>Cells containing assumptions intended to be manipulated by model users</t>
  </si>
  <si>
    <t>Level 1 heading NOT intended to be changed by model users</t>
  </si>
  <si>
    <t>Level 2 heading NOT intended to be changed by model users</t>
  </si>
  <si>
    <t>Model Developer:</t>
  </si>
  <si>
    <t>Purpose of the Model:</t>
  </si>
  <si>
    <t>Model Settings</t>
  </si>
  <si>
    <t>Model Checks</t>
  </si>
  <si>
    <t>End</t>
  </si>
  <si>
    <t>Qtrs_In_Yr</t>
  </si>
  <si>
    <t>N/A</t>
  </si>
  <si>
    <t>NA</t>
  </si>
  <si>
    <t>Model Legend:</t>
  </si>
  <si>
    <t>Cells where inputs or outputs are not applicable</t>
  </si>
  <si>
    <t>Cells containing a drop down list for users to select inputs</t>
  </si>
  <si>
    <t>Cells containing a hyperlink to another part of the workbook</t>
  </si>
  <si>
    <t>Cells representing there is an error in the nominated area of the workbook</t>
  </si>
  <si>
    <t>Cells representing there are no errors in the nominated area of the workbook</t>
  </si>
  <si>
    <t>Cells containing a link from external workbooks</t>
  </si>
  <si>
    <t>Drop Down</t>
  </si>
  <si>
    <t>Hyperlink</t>
  </si>
  <si>
    <t>Model Lookups</t>
  </si>
  <si>
    <t>Days_In_Yr</t>
  </si>
  <si>
    <t>Total Errors</t>
  </si>
  <si>
    <t>Table of Contents</t>
  </si>
  <si>
    <t>Appendix</t>
  </si>
  <si>
    <t>Go to Cover Sheet</t>
  </si>
  <si>
    <t>Period Counter</t>
  </si>
  <si>
    <t>Period Start Date</t>
  </si>
  <si>
    <t>Period End Date</t>
  </si>
  <si>
    <t>Model Start Date</t>
  </si>
  <si>
    <t>Periodicity Inputs</t>
  </si>
  <si>
    <t>Time Series Headings</t>
  </si>
  <si>
    <t>Year</t>
  </si>
  <si>
    <t>Period Type</t>
  </si>
  <si>
    <t>Actual</t>
  </si>
  <si>
    <t>Forecast</t>
  </si>
  <si>
    <t>Regulatory Year</t>
  </si>
  <si>
    <t>Source</t>
  </si>
  <si>
    <t>Unit</t>
  </si>
  <si>
    <t>Basis</t>
  </si>
  <si>
    <t>Timing</t>
  </si>
  <si>
    <t>Real $2018</t>
  </si>
  <si>
    <t>Nominal</t>
  </si>
  <si>
    <t>Real$2018</t>
  </si>
  <si>
    <t>LU_Basis</t>
  </si>
  <si>
    <t>Units</t>
  </si>
  <si>
    <t>Percent</t>
  </si>
  <si>
    <t>Dollars</t>
  </si>
  <si>
    <t>Factor</t>
  </si>
  <si>
    <t>$Millions</t>
  </si>
  <si>
    <t>$000's</t>
  </si>
  <si>
    <t>Millions</t>
  </si>
  <si>
    <t>Thousands</t>
  </si>
  <si>
    <t>LU_Units</t>
  </si>
  <si>
    <t>Start year</t>
  </si>
  <si>
    <t>Mid year</t>
  </si>
  <si>
    <t>End year</t>
  </si>
  <si>
    <t>LU_Timing</t>
  </si>
  <si>
    <t>LU_Timing_Value</t>
  </si>
  <si>
    <t>End_year</t>
  </si>
  <si>
    <t>Mid_year</t>
  </si>
  <si>
    <t>Start_year</t>
  </si>
  <si>
    <t>Category Heading</t>
  </si>
  <si>
    <t>Calculated</t>
  </si>
  <si>
    <t>Not Applicable</t>
  </si>
  <si>
    <t>GWh</t>
  </si>
  <si>
    <t>MWh</t>
  </si>
  <si>
    <t>Number</t>
  </si>
  <si>
    <t>Km</t>
  </si>
  <si>
    <t>Kilometres</t>
  </si>
  <si>
    <t>Disclaimer:</t>
  </si>
  <si>
    <t>CPI Assumptions</t>
  </si>
  <si>
    <t>RBA</t>
  </si>
  <si>
    <t>Real $2019</t>
  </si>
  <si>
    <t>Real$2019</t>
  </si>
  <si>
    <t>Debt Raising Costs</t>
  </si>
  <si>
    <t>Inflation</t>
  </si>
  <si>
    <t>Bond details</t>
  </si>
  <si>
    <t>Bond 1</t>
  </si>
  <si>
    <t>Bond 2</t>
  </si>
  <si>
    <t>Issue ID</t>
  </si>
  <si>
    <t>Maturity</t>
  </si>
  <si>
    <t>Date</t>
  </si>
  <si>
    <t>Yields by date</t>
  </si>
  <si>
    <t>Yield</t>
  </si>
  <si>
    <t>Parameter assumptions</t>
  </si>
  <si>
    <t>Value</t>
  </si>
  <si>
    <t>Parameter</t>
  </si>
  <si>
    <t>Market risk premium</t>
  </si>
  <si>
    <t>AER</t>
  </si>
  <si>
    <t>Equity beta</t>
  </si>
  <si>
    <t>Leverage</t>
  </si>
  <si>
    <t>Return on equity</t>
  </si>
  <si>
    <t>Return on equity and debt</t>
  </si>
  <si>
    <t>Debt and equity raising costs</t>
  </si>
  <si>
    <t>Imputation Credit Payout Ratio</t>
  </si>
  <si>
    <t>Subsequent Equity Raising Costs</t>
  </si>
  <si>
    <t>Dividend Reinvestment Plan Costs</t>
  </si>
  <si>
    <t>Dividend Reinvestment Plan Take Up</t>
  </si>
  <si>
    <t>Value of imputation credits</t>
  </si>
  <si>
    <t>Prevailing market data</t>
  </si>
  <si>
    <t>Forecast inflation</t>
  </si>
  <si>
    <t>PTRM inputs</t>
  </si>
  <si>
    <t>Cost of Capital</t>
  </si>
  <si>
    <t>Debt and Equity Raising Costs – Transaction Costs (per cent)</t>
  </si>
  <si>
    <t>Inflation Rate</t>
  </si>
  <si>
    <t>Return on Equity</t>
  </si>
  <si>
    <t>Value of Imputation Credits (gamma)</t>
  </si>
  <si>
    <t>Proportion of Debt Funding</t>
  </si>
  <si>
    <t>Risk-free rate</t>
  </si>
  <si>
    <t>Interpolated</t>
  </si>
  <si>
    <t>Bond yield</t>
  </si>
  <si>
    <t>Annualised</t>
  </si>
  <si>
    <t>Risk-free rate estimate</t>
  </si>
  <si>
    <t>Rate of return estimates</t>
  </si>
  <si>
    <t>Return on debt</t>
  </si>
  <si>
    <t>Trailing Average Portfolio Return on Debt</t>
  </si>
  <si>
    <t>Actual inflation</t>
  </si>
  <si>
    <t>ABS</t>
  </si>
  <si>
    <t>Actual and forecasts</t>
  </si>
  <si>
    <t>Rate of return inputs</t>
  </si>
  <si>
    <t>Rate of return calculations</t>
  </si>
  <si>
    <t>Inputs to PTRM</t>
  </si>
  <si>
    <r>
      <rPr>
        <b/>
        <sz val="10"/>
        <color theme="1"/>
        <rFont val="Helvetica"/>
      </rPr>
      <t>Note</t>
    </r>
    <r>
      <rPr>
        <sz val="10"/>
        <color theme="1"/>
        <rFont val="Helvetica"/>
        <family val="2"/>
      </rPr>
      <t>: Actual inflation based on movement in CPI from June to June quarter</t>
    </r>
  </si>
  <si>
    <t>Weights</t>
  </si>
  <si>
    <t>Main Model</t>
  </si>
  <si>
    <t>▲ Mid-point of the RBA's inflation target range</t>
  </si>
  <si>
    <t>Return on Debt</t>
  </si>
  <si>
    <t>Annual observations</t>
  </si>
  <si>
    <t>Adopted</t>
  </si>
  <si>
    <t>New observation</t>
  </si>
  <si>
    <t>Trailing average</t>
  </si>
  <si>
    <t>Estimated</t>
  </si>
  <si>
    <t>Trailing average return on debt</t>
  </si>
  <si>
    <t>Gigawatt Hours</t>
  </si>
  <si>
    <t>Megawatt Hours</t>
  </si>
  <si>
    <t>LU_Source</t>
  </si>
  <si>
    <t>Annual observation</t>
  </si>
  <si>
    <t>Weight applied to new observations</t>
  </si>
  <si>
    <t>Commonwealth Government Securities (Table F16)</t>
  </si>
  <si>
    <t>Estimate</t>
  </si>
  <si>
    <t>CPI inputs</t>
  </si>
  <si>
    <t>CPI Profiles</t>
  </si>
  <si>
    <t>Unlagged - June to June</t>
  </si>
  <si>
    <t>Lagged - Dec to Dec</t>
  </si>
  <si>
    <t>Nominal vanilla WACC</t>
  </si>
  <si>
    <t>(Dec 2022)</t>
  </si>
  <si>
    <t>Period Source Type</t>
  </si>
  <si>
    <t>TGD has not verified the inputs or the outputs of this model and makes no representation or warranty as to the completeness, accuracy, reliability or appropriateness of the model, its inputs and outputs (including any forward looking statements) or how it functions.  To the extent permitted by law, any person using or relying on this model or its outputs does so at their own risk and agrees that TGD will not be liable to any person for any loss or damage of any kind arising out of or in any way connected with the use of this model (including negligence).   The references to TGD in this disclaimer includes their respective directors, officers, employees, contractors, advisers or agents.</t>
  </si>
  <si>
    <t>(Dec 2023)</t>
  </si>
  <si>
    <t>(Dec 2024)</t>
  </si>
  <si>
    <t>(Dec 2025)</t>
  </si>
  <si>
    <t>Transgrid</t>
  </si>
  <si>
    <t>This model is confidential information of, and is owned by, Transgrid ABN/ACN 70 250 995 390 (TGD).  It may not be disclosed to, or used or relied on by, any person without the consent of TGD.</t>
  </si>
  <si>
    <r>
      <rPr>
        <b/>
        <sz val="10"/>
        <color theme="1"/>
        <rFont val="Helvetica"/>
      </rPr>
      <t>Note</t>
    </r>
    <r>
      <rPr>
        <sz val="10"/>
        <color theme="1"/>
        <rFont val="Helvetica"/>
        <family val="2"/>
      </rPr>
      <t>: Actual inflation based on movement in CPI from December to December quarter</t>
    </r>
    <r>
      <rPr>
        <sz val="10"/>
        <color theme="1"/>
        <rFont val="Helvetica"/>
      </rPr>
      <t xml:space="preserve"> where the value in FY22 represents the movement between Dec 20 to Dec 21</t>
    </r>
  </si>
  <si>
    <t>◄ As per the Final Decision for the 2023-28 revenue determination.</t>
  </si>
  <si>
    <t>Rate of Return Model - Transgrid (TGD) - CWOREZ</t>
  </si>
  <si>
    <t>(Dec 2021)</t>
  </si>
  <si>
    <t>(Dec 2020)</t>
  </si>
  <si>
    <t>(Dec 2019)</t>
  </si>
  <si>
    <t>▲ RBA forecast ▲</t>
  </si>
  <si>
    <t xml:space="preserve">▲                 Glide path                 ▲ </t>
  </si>
  <si>
    <t>◄ Placeholder based on return on debt update for 2024-25 within Transgrid 2023-28 final decision.</t>
  </si>
  <si>
    <r>
      <rPr>
        <b/>
        <sz val="10"/>
        <color theme="1"/>
        <rFont val="Helvetica"/>
      </rPr>
      <t>Source</t>
    </r>
    <r>
      <rPr>
        <sz val="10"/>
        <color theme="1"/>
        <rFont val="Helvetica"/>
        <family val="2"/>
      </rPr>
      <t>: ABS (TABLES 3 and 4. CPI: Groups, Weighted Average of Eight Capital Cities, Index Numbers and Percentage Changes, A2325846C); RBA statement on monetary policy, February 2025</t>
    </r>
    <r>
      <rPr>
        <sz val="10"/>
        <color theme="1"/>
        <rFont val="Helvetica"/>
      </rPr>
      <t>, Table: Output Growth, Unemployment and Inflation Forecasts</t>
    </r>
  </si>
  <si>
    <r>
      <rPr>
        <b/>
        <sz val="10"/>
        <color theme="1"/>
        <rFont val="Helvetica"/>
      </rPr>
      <t>Source</t>
    </r>
    <r>
      <rPr>
        <sz val="10"/>
        <color theme="1"/>
        <rFont val="Helvetica"/>
        <family val="2"/>
      </rPr>
      <t>: ABS (TABLES 3 and 4. CPI: Groups, Weighted Average of Eight Capital Cities, Index Numbers and Percentage Changes, A2325846C); RBA statement on monetary policy, February 2025, Table: Output Growth, Unemployment and Inflation Forecasts</t>
    </r>
  </si>
  <si>
    <t>TB168</t>
  </si>
  <si>
    <t>TB145</t>
  </si>
  <si>
    <t>2024-25 Risk-Free Rate</t>
  </si>
  <si>
    <t>Historical Observations</t>
  </si>
  <si>
    <t>2025 return on debt observation</t>
  </si>
  <si>
    <t>BBB rated corporate bonds</t>
  </si>
  <si>
    <t>Bloomberg</t>
  </si>
  <si>
    <t>Refinitiv</t>
  </si>
  <si>
    <t>A rated corporate bonds</t>
  </si>
  <si>
    <t>Average</t>
  </si>
  <si>
    <t>BBB+ rated bonds</t>
  </si>
  <si>
    <t>Weighted Avg</t>
  </si>
  <si>
    <t>Return on debt estimate</t>
  </si>
  <si>
    <t>Geomean</t>
  </si>
  <si>
    <t>The purpose of this model is to provide rate of return outputs which are required as part of the CWO RNIP revenue proposal.</t>
  </si>
  <si>
    <t>04-Mar-2025</t>
  </si>
  <si>
    <t>05-Mar-2025</t>
  </si>
  <si>
    <t>06-Mar-2025</t>
  </si>
  <si>
    <t>07-Mar-2025</t>
  </si>
  <si>
    <t>10-Mar-2025</t>
  </si>
  <si>
    <t>11-Mar-2025</t>
  </si>
  <si>
    <t>12-Mar-2025</t>
  </si>
  <si>
    <t>13-Mar-2025</t>
  </si>
  <si>
    <t>14-Mar-2025</t>
  </si>
  <si>
    <t>17-Mar-2025</t>
  </si>
  <si>
    <t>18-Mar-2025</t>
  </si>
  <si>
    <t>19-Mar-2025</t>
  </si>
  <si>
    <t>20-Mar-2025</t>
  </si>
  <si>
    <t>21-Mar-2025</t>
  </si>
  <si>
    <t>24-Mar-2025</t>
  </si>
  <si>
    <t>25-Mar-2025</t>
  </si>
  <si>
    <t>26-Mar-2025</t>
  </si>
  <si>
    <t>27-Mar-2025</t>
  </si>
  <si>
    <t>28-Mar-2025</t>
  </si>
  <si>
    <t>31-Mar-2025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</si>
</sst>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0_);\(###0\);_(###0_)"/>
    <numFmt numFmtId="165" formatCode="_(#,##0.0_);\(#,##0.0\);_(&quot;-&quot;_)"/>
    <numFmt numFmtId="166" formatCode="_(#,##0.0\x_);\(#,##0.0\x\);_(&quot;-&quot;_)"/>
    <numFmt numFmtId="167" formatCode="_(#,##0.0%_);\(#,##0.0%\);_(&quot;-&quot;_)"/>
    <numFmt numFmtId="168" formatCode="_(&quot;$&quot;#,##0.00_);\(&quot;$&quot;#,##0.00\);_(&quot;-&quot;_)"/>
    <numFmt numFmtId="169" formatCode="_(#,##0_);\(#,##0\);_(&quot;-&quot;_)"/>
    <numFmt numFmtId="170" formatCode="_)d\-mmm\-yy_)"/>
    <numFmt numFmtId="171" formatCode="_(&quot;$&quot;#,##0.0_);\(&quot;$&quot;#,##0.0\);_(&quot;-&quot;_)"/>
    <numFmt numFmtId="172" formatCode="0.0"/>
    <numFmt numFmtId="173" formatCode="[Red]\●;[Red]\●;[Color10]\●"/>
    <numFmt numFmtId="174" formatCode="[Green]\●;[Red]\●;[Color16]\●"/>
    <numFmt numFmtId="175" formatCode="_(#,##0.00%_);\(#,##0.00%\);_(&quot;-&quot;_)"/>
    <numFmt numFmtId="176" formatCode="_-* #,##0_-;\-* #,##0_-;_-* &quot;-&quot;??_-;_-@_-"/>
    <numFmt numFmtId="177" formatCode="0.0000%"/>
    <numFmt numFmtId="178" formatCode="_(#,##0.0000_);\(#,##0.0000\);_(&quot;-&quot;_)"/>
  </numFmts>
  <fonts count="47" x14ac:knownFonts="1">
    <font>
      <sz val="8"/>
      <color rgb="FFFF0066"/>
      <name val="Helvetica"/>
      <family val="2"/>
    </font>
    <font>
      <b/>
      <sz val="9"/>
      <color theme="1"/>
      <name val="Helvetica"/>
      <family val="2"/>
    </font>
    <font>
      <sz val="8"/>
      <color theme="1"/>
      <name val="Helvetica"/>
      <family val="2"/>
    </font>
    <font>
      <b/>
      <sz val="8"/>
      <color theme="1"/>
      <name val="Helvetica"/>
      <family val="2"/>
    </font>
    <font>
      <b/>
      <sz val="11"/>
      <color theme="1"/>
      <name val="Calibri"/>
      <family val="2"/>
      <scheme val="minor"/>
    </font>
    <font>
      <sz val="8"/>
      <name val="Helvetica"/>
      <family val="2"/>
    </font>
    <font>
      <b/>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8"/>
      <color theme="10"/>
      <name val="Helvetica"/>
      <family val="2"/>
    </font>
    <font>
      <b/>
      <sz val="15"/>
      <color theme="1"/>
      <name val="Helvetica"/>
      <family val="2"/>
    </font>
    <font>
      <i/>
      <sz val="8"/>
      <color rgb="FF92D050"/>
      <name val="Helvetica"/>
      <family val="2"/>
    </font>
    <font>
      <b/>
      <sz val="8"/>
      <color theme="0"/>
      <name val="Helvetica"/>
      <family val="2"/>
    </font>
    <font>
      <b/>
      <sz val="8"/>
      <color theme="4"/>
      <name val="Helvetica"/>
      <family val="2"/>
    </font>
    <font>
      <sz val="8"/>
      <color theme="4"/>
      <name val="Helvetica"/>
      <family val="2"/>
    </font>
    <font>
      <sz val="7"/>
      <color theme="4"/>
      <name val="Helvetica"/>
      <family val="2"/>
    </font>
    <font>
      <b/>
      <sz val="15"/>
      <color theme="4"/>
      <name val="Helvetica"/>
      <family val="2"/>
    </font>
    <font>
      <i/>
      <sz val="8"/>
      <color theme="6" tint="0.39994506668294322"/>
      <name val="Helvetica"/>
      <family val="2"/>
    </font>
    <font>
      <b/>
      <sz val="10"/>
      <color theme="1"/>
      <name val="Helvetica"/>
      <family val="2"/>
    </font>
    <font>
      <sz val="10"/>
      <color theme="1"/>
      <name val="Helvetica"/>
      <family val="2"/>
    </font>
    <font>
      <sz val="10"/>
      <color theme="4"/>
      <name val="Helvetica"/>
      <family val="2"/>
    </font>
    <font>
      <b/>
      <sz val="10"/>
      <color theme="4"/>
      <name val="Helvetica"/>
      <family val="2"/>
    </font>
    <font>
      <b/>
      <sz val="11"/>
      <color theme="1"/>
      <name val="Helvetica"/>
      <family val="2"/>
    </font>
    <font>
      <b/>
      <sz val="11"/>
      <color theme="4"/>
      <name val="Helvetica"/>
      <family val="2"/>
    </font>
    <font>
      <b/>
      <sz val="12"/>
      <color theme="0"/>
      <name val="Helvetica"/>
      <family val="2"/>
    </font>
    <font>
      <sz val="10"/>
      <name val="Helvetica"/>
      <family val="2"/>
    </font>
    <font>
      <b/>
      <sz val="10"/>
      <color theme="1"/>
      <name val="Helvetica"/>
    </font>
    <font>
      <b/>
      <sz val="10"/>
      <name val="Helvetica"/>
      <family val="2"/>
    </font>
    <font>
      <sz val="10"/>
      <color theme="1"/>
      <name val="Helvetica"/>
    </font>
    <font>
      <sz val="8"/>
      <color rgb="FFFF0066"/>
      <name val="Helvetica"/>
      <family val="2"/>
    </font>
    <font>
      <b/>
      <sz val="8"/>
      <color indexed="8"/>
      <name val="Arial"/>
      <family val="2"/>
    </font>
    <font>
      <i/>
      <sz val="8"/>
      <color indexed="8"/>
      <name val="Arial"/>
      <family val="2"/>
    </font>
    <font>
      <sz val="8"/>
      <color indexed="8"/>
      <name val="Arial"/>
      <family val="2"/>
    </font>
    <font>
      <b/>
      <sz val="9"/>
      <color indexed="81"/>
      <name val="Tahoma"/>
      <family val="2"/>
    </font>
    <font>
      <sz val="9"/>
      <color indexed="81"/>
      <name val="Tahoma"/>
      <family val="2"/>
    </font>
    <font>
      <sz val="10"/>
      <color rgb="FFFF0000"/>
      <name val="Helvetica"/>
      <family val="2"/>
    </font>
    <font>
      <i/>
      <sz val="8"/>
      <name val="Helvetica"/>
    </font>
    <font>
      <sz val="10"/>
      <color theme="4"/>
      <name val="Helvetica"/>
    </font>
    <font>
      <b/>
      <i/>
      <sz val="10"/>
      <color theme="4"/>
      <name val="Helvetica"/>
    </font>
  </fonts>
  <fills count="19">
    <fill>
      <patternFill patternType="none"/>
    </fill>
    <fill>
      <patternFill patternType="gray125"/>
    </fill>
    <fill>
      <patternFill patternType="solid">
        <fgColor theme="3" tint="0.79998168889431442"/>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bgColor indexed="64"/>
      </patternFill>
    </fill>
    <fill>
      <patternFill patternType="solid">
        <fgColor theme="4" tint="0.79998168889431442"/>
        <bgColor indexed="64"/>
      </patternFill>
    </fill>
    <fill>
      <patternFill patternType="solid">
        <fgColor theme="9" tint="-0.24994659260841701"/>
        <bgColor indexed="64"/>
      </patternFill>
    </fill>
    <fill>
      <patternFill patternType="solid">
        <fgColor theme="6" tint="-0.24994659260841701"/>
        <bgColor indexed="64"/>
      </patternFill>
    </fill>
    <fill>
      <patternFill patternType="solid">
        <fgColor theme="6" tint="0.39994506668294322"/>
        <bgColor indexed="64"/>
      </patternFill>
    </fill>
    <fill>
      <patternFill patternType="solid">
        <fgColor theme="6" tint="0.59996337778862885"/>
        <bgColor indexed="64"/>
      </patternFill>
    </fill>
    <fill>
      <patternFill patternType="lightUp"/>
    </fill>
    <fill>
      <patternFill patternType="solid">
        <fgColor theme="7"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style="thin">
        <color auto="1"/>
      </top>
      <bottom/>
      <diagonal/>
    </border>
    <border>
      <left style="thin">
        <color theme="0"/>
      </left>
      <right style="thin">
        <color theme="0"/>
      </right>
      <top style="thin">
        <color theme="0"/>
      </top>
      <bottom style="thin">
        <color theme="0"/>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dotted">
        <color auto="1"/>
      </right>
      <top/>
      <bottom/>
      <diagonal/>
    </border>
    <border>
      <left/>
      <right style="dotted">
        <color auto="1"/>
      </right>
      <top/>
      <bottom style="thin">
        <color auto="1"/>
      </bottom>
      <diagonal/>
    </border>
    <border>
      <left/>
      <right/>
      <top style="thin">
        <color theme="0"/>
      </top>
      <bottom/>
      <diagonal/>
    </border>
    <border>
      <left/>
      <right style="dotted">
        <color auto="1"/>
      </right>
      <top style="thin">
        <color auto="1"/>
      </top>
      <bottom/>
      <diagonal/>
    </border>
    <border>
      <left/>
      <right/>
      <top style="dotted">
        <color auto="1"/>
      </top>
      <bottom/>
      <diagonal/>
    </border>
    <border>
      <left/>
      <right/>
      <top/>
      <bottom style="dotted">
        <color auto="1"/>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dotted">
        <color auto="1"/>
      </left>
      <right style="thin">
        <color theme="0"/>
      </right>
      <top style="dotted">
        <color auto="1"/>
      </top>
      <bottom style="dotted">
        <color auto="1"/>
      </bottom>
      <diagonal/>
    </border>
    <border>
      <left style="thin">
        <color theme="0"/>
      </left>
      <right style="thin">
        <color theme="0"/>
      </right>
      <top style="dotted">
        <color auto="1"/>
      </top>
      <bottom style="dotted">
        <color auto="1"/>
      </bottom>
      <diagonal/>
    </border>
    <border>
      <left style="thin">
        <color theme="0"/>
      </left>
      <right style="dotted">
        <color auto="1"/>
      </right>
      <top style="dotted">
        <color auto="1"/>
      </top>
      <bottom style="dotted">
        <color auto="1"/>
      </bottom>
      <diagonal/>
    </border>
    <border>
      <left style="dotted">
        <color auto="1"/>
      </left>
      <right/>
      <top/>
      <bottom style="thin">
        <color auto="1"/>
      </bottom>
      <diagonal/>
    </border>
    <border>
      <left style="dotted">
        <color auto="1"/>
      </left>
      <right/>
      <top/>
      <bottom/>
      <diagonal/>
    </border>
    <border>
      <left style="thin">
        <color theme="0"/>
      </left>
      <right style="dotted">
        <color auto="1"/>
      </right>
      <top style="thin">
        <color theme="0"/>
      </top>
      <bottom style="thin">
        <color theme="0"/>
      </bottom>
      <diagonal/>
    </border>
    <border>
      <left style="dotted">
        <color auto="1"/>
      </left>
      <right style="thin">
        <color theme="0"/>
      </right>
      <top style="thin">
        <color theme="0"/>
      </top>
      <bottom style="thin">
        <color theme="0"/>
      </bottom>
      <diagonal/>
    </border>
  </borders>
  <cellStyleXfs count="57">
    <xf numFmtId="0" fontId="0" fillId="0" borderId="0"/>
    <xf numFmtId="168" fontId="2" fillId="0" borderId="0" applyFill="0" applyBorder="0" applyProtection="0">
      <alignment vertical="center"/>
    </xf>
    <xf numFmtId="0" fontId="6" fillId="0" borderId="0" applyNumberFormat="0" applyFill="0" applyBorder="0" applyAlignment="0" applyProtection="0"/>
    <xf numFmtId="0" fontId="32" fillId="11" borderId="0" applyBorder="0">
      <alignment horizontal="left" vertical="center"/>
    </xf>
    <xf numFmtId="0" fontId="1" fillId="3" borderId="0" applyProtection="0">
      <alignment vertical="center"/>
    </xf>
    <xf numFmtId="0" fontId="3" fillId="0" borderId="0" applyFill="0" applyProtection="0">
      <alignment vertical="center"/>
    </xf>
    <xf numFmtId="0" fontId="2" fillId="0" borderId="0" applyFill="0" applyBorder="0" applyProtection="0">
      <alignment vertical="center"/>
    </xf>
    <xf numFmtId="0" fontId="4" fillId="0" borderId="5" applyNumberFormat="0" applyFill="0" applyAlignment="0" applyProtection="0"/>
    <xf numFmtId="0" fontId="28" fillId="12" borderId="4">
      <alignment horizontal="left" vertical="center"/>
      <protection locked="0"/>
    </xf>
    <xf numFmtId="164" fontId="27" fillId="0" borderId="0" applyFill="0" applyBorder="0">
      <alignment horizontal="center" vertical="center"/>
    </xf>
    <xf numFmtId="164" fontId="28" fillId="2" borderId="4">
      <alignment horizontal="center" vertical="center"/>
      <protection locked="0"/>
    </xf>
    <xf numFmtId="170" fontId="27" fillId="0" borderId="0" applyFill="0" applyBorder="0">
      <alignment horizontal="center" vertical="center"/>
    </xf>
    <xf numFmtId="170" fontId="28" fillId="12" borderId="4">
      <alignment horizontal="center" vertical="center"/>
      <protection locked="0"/>
    </xf>
    <xf numFmtId="165" fontId="27" fillId="0" borderId="0" applyFill="0" applyBorder="0">
      <alignment horizontal="right" vertical="center"/>
    </xf>
    <xf numFmtId="165" fontId="28" fillId="12" borderId="4">
      <alignment horizontal="right" vertical="center"/>
      <protection locked="0"/>
    </xf>
    <xf numFmtId="167" fontId="27" fillId="0" borderId="0" applyFill="0" applyBorder="0">
      <alignment horizontal="right" vertical="center"/>
    </xf>
    <xf numFmtId="167" fontId="28" fillId="12" borderId="4">
      <alignment horizontal="right" vertical="center"/>
      <protection locked="0"/>
    </xf>
    <xf numFmtId="166" fontId="27" fillId="0" borderId="0" applyFill="0" applyBorder="0">
      <alignment horizontal="right" vertical="center"/>
    </xf>
    <xf numFmtId="166" fontId="28" fillId="12" borderId="4">
      <alignment horizontal="right" vertical="center"/>
      <protection locked="0"/>
    </xf>
    <xf numFmtId="168" fontId="28" fillId="12" borderId="4">
      <alignment horizontal="right" vertical="center"/>
      <protection locked="0"/>
    </xf>
    <xf numFmtId="0" fontId="24" fillId="0" borderId="0" applyFill="0" applyBorder="0">
      <alignment horizontal="left" vertical="center"/>
    </xf>
    <xf numFmtId="0" fontId="7"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10" fillId="7" borderId="6" applyNumberFormat="0" applyAlignment="0" applyProtection="0"/>
    <xf numFmtId="0" fontId="11" fillId="8" borderId="7" applyNumberFormat="0" applyAlignment="0" applyProtection="0"/>
    <xf numFmtId="0" fontId="12" fillId="8" borderId="6" applyNumberFormat="0" applyAlignment="0" applyProtection="0"/>
    <xf numFmtId="0" fontId="13" fillId="0" borderId="8" applyNumberFormat="0" applyFill="0" applyAlignment="0" applyProtection="0"/>
    <xf numFmtId="0" fontId="14" fillId="9" borderId="9" applyNumberFormat="0" applyAlignment="0" applyProtection="0"/>
    <xf numFmtId="0" fontId="15" fillId="0" borderId="0" applyNumberFormat="0" applyFill="0" applyBorder="0" applyAlignment="0" applyProtection="0"/>
    <xf numFmtId="0" fontId="2" fillId="10" borderId="10" applyNumberFormat="0" applyFont="0" applyAlignment="0" applyProtection="0"/>
    <xf numFmtId="0" fontId="16" fillId="0" borderId="0" applyNumberFormat="0" applyFill="0" applyBorder="0" applyAlignment="0" applyProtection="0"/>
    <xf numFmtId="0" fontId="17" fillId="0" borderId="0" applyNumberFormat="0" applyFill="0" applyBorder="0">
      <alignment horizontal="left" vertical="center"/>
    </xf>
    <xf numFmtId="0" fontId="18" fillId="0" borderId="0" applyFill="0" applyBorder="0">
      <alignment vertical="center"/>
    </xf>
    <xf numFmtId="0" fontId="29" fillId="0" borderId="0" applyFill="0" applyBorder="0">
      <alignment horizontal="left" vertical="center"/>
    </xf>
    <xf numFmtId="0" fontId="35" fillId="0" borderId="0" applyFill="0" applyBorder="0">
      <alignment horizontal="left" vertical="center"/>
    </xf>
    <xf numFmtId="0" fontId="28" fillId="0" borderId="0" applyFill="0" applyBorder="0">
      <alignment horizontal="left" vertical="center"/>
    </xf>
    <xf numFmtId="0" fontId="27" fillId="0" borderId="0" applyFill="0" applyBorder="0">
      <alignment vertical="center"/>
    </xf>
    <xf numFmtId="0" fontId="31" fillId="15" borderId="0" applyBorder="0">
      <alignment horizontal="left" vertical="center"/>
    </xf>
    <xf numFmtId="0" fontId="30" fillId="15" borderId="0" applyBorder="0">
      <alignment horizontal="left" vertical="center"/>
    </xf>
    <xf numFmtId="171" fontId="27" fillId="0" borderId="0" applyFill="0" applyBorder="0">
      <alignment horizontal="right" vertical="center"/>
    </xf>
    <xf numFmtId="0" fontId="23" fillId="0" borderId="0">
      <alignment horizontal="right" vertical="center"/>
    </xf>
    <xf numFmtId="0" fontId="20" fillId="13" borderId="0">
      <alignment horizontal="left" indent="3"/>
    </xf>
    <xf numFmtId="0" fontId="20" fillId="14" borderId="0">
      <alignment horizontal="left" indent="3"/>
    </xf>
    <xf numFmtId="173" fontId="5" fillId="0" borderId="0">
      <alignment horizontal="center" vertical="center"/>
    </xf>
    <xf numFmtId="174" fontId="22" fillId="12" borderId="4">
      <alignment horizontal="center" vertical="center"/>
      <protection locked="0"/>
    </xf>
    <xf numFmtId="174" fontId="5" fillId="0" borderId="0"/>
    <xf numFmtId="165" fontId="28" fillId="0" borderId="0" applyFill="0" applyBorder="0">
      <alignment horizontal="right" vertical="center"/>
    </xf>
    <xf numFmtId="170" fontId="28" fillId="0" borderId="0" applyFill="0" applyBorder="0">
      <alignment horizontal="center" vertical="center"/>
    </xf>
    <xf numFmtId="171" fontId="28" fillId="0" borderId="0" applyFill="0" applyBorder="0">
      <alignment horizontal="right" vertical="center"/>
    </xf>
    <xf numFmtId="166" fontId="28" fillId="0" borderId="0" applyFill="0" applyBorder="0">
      <alignment horizontal="right" vertical="center"/>
    </xf>
    <xf numFmtId="167" fontId="28" fillId="0" borderId="0" applyFill="0" applyBorder="0">
      <alignment horizontal="right" vertical="center"/>
    </xf>
    <xf numFmtId="164" fontId="28" fillId="0" borderId="0" applyFill="0" applyBorder="0">
      <alignment horizontal="center" vertical="center"/>
    </xf>
    <xf numFmtId="0" fontId="28" fillId="16" borderId="4">
      <alignment horizontal="center" vertical="center"/>
      <protection locked="0"/>
    </xf>
    <xf numFmtId="0" fontId="5" fillId="17" borderId="0"/>
    <xf numFmtId="165" fontId="33" fillId="3" borderId="4">
      <alignment horizontal="right" vertical="center"/>
      <protection locked="0"/>
    </xf>
    <xf numFmtId="9" fontId="37" fillId="0" borderId="0" applyFont="0" applyFill="0" applyBorder="0" applyAlignment="0" applyProtection="0"/>
  </cellStyleXfs>
  <cellXfs count="122">
    <xf numFmtId="0" fontId="0" fillId="0" borderId="0" xfId="0"/>
    <xf numFmtId="0" fontId="0" fillId="0" borderId="0" xfId="0" applyAlignment="1">
      <alignment horizontal="left"/>
    </xf>
    <xf numFmtId="0" fontId="32" fillId="11" borderId="0" xfId="3">
      <alignment horizontal="left" vertical="center"/>
    </xf>
    <xf numFmtId="0" fontId="24" fillId="0" borderId="0" xfId="20">
      <alignment horizontal="left" vertical="center"/>
    </xf>
    <xf numFmtId="0" fontId="29" fillId="0" borderId="0" xfId="34">
      <alignment horizontal="left" vertical="center"/>
    </xf>
    <xf numFmtId="0" fontId="35" fillId="0" borderId="0" xfId="35" applyFill="1">
      <alignment horizontal="left" vertical="center"/>
    </xf>
    <xf numFmtId="0" fontId="28" fillId="0" borderId="0" xfId="36">
      <alignment horizontal="left" vertical="center"/>
    </xf>
    <xf numFmtId="0" fontId="27" fillId="0" borderId="0" xfId="37">
      <alignment vertical="center"/>
    </xf>
    <xf numFmtId="0" fontId="31" fillId="15" borderId="0" xfId="38">
      <alignment horizontal="left" vertical="center"/>
    </xf>
    <xf numFmtId="0" fontId="29" fillId="0" borderId="0" xfId="34" applyFill="1">
      <alignment horizontal="left" vertical="center"/>
    </xf>
    <xf numFmtId="0" fontId="27" fillId="0" borderId="0" xfId="37" applyFill="1">
      <alignment vertical="center"/>
    </xf>
    <xf numFmtId="0" fontId="28" fillId="0" borderId="0" xfId="36" applyFill="1">
      <alignment horizontal="left" vertical="center"/>
    </xf>
    <xf numFmtId="0" fontId="28" fillId="0" borderId="1" xfId="36" applyBorder="1" applyAlignment="1">
      <alignment horizontal="center" vertical="center"/>
    </xf>
    <xf numFmtId="0" fontId="19" fillId="0" borderId="0" xfId="37" applyFont="1" applyFill="1">
      <alignment vertical="center"/>
    </xf>
    <xf numFmtId="0" fontId="28" fillId="0" borderId="0" xfId="36" applyAlignment="1">
      <alignment horizontal="right" vertical="center"/>
    </xf>
    <xf numFmtId="0" fontId="29" fillId="0" borderId="0" xfId="34" applyAlignment="1">
      <alignment horizontal="center" vertical="center"/>
    </xf>
    <xf numFmtId="0" fontId="0" fillId="0" borderId="0" xfId="0" applyAlignment="1">
      <alignment horizontal="center"/>
    </xf>
    <xf numFmtId="0" fontId="28" fillId="0" borderId="0" xfId="36" applyAlignment="1">
      <alignment horizontal="center" vertical="center"/>
    </xf>
    <xf numFmtId="4" fontId="0" fillId="0" borderId="0" xfId="0" applyNumberFormat="1"/>
    <xf numFmtId="172" fontId="0" fillId="0" borderId="0" xfId="0" applyNumberFormat="1"/>
    <xf numFmtId="0" fontId="25" fillId="0" borderId="0" xfId="37" applyFont="1" applyFill="1">
      <alignment vertical="center"/>
    </xf>
    <xf numFmtId="169" fontId="27" fillId="0" borderId="0" xfId="13" applyNumberFormat="1">
      <alignment horizontal="right" vertical="center"/>
    </xf>
    <xf numFmtId="173" fontId="5" fillId="0" borderId="3" xfId="44" applyBorder="1" applyAlignment="1">
      <alignment horizontal="center"/>
    </xf>
    <xf numFmtId="0" fontId="27" fillId="0" borderId="3" xfId="37" applyBorder="1">
      <alignment vertical="center"/>
    </xf>
    <xf numFmtId="0" fontId="0" fillId="0" borderId="14" xfId="0" applyBorder="1"/>
    <xf numFmtId="0" fontId="0" fillId="0" borderId="3" xfId="0" applyBorder="1"/>
    <xf numFmtId="0" fontId="0" fillId="0" borderId="15" xfId="0" applyBorder="1"/>
    <xf numFmtId="0" fontId="0" fillId="0" borderId="12" xfId="0" applyBorder="1"/>
    <xf numFmtId="0" fontId="0" fillId="0" borderId="11" xfId="0" applyBorder="1"/>
    <xf numFmtId="0" fontId="28" fillId="0" borderId="0" xfId="36" applyBorder="1">
      <alignment horizontal="left" vertical="center"/>
    </xf>
    <xf numFmtId="0" fontId="29" fillId="0" borderId="0" xfId="34" applyBorder="1" applyAlignment="1">
      <alignment horizontal="center" vertical="center"/>
    </xf>
    <xf numFmtId="0" fontId="35" fillId="0" borderId="0" xfId="35" applyBorder="1" applyAlignment="1">
      <alignment horizontal="center" vertical="center"/>
    </xf>
    <xf numFmtId="0" fontId="20" fillId="11" borderId="0" xfId="3" applyFont="1" applyBorder="1" applyAlignment="1">
      <alignment horizontal="center" vertical="center"/>
    </xf>
    <xf numFmtId="0" fontId="21" fillId="15" borderId="0" xfId="38" applyFont="1" applyBorder="1" applyAlignment="1">
      <alignment horizontal="center" vertical="center"/>
    </xf>
    <xf numFmtId="0" fontId="0" fillId="0" borderId="16" xfId="0" applyBorder="1"/>
    <xf numFmtId="0" fontId="0" fillId="0" borderId="2" xfId="0" applyBorder="1"/>
    <xf numFmtId="0" fontId="0" fillId="0" borderId="13" xfId="0" applyBorder="1"/>
    <xf numFmtId="0" fontId="28" fillId="12" borderId="4" xfId="8" applyAlignment="1">
      <alignment horizontal="center" vertical="center"/>
      <protection locked="0"/>
    </xf>
    <xf numFmtId="0" fontId="29" fillId="0" borderId="0" xfId="34" applyFill="1" applyBorder="1" applyAlignment="1">
      <alignment vertical="center"/>
    </xf>
    <xf numFmtId="0" fontId="26" fillId="0" borderId="0" xfId="3" applyFont="1" applyFill="1">
      <alignment horizontal="left" vertical="center"/>
    </xf>
    <xf numFmtId="0" fontId="17" fillId="0" borderId="0" xfId="32" applyBorder="1">
      <alignment horizontal="left" vertical="center"/>
    </xf>
    <xf numFmtId="0" fontId="17" fillId="0" borderId="0" xfId="32">
      <alignment horizontal="left" vertical="center"/>
    </xf>
    <xf numFmtId="0" fontId="17" fillId="0" borderId="0" xfId="32" applyAlignment="1">
      <alignment horizontal="center" vertical="center"/>
    </xf>
    <xf numFmtId="0" fontId="5" fillId="17" borderId="0" xfId="54"/>
    <xf numFmtId="0" fontId="28" fillId="16" borderId="4" xfId="53">
      <alignment horizontal="center" vertical="center"/>
      <protection locked="0"/>
    </xf>
    <xf numFmtId="165" fontId="28" fillId="3" borderId="4" xfId="14" applyFill="1">
      <alignment horizontal="right" vertical="center"/>
      <protection locked="0"/>
    </xf>
    <xf numFmtId="0" fontId="17" fillId="0" borderId="0" xfId="32" applyFill="1">
      <alignment horizontal="left" vertical="center"/>
    </xf>
    <xf numFmtId="170" fontId="28" fillId="0" borderId="1" xfId="48" applyBorder="1">
      <alignment horizontal="center" vertical="center"/>
    </xf>
    <xf numFmtId="170" fontId="27" fillId="0" borderId="0" xfId="11" applyAlignment="1">
      <alignment horizontal="right" vertical="center"/>
    </xf>
    <xf numFmtId="0" fontId="35" fillId="0" borderId="0" xfId="35" applyAlignment="1">
      <alignment horizontal="right" vertical="center"/>
    </xf>
    <xf numFmtId="0" fontId="35" fillId="0" borderId="0" xfId="35" applyAlignment="1">
      <alignment horizontal="center" vertical="center"/>
    </xf>
    <xf numFmtId="170" fontId="27" fillId="0" borderId="0" xfId="11">
      <alignment horizontal="center" vertical="center"/>
    </xf>
    <xf numFmtId="169" fontId="27" fillId="0" borderId="0" xfId="13" applyNumberFormat="1" applyAlignment="1">
      <alignment horizontal="center" vertical="center"/>
    </xf>
    <xf numFmtId="0" fontId="27" fillId="0" borderId="0" xfId="37" applyAlignment="1">
      <alignment horizontal="center" vertical="center"/>
    </xf>
    <xf numFmtId="0" fontId="35" fillId="0" borderId="2" xfId="35" applyBorder="1" applyAlignment="1">
      <alignment horizontal="center" vertical="center"/>
    </xf>
    <xf numFmtId="165" fontId="27" fillId="0" borderId="0" xfId="13" applyFill="1" applyAlignment="1">
      <alignment horizontal="center" vertical="center"/>
    </xf>
    <xf numFmtId="0" fontId="35" fillId="0" borderId="3" xfId="35" applyFill="1" applyBorder="1" applyAlignment="1">
      <alignment horizontal="center" vertical="center"/>
    </xf>
    <xf numFmtId="0" fontId="28" fillId="0" borderId="0" xfId="36" applyFill="1" applyAlignment="1">
      <alignment horizontal="center" vertical="center"/>
    </xf>
    <xf numFmtId="173" fontId="5" fillId="0" borderId="0" xfId="44">
      <alignment horizontal="center" vertical="center"/>
    </xf>
    <xf numFmtId="0" fontId="35" fillId="0" borderId="0" xfId="35" applyAlignment="1">
      <alignment horizontal="center" vertical="center" wrapText="1"/>
    </xf>
    <xf numFmtId="0" fontId="35" fillId="0" borderId="2" xfId="35" applyBorder="1" applyAlignment="1">
      <alignment horizontal="center" vertical="center" wrapText="1"/>
    </xf>
    <xf numFmtId="0" fontId="35" fillId="0" borderId="2" xfId="35" applyBorder="1">
      <alignment horizontal="left" vertical="center"/>
    </xf>
    <xf numFmtId="0" fontId="35" fillId="0" borderId="3" xfId="35" applyFill="1" applyBorder="1">
      <alignment horizontal="left" vertical="center"/>
    </xf>
    <xf numFmtId="0" fontId="27" fillId="0" borderId="0" xfId="37" applyFill="1" applyAlignment="1">
      <alignment horizontal="center" vertical="center"/>
    </xf>
    <xf numFmtId="0" fontId="36" fillId="0" borderId="0" xfId="37" applyFont="1">
      <alignment vertical="center"/>
    </xf>
    <xf numFmtId="20" fontId="0" fillId="0" borderId="0" xfId="0" quotePrefix="1" applyNumberFormat="1"/>
    <xf numFmtId="0" fontId="0" fillId="0" borderId="17" xfId="0" applyBorder="1"/>
    <xf numFmtId="0" fontId="35" fillId="0" borderId="18" xfId="35" applyBorder="1" applyAlignment="1">
      <alignment horizontal="center" vertical="center" wrapText="1"/>
    </xf>
    <xf numFmtId="175" fontId="28" fillId="3" borderId="4" xfId="16" applyNumberFormat="1" applyFill="1" applyAlignment="1">
      <alignment horizontal="center" vertical="center"/>
      <protection locked="0"/>
    </xf>
    <xf numFmtId="165" fontId="27" fillId="0" borderId="0" xfId="13" applyFill="1" applyBorder="1" applyAlignment="1">
      <alignment horizontal="center" vertical="center"/>
    </xf>
    <xf numFmtId="176" fontId="38" fillId="0" borderId="0" xfId="0" applyNumberFormat="1" applyFont="1"/>
    <xf numFmtId="176" fontId="39" fillId="0" borderId="0" xfId="0" applyNumberFormat="1" applyFont="1" applyAlignment="1">
      <alignment horizontal="center"/>
    </xf>
    <xf numFmtId="176" fontId="40" fillId="0" borderId="0" xfId="0" applyNumberFormat="1" applyFont="1"/>
    <xf numFmtId="176" fontId="39" fillId="0" borderId="0" xfId="0" applyNumberFormat="1" applyFont="1" applyAlignment="1">
      <alignment horizontal="left"/>
    </xf>
    <xf numFmtId="14" fontId="27" fillId="0" borderId="0" xfId="37" applyNumberFormat="1" applyAlignment="1">
      <alignment horizontal="left" vertical="center"/>
    </xf>
    <xf numFmtId="14" fontId="28" fillId="3" borderId="4" xfId="16" applyNumberFormat="1" applyFill="1" applyAlignment="1">
      <alignment horizontal="center" vertical="center"/>
      <protection locked="0"/>
    </xf>
    <xf numFmtId="0" fontId="27" fillId="0" borderId="0" xfId="37" applyAlignment="1">
      <alignment horizontal="left" vertical="center"/>
    </xf>
    <xf numFmtId="10" fontId="27" fillId="0" borderId="0" xfId="56" applyNumberFormat="1" applyFont="1" applyFill="1" applyAlignment="1">
      <alignment horizontal="center" vertical="center"/>
    </xf>
    <xf numFmtId="176" fontId="40" fillId="0" borderId="0" xfId="0" applyNumberFormat="1" applyFont="1" applyAlignment="1">
      <alignment horizontal="center"/>
    </xf>
    <xf numFmtId="10" fontId="27" fillId="0" borderId="0" xfId="56" applyNumberFormat="1" applyFont="1" applyFill="1" applyBorder="1" applyAlignment="1">
      <alignment horizontal="center" vertical="center"/>
    </xf>
    <xf numFmtId="14" fontId="27" fillId="0" borderId="0" xfId="13" applyNumberFormat="1" applyFill="1" applyBorder="1" applyAlignment="1">
      <alignment horizontal="center" vertical="center"/>
    </xf>
    <xf numFmtId="10" fontId="34" fillId="0" borderId="3" xfId="56" applyNumberFormat="1" applyFont="1" applyFill="1" applyBorder="1" applyAlignment="1">
      <alignment horizontal="center" vertical="center"/>
    </xf>
    <xf numFmtId="10" fontId="0" fillId="0" borderId="0" xfId="56" applyNumberFormat="1" applyFont="1" applyFill="1"/>
    <xf numFmtId="0" fontId="43" fillId="0" borderId="0" xfId="36" applyFont="1" applyFill="1" applyBorder="1">
      <alignment horizontal="left" vertical="center"/>
    </xf>
    <xf numFmtId="0" fontId="27" fillId="0" borderId="0" xfId="37" applyAlignment="1">
      <alignment horizontal="left" vertical="center" indent="2"/>
    </xf>
    <xf numFmtId="0" fontId="27" fillId="0" borderId="0" xfId="37" applyFill="1" applyAlignment="1">
      <alignment horizontal="left" vertical="center" indent="1"/>
    </xf>
    <xf numFmtId="10" fontId="34" fillId="0" borderId="20" xfId="56" applyNumberFormat="1" applyFont="1" applyFill="1" applyBorder="1" applyAlignment="1">
      <alignment horizontal="center" vertical="center"/>
    </xf>
    <xf numFmtId="0" fontId="27" fillId="0" borderId="21" xfId="37" applyFill="1" applyBorder="1" applyAlignment="1">
      <alignment horizontal="left" vertical="center" indent="1"/>
    </xf>
    <xf numFmtId="0" fontId="27" fillId="0" borderId="21" xfId="37" applyFill="1" applyBorder="1" applyAlignment="1">
      <alignment horizontal="center" vertical="center"/>
    </xf>
    <xf numFmtId="0" fontId="27" fillId="0" borderId="21" xfId="37" applyBorder="1" applyAlignment="1">
      <alignment horizontal="center" vertical="center"/>
    </xf>
    <xf numFmtId="10" fontId="27" fillId="0" borderId="21" xfId="56" applyNumberFormat="1" applyFont="1" applyFill="1" applyBorder="1" applyAlignment="1">
      <alignment horizontal="center" vertical="center"/>
    </xf>
    <xf numFmtId="170" fontId="28" fillId="3" borderId="4" xfId="12" applyFill="1" applyAlignment="1">
      <alignment horizontal="left" vertical="center"/>
      <protection locked="0"/>
    </xf>
    <xf numFmtId="0" fontId="43" fillId="17" borderId="19" xfId="37" applyFont="1" applyFill="1" applyBorder="1" applyAlignment="1">
      <alignment horizontal="center" vertical="center"/>
    </xf>
    <xf numFmtId="0" fontId="34" fillId="0" borderId="0" xfId="37" applyFont="1">
      <alignment vertical="center"/>
    </xf>
    <xf numFmtId="0" fontId="34" fillId="0" borderId="0" xfId="37" applyFont="1" applyFill="1" applyAlignment="1">
      <alignment horizontal="center" vertical="center"/>
    </xf>
    <xf numFmtId="0" fontId="34" fillId="0" borderId="0" xfId="37" applyFont="1" applyAlignment="1">
      <alignment horizontal="center" vertical="center"/>
    </xf>
    <xf numFmtId="175" fontId="34" fillId="0" borderId="0" xfId="15" applyNumberFormat="1" applyFont="1" applyAlignment="1">
      <alignment horizontal="center" vertical="center"/>
    </xf>
    <xf numFmtId="0" fontId="5" fillId="0" borderId="0" xfId="0" applyFont="1"/>
    <xf numFmtId="10" fontId="27" fillId="0" borderId="22" xfId="56" applyNumberFormat="1" applyFont="1" applyFill="1" applyBorder="1" applyAlignment="1">
      <alignment horizontal="center" vertical="center"/>
    </xf>
    <xf numFmtId="0" fontId="46" fillId="18" borderId="0" xfId="38" applyFont="1" applyFill="1">
      <alignment horizontal="left" vertical="center"/>
    </xf>
    <xf numFmtId="0" fontId="44" fillId="0" borderId="0" xfId="0" applyFont="1" applyAlignment="1">
      <alignment horizontal="center"/>
    </xf>
    <xf numFmtId="0" fontId="5" fillId="0" borderId="0" xfId="0" applyFont="1" applyAlignment="1">
      <alignment horizontal="right" indent="7"/>
    </xf>
    <xf numFmtId="175" fontId="27" fillId="0" borderId="4" xfId="15" applyNumberFormat="1" applyFill="1" applyBorder="1" applyAlignment="1">
      <alignment horizontal="center" vertical="center"/>
    </xf>
    <xf numFmtId="177" fontId="0" fillId="0" borderId="0" xfId="0" applyNumberFormat="1"/>
    <xf numFmtId="175" fontId="28" fillId="3" borderId="24" xfId="16" applyNumberFormat="1" applyFill="1" applyBorder="1" applyAlignment="1">
      <alignment horizontal="center" vertical="center"/>
      <protection locked="0"/>
    </xf>
    <xf numFmtId="175" fontId="27" fillId="0" borderId="25" xfId="15" applyNumberFormat="1" applyFill="1" applyBorder="1" applyAlignment="1">
      <alignment horizontal="center" vertical="center"/>
    </xf>
    <xf numFmtId="175" fontId="27" fillId="0" borderId="26" xfId="15" applyNumberFormat="1" applyFill="1" applyBorder="1" applyAlignment="1">
      <alignment horizontal="center" vertical="center"/>
    </xf>
    <xf numFmtId="175" fontId="27" fillId="0" borderId="27" xfId="15" applyNumberFormat="1" applyFill="1" applyBorder="1" applyAlignment="1">
      <alignment horizontal="center" vertical="center"/>
    </xf>
    <xf numFmtId="175" fontId="27" fillId="0" borderId="23" xfId="15" applyNumberFormat="1" applyFill="1" applyBorder="1" applyAlignment="1">
      <alignment horizontal="center" vertical="center"/>
    </xf>
    <xf numFmtId="0" fontId="35" fillId="0" borderId="28" xfId="35" applyBorder="1" applyAlignment="1">
      <alignment horizontal="center" vertical="center" wrapText="1"/>
    </xf>
    <xf numFmtId="0" fontId="0" fillId="0" borderId="29" xfId="0" applyBorder="1"/>
    <xf numFmtId="0" fontId="28" fillId="16" borderId="30" xfId="53" applyBorder="1">
      <alignment horizontal="center" vertical="center"/>
      <protection locked="0"/>
    </xf>
    <xf numFmtId="0" fontId="28" fillId="16" borderId="31" xfId="53" applyBorder="1">
      <alignment horizontal="center" vertical="center"/>
      <protection locked="0"/>
    </xf>
    <xf numFmtId="175" fontId="28" fillId="3" borderId="31" xfId="16" applyNumberFormat="1" applyFill="1" applyBorder="1" applyAlignment="1">
      <alignment horizontal="center" vertical="center"/>
      <protection locked="0"/>
    </xf>
    <xf numFmtId="0" fontId="35" fillId="0" borderId="2" xfId="35" applyBorder="1" applyAlignment="1">
      <alignment horizontal="centerContinuous" vertical="center" wrapText="1"/>
    </xf>
    <xf numFmtId="0" fontId="0" fillId="0" borderId="2" xfId="0" applyBorder="1" applyAlignment="1">
      <alignment horizontal="centerContinuous"/>
    </xf>
    <xf numFmtId="0" fontId="35" fillId="0" borderId="2" xfId="35" applyBorder="1" applyAlignment="1">
      <alignment horizontal="centerContinuous" vertical="center"/>
    </xf>
    <xf numFmtId="178" fontId="27" fillId="0" borderId="0" xfId="13" applyNumberFormat="1" applyAlignment="1">
      <alignment horizontal="center" vertical="center"/>
    </xf>
    <xf numFmtId="0" fontId="28" fillId="0" borderId="0" xfId="36" applyFill="1" applyAlignment="1">
      <alignment horizontal="left" vertical="top" wrapText="1"/>
    </xf>
    <xf numFmtId="0" fontId="45" fillId="0" borderId="0" xfId="34" applyFont="1" applyFill="1">
      <alignment horizontal="left" vertical="center"/>
    </xf>
    <xf numFmtId="0" fontId="27" fillId="0" borderId="0" xfId="37" applyBorder="1" applyAlignment="1">
      <alignment horizontal="center" vertical="center"/>
    </xf>
    <xf numFmtId="0" fontId="35" fillId="0" borderId="2" xfId="35" applyBorder="1" applyAlignment="1">
      <alignment horizontal="center" vertical="center"/>
    </xf>
  </cellXfs>
  <cellStyles count="57">
    <cellStyle name="Bad" xfId="22" builtinId="27" hidden="1"/>
    <cellStyle name="Calculation" xfId="26" builtinId="22" hidden="1"/>
    <cellStyle name="Check Cell" xfId="28" builtinId="23" hidden="1"/>
    <cellStyle name="Check RedRedGreen" xfId="44" xr:uid="{00000000-0005-0000-0000-000003000000}"/>
    <cellStyle name="Currency" xfId="1" builtinId="4" hidden="1" customBuiltin="1"/>
    <cellStyle name="Currency" xfId="40" xr:uid="{00000000-0005-0000-0000-000005000000}"/>
    <cellStyle name="Currency Assumptions" xfId="19" xr:uid="{00000000-0005-0000-0000-000006000000}"/>
    <cellStyle name="Currency Input" xfId="49" xr:uid="{00000000-0005-0000-0000-000007000000}"/>
    <cellStyle name="Date" xfId="11" xr:uid="{00000000-0005-0000-0000-000008000000}"/>
    <cellStyle name="Date Assumptions" xfId="12" xr:uid="{00000000-0005-0000-0000-000009000000}"/>
    <cellStyle name="Date Input" xfId="48" xr:uid="{00000000-0005-0000-0000-00000A000000}"/>
    <cellStyle name="Dropdown" xfId="53" xr:uid="{00000000-0005-0000-0000-00000B000000}"/>
    <cellStyle name="Explanatory Text" xfId="31" builtinId="53" hidden="1"/>
    <cellStyle name="External Link" xfId="55" xr:uid="{00000000-0005-0000-0000-00000D000000}"/>
    <cellStyle name="Good" xfId="21" builtinId="26" hidden="1"/>
    <cellStyle name="Heading 1" xfId="3" builtinId="16" customBuiltin="1"/>
    <cellStyle name="Heading 2" xfId="4" builtinId="17" hidden="1" customBuiltin="1"/>
    <cellStyle name="Heading 2 Input" xfId="38" xr:uid="{00000000-0005-0000-0000-000011000000}"/>
    <cellStyle name="Heading 2 Output" xfId="39" xr:uid="{00000000-0005-0000-0000-000012000000}"/>
    <cellStyle name="Heading 3" xfId="5" builtinId="18" hidden="1" customBuiltin="1"/>
    <cellStyle name="Heading 3 Input" xfId="34" xr:uid="{00000000-0005-0000-0000-000014000000}"/>
    <cellStyle name="Heading 3 Output" xfId="35" xr:uid="{00000000-0005-0000-0000-000015000000}"/>
    <cellStyle name="Heading 4" xfId="6" builtinId="19" hidden="1" customBuiltin="1"/>
    <cellStyle name="Heading 4 Assumptions" xfId="8" xr:uid="{00000000-0005-0000-0000-000017000000}"/>
    <cellStyle name="Heading 4 Input" xfId="36" xr:uid="{00000000-0005-0000-0000-000018000000}"/>
    <cellStyle name="Heading 4 Output" xfId="37" xr:uid="{00000000-0005-0000-0000-000019000000}"/>
    <cellStyle name="Hyperlink" xfId="32" builtinId="8" customBuiltin="1"/>
    <cellStyle name="Input" xfId="24" builtinId="20" hidden="1"/>
    <cellStyle name="Line Item Modifier" xfId="41" xr:uid="{00000000-0005-0000-0000-00001C000000}"/>
    <cellStyle name="Linked Cell" xfId="27" builtinId="24" hidden="1"/>
    <cellStyle name="Multiple" xfId="17" xr:uid="{00000000-0005-0000-0000-00001E000000}"/>
    <cellStyle name="Multiple Assumptions" xfId="18" xr:uid="{00000000-0005-0000-0000-00001F000000}"/>
    <cellStyle name="Multiple Input" xfId="50" xr:uid="{00000000-0005-0000-0000-000020000000}"/>
    <cellStyle name="Neutral" xfId="23" builtinId="28" hidden="1"/>
    <cellStyle name="Normal" xfId="0" builtinId="0" customBuiltin="1"/>
    <cellStyle name="Not Applicable" xfId="54" xr:uid="{00000000-0005-0000-0000-000023000000}"/>
    <cellStyle name="Note" xfId="30" builtinId="10" hidden="1"/>
    <cellStyle name="Number" xfId="13" xr:uid="{00000000-0005-0000-0000-000025000000}"/>
    <cellStyle name="Number Assumptions" xfId="14" xr:uid="{00000000-0005-0000-0000-000026000000}"/>
    <cellStyle name="Number Input" xfId="47" xr:uid="{00000000-0005-0000-0000-000027000000}"/>
    <cellStyle name="Output" xfId="25" builtinId="21" hidden="1"/>
    <cellStyle name="Percent" xfId="56" builtinId="5"/>
    <cellStyle name="Percentage" xfId="15" xr:uid="{00000000-0005-0000-0000-00002A000000}"/>
    <cellStyle name="Percentage Assumptions" xfId="16" xr:uid="{00000000-0005-0000-0000-00002B000000}"/>
    <cellStyle name="Percentage Input" xfId="51" xr:uid="{00000000-0005-0000-0000-00002C000000}"/>
    <cellStyle name="Sheet Title Input" xfId="20" xr:uid="{00000000-0005-0000-0000-00002D000000}"/>
    <cellStyle name="Sheet Title Output" xfId="33" xr:uid="{00000000-0005-0000-0000-00002E000000}"/>
    <cellStyle name="Table Header 1" xfId="42" xr:uid="{00000000-0005-0000-0000-00002F000000}"/>
    <cellStyle name="Table Header 2" xfId="43" xr:uid="{00000000-0005-0000-0000-000030000000}"/>
    <cellStyle name="Title" xfId="2" builtinId="15" hidden="1"/>
    <cellStyle name="Total" xfId="7" builtinId="25" hidden="1"/>
    <cellStyle name="Trigger Assumption GreenRedGrey" xfId="45" xr:uid="{00000000-0005-0000-0000-000033000000}"/>
    <cellStyle name="Trigger GreenRedGrey" xfId="46" xr:uid="{00000000-0005-0000-0000-000034000000}"/>
    <cellStyle name="Warning Text" xfId="29" builtinId="11" hidden="1"/>
    <cellStyle name="Year" xfId="9" xr:uid="{00000000-0005-0000-0000-000036000000}"/>
    <cellStyle name="Year Assumptions" xfId="10" xr:uid="{00000000-0005-0000-0000-000037000000}"/>
    <cellStyle name="Year Input" xfId="52" xr:uid="{00000000-0005-0000-0000-000038000000}"/>
  </cellStyles>
  <dxfs count="8">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FF0066"/>
      <color rgb="FF139C00"/>
      <color rgb="FF426286"/>
      <color rgb="FFCC99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5</xdr:row>
      <xdr:rowOff>0</xdr:rowOff>
    </xdr:from>
    <xdr:to>
      <xdr:col>5</xdr:col>
      <xdr:colOff>239395</xdr:colOff>
      <xdr:row>8</xdr:row>
      <xdr:rowOff>128905</xdr:rowOff>
    </xdr:to>
    <xdr:pic>
      <xdr:nvPicPr>
        <xdr:cNvPr id="3" name="Picture 2">
          <a:extLst>
            <a:ext uri="{FF2B5EF4-FFF2-40B4-BE49-F238E27FC236}">
              <a16:creationId xmlns:a16="http://schemas.microsoft.com/office/drawing/2014/main" id="{CD1E23C2-410A-4E69-AD9B-E2F2461B41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4870" y="803910"/>
          <a:ext cx="1835785" cy="5518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34"/>
  <sheetViews>
    <sheetView showGridLines="0" tabSelected="1" zoomScaleNormal="100" workbookViewId="0"/>
  </sheetViews>
  <sheetFormatPr defaultColWidth="9.33203125" defaultRowHeight="10.199999999999999" x14ac:dyDescent="0.35"/>
  <cols>
    <col min="2" max="3" width="5.796875" customWidth="1"/>
    <col min="4" max="4" width="12.796875" customWidth="1"/>
    <col min="6" max="13" width="10.796875" customWidth="1"/>
  </cols>
  <sheetData>
    <row r="1" spans="2:15" ht="11.25" customHeight="1" x14ac:dyDescent="0.35"/>
    <row r="2" spans="2:15" ht="11.25" customHeight="1" x14ac:dyDescent="0.35"/>
    <row r="3" spans="2:15" ht="18.899999999999999" x14ac:dyDescent="0.35">
      <c r="B3" s="3" t="s">
        <v>181</v>
      </c>
    </row>
    <row r="4" spans="2:15" ht="11.25" customHeight="1" x14ac:dyDescent="0.35"/>
    <row r="5" spans="2:15" ht="11.25" customHeight="1" x14ac:dyDescent="0.35">
      <c r="N5" s="65"/>
      <c r="O5" s="65"/>
    </row>
    <row r="6" spans="2:15" ht="11.25" customHeight="1" x14ac:dyDescent="0.35">
      <c r="N6" s="65"/>
      <c r="O6" s="65"/>
    </row>
    <row r="7" spans="2:15" ht="11.25" customHeight="1" x14ac:dyDescent="0.35">
      <c r="N7" s="65"/>
      <c r="O7" s="65"/>
    </row>
    <row r="8" spans="2:15" ht="11.25" customHeight="1" x14ac:dyDescent="0.35"/>
    <row r="11" spans="2:15" ht="12.3" x14ac:dyDescent="0.35">
      <c r="C11" s="38" t="s">
        <v>28</v>
      </c>
      <c r="E11" s="83"/>
      <c r="F11" s="11" t="s">
        <v>177</v>
      </c>
    </row>
    <row r="13" spans="2:15" ht="12.3" x14ac:dyDescent="0.35">
      <c r="C13" s="9" t="s">
        <v>29</v>
      </c>
    </row>
    <row r="14" spans="2:15" ht="12.3" x14ac:dyDescent="0.35">
      <c r="C14" s="11" t="s">
        <v>204</v>
      </c>
    </row>
    <row r="16" spans="2:15" ht="12.3" x14ac:dyDescent="0.35">
      <c r="C16" s="9" t="s">
        <v>36</v>
      </c>
    </row>
    <row r="18" spans="3:13" x14ac:dyDescent="0.35">
      <c r="C18" s="24"/>
      <c r="D18" s="25"/>
      <c r="E18" s="25"/>
      <c r="F18" s="25"/>
      <c r="G18" s="25"/>
      <c r="H18" s="25"/>
      <c r="I18" s="25"/>
      <c r="J18" s="25"/>
      <c r="K18" s="25"/>
      <c r="L18" s="25"/>
      <c r="M18" s="26"/>
    </row>
    <row r="19" spans="3:13" ht="12.3" x14ac:dyDescent="0.35">
      <c r="C19" s="27"/>
      <c r="D19" s="37" t="s">
        <v>14</v>
      </c>
      <c r="F19" s="29" t="s">
        <v>25</v>
      </c>
      <c r="M19" s="28"/>
    </row>
    <row r="20" spans="3:13" ht="12.3" x14ac:dyDescent="0.35">
      <c r="C20" s="27"/>
      <c r="D20" s="44" t="s">
        <v>43</v>
      </c>
      <c r="F20" s="29" t="s">
        <v>38</v>
      </c>
      <c r="M20" s="28"/>
    </row>
    <row r="21" spans="3:13" ht="12.3" x14ac:dyDescent="0.35">
      <c r="C21" s="27"/>
      <c r="D21" s="30" t="s">
        <v>20</v>
      </c>
      <c r="F21" s="29" t="s">
        <v>22</v>
      </c>
      <c r="M21" s="28"/>
    </row>
    <row r="22" spans="3:13" ht="12.3" x14ac:dyDescent="0.35">
      <c r="C22" s="27"/>
      <c r="D22" s="31" t="s">
        <v>21</v>
      </c>
      <c r="F22" s="29" t="s">
        <v>23</v>
      </c>
      <c r="M22" s="28"/>
    </row>
    <row r="23" spans="3:13" ht="12.3" x14ac:dyDescent="0.35">
      <c r="C23" s="27"/>
      <c r="D23" s="32" t="s">
        <v>5</v>
      </c>
      <c r="F23" s="29" t="s">
        <v>26</v>
      </c>
      <c r="M23" s="28"/>
    </row>
    <row r="24" spans="3:13" ht="12.3" x14ac:dyDescent="0.35">
      <c r="C24" s="27"/>
      <c r="D24" s="33" t="s">
        <v>24</v>
      </c>
      <c r="F24" s="29" t="s">
        <v>27</v>
      </c>
      <c r="M24" s="28"/>
    </row>
    <row r="25" spans="3:13" ht="12.3" x14ac:dyDescent="0.35">
      <c r="C25" s="27"/>
      <c r="D25" s="43"/>
      <c r="F25" s="29" t="s">
        <v>37</v>
      </c>
      <c r="M25" s="28"/>
    </row>
    <row r="26" spans="3:13" ht="12.3" x14ac:dyDescent="0.35">
      <c r="C26" s="27"/>
      <c r="D26" s="42" t="s">
        <v>44</v>
      </c>
      <c r="F26" s="29" t="s">
        <v>39</v>
      </c>
      <c r="M26" s="28"/>
    </row>
    <row r="27" spans="3:13" ht="12.3" x14ac:dyDescent="0.35">
      <c r="C27" s="27"/>
      <c r="D27" s="58">
        <v>0</v>
      </c>
      <c r="F27" s="29" t="s">
        <v>40</v>
      </c>
      <c r="M27" s="28"/>
    </row>
    <row r="28" spans="3:13" ht="12.3" x14ac:dyDescent="0.35">
      <c r="C28" s="27"/>
      <c r="D28" s="58">
        <v>1</v>
      </c>
      <c r="F28" s="29" t="s">
        <v>41</v>
      </c>
      <c r="M28" s="28"/>
    </row>
    <row r="29" spans="3:13" ht="12.3" x14ac:dyDescent="0.35">
      <c r="C29" s="27"/>
      <c r="D29" s="45"/>
      <c r="F29" s="29" t="s">
        <v>42</v>
      </c>
      <c r="M29" s="28"/>
    </row>
    <row r="30" spans="3:13" x14ac:dyDescent="0.35">
      <c r="C30" s="34"/>
      <c r="D30" s="35"/>
      <c r="E30" s="35"/>
      <c r="F30" s="35"/>
      <c r="G30" s="35"/>
      <c r="H30" s="35"/>
      <c r="I30" s="35"/>
      <c r="J30" s="35"/>
      <c r="K30" s="35"/>
      <c r="L30" s="35"/>
      <c r="M30" s="36"/>
    </row>
    <row r="32" spans="3:13" ht="12.3" x14ac:dyDescent="0.35">
      <c r="C32" s="9" t="s">
        <v>95</v>
      </c>
      <c r="D32" s="40"/>
    </row>
    <row r="33" spans="3:24" ht="12.3" x14ac:dyDescent="0.35">
      <c r="C33" s="119" t="s">
        <v>178</v>
      </c>
      <c r="D33" s="119"/>
      <c r="E33" s="119"/>
      <c r="F33" s="119"/>
      <c r="G33" s="119"/>
      <c r="H33" s="119"/>
      <c r="I33" s="119"/>
      <c r="J33" s="119"/>
      <c r="K33" s="119"/>
      <c r="L33" s="119"/>
      <c r="M33" s="119"/>
      <c r="N33" s="119"/>
      <c r="O33" s="119"/>
      <c r="P33" s="119"/>
      <c r="Q33" s="119"/>
      <c r="R33" s="119"/>
      <c r="S33" s="119"/>
      <c r="T33" s="119"/>
      <c r="U33" s="119"/>
      <c r="V33" s="119"/>
      <c r="W33" s="119"/>
      <c r="X33" s="119"/>
    </row>
    <row r="34" spans="3:24" ht="81" customHeight="1" x14ac:dyDescent="0.35">
      <c r="C34" s="118" t="s">
        <v>173</v>
      </c>
      <c r="D34" s="118"/>
      <c r="E34" s="118"/>
      <c r="F34" s="118"/>
      <c r="G34" s="118"/>
      <c r="H34" s="118"/>
      <c r="I34" s="118"/>
      <c r="J34" s="118"/>
      <c r="K34" s="118"/>
      <c r="L34" s="118"/>
      <c r="M34" s="118"/>
      <c r="N34" s="118"/>
      <c r="O34" s="118"/>
      <c r="P34" s="118"/>
      <c r="Q34" s="118"/>
      <c r="R34" s="118"/>
      <c r="S34" s="118"/>
      <c r="T34" s="118"/>
      <c r="U34" s="118"/>
      <c r="V34" s="118"/>
      <c r="W34" s="118"/>
      <c r="X34" s="118"/>
    </row>
  </sheetData>
  <mergeCells count="2">
    <mergeCell ref="C34:X34"/>
    <mergeCell ref="C33:X33"/>
  </mergeCells>
  <pageMargins left="0.7" right="0.7" top="0.75" bottom="0.75" header="0.3" footer="0.3"/>
  <pageSetup paperSize="9"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0"/>
  <sheetViews>
    <sheetView showGridLines="0" zoomScaleNormal="100" workbookViewId="0">
      <pane xSplit="1" ySplit="4" topLeftCell="B5" activePane="bottomRight" state="frozen"/>
      <selection activeCell="E30" sqref="E30"/>
      <selection pane="topRight" activeCell="E30" sqref="E30"/>
      <selection pane="bottomLeft" activeCell="E30" sqref="E30"/>
      <selection pane="bottomRight" activeCell="B5" sqref="B5"/>
    </sheetView>
  </sheetViews>
  <sheetFormatPr defaultColWidth="0" defaultRowHeight="10.199999999999999" x14ac:dyDescent="0.35"/>
  <cols>
    <col min="1" max="3" width="2.796875" customWidth="1"/>
    <col min="4" max="4" width="43.796875" customWidth="1"/>
    <col min="5" max="9" width="10.796875" customWidth="1"/>
    <col min="10" max="15" width="10.796875" hidden="1" customWidth="1"/>
    <col min="16" max="16384" width="9.33203125" hidden="1"/>
  </cols>
  <sheetData>
    <row r="1" spans="2:5" ht="18.899999999999999" x14ac:dyDescent="0.35">
      <c r="B1" s="3" t="s">
        <v>48</v>
      </c>
    </row>
    <row r="2" spans="2:5" x14ac:dyDescent="0.35">
      <c r="B2" s="13" t="str">
        <f>Title_Msg</f>
        <v>No Errors Found</v>
      </c>
    </row>
    <row r="3" spans="2:5" ht="12.3" x14ac:dyDescent="0.35">
      <c r="B3" s="46" t="s">
        <v>50</v>
      </c>
      <c r="C3" s="46"/>
      <c r="D3" s="46"/>
      <c r="E3" s="11"/>
    </row>
    <row r="4" spans="2:5" ht="12.3" x14ac:dyDescent="0.35">
      <c r="B4" s="39" t="str">
        <f>Model_Name</f>
        <v>Rate of Return Model - Transgrid (TGD) - CWOREZ</v>
      </c>
    </row>
    <row r="6" spans="2:5" s="2" customFormat="1" ht="15" x14ac:dyDescent="0.35">
      <c r="B6" s="2" t="str">
        <f>B1</f>
        <v>Table of Contents</v>
      </c>
    </row>
    <row r="7" spans="2:5" ht="4.5" customHeight="1" x14ac:dyDescent="0.35"/>
    <row r="8" spans="2:5" s="8" customFormat="1" ht="14.1" x14ac:dyDescent="0.35">
      <c r="C8" s="8" t="s">
        <v>150</v>
      </c>
    </row>
    <row r="10" spans="2:5" x14ac:dyDescent="0.35">
      <c r="D10" s="41" t="str">
        <f>Input_CPI!B1</f>
        <v>CPI inputs</v>
      </c>
    </row>
    <row r="11" spans="2:5" ht="11.25" customHeight="1" x14ac:dyDescent="0.35">
      <c r="D11" s="46" t="str">
        <f>Input_Data!B1</f>
        <v>Rate of return inputs</v>
      </c>
    </row>
    <row r="12" spans="2:5" ht="11.25" customHeight="1" x14ac:dyDescent="0.35">
      <c r="D12" s="46" t="str">
        <f>Calc_Returns!B1</f>
        <v>Rate of return calculations</v>
      </c>
    </row>
    <row r="13" spans="2:5" x14ac:dyDescent="0.35">
      <c r="D13" s="46" t="str">
        <f>Output_PTRM!$B$1</f>
        <v>Inputs to PTRM</v>
      </c>
    </row>
    <row r="15" spans="2:5" s="8" customFormat="1" ht="14.1" x14ac:dyDescent="0.35">
      <c r="C15" s="8" t="s">
        <v>49</v>
      </c>
    </row>
    <row r="17" spans="2:4" x14ac:dyDescent="0.35">
      <c r="D17" s="46" t="str">
        <f>Lookup!B1</f>
        <v>Model Lookups</v>
      </c>
    </row>
    <row r="18" spans="2:4" x14ac:dyDescent="0.35">
      <c r="D18" s="46" t="str">
        <f>Checks!B1</f>
        <v>Checks</v>
      </c>
    </row>
    <row r="20" spans="2:4" s="2" customFormat="1" ht="15" x14ac:dyDescent="0.35">
      <c r="B20" s="2" t="s">
        <v>32</v>
      </c>
    </row>
  </sheetData>
  <conditionalFormatting sqref="B2">
    <cfRule type="cellIs" dxfId="7" priority="1" operator="notEqual">
      <formula>"No Errors Found"</formula>
    </cfRule>
  </conditionalFormatting>
  <hyperlinks>
    <hyperlink ref="D17" location="Lookup!A1" display="Lookup!A1" xr:uid="{00000000-0004-0000-0100-000000000000}"/>
    <hyperlink ref="D18" location="Checks!A1" display="Checks!A1" xr:uid="{00000000-0004-0000-0100-000001000000}"/>
    <hyperlink ref="B3:D3" location="Cover!A1" display="Go to Cover Sheet" xr:uid="{00000000-0004-0000-0100-000002000000}"/>
    <hyperlink ref="D11" location="Input_Data!A1" display="Input_Data!A1" xr:uid="{00000000-0004-0000-0100-000003000000}"/>
    <hyperlink ref="D13" location="Output_PTRM!A1" display="Output_PTRM!A1" xr:uid="{00000000-0004-0000-0100-000004000000}"/>
    <hyperlink ref="C8" location="SC_General!A1" display="SC_General!A1" xr:uid="{00000000-0004-0000-0100-000007000000}"/>
    <hyperlink ref="D12" location="Calc_Returns!A1" display="Calc_Returns!A1" xr:uid="{00000000-0004-0000-0100-000008000000}"/>
    <hyperlink ref="D10" location="Input_CPI!A1" display="Input_CPI!A1" xr:uid="{B4F7BD1D-EB0F-4736-9304-1FB18704DFD8}"/>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93F32-25AF-4A08-A513-906BAD80A85F}">
  <sheetPr>
    <tabColor theme="4" tint="0.59999389629810485"/>
  </sheetPr>
  <dimension ref="A1:O38"/>
  <sheetViews>
    <sheetView showGridLines="0" zoomScaleNormal="100" workbookViewId="0">
      <pane xSplit="1" ySplit="10" topLeftCell="B11" activePane="bottomRight" state="frozen"/>
      <selection activeCell="E30" sqref="E30"/>
      <selection pane="topRight" activeCell="E30" sqref="E30"/>
      <selection pane="bottomLeft" activeCell="E30" sqref="E30"/>
      <selection pane="bottomRight" activeCell="B11" sqref="B11"/>
    </sheetView>
  </sheetViews>
  <sheetFormatPr defaultColWidth="9.33203125" defaultRowHeight="10.199999999999999" outlineLevelRow="1" x14ac:dyDescent="0.35"/>
  <cols>
    <col min="1" max="1" width="3.33203125" customWidth="1"/>
    <col min="2" max="2" width="2.796875" customWidth="1"/>
    <col min="3" max="3" width="5" customWidth="1"/>
    <col min="4" max="4" width="37.46484375" customWidth="1"/>
    <col min="5" max="8" width="14.6640625" customWidth="1"/>
    <col min="9" max="16" width="12.796875" customWidth="1"/>
  </cols>
  <sheetData>
    <row r="1" spans="1:15" ht="18.899999999999999" x14ac:dyDescent="0.35">
      <c r="A1" s="58">
        <f>IF(SUM($A11:$A38)&gt;0,1,0)</f>
        <v>0</v>
      </c>
      <c r="B1" s="3" t="s">
        <v>166</v>
      </c>
    </row>
    <row r="2" spans="1:15" x14ac:dyDescent="0.35">
      <c r="B2" s="13" t="str">
        <f>Title_Msg</f>
        <v>No Errors Found</v>
      </c>
    </row>
    <row r="3" spans="1:15" x14ac:dyDescent="0.35">
      <c r="B3" s="46" t="str">
        <f>TOC!B1</f>
        <v>Table of Contents</v>
      </c>
      <c r="C3" s="41"/>
      <c r="D3" s="41"/>
      <c r="E3" s="41"/>
    </row>
    <row r="4" spans="1:15" ht="12.3" x14ac:dyDescent="0.35">
      <c r="B4" s="39" t="str">
        <f>Model_Name</f>
        <v>Rate of Return Model - Transgrid (TGD) - CWOREZ</v>
      </c>
    </row>
    <row r="5" spans="1:15" ht="12.3" hidden="1" outlineLevel="1" x14ac:dyDescent="0.35">
      <c r="B5" s="10" t="str">
        <f>Lookup!B14</f>
        <v>Period Start Date</v>
      </c>
      <c r="I5" s="51">
        <f>Lookup!I14</f>
        <v>43647</v>
      </c>
      <c r="J5" s="51">
        <f>Lookup!J14</f>
        <v>44013</v>
      </c>
      <c r="K5" s="51">
        <f>Lookup!K14</f>
        <v>44378</v>
      </c>
      <c r="L5" s="51">
        <f>Lookup!L14</f>
        <v>44743</v>
      </c>
      <c r="M5" s="51">
        <f>Lookup!M14</f>
        <v>45108</v>
      </c>
      <c r="N5" s="51">
        <f>Lookup!N14</f>
        <v>45474</v>
      </c>
      <c r="O5" s="51">
        <f>Lookup!O14</f>
        <v>45839</v>
      </c>
    </row>
    <row r="6" spans="1:15" ht="12.3" hidden="1" outlineLevel="1" x14ac:dyDescent="0.35">
      <c r="B6" s="10" t="str">
        <f>Lookup!B15</f>
        <v>Period End Date</v>
      </c>
      <c r="I6" s="51">
        <f>Lookup!I15</f>
        <v>44012</v>
      </c>
      <c r="J6" s="51">
        <f>Lookup!J15</f>
        <v>44377</v>
      </c>
      <c r="K6" s="51">
        <f>Lookup!K15</f>
        <v>44742</v>
      </c>
      <c r="L6" s="51">
        <f>Lookup!L15</f>
        <v>45107</v>
      </c>
      <c r="M6" s="51">
        <f>Lookup!M15</f>
        <v>45473</v>
      </c>
      <c r="N6" s="51">
        <f>Lookup!N15</f>
        <v>45838</v>
      </c>
      <c r="O6" s="51">
        <f>Lookup!O15</f>
        <v>46203</v>
      </c>
    </row>
    <row r="7" spans="1:15" ht="12.3" hidden="1" outlineLevel="1" x14ac:dyDescent="0.35">
      <c r="B7" s="10" t="str">
        <f>Lookup!B16</f>
        <v>Period Counter</v>
      </c>
      <c r="I7" s="52">
        <f>Lookup!I16</f>
        <v>1</v>
      </c>
      <c r="J7" s="52">
        <f>Lookup!J16</f>
        <v>2</v>
      </c>
      <c r="K7" s="52">
        <f>Lookup!K16</f>
        <v>3</v>
      </c>
      <c r="L7" s="52">
        <f>Lookup!L16</f>
        <v>4</v>
      </c>
      <c r="M7" s="52">
        <f>Lookup!M16</f>
        <v>5</v>
      </c>
      <c r="N7" s="52">
        <f>Lookup!N16</f>
        <v>6</v>
      </c>
      <c r="O7" s="52">
        <f>Lookup!O16</f>
        <v>7</v>
      </c>
    </row>
    <row r="8" spans="1:15" ht="12.3" hidden="1" outlineLevel="1" x14ac:dyDescent="0.35">
      <c r="B8" s="10" t="str">
        <f>Lookup!B17</f>
        <v>Year</v>
      </c>
      <c r="I8" s="53">
        <f>Lookup!I17</f>
        <v>2020</v>
      </c>
      <c r="J8" s="53">
        <f>Lookup!J17</f>
        <v>2021</v>
      </c>
      <c r="K8" s="53">
        <f>Lookup!K17</f>
        <v>2022</v>
      </c>
      <c r="L8" s="53">
        <f>Lookup!L17</f>
        <v>2023</v>
      </c>
      <c r="M8" s="53">
        <f>Lookup!M17</f>
        <v>2024</v>
      </c>
      <c r="N8" s="53">
        <f>Lookup!N17</f>
        <v>2025</v>
      </c>
      <c r="O8" s="53">
        <f>Lookup!O17</f>
        <v>2026</v>
      </c>
    </row>
    <row r="9" spans="1:15" ht="12.3" hidden="1" outlineLevel="1" x14ac:dyDescent="0.35">
      <c r="B9" s="10" t="str">
        <f>Lookup!B18</f>
        <v>Period Type</v>
      </c>
      <c r="I9" s="53" t="str">
        <f>Lookup!I18</f>
        <v>Actual</v>
      </c>
      <c r="J9" s="53" t="str">
        <f>Lookup!J18</f>
        <v>Actual</v>
      </c>
      <c r="K9" s="53" t="str">
        <f>Lookup!K18</f>
        <v>Actual</v>
      </c>
      <c r="L9" s="53" t="str">
        <f>Lookup!L18</f>
        <v>Actual</v>
      </c>
      <c r="M9" s="53" t="str">
        <f>Lookup!M18</f>
        <v>Estimate</v>
      </c>
      <c r="N9" s="53" t="str">
        <f>Lookup!N18</f>
        <v>Estimate</v>
      </c>
      <c r="O9" s="53" t="str">
        <f>Lookup!O18</f>
        <v>Forecast</v>
      </c>
    </row>
    <row r="10" spans="1:15" ht="12.3" collapsed="1" x14ac:dyDescent="0.35">
      <c r="B10" s="5" t="str">
        <f>Lookup!B19</f>
        <v>Regulatory Year</v>
      </c>
      <c r="E10" s="50" t="str">
        <f>Lookup!E19</f>
        <v>Source</v>
      </c>
      <c r="F10" s="50" t="str">
        <f>Lookup!F19</f>
        <v>Unit</v>
      </c>
      <c r="G10" s="50" t="str">
        <f>Lookup!G19</f>
        <v>Basis</v>
      </c>
      <c r="H10" s="50" t="str">
        <f>Lookup!H19</f>
        <v>Timing</v>
      </c>
      <c r="I10" s="50" t="str">
        <f>Lookup!I19</f>
        <v>FY20</v>
      </c>
      <c r="J10" s="50" t="str">
        <f>Lookup!J19</f>
        <v>FY21</v>
      </c>
      <c r="K10" s="50" t="str">
        <f>Lookup!K19</f>
        <v>FY22</v>
      </c>
      <c r="L10" s="50" t="str">
        <f>Lookup!L19</f>
        <v>FY23</v>
      </c>
      <c r="M10" s="50" t="str">
        <f>Lookup!M19</f>
        <v>FY24</v>
      </c>
      <c r="N10" s="50" t="str">
        <f>Lookup!N19</f>
        <v>FY25</v>
      </c>
      <c r="O10" s="50" t="str">
        <f>Lookup!O19</f>
        <v>FY26</v>
      </c>
    </row>
    <row r="12" spans="1:15" s="2" customFormat="1" ht="15" x14ac:dyDescent="0.35">
      <c r="B12" s="2" t="s">
        <v>167</v>
      </c>
    </row>
    <row r="13" spans="1:15" ht="4.5" customHeight="1" x14ac:dyDescent="0.35"/>
    <row r="14" spans="1:15" s="8" customFormat="1" ht="14.1" x14ac:dyDescent="0.35">
      <c r="C14" s="8" t="s">
        <v>168</v>
      </c>
    </row>
    <row r="16" spans="1:15" ht="12.6" customHeight="1" x14ac:dyDescent="0.35">
      <c r="D16" s="61" t="s">
        <v>101</v>
      </c>
      <c r="E16" s="60" t="str">
        <f>Lookup!E$19</f>
        <v>Source</v>
      </c>
      <c r="F16" s="60" t="str">
        <f>Lookup!F$19</f>
        <v>Unit</v>
      </c>
      <c r="G16" s="60" t="str">
        <f>Lookup!G$19</f>
        <v>Basis</v>
      </c>
      <c r="H16" s="60" t="str">
        <f>Lookup!H$19</f>
        <v>Timing</v>
      </c>
      <c r="I16" s="60" t="str">
        <f>I$10</f>
        <v>FY20</v>
      </c>
      <c r="J16" s="60" t="str">
        <f>J$10</f>
        <v>FY21</v>
      </c>
      <c r="K16" s="60" t="str">
        <f t="shared" ref="K16:O16" si="0">K$10</f>
        <v>FY22</v>
      </c>
      <c r="L16" s="60" t="str">
        <f t="shared" si="0"/>
        <v>FY23</v>
      </c>
      <c r="M16" s="60" t="str">
        <f t="shared" si="0"/>
        <v>FY24</v>
      </c>
      <c r="N16" s="60" t="str">
        <f t="shared" si="0"/>
        <v>FY25</v>
      </c>
      <c r="O16" s="60" t="str">
        <f t="shared" si="0"/>
        <v>FY26</v>
      </c>
    </row>
    <row r="17" spans="3:15" ht="12.6" customHeight="1" x14ac:dyDescent="0.35"/>
    <row r="18" spans="3:15" ht="12.6" customHeight="1" x14ac:dyDescent="0.35">
      <c r="D18" s="7" t="s">
        <v>59</v>
      </c>
      <c r="E18" s="63" t="s">
        <v>143</v>
      </c>
      <c r="F18" s="53" t="str">
        <f t="shared" ref="F18:F21" si="1">Percent</f>
        <v>Percent</v>
      </c>
      <c r="G18" s="53" t="str">
        <f t="shared" ref="G18:H21" si="2">NA</f>
        <v>N/A</v>
      </c>
      <c r="H18" s="53" t="str">
        <f t="shared" si="2"/>
        <v>N/A</v>
      </c>
      <c r="I18" s="68">
        <v>-3.4843205574912606E-3</v>
      </c>
      <c r="J18" s="68">
        <v>3.8461538461538325E-2</v>
      </c>
      <c r="K18" s="68">
        <v>6.1447811447811418E-2</v>
      </c>
      <c r="L18" s="68">
        <v>6.0269627279936566E-2</v>
      </c>
      <c r="M18" s="68">
        <v>3.8145100972326373E-2</v>
      </c>
      <c r="N18" s="68"/>
      <c r="O18" s="68"/>
    </row>
    <row r="19" spans="3:15" ht="12.6" customHeight="1" x14ac:dyDescent="0.35">
      <c r="D19" s="7" t="s">
        <v>60</v>
      </c>
      <c r="E19" s="63" t="s">
        <v>97</v>
      </c>
      <c r="F19" s="53" t="str">
        <f t="shared" si="1"/>
        <v>Percent</v>
      </c>
      <c r="G19" s="53" t="str">
        <f t="shared" si="2"/>
        <v>N/A</v>
      </c>
      <c r="H19" s="53" t="str">
        <f t="shared" si="2"/>
        <v>N/A</v>
      </c>
      <c r="I19" s="92"/>
      <c r="J19" s="92"/>
      <c r="K19" s="92"/>
      <c r="L19" s="92"/>
      <c r="M19" s="92"/>
      <c r="N19" s="68">
        <v>2.4E-2</v>
      </c>
      <c r="O19" s="68">
        <v>3.2000000000000001E-2</v>
      </c>
    </row>
    <row r="20" spans="3:15" ht="12.6" customHeight="1" x14ac:dyDescent="0.35"/>
    <row r="21" spans="3:15" ht="12.6" customHeight="1" x14ac:dyDescent="0.35">
      <c r="D21" s="93" t="str">
        <f>"Applied - "&amp;C14</f>
        <v>Applied - Unlagged - June to June</v>
      </c>
      <c r="E21" s="94" t="s">
        <v>88</v>
      </c>
      <c r="F21" s="95" t="str">
        <f t="shared" si="1"/>
        <v>Percent</v>
      </c>
      <c r="G21" s="95" t="str">
        <f t="shared" si="2"/>
        <v>N/A</v>
      </c>
      <c r="H21" s="95" t="str">
        <f t="shared" si="2"/>
        <v>N/A</v>
      </c>
      <c r="I21" s="96">
        <f>IF(ISBLANK(I18),I19,I18)</f>
        <v>-3.4843205574912606E-3</v>
      </c>
      <c r="J21" s="96">
        <f>IF(ISBLANK(J18),J19,J18)</f>
        <v>3.8461538461538325E-2</v>
      </c>
      <c r="K21" s="96">
        <f>IF(ISBLANK(K18),K19,K18)</f>
        <v>6.1447811447811418E-2</v>
      </c>
      <c r="L21" s="96">
        <f t="shared" ref="L21:O21" si="3">IF(ISBLANK(L18),L19,L18)</f>
        <v>6.0269627279936566E-2</v>
      </c>
      <c r="M21" s="96">
        <f t="shared" si="3"/>
        <v>3.8145100972326373E-2</v>
      </c>
      <c r="N21" s="96">
        <f t="shared" si="3"/>
        <v>2.4E-2</v>
      </c>
      <c r="O21" s="96">
        <f t="shared" si="3"/>
        <v>3.2000000000000001E-2</v>
      </c>
    </row>
    <row r="22" spans="3:15" ht="12.6" customHeight="1" x14ac:dyDescent="0.35">
      <c r="D22" s="7"/>
      <c r="E22" s="63"/>
      <c r="F22" s="53"/>
      <c r="G22" s="53"/>
      <c r="H22" s="53"/>
    </row>
    <row r="23" spans="3:15" ht="15" customHeight="1" x14ac:dyDescent="0.35">
      <c r="C23" s="64" t="s">
        <v>148</v>
      </c>
    </row>
    <row r="24" spans="3:15" ht="15" customHeight="1" x14ac:dyDescent="0.35">
      <c r="C24" s="64" t="s">
        <v>188</v>
      </c>
    </row>
    <row r="26" spans="3:15" s="8" customFormat="1" ht="14.1" x14ac:dyDescent="0.35">
      <c r="C26" s="8" t="s">
        <v>169</v>
      </c>
    </row>
    <row r="28" spans="3:15" ht="12.4" customHeight="1" x14ac:dyDescent="0.35">
      <c r="D28" s="61" t="s">
        <v>101</v>
      </c>
      <c r="E28" s="60" t="str">
        <f>Lookup!E$19</f>
        <v>Source</v>
      </c>
      <c r="F28" s="60" t="str">
        <f>Lookup!F$19</f>
        <v>Unit</v>
      </c>
      <c r="G28" s="60" t="str">
        <f>Lookup!G$19</f>
        <v>Basis</v>
      </c>
      <c r="H28" s="60" t="str">
        <f>Lookup!H$19</f>
        <v>Timing</v>
      </c>
      <c r="I28" s="60" t="str">
        <f>I$10</f>
        <v>FY20</v>
      </c>
      <c r="J28" s="60" t="str">
        <f>J$10</f>
        <v>FY21</v>
      </c>
      <c r="K28" s="60" t="str">
        <f t="shared" ref="K28:O28" si="4">K$10</f>
        <v>FY22</v>
      </c>
      <c r="L28" s="60" t="str">
        <f t="shared" si="4"/>
        <v>FY23</v>
      </c>
      <c r="M28" s="60" t="str">
        <f t="shared" si="4"/>
        <v>FY24</v>
      </c>
      <c r="N28" s="60" t="str">
        <f t="shared" si="4"/>
        <v>FY25</v>
      </c>
      <c r="O28" s="60" t="str">
        <f t="shared" si="4"/>
        <v>FY26</v>
      </c>
    </row>
    <row r="29" spans="3:15" ht="12.4" customHeight="1" x14ac:dyDescent="0.35"/>
    <row r="30" spans="3:15" ht="12.4" customHeight="1" x14ac:dyDescent="0.35">
      <c r="D30" s="7" t="s">
        <v>59</v>
      </c>
      <c r="E30" s="63" t="s">
        <v>143</v>
      </c>
      <c r="F30" s="53" t="str">
        <f t="shared" ref="F30:F33" si="5">Percent</f>
        <v>Percent</v>
      </c>
      <c r="G30" s="53" t="str">
        <f t="shared" ref="G30:H33" si="6">NA</f>
        <v>N/A</v>
      </c>
      <c r="H30" s="53" t="str">
        <f t="shared" si="6"/>
        <v>N/A</v>
      </c>
      <c r="I30" s="68">
        <v>1.8404907975460238E-2</v>
      </c>
      <c r="J30" s="68">
        <v>8.6058519793459354E-3</v>
      </c>
      <c r="K30" s="68">
        <v>3.4982935153583528E-2</v>
      </c>
      <c r="L30" s="68">
        <v>7.8318219291014124E-2</v>
      </c>
      <c r="M30" s="68">
        <v>4.0519877675840865E-2</v>
      </c>
      <c r="N30" s="68">
        <v>2.4246877296105973E-2</v>
      </c>
      <c r="O30" s="68"/>
    </row>
    <row r="31" spans="3:15" ht="12.4" customHeight="1" x14ac:dyDescent="0.35">
      <c r="D31" s="7" t="s">
        <v>60</v>
      </c>
      <c r="E31" s="63" t="s">
        <v>97</v>
      </c>
      <c r="F31" s="53" t="str">
        <f t="shared" si="5"/>
        <v>Percent</v>
      </c>
      <c r="G31" s="53" t="str">
        <f t="shared" si="6"/>
        <v>N/A</v>
      </c>
      <c r="H31" s="53" t="str">
        <f t="shared" si="6"/>
        <v>N/A</v>
      </c>
      <c r="I31" s="92"/>
      <c r="J31" s="92"/>
      <c r="K31" s="92"/>
      <c r="L31" s="92"/>
      <c r="M31" s="92"/>
      <c r="N31" s="92"/>
      <c r="O31" s="68">
        <v>3.6999999999999998E-2</v>
      </c>
    </row>
    <row r="32" spans="3:15" ht="12.4" customHeight="1" x14ac:dyDescent="0.35">
      <c r="I32" s="100" t="s">
        <v>184</v>
      </c>
      <c r="J32" s="100" t="s">
        <v>183</v>
      </c>
      <c r="K32" s="100" t="s">
        <v>182</v>
      </c>
      <c r="L32" s="100" t="s">
        <v>171</v>
      </c>
      <c r="M32" s="100" t="s">
        <v>174</v>
      </c>
      <c r="N32" s="100" t="s">
        <v>175</v>
      </c>
      <c r="O32" s="100" t="s">
        <v>176</v>
      </c>
    </row>
    <row r="33" spans="2:15" ht="12.4" customHeight="1" x14ac:dyDescent="0.35">
      <c r="D33" s="93" t="str">
        <f>"Applied - "&amp;C26</f>
        <v>Applied - Lagged - Dec to Dec</v>
      </c>
      <c r="E33" s="94" t="s">
        <v>88</v>
      </c>
      <c r="F33" s="95" t="str">
        <f t="shared" si="5"/>
        <v>Percent</v>
      </c>
      <c r="G33" s="95" t="str">
        <f t="shared" si="6"/>
        <v>N/A</v>
      </c>
      <c r="H33" s="95" t="str">
        <f t="shared" si="6"/>
        <v>N/A</v>
      </c>
      <c r="I33" s="96">
        <f>IF(ISBLANK(I30),I31,I30)</f>
        <v>1.8404907975460238E-2</v>
      </c>
      <c r="J33" s="96">
        <f>IF(ISBLANK(J30),J31,J30)</f>
        <v>8.6058519793459354E-3</v>
      </c>
      <c r="K33" s="96">
        <f>IF(ISBLANK(K30),K31,K30)</f>
        <v>3.4982935153583528E-2</v>
      </c>
      <c r="L33" s="96">
        <f t="shared" ref="L33:O33" si="7">IF(ISBLANK(L30),L31,L30)</f>
        <v>7.8318219291014124E-2</v>
      </c>
      <c r="M33" s="96">
        <f t="shared" si="7"/>
        <v>4.0519877675840865E-2</v>
      </c>
      <c r="N33" s="96">
        <f t="shared" si="7"/>
        <v>2.4246877296105973E-2</v>
      </c>
      <c r="O33" s="96">
        <f t="shared" si="7"/>
        <v>3.6999999999999998E-2</v>
      </c>
    </row>
    <row r="34" spans="2:15" ht="12.4" customHeight="1" x14ac:dyDescent="0.35">
      <c r="D34" s="7"/>
      <c r="E34" s="63"/>
      <c r="F34" s="53"/>
      <c r="G34" s="53"/>
      <c r="H34" s="53"/>
    </row>
    <row r="35" spans="2:15" ht="17.7" customHeight="1" x14ac:dyDescent="0.35">
      <c r="C35" s="64" t="s">
        <v>179</v>
      </c>
    </row>
    <row r="36" spans="2:15" ht="15.3" customHeight="1" x14ac:dyDescent="0.35">
      <c r="C36" s="64" t="s">
        <v>189</v>
      </c>
    </row>
    <row r="37" spans="2:15" ht="11.25" customHeight="1" x14ac:dyDescent="0.35"/>
    <row r="38" spans="2:15" s="2" customFormat="1" ht="15" x14ac:dyDescent="0.35">
      <c r="B38" s="2" t="s">
        <v>32</v>
      </c>
    </row>
  </sheetData>
  <conditionalFormatting sqref="B2">
    <cfRule type="cellIs" dxfId="6" priority="1" operator="notEqual">
      <formula>"No Errors Found"</formula>
    </cfRule>
  </conditionalFormatting>
  <hyperlinks>
    <hyperlink ref="B3:E3" location="TOC!A1" display="TOC!A1" xr:uid="{BC323F3C-9FA8-491D-A80D-4291FA4AB1B4}"/>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1:U112"/>
  <sheetViews>
    <sheetView showGridLines="0" zoomScaleNormal="100" workbookViewId="0">
      <pane xSplit="1" ySplit="10" topLeftCell="B11" activePane="bottomRight" state="frozen"/>
      <selection activeCell="E30" sqref="E30"/>
      <selection pane="topRight" activeCell="E30" sqref="E30"/>
      <selection pane="bottomLeft" activeCell="E30" sqref="E30"/>
      <selection pane="bottomRight" activeCell="B11" sqref="B11"/>
    </sheetView>
  </sheetViews>
  <sheetFormatPr defaultColWidth="9.33203125" defaultRowHeight="10.199999999999999" outlineLevelRow="1" x14ac:dyDescent="0.35"/>
  <cols>
    <col min="1" max="1" width="3.33203125" customWidth="1"/>
    <col min="2" max="2" width="2.796875" customWidth="1"/>
    <col min="3" max="3" width="5" customWidth="1"/>
    <col min="4" max="4" width="37.1328125" customWidth="1"/>
    <col min="5" max="8" width="12.6640625" customWidth="1"/>
    <col min="9" max="9" width="5.46484375" customWidth="1"/>
    <col min="10" max="28" width="12.796875" customWidth="1"/>
    <col min="29" max="32" width="12.46484375" bestFit="1" customWidth="1"/>
  </cols>
  <sheetData>
    <row r="1" spans="1:21" ht="18.899999999999999" x14ac:dyDescent="0.35">
      <c r="A1" s="58">
        <f>IF(SUM($A11:$A112)&gt;0,1,0)</f>
        <v>0</v>
      </c>
      <c r="B1" s="3" t="s">
        <v>145</v>
      </c>
    </row>
    <row r="2" spans="1:21" x14ac:dyDescent="0.35">
      <c r="B2" s="13" t="str">
        <f>Title_Msg</f>
        <v>No Errors Found</v>
      </c>
    </row>
    <row r="3" spans="1:21" x14ac:dyDescent="0.35">
      <c r="B3" s="46" t="str">
        <f>TOC!B1</f>
        <v>Table of Contents</v>
      </c>
      <c r="C3" s="41"/>
      <c r="D3" s="41"/>
      <c r="E3" s="41"/>
    </row>
    <row r="4" spans="1:21" ht="12.3" x14ac:dyDescent="0.35">
      <c r="B4" s="39" t="str">
        <f>Model_Name</f>
        <v>Rate of Return Model - Transgrid (TGD) - CWOREZ</v>
      </c>
    </row>
    <row r="5" spans="1:21" ht="12.3" hidden="1" outlineLevel="1" x14ac:dyDescent="0.35">
      <c r="B5" s="10" t="str">
        <f>Lookup!B14</f>
        <v>Period Start Date</v>
      </c>
      <c r="J5" s="51">
        <f>Lookup!I14</f>
        <v>43647</v>
      </c>
      <c r="K5" s="51">
        <f>Lookup!J14</f>
        <v>44013</v>
      </c>
      <c r="L5" s="51">
        <f>Lookup!K14</f>
        <v>44378</v>
      </c>
      <c r="M5" s="51">
        <f>Lookup!L14</f>
        <v>44743</v>
      </c>
      <c r="N5" s="51">
        <f>Lookup!M14</f>
        <v>45108</v>
      </c>
      <c r="O5" s="51">
        <f>Lookup!N14</f>
        <v>45474</v>
      </c>
      <c r="P5" s="51">
        <f>Lookup!O14</f>
        <v>45839</v>
      </c>
      <c r="Q5" s="51">
        <f>Lookup!P14</f>
        <v>46204</v>
      </c>
      <c r="R5" s="51">
        <f>Lookup!Q14</f>
        <v>46569</v>
      </c>
      <c r="S5" s="51">
        <f>Lookup!R14</f>
        <v>46935</v>
      </c>
      <c r="T5" s="51">
        <f>Lookup!S14</f>
        <v>47300</v>
      </c>
      <c r="U5" s="51">
        <f>Lookup!T14</f>
        <v>47665</v>
      </c>
    </row>
    <row r="6" spans="1:21" ht="12.3" hidden="1" outlineLevel="1" x14ac:dyDescent="0.35">
      <c r="B6" s="10" t="str">
        <f>Lookup!B15</f>
        <v>Period End Date</v>
      </c>
      <c r="J6" s="51">
        <f>Lookup!I15</f>
        <v>44012</v>
      </c>
      <c r="K6" s="51">
        <f>Lookup!J15</f>
        <v>44377</v>
      </c>
      <c r="L6" s="51">
        <f>Lookup!K15</f>
        <v>44742</v>
      </c>
      <c r="M6" s="51">
        <f>Lookup!L15</f>
        <v>45107</v>
      </c>
      <c r="N6" s="51">
        <f>Lookup!M15</f>
        <v>45473</v>
      </c>
      <c r="O6" s="51">
        <f>Lookup!N15</f>
        <v>45838</v>
      </c>
      <c r="P6" s="51">
        <f>Lookup!O15</f>
        <v>46203</v>
      </c>
      <c r="Q6" s="51">
        <f>Lookup!P15</f>
        <v>46568</v>
      </c>
      <c r="R6" s="51">
        <f>Lookup!Q15</f>
        <v>46934</v>
      </c>
      <c r="S6" s="51">
        <f>Lookup!R15</f>
        <v>47299</v>
      </c>
      <c r="T6" s="51">
        <f>Lookup!S15</f>
        <v>47664</v>
      </c>
      <c r="U6" s="51">
        <f>Lookup!T15</f>
        <v>48029</v>
      </c>
    </row>
    <row r="7" spans="1:21" ht="12.3" hidden="1" outlineLevel="1" x14ac:dyDescent="0.35">
      <c r="B7" s="10" t="str">
        <f>Lookup!B16</f>
        <v>Period Counter</v>
      </c>
      <c r="J7" s="52">
        <f>Lookup!I16</f>
        <v>1</v>
      </c>
      <c r="K7" s="52">
        <f>Lookup!J16</f>
        <v>2</v>
      </c>
      <c r="L7" s="52">
        <f>Lookup!K16</f>
        <v>3</v>
      </c>
      <c r="M7" s="52">
        <f>Lookup!L16</f>
        <v>4</v>
      </c>
      <c r="N7" s="52">
        <f>Lookup!M16</f>
        <v>5</v>
      </c>
      <c r="O7" s="52">
        <f>Lookup!N16</f>
        <v>6</v>
      </c>
      <c r="P7" s="52">
        <f>Lookup!O16</f>
        <v>7</v>
      </c>
      <c r="Q7" s="52">
        <f>Lookup!P16</f>
        <v>8</v>
      </c>
      <c r="R7" s="52">
        <f>Lookup!Q16</f>
        <v>9</v>
      </c>
      <c r="S7" s="52">
        <f>Lookup!R16</f>
        <v>10</v>
      </c>
      <c r="T7" s="52">
        <f>Lookup!S16</f>
        <v>11</v>
      </c>
      <c r="U7" s="52">
        <f>Lookup!T16</f>
        <v>12</v>
      </c>
    </row>
    <row r="8" spans="1:21" ht="12.3" hidden="1" outlineLevel="1" x14ac:dyDescent="0.35">
      <c r="B8" s="10" t="str">
        <f>Lookup!B17</f>
        <v>Year</v>
      </c>
      <c r="J8" s="53">
        <f>Lookup!I17</f>
        <v>2020</v>
      </c>
      <c r="K8" s="53">
        <f>Lookup!J17</f>
        <v>2021</v>
      </c>
      <c r="L8" s="53">
        <f>Lookup!K17</f>
        <v>2022</v>
      </c>
      <c r="M8" s="53">
        <f>Lookup!L17</f>
        <v>2023</v>
      </c>
      <c r="N8" s="53">
        <f>Lookup!M17</f>
        <v>2024</v>
      </c>
      <c r="O8" s="53">
        <f>Lookup!N17</f>
        <v>2025</v>
      </c>
      <c r="P8" s="53">
        <f>Lookup!O17</f>
        <v>2026</v>
      </c>
      <c r="Q8" s="53">
        <f>Lookup!P17</f>
        <v>2027</v>
      </c>
      <c r="R8" s="53">
        <f>Lookup!Q17</f>
        <v>2028</v>
      </c>
      <c r="S8" s="53">
        <f>Lookup!R17</f>
        <v>2029</v>
      </c>
      <c r="T8" s="53">
        <f>Lookup!S17</f>
        <v>2030</v>
      </c>
      <c r="U8" s="53">
        <f>Lookup!T17</f>
        <v>2031</v>
      </c>
    </row>
    <row r="9" spans="1:21" ht="12.3" hidden="1" outlineLevel="1" x14ac:dyDescent="0.35">
      <c r="B9" s="10" t="str">
        <f>Lookup!B18</f>
        <v>Period Type</v>
      </c>
      <c r="J9" s="53" t="str">
        <f>Lookup!I18</f>
        <v>Actual</v>
      </c>
      <c r="K9" s="53" t="str">
        <f>Lookup!J18</f>
        <v>Actual</v>
      </c>
      <c r="L9" s="53" t="str">
        <f>Lookup!K18</f>
        <v>Actual</v>
      </c>
      <c r="M9" s="53" t="str">
        <f>Lookup!L18</f>
        <v>Actual</v>
      </c>
      <c r="N9" s="53" t="str">
        <f>Lookup!M18</f>
        <v>Estimate</v>
      </c>
      <c r="O9" s="53" t="str">
        <f>Lookup!N18</f>
        <v>Estimate</v>
      </c>
      <c r="P9" s="53" t="str">
        <f>Lookup!O18</f>
        <v>Forecast</v>
      </c>
      <c r="Q9" s="53" t="str">
        <f>Lookup!P18</f>
        <v>Forecast</v>
      </c>
      <c r="R9" s="53" t="str">
        <f>Lookup!Q18</f>
        <v>Forecast</v>
      </c>
      <c r="S9" s="53" t="str">
        <f>Lookup!R18</f>
        <v>Forecast</v>
      </c>
      <c r="T9" s="53" t="str">
        <f>Lookup!S18</f>
        <v>Forecast</v>
      </c>
      <c r="U9" s="53" t="str">
        <f>Lookup!T18</f>
        <v>Forecast</v>
      </c>
    </row>
    <row r="10" spans="1:21" ht="12.3" collapsed="1" x14ac:dyDescent="0.35">
      <c r="B10" s="5" t="str">
        <f>Lookup!B19</f>
        <v>Regulatory Year</v>
      </c>
      <c r="E10" s="50" t="str">
        <f>Lookup!E19</f>
        <v>Source</v>
      </c>
      <c r="F10" s="50" t="str">
        <f>Lookup!F19</f>
        <v>Unit</v>
      </c>
      <c r="G10" s="50" t="str">
        <f>Lookup!G19</f>
        <v>Basis</v>
      </c>
      <c r="H10" s="50" t="str">
        <f>Lookup!H19</f>
        <v>Timing</v>
      </c>
      <c r="I10" s="59"/>
      <c r="J10" s="50" t="str">
        <f>Lookup!I19</f>
        <v>FY20</v>
      </c>
      <c r="K10" s="50" t="str">
        <f>Lookup!J19</f>
        <v>FY21</v>
      </c>
      <c r="L10" s="50" t="str">
        <f>Lookup!K19</f>
        <v>FY22</v>
      </c>
      <c r="M10" s="50" t="str">
        <f>Lookup!L19</f>
        <v>FY23</v>
      </c>
      <c r="N10" s="50" t="str">
        <f>Lookup!M19</f>
        <v>FY24</v>
      </c>
      <c r="O10" s="50" t="str">
        <f>Lookup!N19</f>
        <v>FY25</v>
      </c>
      <c r="P10" s="50" t="str">
        <f>Lookup!O19</f>
        <v>FY26</v>
      </c>
      <c r="Q10" s="50" t="str">
        <f>Lookup!P19</f>
        <v>FY27</v>
      </c>
      <c r="R10" s="50" t="str">
        <f>Lookup!Q19</f>
        <v>FY28</v>
      </c>
      <c r="S10" s="50" t="str">
        <f>Lookup!R19</f>
        <v>FY29</v>
      </c>
      <c r="T10" s="50" t="str">
        <f>Lookup!S19</f>
        <v>FY30</v>
      </c>
      <c r="U10" s="50" t="str">
        <f>Lookup!T19</f>
        <v>FY31</v>
      </c>
    </row>
    <row r="12" spans="1:21" s="2" customFormat="1" ht="15" x14ac:dyDescent="0.35">
      <c r="B12" s="2" t="s">
        <v>96</v>
      </c>
    </row>
    <row r="13" spans="1:21" ht="4.5" customHeight="1" x14ac:dyDescent="0.35"/>
    <row r="14" spans="1:21" s="8" customFormat="1" ht="14.1" x14ac:dyDescent="0.35">
      <c r="C14" s="8" t="s">
        <v>144</v>
      </c>
    </row>
    <row r="16" spans="1:21" ht="12.3" x14ac:dyDescent="0.35">
      <c r="D16" s="61" t="s">
        <v>101</v>
      </c>
      <c r="E16" s="60" t="str">
        <f>Lookup!E$19</f>
        <v>Source</v>
      </c>
      <c r="F16" s="60" t="str">
        <f>Lookup!F$19</f>
        <v>Unit</v>
      </c>
      <c r="G16" s="60" t="str">
        <f>Lookup!G$19</f>
        <v>Basis</v>
      </c>
      <c r="H16" s="60" t="str">
        <f>Lookup!H$19</f>
        <v>Timing</v>
      </c>
      <c r="I16" s="60"/>
      <c r="J16" s="60" t="str">
        <f t="shared" ref="J16:M16" si="0">J$10</f>
        <v>FY20</v>
      </c>
      <c r="K16" s="60" t="str">
        <f t="shared" si="0"/>
        <v>FY21</v>
      </c>
      <c r="L16" s="60" t="str">
        <f t="shared" si="0"/>
        <v>FY22</v>
      </c>
      <c r="M16" s="60" t="str">
        <f t="shared" si="0"/>
        <v>FY23</v>
      </c>
      <c r="N16" s="60" t="str">
        <f t="shared" ref="N16:U16" si="1">N$10</f>
        <v>FY24</v>
      </c>
      <c r="O16" s="60" t="str">
        <f t="shared" si="1"/>
        <v>FY25</v>
      </c>
      <c r="P16" s="67" t="str">
        <f t="shared" si="1"/>
        <v>FY26</v>
      </c>
      <c r="Q16" s="60" t="str">
        <f t="shared" si="1"/>
        <v>FY27</v>
      </c>
      <c r="R16" s="60" t="str">
        <f t="shared" si="1"/>
        <v>FY28</v>
      </c>
      <c r="S16" s="60" t="str">
        <f t="shared" si="1"/>
        <v>FY29</v>
      </c>
      <c r="T16" s="60" t="str">
        <f t="shared" si="1"/>
        <v>FY30</v>
      </c>
      <c r="U16" s="60" t="str">
        <f t="shared" si="1"/>
        <v>FY31</v>
      </c>
    </row>
    <row r="17" spans="2:21" x14ac:dyDescent="0.35">
      <c r="P17" s="66"/>
    </row>
    <row r="18" spans="2:21" ht="12.3" x14ac:dyDescent="0.35">
      <c r="D18" s="10" t="s">
        <v>142</v>
      </c>
      <c r="E18" s="63" t="s">
        <v>143</v>
      </c>
      <c r="F18" s="53" t="str">
        <f t="shared" ref="F18:F19" si="2">Percent</f>
        <v>Percent</v>
      </c>
      <c r="G18" s="53" t="str">
        <f t="shared" ref="G18:H19" si="3">NA</f>
        <v>N/A</v>
      </c>
      <c r="H18" s="53" t="str">
        <f t="shared" si="3"/>
        <v>N/A</v>
      </c>
      <c r="J18" s="102">
        <f>Input_CPI!I21</f>
        <v>-3.4843205574912606E-3</v>
      </c>
      <c r="K18" s="102">
        <f>Input_CPI!J21</f>
        <v>3.8461538461538325E-2</v>
      </c>
      <c r="L18" s="102">
        <f>Input_CPI!K21</f>
        <v>6.1447811447811418E-2</v>
      </c>
      <c r="M18" s="102">
        <f>Input_CPI!L21</f>
        <v>6.0269627279936566E-2</v>
      </c>
      <c r="N18" s="102">
        <f>Input_CPI!M21</f>
        <v>3.8145100972326373E-2</v>
      </c>
      <c r="O18" s="102">
        <f>Input_CPI!N21</f>
        <v>2.4E-2</v>
      </c>
    </row>
    <row r="19" spans="2:21" ht="12.3" x14ac:dyDescent="0.35">
      <c r="D19" s="10" t="s">
        <v>126</v>
      </c>
      <c r="E19" s="63" t="s">
        <v>97</v>
      </c>
      <c r="F19" s="53" t="str">
        <f t="shared" si="2"/>
        <v>Percent</v>
      </c>
      <c r="G19" s="53" t="str">
        <f t="shared" si="3"/>
        <v>N/A</v>
      </c>
      <c r="H19" s="53" t="str">
        <f t="shared" si="3"/>
        <v>N/A</v>
      </c>
      <c r="O19" s="101"/>
      <c r="P19" s="108">
        <f>Input_CPI!O21</f>
        <v>3.2000000000000001E-2</v>
      </c>
      <c r="Q19" s="105">
        <f>P19-(($P19-$U19)/5*1)</f>
        <v>3.0600000000000002E-2</v>
      </c>
      <c r="R19" s="106">
        <f t="shared" ref="R19:T19" si="4">Q19-(($P19-$U19)/5*1)</f>
        <v>2.9200000000000004E-2</v>
      </c>
      <c r="S19" s="106">
        <f t="shared" si="4"/>
        <v>2.7800000000000005E-2</v>
      </c>
      <c r="T19" s="107">
        <f t="shared" si="4"/>
        <v>2.6400000000000007E-2</v>
      </c>
      <c r="U19" s="104">
        <v>2.5000000000000001E-2</v>
      </c>
    </row>
    <row r="20" spans="2:21" ht="12.3" x14ac:dyDescent="0.35">
      <c r="O20" s="120" t="s">
        <v>185</v>
      </c>
      <c r="P20" s="120"/>
      <c r="Q20" s="120" t="s">
        <v>186</v>
      </c>
      <c r="R20" s="120"/>
      <c r="S20" s="120"/>
      <c r="T20" s="120"/>
      <c r="U20" s="84" t="s">
        <v>151</v>
      </c>
    </row>
    <row r="22" spans="2:21" ht="14.7" customHeight="1" x14ac:dyDescent="0.35">
      <c r="C22" s="64" t="s">
        <v>148</v>
      </c>
      <c r="Q22" s="103"/>
    </row>
    <row r="23" spans="2:21" ht="14.7" customHeight="1" x14ac:dyDescent="0.35">
      <c r="C23" s="64" t="s">
        <v>188</v>
      </c>
    </row>
    <row r="25" spans="2:21" s="2" customFormat="1" ht="15" x14ac:dyDescent="0.35">
      <c r="B25" s="2" t="s">
        <v>125</v>
      </c>
    </row>
    <row r="26" spans="2:21" ht="4.5" customHeight="1" x14ac:dyDescent="0.35"/>
    <row r="27" spans="2:21" s="8" customFormat="1" ht="14.1" x14ac:dyDescent="0.35">
      <c r="C27" s="8" t="s">
        <v>164</v>
      </c>
    </row>
    <row r="28" spans="2:21" ht="4.5" customHeight="1" x14ac:dyDescent="0.35"/>
    <row r="29" spans="2:21" s="99" customFormat="1" ht="12.3" x14ac:dyDescent="0.35">
      <c r="D29" s="99" t="s">
        <v>192</v>
      </c>
    </row>
    <row r="31" spans="2:21" ht="26.65" customHeight="1" x14ac:dyDescent="0.35">
      <c r="D31" s="61" t="s">
        <v>102</v>
      </c>
      <c r="E31" s="60" t="s">
        <v>62</v>
      </c>
      <c r="F31" s="60" t="s">
        <v>63</v>
      </c>
      <c r="G31" s="60" t="s">
        <v>64</v>
      </c>
      <c r="H31" s="60" t="s">
        <v>65</v>
      </c>
      <c r="I31" s="71"/>
      <c r="J31" s="60" t="s">
        <v>103</v>
      </c>
      <c r="K31" s="72"/>
      <c r="L31" s="60" t="s">
        <v>104</v>
      </c>
      <c r="M31" s="71"/>
      <c r="Q31" s="71"/>
    </row>
    <row r="32" spans="2:21" ht="11.25" customHeight="1" x14ac:dyDescent="0.35">
      <c r="D32" s="73"/>
      <c r="E32" s="71"/>
      <c r="F32" s="71"/>
      <c r="G32" s="71"/>
      <c r="I32" s="71"/>
      <c r="J32" s="72"/>
      <c r="K32" s="72"/>
      <c r="L32" s="72"/>
      <c r="M32" s="71"/>
      <c r="Q32" s="71"/>
    </row>
    <row r="33" spans="4:17" ht="12.3" x14ac:dyDescent="0.35">
      <c r="D33" s="7" t="s">
        <v>105</v>
      </c>
      <c r="E33" s="63" t="s">
        <v>97</v>
      </c>
      <c r="F33" s="53" t="s">
        <v>1</v>
      </c>
      <c r="G33" s="53" t="str">
        <f t="shared" ref="G33:H34" si="5">NA</f>
        <v>N/A</v>
      </c>
      <c r="H33" s="53" t="str">
        <f t="shared" si="5"/>
        <v>N/A</v>
      </c>
      <c r="I33" s="71"/>
      <c r="J33" s="68" t="s">
        <v>190</v>
      </c>
      <c r="L33" s="68" t="s">
        <v>191</v>
      </c>
      <c r="M33" s="71"/>
      <c r="Q33" s="71"/>
    </row>
    <row r="34" spans="4:17" ht="12.3" x14ac:dyDescent="0.35">
      <c r="D34" s="7" t="s">
        <v>106</v>
      </c>
      <c r="E34" s="63" t="s">
        <v>97</v>
      </c>
      <c r="F34" s="53" t="s">
        <v>107</v>
      </c>
      <c r="G34" s="53" t="str">
        <f t="shared" si="5"/>
        <v>N/A</v>
      </c>
      <c r="H34" s="53" t="str">
        <f t="shared" si="5"/>
        <v>N/A</v>
      </c>
      <c r="I34" s="71"/>
      <c r="J34" s="75">
        <v>49299</v>
      </c>
      <c r="L34" s="75">
        <v>49481</v>
      </c>
      <c r="M34" s="71"/>
      <c r="Q34" s="71"/>
    </row>
    <row r="36" spans="4:17" ht="26.65" customHeight="1" x14ac:dyDescent="0.35">
      <c r="D36" s="61" t="s">
        <v>108</v>
      </c>
      <c r="E36" s="60"/>
      <c r="F36" s="60"/>
      <c r="G36" s="60"/>
      <c r="H36" s="60"/>
      <c r="I36" s="71"/>
      <c r="J36" s="60" t="s">
        <v>136</v>
      </c>
      <c r="K36" s="72"/>
      <c r="L36" s="60" t="s">
        <v>136</v>
      </c>
      <c r="M36" s="71"/>
      <c r="Q36" s="71"/>
    </row>
    <row r="38" spans="4:17" ht="12.3" x14ac:dyDescent="0.35">
      <c r="D38" s="91" t="s">
        <v>205</v>
      </c>
      <c r="E38" s="63" t="s">
        <v>97</v>
      </c>
      <c r="F38" s="53" t="str">
        <f t="shared" ref="F38:F57" si="6">Percent</f>
        <v>Percent</v>
      </c>
      <c r="G38" s="53" t="str">
        <f t="shared" ref="G38:G57" si="7">Nominal</f>
        <v>Nominal</v>
      </c>
      <c r="H38" s="53" t="str">
        <f t="shared" ref="H38:H57" si="8">NA</f>
        <v>N/A</v>
      </c>
      <c r="I38" s="71"/>
      <c r="J38" s="68">
        <v>4.2670000000000007E-2</v>
      </c>
      <c r="K38" s="72"/>
      <c r="L38" s="68">
        <v>4.2960000000000005E-2</v>
      </c>
      <c r="M38" s="71"/>
      <c r="Q38" s="71"/>
    </row>
    <row r="39" spans="4:17" ht="12.3" x14ac:dyDescent="0.35">
      <c r="D39" s="91" t="s">
        <v>206</v>
      </c>
      <c r="E39" s="63" t="s">
        <v>97</v>
      </c>
      <c r="F39" s="53" t="str">
        <f t="shared" si="6"/>
        <v>Percent</v>
      </c>
      <c r="G39" s="53" t="str">
        <f t="shared" si="7"/>
        <v>Nominal</v>
      </c>
      <c r="H39" s="53" t="str">
        <f t="shared" si="8"/>
        <v>N/A</v>
      </c>
      <c r="I39" s="71"/>
      <c r="J39" s="68">
        <v>4.351E-2</v>
      </c>
      <c r="K39" s="72"/>
      <c r="L39" s="68">
        <v>4.3819999999999998E-2</v>
      </c>
      <c r="M39" s="71"/>
      <c r="Q39" s="71"/>
    </row>
    <row r="40" spans="4:17" ht="12.3" x14ac:dyDescent="0.35">
      <c r="D40" s="91" t="s">
        <v>207</v>
      </c>
      <c r="E40" s="63" t="s">
        <v>97</v>
      </c>
      <c r="F40" s="53" t="str">
        <f t="shared" si="6"/>
        <v>Percent</v>
      </c>
      <c r="G40" s="53" t="str">
        <f t="shared" si="7"/>
        <v>Nominal</v>
      </c>
      <c r="H40" s="53" t="str">
        <f t="shared" si="8"/>
        <v>N/A</v>
      </c>
      <c r="I40" s="71"/>
      <c r="J40" s="68">
        <v>4.4790000000000003E-2</v>
      </c>
      <c r="K40" s="72"/>
      <c r="L40" s="68">
        <v>4.5119999999999993E-2</v>
      </c>
      <c r="M40" s="71"/>
      <c r="Q40" s="71"/>
    </row>
    <row r="41" spans="4:17" ht="12.3" x14ac:dyDescent="0.35">
      <c r="D41" s="91" t="s">
        <v>208</v>
      </c>
      <c r="E41" s="63" t="str">
        <f>E38</f>
        <v>RBA</v>
      </c>
      <c r="F41" s="53" t="str">
        <f t="shared" si="6"/>
        <v>Percent</v>
      </c>
      <c r="G41" s="53" t="str">
        <f t="shared" si="7"/>
        <v>Nominal</v>
      </c>
      <c r="H41" s="53" t="str">
        <f t="shared" si="8"/>
        <v>N/A</v>
      </c>
      <c r="I41" s="71"/>
      <c r="J41" s="68">
        <v>4.4000000000000004E-2</v>
      </c>
      <c r="K41" s="72"/>
      <c r="L41" s="68">
        <v>4.4320000000000005E-2</v>
      </c>
      <c r="M41" s="71"/>
      <c r="Q41" s="71"/>
    </row>
    <row r="42" spans="4:17" ht="12.3" x14ac:dyDescent="0.35">
      <c r="D42" s="91" t="s">
        <v>209</v>
      </c>
      <c r="E42" s="63" t="str">
        <f t="shared" ref="E42:E57" si="9">E41</f>
        <v>RBA</v>
      </c>
      <c r="F42" s="53" t="str">
        <f t="shared" si="6"/>
        <v>Percent</v>
      </c>
      <c r="G42" s="53" t="str">
        <f t="shared" si="7"/>
        <v>Nominal</v>
      </c>
      <c r="H42" s="53" t="str">
        <f t="shared" si="8"/>
        <v>N/A</v>
      </c>
      <c r="I42" s="71"/>
      <c r="J42" s="68">
        <v>4.4349999999999994E-2</v>
      </c>
      <c r="K42" s="72"/>
      <c r="L42" s="68">
        <v>4.4679999999999997E-2</v>
      </c>
      <c r="M42" s="71"/>
      <c r="Q42" s="71"/>
    </row>
    <row r="43" spans="4:17" ht="12.3" x14ac:dyDescent="0.35">
      <c r="D43" s="91" t="s">
        <v>210</v>
      </c>
      <c r="E43" s="63" t="str">
        <f t="shared" si="9"/>
        <v>RBA</v>
      </c>
      <c r="F43" s="53" t="str">
        <f t="shared" si="6"/>
        <v>Percent</v>
      </c>
      <c r="G43" s="53" t="str">
        <f t="shared" si="7"/>
        <v>Nominal</v>
      </c>
      <c r="H43" s="53" t="str">
        <f t="shared" si="8"/>
        <v>N/A</v>
      </c>
      <c r="I43" s="71"/>
      <c r="J43" s="68">
        <v>4.3749999999999997E-2</v>
      </c>
      <c r="K43" s="72"/>
      <c r="L43" s="68">
        <v>4.4069999999999998E-2</v>
      </c>
      <c r="M43" s="71"/>
      <c r="Q43" s="71"/>
    </row>
    <row r="44" spans="4:17" ht="12.3" x14ac:dyDescent="0.35">
      <c r="D44" s="91" t="s">
        <v>211</v>
      </c>
      <c r="E44" s="63" t="str">
        <f t="shared" si="9"/>
        <v>RBA</v>
      </c>
      <c r="F44" s="53" t="str">
        <f t="shared" si="6"/>
        <v>Percent</v>
      </c>
      <c r="G44" s="53" t="str">
        <f t="shared" si="7"/>
        <v>Nominal</v>
      </c>
      <c r="H44" s="53" t="str">
        <f t="shared" si="8"/>
        <v>N/A</v>
      </c>
      <c r="I44" s="71"/>
      <c r="J44" s="68">
        <v>4.4340000000000004E-2</v>
      </c>
      <c r="K44" s="72"/>
      <c r="L44" s="68">
        <v>4.4679999999999997E-2</v>
      </c>
      <c r="M44" s="71"/>
      <c r="Q44" s="71"/>
    </row>
    <row r="45" spans="4:17" ht="12.3" x14ac:dyDescent="0.35">
      <c r="D45" s="91" t="s">
        <v>212</v>
      </c>
      <c r="E45" s="63" t="str">
        <f t="shared" si="9"/>
        <v>RBA</v>
      </c>
      <c r="F45" s="53" t="str">
        <f t="shared" si="6"/>
        <v>Percent</v>
      </c>
      <c r="G45" s="53" t="str">
        <f t="shared" si="7"/>
        <v>Nominal</v>
      </c>
      <c r="H45" s="53" t="str">
        <f t="shared" si="8"/>
        <v>N/A</v>
      </c>
      <c r="I45" s="71"/>
      <c r="J45" s="68">
        <v>4.4160000000000005E-2</v>
      </c>
      <c r="K45" s="72"/>
      <c r="L45" s="68">
        <v>4.4480000000000006E-2</v>
      </c>
      <c r="M45" s="71"/>
      <c r="Q45" s="71"/>
    </row>
    <row r="46" spans="4:17" ht="12.3" x14ac:dyDescent="0.35">
      <c r="D46" s="91" t="s">
        <v>213</v>
      </c>
      <c r="E46" s="63" t="str">
        <f t="shared" si="9"/>
        <v>RBA</v>
      </c>
      <c r="F46" s="53" t="str">
        <f t="shared" si="6"/>
        <v>Percent</v>
      </c>
      <c r="G46" s="53" t="str">
        <f t="shared" si="7"/>
        <v>Nominal</v>
      </c>
      <c r="H46" s="53" t="str">
        <f t="shared" si="8"/>
        <v>N/A</v>
      </c>
      <c r="I46" s="71"/>
      <c r="J46" s="68">
        <v>4.4189999999999993E-2</v>
      </c>
      <c r="K46" s="72"/>
      <c r="L46" s="68">
        <v>4.4519999999999997E-2</v>
      </c>
      <c r="M46" s="71"/>
      <c r="Q46" s="71"/>
    </row>
    <row r="47" spans="4:17" ht="12.3" x14ac:dyDescent="0.35">
      <c r="D47" s="91" t="s">
        <v>214</v>
      </c>
      <c r="E47" s="63" t="str">
        <f t="shared" si="9"/>
        <v>RBA</v>
      </c>
      <c r="F47" s="53" t="str">
        <f t="shared" si="6"/>
        <v>Percent</v>
      </c>
      <c r="G47" s="53" t="str">
        <f t="shared" si="7"/>
        <v>Nominal</v>
      </c>
      <c r="H47" s="53" t="str">
        <f t="shared" si="8"/>
        <v>N/A</v>
      </c>
      <c r="I47" s="71"/>
      <c r="J47" s="68">
        <v>4.4069999999999998E-2</v>
      </c>
      <c r="K47" s="72"/>
      <c r="L47" s="68">
        <v>4.4400000000000002E-2</v>
      </c>
      <c r="M47" s="71"/>
      <c r="Q47" s="71"/>
    </row>
    <row r="48" spans="4:17" ht="12.3" x14ac:dyDescent="0.35">
      <c r="D48" s="91" t="s">
        <v>215</v>
      </c>
      <c r="E48" s="63" t="str">
        <f t="shared" si="9"/>
        <v>RBA</v>
      </c>
      <c r="F48" s="53" t="str">
        <f t="shared" si="6"/>
        <v>Percent</v>
      </c>
      <c r="G48" s="53" t="str">
        <f t="shared" si="7"/>
        <v>Nominal</v>
      </c>
      <c r="H48" s="53" t="str">
        <f t="shared" si="8"/>
        <v>N/A</v>
      </c>
      <c r="I48" s="71"/>
      <c r="J48" s="68">
        <v>4.3979999999999998E-2</v>
      </c>
      <c r="K48" s="72"/>
      <c r="L48" s="68">
        <v>4.4310000000000002E-2</v>
      </c>
      <c r="M48" s="71"/>
      <c r="Q48" s="71"/>
    </row>
    <row r="49" spans="2:17" ht="12.3" x14ac:dyDescent="0.35">
      <c r="D49" s="91" t="s">
        <v>216</v>
      </c>
      <c r="E49" s="63" t="str">
        <f t="shared" si="9"/>
        <v>RBA</v>
      </c>
      <c r="F49" s="53" t="str">
        <f t="shared" si="6"/>
        <v>Percent</v>
      </c>
      <c r="G49" s="53" t="str">
        <f t="shared" si="7"/>
        <v>Nominal</v>
      </c>
      <c r="H49" s="53" t="str">
        <f t="shared" si="8"/>
        <v>N/A</v>
      </c>
      <c r="I49" s="71"/>
      <c r="J49" s="68">
        <v>4.4180000000000004E-2</v>
      </c>
      <c r="K49" s="72"/>
      <c r="L49" s="68">
        <v>4.4509999999999994E-2</v>
      </c>
      <c r="M49" s="71"/>
      <c r="Q49" s="71"/>
    </row>
    <row r="50" spans="2:17" ht="12.3" x14ac:dyDescent="0.35">
      <c r="D50" s="91" t="s">
        <v>217</v>
      </c>
      <c r="E50" s="63" t="str">
        <f t="shared" si="9"/>
        <v>RBA</v>
      </c>
      <c r="F50" s="53" t="str">
        <f t="shared" si="6"/>
        <v>Percent</v>
      </c>
      <c r="G50" s="53" t="str">
        <f t="shared" si="7"/>
        <v>Nominal</v>
      </c>
      <c r="H50" s="53" t="str">
        <f t="shared" si="8"/>
        <v>N/A</v>
      </c>
      <c r="I50" s="71"/>
      <c r="J50" s="68">
        <v>4.3730000000000005E-2</v>
      </c>
      <c r="K50" s="72"/>
      <c r="L50" s="68">
        <v>4.4059999999999995E-2</v>
      </c>
      <c r="M50" s="71"/>
      <c r="Q50" s="71"/>
    </row>
    <row r="51" spans="2:17" ht="12.3" x14ac:dyDescent="0.35">
      <c r="D51" s="91" t="s">
        <v>218</v>
      </c>
      <c r="E51" s="63" t="str">
        <f t="shared" si="9"/>
        <v>RBA</v>
      </c>
      <c r="F51" s="53" t="str">
        <f t="shared" si="6"/>
        <v>Percent</v>
      </c>
      <c r="G51" s="53" t="str">
        <f t="shared" si="7"/>
        <v>Nominal</v>
      </c>
      <c r="H51" s="53" t="str">
        <f t="shared" si="8"/>
        <v>N/A</v>
      </c>
      <c r="I51" s="71"/>
      <c r="J51" s="68">
        <v>4.3929999999999997E-2</v>
      </c>
      <c r="K51" s="72"/>
      <c r="L51" s="68">
        <v>4.4260000000000001E-2</v>
      </c>
      <c r="M51" s="71"/>
      <c r="Q51" s="71"/>
    </row>
    <row r="52" spans="2:17" ht="12.3" x14ac:dyDescent="0.35">
      <c r="D52" s="91" t="s">
        <v>219</v>
      </c>
      <c r="E52" s="63" t="str">
        <f t="shared" si="9"/>
        <v>RBA</v>
      </c>
      <c r="F52" s="53" t="str">
        <f t="shared" si="6"/>
        <v>Percent</v>
      </c>
      <c r="G52" s="53" t="str">
        <f t="shared" si="7"/>
        <v>Nominal</v>
      </c>
      <c r="H52" s="53" t="str">
        <f t="shared" si="8"/>
        <v>N/A</v>
      </c>
      <c r="I52" s="71"/>
      <c r="J52" s="68">
        <v>4.3979999999999998E-2</v>
      </c>
      <c r="K52" s="72"/>
      <c r="L52" s="68">
        <v>4.4310000000000002E-2</v>
      </c>
      <c r="M52" s="71"/>
      <c r="Q52" s="71"/>
    </row>
    <row r="53" spans="2:17" ht="12.3" x14ac:dyDescent="0.35">
      <c r="D53" s="91" t="s">
        <v>220</v>
      </c>
      <c r="E53" s="63" t="str">
        <f t="shared" si="9"/>
        <v>RBA</v>
      </c>
      <c r="F53" s="53" t="str">
        <f t="shared" si="6"/>
        <v>Percent</v>
      </c>
      <c r="G53" s="53" t="str">
        <f t="shared" si="7"/>
        <v>Nominal</v>
      </c>
      <c r="H53" s="53" t="str">
        <f t="shared" si="8"/>
        <v>N/A</v>
      </c>
      <c r="I53" s="71"/>
      <c r="J53" s="68">
        <v>4.4219999999999995E-2</v>
      </c>
      <c r="K53" s="72"/>
      <c r="L53" s="68">
        <v>4.4549999999999999E-2</v>
      </c>
      <c r="M53" s="71"/>
      <c r="Q53" s="71"/>
    </row>
    <row r="54" spans="2:17" ht="12.3" x14ac:dyDescent="0.35">
      <c r="D54" s="91" t="s">
        <v>221</v>
      </c>
      <c r="E54" s="63" t="str">
        <f t="shared" si="9"/>
        <v>RBA</v>
      </c>
      <c r="F54" s="53" t="str">
        <f t="shared" si="6"/>
        <v>Percent</v>
      </c>
      <c r="G54" s="53" t="str">
        <f t="shared" si="7"/>
        <v>Nominal</v>
      </c>
      <c r="H54" s="53" t="str">
        <f t="shared" si="8"/>
        <v>N/A</v>
      </c>
      <c r="I54" s="71"/>
      <c r="J54" s="68">
        <v>4.4740000000000002E-2</v>
      </c>
      <c r="K54" s="72"/>
      <c r="L54" s="68">
        <v>4.5110000000000004E-2</v>
      </c>
      <c r="M54" s="71"/>
      <c r="Q54" s="71"/>
    </row>
    <row r="55" spans="2:17" ht="12.3" x14ac:dyDescent="0.35">
      <c r="D55" s="91" t="s">
        <v>222</v>
      </c>
      <c r="E55" s="63" t="str">
        <f t="shared" si="9"/>
        <v>RBA</v>
      </c>
      <c r="F55" s="53" t="str">
        <f t="shared" si="6"/>
        <v>Percent</v>
      </c>
      <c r="G55" s="53" t="str">
        <f t="shared" si="7"/>
        <v>Nominal</v>
      </c>
      <c r="H55" s="53" t="str">
        <f t="shared" si="8"/>
        <v>N/A</v>
      </c>
      <c r="I55" s="71"/>
      <c r="J55" s="68">
        <v>4.5030000000000001E-2</v>
      </c>
      <c r="K55" s="72"/>
      <c r="L55" s="68">
        <v>4.5410000000000006E-2</v>
      </c>
      <c r="M55" s="71"/>
      <c r="Q55" s="71"/>
    </row>
    <row r="56" spans="2:17" ht="12.3" x14ac:dyDescent="0.35">
      <c r="D56" s="91" t="s">
        <v>223</v>
      </c>
      <c r="E56" s="63" t="str">
        <f t="shared" si="9"/>
        <v>RBA</v>
      </c>
      <c r="F56" s="53" t="str">
        <f t="shared" si="6"/>
        <v>Percent</v>
      </c>
      <c r="G56" s="53" t="str">
        <f t="shared" si="7"/>
        <v>Nominal</v>
      </c>
      <c r="H56" s="53" t="str">
        <f t="shared" si="8"/>
        <v>N/A</v>
      </c>
      <c r="I56" s="71"/>
      <c r="J56" s="68">
        <v>4.4580000000000002E-2</v>
      </c>
      <c r="K56" s="72"/>
      <c r="L56" s="68">
        <v>4.4960000000000007E-2</v>
      </c>
      <c r="M56" s="71"/>
      <c r="Q56" s="71"/>
    </row>
    <row r="57" spans="2:17" ht="12.3" x14ac:dyDescent="0.35">
      <c r="D57" s="91" t="s">
        <v>224</v>
      </c>
      <c r="E57" s="63" t="str">
        <f t="shared" si="9"/>
        <v>RBA</v>
      </c>
      <c r="F57" s="53" t="str">
        <f t="shared" si="6"/>
        <v>Percent</v>
      </c>
      <c r="G57" s="53" t="str">
        <f t="shared" si="7"/>
        <v>Nominal</v>
      </c>
      <c r="H57" s="53" t="str">
        <f t="shared" si="8"/>
        <v>N/A</v>
      </c>
      <c r="I57" s="71"/>
      <c r="J57" s="68">
        <v>4.3819999999999998E-2</v>
      </c>
      <c r="K57" s="72"/>
      <c r="L57" s="68">
        <v>4.4189999999999993E-2</v>
      </c>
      <c r="M57" s="71"/>
      <c r="Q57" s="71"/>
    </row>
    <row r="58" spans="2:17" ht="11.25" customHeight="1" x14ac:dyDescent="0.35"/>
    <row r="59" spans="2:17" s="2" customFormat="1" ht="15" x14ac:dyDescent="0.35">
      <c r="B59" s="2" t="s">
        <v>140</v>
      </c>
    </row>
    <row r="60" spans="2:17" ht="4.5" customHeight="1" x14ac:dyDescent="0.35"/>
    <row r="61" spans="2:17" s="8" customFormat="1" ht="14.1" x14ac:dyDescent="0.35">
      <c r="C61" s="8" t="s">
        <v>193</v>
      </c>
    </row>
    <row r="63" spans="2:17" ht="26.65" customHeight="1" x14ac:dyDescent="0.35">
      <c r="D63" s="61" t="s">
        <v>140</v>
      </c>
      <c r="E63" s="60" t="s">
        <v>62</v>
      </c>
      <c r="F63" s="60" t="s">
        <v>63</v>
      </c>
      <c r="G63" s="60" t="s">
        <v>64</v>
      </c>
      <c r="H63" s="60" t="str">
        <f>Lookup!H$19</f>
        <v>Timing</v>
      </c>
      <c r="I63" s="71"/>
      <c r="J63" s="60" t="str">
        <f t="shared" ref="J63:N63" si="10">J$10</f>
        <v>FY20</v>
      </c>
      <c r="K63" s="60" t="str">
        <f t="shared" si="10"/>
        <v>FY21</v>
      </c>
      <c r="L63" s="60" t="str">
        <f t="shared" si="10"/>
        <v>FY22</v>
      </c>
      <c r="M63" s="67" t="str">
        <f t="shared" si="10"/>
        <v>FY23</v>
      </c>
      <c r="N63" s="109" t="str">
        <f t="shared" si="10"/>
        <v>FY24</v>
      </c>
      <c r="O63" s="60" t="str">
        <f>O$10</f>
        <v>FY25</v>
      </c>
      <c r="P63" s="60" t="str">
        <f>P$10</f>
        <v>FY26</v>
      </c>
      <c r="Q63" s="60" t="str">
        <f>Q$10</f>
        <v>FY27</v>
      </c>
    </row>
    <row r="64" spans="2:17" ht="12.6" customHeight="1" x14ac:dyDescent="0.35">
      <c r="M64" s="66"/>
      <c r="N64" s="110"/>
    </row>
    <row r="65" spans="3:18" ht="12.6" customHeight="1" x14ac:dyDescent="0.35">
      <c r="J65" s="44" t="s">
        <v>59</v>
      </c>
      <c r="K65" s="44" t="s">
        <v>59</v>
      </c>
      <c r="L65" s="44" t="s">
        <v>59</v>
      </c>
      <c r="M65" s="111" t="s">
        <v>59</v>
      </c>
      <c r="N65" s="112" t="s">
        <v>59</v>
      </c>
      <c r="O65" s="44" t="s">
        <v>59</v>
      </c>
      <c r="P65" s="44" t="s">
        <v>157</v>
      </c>
      <c r="Q65" s="44" t="s">
        <v>157</v>
      </c>
    </row>
    <row r="66" spans="3:18" ht="12.6" customHeight="1" x14ac:dyDescent="0.35">
      <c r="D66" s="76" t="s">
        <v>162</v>
      </c>
      <c r="E66" s="63" t="s">
        <v>177</v>
      </c>
      <c r="F66" s="53" t="str">
        <f t="shared" ref="F66" si="11">Percent</f>
        <v>Percent</v>
      </c>
      <c r="G66" s="53" t="s">
        <v>67</v>
      </c>
      <c r="H66" s="53" t="str">
        <f t="shared" ref="H66" si="12">NA</f>
        <v>N/A</v>
      </c>
      <c r="J66" s="68">
        <v>4.6759251552633517E-2</v>
      </c>
      <c r="K66" s="68">
        <v>3.0984201853053034E-2</v>
      </c>
      <c r="L66" s="68">
        <v>2.1424807723075256E-2</v>
      </c>
      <c r="M66" s="68">
        <v>3.6526059547999999E-2</v>
      </c>
      <c r="N66" s="113">
        <v>4.6256388460756137E-2</v>
      </c>
      <c r="O66" s="68">
        <v>4.5694522620123003E-2</v>
      </c>
      <c r="P66" s="68">
        <v>4.7170609121817433E-2</v>
      </c>
      <c r="Q66" s="68">
        <v>4.8209386543925162E-2</v>
      </c>
      <c r="R66" s="97" t="s">
        <v>187</v>
      </c>
    </row>
    <row r="68" spans="3:18" s="8" customFormat="1" ht="14.1" x14ac:dyDescent="0.35">
      <c r="C68" s="8" t="s">
        <v>149</v>
      </c>
    </row>
    <row r="70" spans="3:18" ht="26.65" customHeight="1" x14ac:dyDescent="0.35">
      <c r="D70" s="61" t="s">
        <v>112</v>
      </c>
      <c r="E70" s="60" t="s">
        <v>62</v>
      </c>
      <c r="F70" s="60" t="s">
        <v>63</v>
      </c>
      <c r="G70" s="60" t="s">
        <v>64</v>
      </c>
      <c r="H70" s="60" t="str">
        <f>Lookup!H$19</f>
        <v>Timing</v>
      </c>
      <c r="I70" s="71"/>
      <c r="J70" s="60" t="s">
        <v>111</v>
      </c>
      <c r="K70" s="71"/>
      <c r="L70" s="71"/>
      <c r="M70" s="71"/>
      <c r="O70" s="72"/>
    </row>
    <row r="71" spans="3:18" ht="11.25" customHeight="1" x14ac:dyDescent="0.35"/>
    <row r="72" spans="3:18" ht="12.6" customHeight="1" x14ac:dyDescent="0.35">
      <c r="D72" s="76" t="s">
        <v>163</v>
      </c>
      <c r="E72" s="63" t="s">
        <v>114</v>
      </c>
      <c r="F72" s="53" t="str">
        <f t="shared" ref="F72" si="13">Percent</f>
        <v>Percent</v>
      </c>
      <c r="G72" s="53" t="s">
        <v>67</v>
      </c>
      <c r="H72" s="53" t="str">
        <f t="shared" ref="H72" si="14">NA</f>
        <v>N/A</v>
      </c>
      <c r="I72" s="71"/>
      <c r="J72" s="68">
        <v>0.1</v>
      </c>
      <c r="K72" s="71"/>
      <c r="L72" s="71"/>
      <c r="M72" s="71"/>
    </row>
    <row r="74" spans="3:18" s="8" customFormat="1" ht="14.1" x14ac:dyDescent="0.35">
      <c r="D74" s="8" t="s">
        <v>194</v>
      </c>
    </row>
    <row r="76" spans="3:18" ht="26.65" customHeight="1" x14ac:dyDescent="0.35">
      <c r="D76" s="61" t="s">
        <v>102</v>
      </c>
      <c r="E76" s="60" t="s">
        <v>62</v>
      </c>
      <c r="F76" s="60" t="s">
        <v>63</v>
      </c>
      <c r="G76" s="60" t="s">
        <v>64</v>
      </c>
      <c r="H76" s="60" t="s">
        <v>65</v>
      </c>
      <c r="I76" s="71"/>
      <c r="J76" s="114" t="s">
        <v>195</v>
      </c>
      <c r="K76" s="115"/>
      <c r="M76" s="114" t="s">
        <v>198</v>
      </c>
      <c r="N76" s="115"/>
      <c r="Q76" s="71"/>
    </row>
    <row r="77" spans="3:18" ht="11.25" customHeight="1" x14ac:dyDescent="0.35">
      <c r="D77" s="73"/>
      <c r="E77" s="71"/>
      <c r="F77" s="71"/>
      <c r="G77" s="71"/>
      <c r="I77" s="71"/>
      <c r="J77" s="72"/>
      <c r="K77" s="72"/>
      <c r="M77" s="72"/>
      <c r="Q77" s="71"/>
    </row>
    <row r="78" spans="3:18" ht="26.65" customHeight="1" x14ac:dyDescent="0.35">
      <c r="D78" s="61" t="s">
        <v>108</v>
      </c>
      <c r="E78" s="60"/>
      <c r="F78" s="60"/>
      <c r="G78" s="60"/>
      <c r="H78" s="60"/>
      <c r="I78" s="71"/>
      <c r="J78" s="60" t="s">
        <v>196</v>
      </c>
      <c r="K78" s="60" t="s">
        <v>197</v>
      </c>
      <c r="M78" s="60" t="str">
        <f>J78</f>
        <v>Bloomberg</v>
      </c>
      <c r="N78" s="60" t="str">
        <f>K78</f>
        <v>Refinitiv</v>
      </c>
      <c r="Q78" s="71"/>
    </row>
    <row r="80" spans="3:18" ht="12.3" x14ac:dyDescent="0.35">
      <c r="D80" s="91">
        <v>45734</v>
      </c>
      <c r="E80" s="63" t="s">
        <v>97</v>
      </c>
      <c r="F80" s="53" t="str">
        <f t="shared" ref="F80:F89" si="15">Percent</f>
        <v>Percent</v>
      </c>
      <c r="G80" s="53" t="str">
        <f t="shared" ref="G80:G89" si="16">Nominal</f>
        <v>Nominal</v>
      </c>
      <c r="H80" s="53" t="str">
        <f t="shared" ref="H80:H89" si="17">NA</f>
        <v>N/A</v>
      </c>
      <c r="I80" s="71"/>
      <c r="J80" s="68">
        <v>5.7721999999999996E-2</v>
      </c>
      <c r="K80" s="68">
        <v>5.8609999999999995E-2</v>
      </c>
      <c r="M80" s="68">
        <v>5.3259999999999995E-2</v>
      </c>
      <c r="N80" s="68">
        <v>5.7599999999999998E-2</v>
      </c>
      <c r="Q80" s="71"/>
    </row>
    <row r="81" spans="2:19" ht="12.3" x14ac:dyDescent="0.35">
      <c r="D81" s="91">
        <v>45735</v>
      </c>
      <c r="E81" s="63" t="s">
        <v>97</v>
      </c>
      <c r="F81" s="53" t="str">
        <f t="shared" si="15"/>
        <v>Percent</v>
      </c>
      <c r="G81" s="53" t="str">
        <f t="shared" si="16"/>
        <v>Nominal</v>
      </c>
      <c r="H81" s="53" t="str">
        <f t="shared" si="17"/>
        <v>N/A</v>
      </c>
      <c r="I81" s="71"/>
      <c r="J81" s="68">
        <v>5.8011999999999994E-2</v>
      </c>
      <c r="K81" s="68">
        <v>5.8760000000000007E-2</v>
      </c>
      <c r="M81" s="68">
        <v>5.3571000000000001E-2</v>
      </c>
      <c r="N81" s="68">
        <v>5.7779999999999998E-2</v>
      </c>
      <c r="Q81" s="71"/>
    </row>
    <row r="82" spans="2:19" ht="12.3" x14ac:dyDescent="0.35">
      <c r="D82" s="91">
        <v>45736</v>
      </c>
      <c r="E82" s="63" t="s">
        <v>97</v>
      </c>
      <c r="F82" s="53" t="str">
        <f t="shared" si="15"/>
        <v>Percent</v>
      </c>
      <c r="G82" s="53" t="str">
        <f t="shared" si="16"/>
        <v>Nominal</v>
      </c>
      <c r="H82" s="53" t="str">
        <f t="shared" si="17"/>
        <v>N/A</v>
      </c>
      <c r="I82" s="71"/>
      <c r="J82" s="68">
        <v>5.7557999999999998E-2</v>
      </c>
      <c r="K82" s="68">
        <v>5.8799999999999998E-2</v>
      </c>
      <c r="M82" s="68">
        <v>5.3094999999999996E-2</v>
      </c>
      <c r="N82" s="68">
        <v>5.7699999999999994E-2</v>
      </c>
      <c r="Q82" s="71"/>
    </row>
    <row r="83" spans="2:19" ht="12.3" x14ac:dyDescent="0.35">
      <c r="D83" s="91">
        <v>45737</v>
      </c>
      <c r="E83" s="63" t="str">
        <f>E80</f>
        <v>RBA</v>
      </c>
      <c r="F83" s="53" t="str">
        <f t="shared" si="15"/>
        <v>Percent</v>
      </c>
      <c r="G83" s="53" t="str">
        <f t="shared" si="16"/>
        <v>Nominal</v>
      </c>
      <c r="H83" s="53" t="str">
        <f t="shared" si="17"/>
        <v>N/A</v>
      </c>
      <c r="I83" s="71"/>
      <c r="J83" s="68">
        <v>5.7737999999999998E-2</v>
      </c>
      <c r="K83" s="68">
        <v>5.8570000000000004E-2</v>
      </c>
      <c r="M83" s="68">
        <v>5.3222999999999999E-2</v>
      </c>
      <c r="N83" s="68">
        <v>5.7699999999999994E-2</v>
      </c>
      <c r="Q83" s="71"/>
    </row>
    <row r="84" spans="2:19" ht="12.3" x14ac:dyDescent="0.35">
      <c r="D84" s="91">
        <v>45740</v>
      </c>
      <c r="E84" s="63" t="str">
        <f t="shared" ref="E84:E89" si="18">E83</f>
        <v>RBA</v>
      </c>
      <c r="F84" s="53" t="str">
        <f t="shared" si="15"/>
        <v>Percent</v>
      </c>
      <c r="G84" s="53" t="str">
        <f t="shared" si="16"/>
        <v>Nominal</v>
      </c>
      <c r="H84" s="53" t="str">
        <f t="shared" si="17"/>
        <v>N/A</v>
      </c>
      <c r="I84" s="71"/>
      <c r="J84" s="68">
        <v>5.7844E-2</v>
      </c>
      <c r="K84" s="68">
        <v>5.8430000000000003E-2</v>
      </c>
      <c r="M84" s="68">
        <v>5.3183999999999995E-2</v>
      </c>
      <c r="N84" s="68">
        <v>5.7480000000000003E-2</v>
      </c>
      <c r="Q84" s="71"/>
    </row>
    <row r="85" spans="2:19" ht="12.3" x14ac:dyDescent="0.35">
      <c r="D85" s="91">
        <v>45741</v>
      </c>
      <c r="E85" s="63" t="str">
        <f t="shared" si="18"/>
        <v>RBA</v>
      </c>
      <c r="F85" s="53" t="str">
        <f t="shared" si="15"/>
        <v>Percent</v>
      </c>
      <c r="G85" s="53" t="str">
        <f t="shared" si="16"/>
        <v>Nominal</v>
      </c>
      <c r="H85" s="53" t="str">
        <f t="shared" si="17"/>
        <v>N/A</v>
      </c>
      <c r="I85" s="71"/>
      <c r="J85" s="68">
        <v>5.8125000000000003E-2</v>
      </c>
      <c r="K85" s="68">
        <v>5.8939999999999999E-2</v>
      </c>
      <c r="M85" s="68">
        <v>5.3409000000000005E-2</v>
      </c>
      <c r="N85" s="68">
        <v>5.8220000000000001E-2</v>
      </c>
      <c r="Q85" s="71"/>
    </row>
    <row r="86" spans="2:19" ht="12.3" x14ac:dyDescent="0.35">
      <c r="D86" s="91">
        <v>45742</v>
      </c>
      <c r="E86" s="63" t="str">
        <f t="shared" si="18"/>
        <v>RBA</v>
      </c>
      <c r="F86" s="53" t="str">
        <f t="shared" si="15"/>
        <v>Percent</v>
      </c>
      <c r="G86" s="53" t="str">
        <f t="shared" si="16"/>
        <v>Nominal</v>
      </c>
      <c r="H86" s="53" t="str">
        <f t="shared" si="17"/>
        <v>N/A</v>
      </c>
      <c r="I86" s="71"/>
      <c r="J86" s="68">
        <v>5.8737999999999999E-2</v>
      </c>
      <c r="K86" s="68">
        <v>5.9290000000000002E-2</v>
      </c>
      <c r="M86" s="68">
        <v>5.3994E-2</v>
      </c>
      <c r="N86" s="68">
        <v>5.8600000000000006E-2</v>
      </c>
      <c r="Q86" s="71"/>
    </row>
    <row r="87" spans="2:19" ht="12.3" x14ac:dyDescent="0.35">
      <c r="D87" s="91">
        <v>45743</v>
      </c>
      <c r="E87" s="63" t="str">
        <f t="shared" si="18"/>
        <v>RBA</v>
      </c>
      <c r="F87" s="53" t="str">
        <f t="shared" si="15"/>
        <v>Percent</v>
      </c>
      <c r="G87" s="53" t="str">
        <f t="shared" si="16"/>
        <v>Nominal</v>
      </c>
      <c r="H87" s="53" t="str">
        <f t="shared" si="17"/>
        <v>N/A</v>
      </c>
      <c r="I87" s="71"/>
      <c r="J87" s="68">
        <v>5.9175000000000005E-2</v>
      </c>
      <c r="K87" s="68">
        <v>5.9880000000000003E-2</v>
      </c>
      <c r="M87" s="68">
        <v>5.4123000000000004E-2</v>
      </c>
      <c r="N87" s="68">
        <v>5.8639999999999998E-2</v>
      </c>
      <c r="Q87" s="71"/>
    </row>
    <row r="88" spans="2:19" ht="12.3" x14ac:dyDescent="0.35">
      <c r="D88" s="91">
        <v>45744</v>
      </c>
      <c r="E88" s="63" t="str">
        <f t="shared" si="18"/>
        <v>RBA</v>
      </c>
      <c r="F88" s="53" t="str">
        <f t="shared" si="15"/>
        <v>Percent</v>
      </c>
      <c r="G88" s="53" t="str">
        <f t="shared" si="16"/>
        <v>Nominal</v>
      </c>
      <c r="H88" s="53" t="str">
        <f t="shared" si="17"/>
        <v>N/A</v>
      </c>
      <c r="I88" s="71"/>
      <c r="J88" s="68">
        <v>5.8737999999999999E-2</v>
      </c>
      <c r="K88" s="68">
        <v>5.9409999999999998E-2</v>
      </c>
      <c r="M88" s="68">
        <v>5.3733000000000003E-2</v>
      </c>
      <c r="N88" s="68">
        <v>5.8220000000000001E-2</v>
      </c>
      <c r="Q88" s="71"/>
    </row>
    <row r="89" spans="2:19" ht="12.3" x14ac:dyDescent="0.35">
      <c r="D89" s="91">
        <v>45747</v>
      </c>
      <c r="E89" s="63" t="str">
        <f t="shared" si="18"/>
        <v>RBA</v>
      </c>
      <c r="F89" s="53" t="str">
        <f t="shared" si="15"/>
        <v>Percent</v>
      </c>
      <c r="G89" s="53" t="str">
        <f t="shared" si="16"/>
        <v>Nominal</v>
      </c>
      <c r="H89" s="53" t="str">
        <f t="shared" si="17"/>
        <v>N/A</v>
      </c>
      <c r="I89" s="71"/>
      <c r="J89" s="68">
        <v>5.8055000000000002E-2</v>
      </c>
      <c r="K89" s="68">
        <v>5.9050000000000005E-2</v>
      </c>
      <c r="M89" s="68">
        <v>5.3178999999999997E-2</v>
      </c>
      <c r="N89" s="68">
        <v>5.731E-2</v>
      </c>
      <c r="Q89" s="71"/>
    </row>
    <row r="91" spans="2:19" s="2" customFormat="1" ht="15" x14ac:dyDescent="0.35">
      <c r="B91" s="2" t="s">
        <v>110</v>
      </c>
    </row>
    <row r="92" spans="2:19" ht="4.5" customHeight="1" x14ac:dyDescent="0.35"/>
    <row r="93" spans="2:19" s="8" customFormat="1" ht="14.1" x14ac:dyDescent="0.35">
      <c r="C93" s="8" t="s">
        <v>118</v>
      </c>
    </row>
    <row r="94" spans="2:19" ht="11.25" customHeight="1" x14ac:dyDescent="0.35"/>
    <row r="95" spans="2:19" ht="26.65" customHeight="1" x14ac:dyDescent="0.35">
      <c r="D95" s="61" t="s">
        <v>112</v>
      </c>
      <c r="E95" s="60" t="s">
        <v>62</v>
      </c>
      <c r="F95" s="60" t="s">
        <v>63</v>
      </c>
      <c r="G95" s="60" t="s">
        <v>64</v>
      </c>
      <c r="H95" s="60" t="str">
        <f>Lookup!H$19</f>
        <v>Timing</v>
      </c>
      <c r="I95" s="71"/>
      <c r="J95" s="60" t="s">
        <v>111</v>
      </c>
      <c r="K95" s="97" t="s">
        <v>180</v>
      </c>
      <c r="L95" s="71"/>
      <c r="M95" s="71"/>
      <c r="P95" s="71"/>
      <c r="Q95" s="71"/>
      <c r="S95" s="72"/>
    </row>
    <row r="96" spans="2:19" ht="11.25" customHeight="1" x14ac:dyDescent="0.35"/>
    <row r="97" spans="2:19" ht="12.6" customHeight="1" x14ac:dyDescent="0.35">
      <c r="D97" s="76" t="s">
        <v>113</v>
      </c>
      <c r="E97" s="63" t="s">
        <v>114</v>
      </c>
      <c r="F97" s="53" t="str">
        <f t="shared" ref="F97:F110" si="19">Percent</f>
        <v>Percent</v>
      </c>
      <c r="G97" s="53" t="s">
        <v>67</v>
      </c>
      <c r="H97" s="53" t="str">
        <f t="shared" ref="H97:H110" si="20">NA</f>
        <v>N/A</v>
      </c>
      <c r="I97" s="71"/>
      <c r="J97" s="68">
        <v>6.2E-2</v>
      </c>
      <c r="K97" s="71"/>
      <c r="L97" s="71"/>
      <c r="M97" s="71"/>
      <c r="P97" s="71"/>
      <c r="Q97" s="71"/>
    </row>
    <row r="98" spans="2:19" ht="12.6" customHeight="1" x14ac:dyDescent="0.35">
      <c r="D98" s="76" t="s">
        <v>115</v>
      </c>
      <c r="E98" s="63" t="s">
        <v>114</v>
      </c>
      <c r="F98" s="53" t="str">
        <f t="shared" si="19"/>
        <v>Percent</v>
      </c>
      <c r="G98" s="53" t="s">
        <v>67</v>
      </c>
      <c r="H98" s="53" t="str">
        <f t="shared" si="20"/>
        <v>N/A</v>
      </c>
      <c r="I98" s="71"/>
      <c r="J98" s="68">
        <v>0.6</v>
      </c>
      <c r="K98" s="71"/>
      <c r="L98" s="71"/>
      <c r="M98" s="71"/>
      <c r="P98" s="71"/>
      <c r="Q98" s="71"/>
    </row>
    <row r="99" spans="2:19" ht="12.6" customHeight="1" x14ac:dyDescent="0.35">
      <c r="D99" s="7" t="s">
        <v>124</v>
      </c>
      <c r="E99" s="63" t="s">
        <v>114</v>
      </c>
      <c r="F99" s="53" t="str">
        <f t="shared" si="19"/>
        <v>Percent</v>
      </c>
      <c r="G99" s="53" t="s">
        <v>67</v>
      </c>
      <c r="H99" s="53" t="str">
        <f t="shared" si="20"/>
        <v>N/A</v>
      </c>
      <c r="I99" s="71"/>
      <c r="J99" s="68">
        <v>0.56999999999999995</v>
      </c>
      <c r="K99" s="71"/>
      <c r="L99" s="71"/>
      <c r="M99" s="71"/>
      <c r="P99" s="71"/>
      <c r="Q99" s="71"/>
    </row>
    <row r="100" spans="2:19" ht="12.6" customHeight="1" x14ac:dyDescent="0.35">
      <c r="D100" s="7" t="s">
        <v>116</v>
      </c>
      <c r="E100" s="63" t="s">
        <v>114</v>
      </c>
      <c r="F100" s="53" t="str">
        <f t="shared" si="19"/>
        <v>Percent</v>
      </c>
      <c r="G100" s="53" t="s">
        <v>67</v>
      </c>
      <c r="H100" s="53" t="str">
        <f t="shared" si="20"/>
        <v>N/A</v>
      </c>
      <c r="I100" s="71"/>
      <c r="J100" s="68">
        <v>0.6</v>
      </c>
      <c r="K100" s="71"/>
      <c r="L100" s="71"/>
      <c r="M100" s="71"/>
      <c r="P100" s="71"/>
      <c r="Q100" s="71"/>
    </row>
    <row r="101" spans="2:19" ht="11.25" customHeight="1" x14ac:dyDescent="0.35"/>
    <row r="102" spans="2:19" s="8" customFormat="1" ht="14.1" x14ac:dyDescent="0.35">
      <c r="C102" s="8" t="s">
        <v>119</v>
      </c>
    </row>
    <row r="103" spans="2:19" ht="11.25" customHeight="1" x14ac:dyDescent="0.35"/>
    <row r="104" spans="2:19" ht="26.65" customHeight="1" x14ac:dyDescent="0.35">
      <c r="D104" s="61" t="s">
        <v>112</v>
      </c>
      <c r="E104" s="60" t="s">
        <v>62</v>
      </c>
      <c r="F104" s="60" t="s">
        <v>63</v>
      </c>
      <c r="G104" s="60" t="s">
        <v>64</v>
      </c>
      <c r="H104" s="60" t="str">
        <f>Lookup!H$19</f>
        <v>Timing</v>
      </c>
      <c r="I104" s="71"/>
      <c r="J104" s="60" t="s">
        <v>111</v>
      </c>
      <c r="K104" s="97" t="s">
        <v>180</v>
      </c>
      <c r="L104" s="71"/>
      <c r="M104" s="71"/>
      <c r="P104" s="71"/>
      <c r="Q104" s="71"/>
      <c r="S104" s="72"/>
    </row>
    <row r="105" spans="2:19" ht="11.25" customHeight="1" x14ac:dyDescent="0.35"/>
    <row r="106" spans="2:19" ht="12.3" x14ac:dyDescent="0.35">
      <c r="D106" s="7" t="s">
        <v>120</v>
      </c>
      <c r="E106" s="63" t="s">
        <v>114</v>
      </c>
      <c r="F106" s="53" t="str">
        <f t="shared" si="19"/>
        <v>Percent</v>
      </c>
      <c r="G106" s="53" t="s">
        <v>67</v>
      </c>
      <c r="H106" s="53" t="str">
        <f t="shared" si="20"/>
        <v>N/A</v>
      </c>
      <c r="I106" s="71"/>
      <c r="J106" s="68">
        <v>0.878670689</v>
      </c>
      <c r="K106" s="71"/>
      <c r="L106" s="71"/>
      <c r="M106" s="71"/>
      <c r="P106" s="71"/>
      <c r="Q106" s="71"/>
    </row>
    <row r="107" spans="2:19" ht="12.3" x14ac:dyDescent="0.35">
      <c r="D107" s="7" t="s">
        <v>121</v>
      </c>
      <c r="E107" s="63" t="s">
        <v>114</v>
      </c>
      <c r="F107" s="53" t="str">
        <f t="shared" si="19"/>
        <v>Percent</v>
      </c>
      <c r="G107" s="53" t="s">
        <v>67</v>
      </c>
      <c r="H107" s="53" t="str">
        <f t="shared" si="20"/>
        <v>N/A</v>
      </c>
      <c r="I107" s="71"/>
      <c r="J107" s="68">
        <v>0.03</v>
      </c>
      <c r="K107" s="71"/>
      <c r="L107" s="71"/>
      <c r="M107" s="71"/>
      <c r="P107" s="71"/>
      <c r="Q107" s="71"/>
    </row>
    <row r="108" spans="2:19" ht="12.3" x14ac:dyDescent="0.35">
      <c r="D108" s="7" t="s">
        <v>122</v>
      </c>
      <c r="E108" s="63" t="s">
        <v>114</v>
      </c>
      <c r="F108" s="53" t="str">
        <f t="shared" si="19"/>
        <v>Percent</v>
      </c>
      <c r="G108" s="53" t="s">
        <v>67</v>
      </c>
      <c r="H108" s="53" t="str">
        <f t="shared" si="20"/>
        <v>N/A</v>
      </c>
      <c r="I108" s="71"/>
      <c r="J108" s="68">
        <v>0.01</v>
      </c>
      <c r="K108" s="71"/>
      <c r="L108" s="71"/>
      <c r="M108" s="71"/>
      <c r="P108" s="71"/>
      <c r="Q108" s="71"/>
    </row>
    <row r="109" spans="2:19" ht="12.3" x14ac:dyDescent="0.35">
      <c r="D109" s="7" t="s">
        <v>123</v>
      </c>
      <c r="E109" s="63" t="s">
        <v>114</v>
      </c>
      <c r="F109" s="53" t="str">
        <f t="shared" si="19"/>
        <v>Percent</v>
      </c>
      <c r="G109" s="53" t="s">
        <v>67</v>
      </c>
      <c r="H109" s="53" t="str">
        <f t="shared" si="20"/>
        <v>N/A</v>
      </c>
      <c r="I109" s="71"/>
      <c r="J109" s="68">
        <v>0.3</v>
      </c>
      <c r="K109" s="71"/>
      <c r="L109" s="71"/>
      <c r="M109" s="71"/>
      <c r="P109" s="71"/>
      <c r="Q109" s="71"/>
    </row>
    <row r="110" spans="2:19" ht="12.3" x14ac:dyDescent="0.35">
      <c r="D110" s="7" t="s">
        <v>100</v>
      </c>
      <c r="E110" s="63" t="s">
        <v>177</v>
      </c>
      <c r="F110" s="53" t="str">
        <f t="shared" si="19"/>
        <v>Percent</v>
      </c>
      <c r="G110" s="53" t="s">
        <v>67</v>
      </c>
      <c r="H110" s="53" t="str">
        <f t="shared" si="20"/>
        <v>N/A</v>
      </c>
      <c r="I110" s="71"/>
      <c r="J110" s="68">
        <v>8.2811948728585933E-4</v>
      </c>
      <c r="L110" s="71"/>
      <c r="M110" s="71"/>
      <c r="P110" s="71"/>
      <c r="Q110" s="71"/>
    </row>
    <row r="111" spans="2:19" ht="11.25" customHeight="1" x14ac:dyDescent="0.35"/>
    <row r="112" spans="2:19" s="2" customFormat="1" ht="15" x14ac:dyDescent="0.35">
      <c r="B112" s="2" t="s">
        <v>32</v>
      </c>
    </row>
  </sheetData>
  <mergeCells count="2">
    <mergeCell ref="O20:P20"/>
    <mergeCell ref="Q20:T20"/>
  </mergeCells>
  <conditionalFormatting sqref="B2">
    <cfRule type="cellIs" dxfId="5" priority="1" operator="notEqual">
      <formula>"No Errors Found"</formula>
    </cfRule>
  </conditionalFormatting>
  <dataValidations count="1">
    <dataValidation type="list" allowBlank="1" showInputMessage="1" showErrorMessage="1" sqref="J65:Q65" xr:uid="{B9D7A887-79F4-4F15-906F-03DE7EE1E9FC}">
      <formula1>LU_Source</formula1>
    </dataValidation>
  </dataValidations>
  <hyperlinks>
    <hyperlink ref="B3:E3" location="TOC!A1" display="TOC!A1" xr:uid="{00000000-0004-0000-0400-000000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W83"/>
  <sheetViews>
    <sheetView showGridLines="0" zoomScaleNormal="100" workbookViewId="0">
      <pane xSplit="1" ySplit="10" topLeftCell="B11" activePane="bottomRight" state="frozen"/>
      <selection activeCell="E30" sqref="E30"/>
      <selection pane="topRight" activeCell="E30" sqref="E30"/>
      <selection pane="bottomLeft" activeCell="E30" sqref="E30"/>
      <selection pane="bottomRight" activeCell="B11" sqref="B11"/>
    </sheetView>
  </sheetViews>
  <sheetFormatPr defaultColWidth="9.33203125" defaultRowHeight="10.199999999999999" outlineLevelRow="1" x14ac:dyDescent="0.35"/>
  <cols>
    <col min="1" max="1" width="3.33203125" customWidth="1"/>
    <col min="2" max="3" width="2.796875" customWidth="1"/>
    <col min="4" max="4" width="25.796875" customWidth="1"/>
    <col min="5" max="5" width="11.796875" customWidth="1"/>
    <col min="6" max="6" width="9.1328125" customWidth="1"/>
    <col min="7" max="7" width="12" customWidth="1"/>
    <col min="8" max="8" width="10" customWidth="1"/>
    <col min="9" max="9" width="5.6640625" customWidth="1"/>
    <col min="10" max="13" width="13" customWidth="1"/>
    <col min="14" max="34" width="12.796875" customWidth="1"/>
  </cols>
  <sheetData>
    <row r="1" spans="1:18" ht="18.899999999999999" x14ac:dyDescent="0.35">
      <c r="A1" s="58">
        <f>IF(SUM($A11:$A83)&gt;0,1,0)</f>
        <v>0</v>
      </c>
      <c r="B1" s="3" t="s">
        <v>146</v>
      </c>
    </row>
    <row r="2" spans="1:18" x14ac:dyDescent="0.35">
      <c r="B2" s="13" t="str">
        <f>Title_Msg</f>
        <v>No Errors Found</v>
      </c>
    </row>
    <row r="3" spans="1:18" x14ac:dyDescent="0.35">
      <c r="B3" s="46" t="str">
        <f>TOC!B1</f>
        <v>Table of Contents</v>
      </c>
      <c r="C3" s="41"/>
      <c r="D3" s="41"/>
      <c r="E3" s="41"/>
    </row>
    <row r="4" spans="1:18" ht="12.3" x14ac:dyDescent="0.35">
      <c r="B4" s="39" t="str">
        <f>Model_Name</f>
        <v>Rate of Return Model - Transgrid (TGD) - CWOREZ</v>
      </c>
    </row>
    <row r="5" spans="1:18" ht="12.3" hidden="1" outlineLevel="1" x14ac:dyDescent="0.35">
      <c r="B5" s="10" t="str">
        <f>Lookup!B14</f>
        <v>Period Start Date</v>
      </c>
      <c r="J5" s="51">
        <f>Lookup!P14</f>
        <v>46204</v>
      </c>
      <c r="K5" s="51">
        <f>Lookup!Q14</f>
        <v>46569</v>
      </c>
      <c r="L5" s="51">
        <f>Lookup!R14</f>
        <v>46935</v>
      </c>
      <c r="M5" s="51">
        <f>Lookup!S14</f>
        <v>47300</v>
      </c>
      <c r="N5" s="51">
        <f>Lookup!T14</f>
        <v>47665</v>
      </c>
    </row>
    <row r="6" spans="1:18" ht="12.3" hidden="1" outlineLevel="1" x14ac:dyDescent="0.35">
      <c r="B6" s="10" t="str">
        <f>Lookup!B15</f>
        <v>Period End Date</v>
      </c>
      <c r="J6" s="51">
        <f>Lookup!P15</f>
        <v>46568</v>
      </c>
      <c r="K6" s="51">
        <f>Lookup!Q15</f>
        <v>46934</v>
      </c>
      <c r="L6" s="51">
        <f>Lookup!R15</f>
        <v>47299</v>
      </c>
      <c r="M6" s="51">
        <f>Lookup!S15</f>
        <v>47664</v>
      </c>
      <c r="N6" s="51">
        <f>Lookup!T15</f>
        <v>48029</v>
      </c>
    </row>
    <row r="7" spans="1:18" ht="12.3" hidden="1" outlineLevel="1" x14ac:dyDescent="0.35">
      <c r="B7" s="10" t="str">
        <f>Lookup!B16</f>
        <v>Period Counter</v>
      </c>
      <c r="J7" s="52">
        <f>Lookup!P16</f>
        <v>8</v>
      </c>
      <c r="K7" s="52">
        <f>Lookup!Q16</f>
        <v>9</v>
      </c>
      <c r="L7" s="52">
        <f>Lookup!R16</f>
        <v>10</v>
      </c>
      <c r="M7" s="52">
        <f>Lookup!S16</f>
        <v>11</v>
      </c>
      <c r="N7" s="52">
        <f>Lookup!T16</f>
        <v>12</v>
      </c>
    </row>
    <row r="8" spans="1:18" ht="12.3" hidden="1" outlineLevel="1" x14ac:dyDescent="0.35">
      <c r="B8" s="10" t="str">
        <f>Lookup!B17</f>
        <v>Year</v>
      </c>
      <c r="J8" s="53">
        <f>Lookup!P17</f>
        <v>2027</v>
      </c>
      <c r="K8" s="53">
        <f>Lookup!Q17</f>
        <v>2028</v>
      </c>
      <c r="L8" s="53">
        <f>Lookup!R17</f>
        <v>2029</v>
      </c>
      <c r="M8" s="53">
        <f>Lookup!S17</f>
        <v>2030</v>
      </c>
      <c r="N8" s="53">
        <f>Lookup!T17</f>
        <v>2031</v>
      </c>
    </row>
    <row r="9" spans="1:18" ht="12.3" hidden="1" outlineLevel="1" x14ac:dyDescent="0.35">
      <c r="B9" s="10" t="str">
        <f>Lookup!B18</f>
        <v>Period Type</v>
      </c>
      <c r="J9" s="53" t="str">
        <f>Lookup!P18</f>
        <v>Forecast</v>
      </c>
      <c r="K9" s="53" t="str">
        <f>Lookup!Q18</f>
        <v>Forecast</v>
      </c>
      <c r="L9" s="53" t="str">
        <f>Lookup!R18</f>
        <v>Forecast</v>
      </c>
      <c r="M9" s="53" t="str">
        <f>Lookup!S18</f>
        <v>Forecast</v>
      </c>
      <c r="N9" s="53" t="str">
        <f>Lookup!T18</f>
        <v>Forecast</v>
      </c>
    </row>
    <row r="10" spans="1:18" ht="12.3" collapsed="1" x14ac:dyDescent="0.35">
      <c r="B10" s="5" t="str">
        <f>Lookup!B19</f>
        <v>Regulatory Year</v>
      </c>
      <c r="E10" s="50" t="str">
        <f>Lookup!E19</f>
        <v>Source</v>
      </c>
      <c r="F10" s="50" t="str">
        <f>Lookup!F19</f>
        <v>Unit</v>
      </c>
      <c r="G10" s="50" t="str">
        <f>Lookup!G19</f>
        <v>Basis</v>
      </c>
      <c r="H10" s="50" t="str">
        <f>Lookup!H19</f>
        <v>Timing</v>
      </c>
      <c r="I10" s="50"/>
      <c r="J10" s="50" t="str">
        <f>Lookup!P19</f>
        <v>FY27</v>
      </c>
      <c r="K10" s="50" t="str">
        <f>Lookup!Q19</f>
        <v>FY28</v>
      </c>
      <c r="L10" s="50" t="str">
        <f>Lookup!R19</f>
        <v>FY29</v>
      </c>
      <c r="M10" s="50" t="str">
        <f>Lookup!S19</f>
        <v>FY30</v>
      </c>
      <c r="N10" s="50" t="str">
        <f>Lookup!T19</f>
        <v>FY31</v>
      </c>
    </row>
    <row r="12" spans="1:18" s="2" customFormat="1" ht="15" x14ac:dyDescent="0.35">
      <c r="B12" s="2" t="s">
        <v>134</v>
      </c>
    </row>
    <row r="13" spans="1:18" ht="4.5" customHeight="1" x14ac:dyDescent="0.35"/>
    <row r="14" spans="1:18" s="8" customFormat="1" ht="14.1" x14ac:dyDescent="0.35">
      <c r="C14" s="8" t="str">
        <f>Input_Data!D29</f>
        <v>2024-25 Risk-Free Rate</v>
      </c>
    </row>
    <row r="15" spans="1:18" ht="11.25" customHeight="1" x14ac:dyDescent="0.35"/>
    <row r="16" spans="1:18" s="72" customFormat="1" ht="12.3" x14ac:dyDescent="0.35">
      <c r="C16"/>
      <c r="D16" s="71"/>
      <c r="E16" s="71"/>
      <c r="F16" s="71"/>
      <c r="G16" s="71"/>
      <c r="H16" s="71"/>
      <c r="I16"/>
      <c r="J16" s="121" t="str">
        <f>Input_Data!J33</f>
        <v>TB168</v>
      </c>
      <c r="K16" s="121"/>
      <c r="L16"/>
      <c r="M16" s="121" t="str">
        <f>Input_Data!L33</f>
        <v>TB145</v>
      </c>
      <c r="N16" s="121"/>
      <c r="P16" s="121" t="s">
        <v>135</v>
      </c>
      <c r="Q16" s="121"/>
      <c r="R16" s="121"/>
    </row>
    <row r="17" spans="2:18" s="72" customFormat="1" ht="12.3" x14ac:dyDescent="0.35">
      <c r="C17"/>
      <c r="D17" s="61" t="s">
        <v>108</v>
      </c>
      <c r="E17" s="54" t="str">
        <f>Lookup!E$19</f>
        <v>Source</v>
      </c>
      <c r="F17" s="54" t="str">
        <f>Lookup!F$19</f>
        <v>Unit</v>
      </c>
      <c r="G17" s="54" t="str">
        <f>Lookup!G$19</f>
        <v>Basis</v>
      </c>
      <c r="H17" s="54" t="str">
        <f>Lookup!H$19</f>
        <v>Timing</v>
      </c>
      <c r="I17"/>
      <c r="J17" s="54" t="s">
        <v>107</v>
      </c>
      <c r="K17" s="54" t="s">
        <v>109</v>
      </c>
      <c r="L17"/>
      <c r="M17" s="54" t="s">
        <v>107</v>
      </c>
      <c r="N17" s="54" t="s">
        <v>109</v>
      </c>
      <c r="P17" s="54" t="s">
        <v>107</v>
      </c>
      <c r="Q17" s="54" t="s">
        <v>136</v>
      </c>
      <c r="R17" s="54" t="s">
        <v>137</v>
      </c>
    </row>
    <row r="18" spans="2:18" s="72" customFormat="1" x14ac:dyDescent="0.35">
      <c r="C18"/>
      <c r="D18" s="71"/>
      <c r="E18" s="71"/>
      <c r="F18" s="71"/>
      <c r="G18" s="71"/>
      <c r="H18" s="71"/>
      <c r="I18"/>
      <c r="J18" s="78"/>
      <c r="K18" s="78"/>
      <c r="L18"/>
      <c r="M18" s="78"/>
      <c r="N18" s="78"/>
      <c r="Q18" s="78"/>
      <c r="R18" s="78"/>
    </row>
    <row r="19" spans="2:18" s="72" customFormat="1" ht="12.3" x14ac:dyDescent="0.4">
      <c r="B19" s="70"/>
      <c r="C19"/>
      <c r="D19" s="74" t="str">
        <f>Input_Data!D38</f>
        <v>04-Mar-2025</v>
      </c>
      <c r="E19" s="63" t="s">
        <v>88</v>
      </c>
      <c r="F19" s="53" t="str">
        <f t="shared" ref="F19:F38" si="0">Percent</f>
        <v>Percent</v>
      </c>
      <c r="G19" s="53" t="s">
        <v>67</v>
      </c>
      <c r="H19" s="53" t="str">
        <f t="shared" ref="H19:H40" si="1">NA</f>
        <v>N/A</v>
      </c>
      <c r="I19" s="71"/>
      <c r="J19" s="80">
        <f>Input_Data!J34</f>
        <v>49299</v>
      </c>
      <c r="K19" s="79">
        <f>Input_Data!J38</f>
        <v>4.2670000000000007E-2</v>
      </c>
      <c r="L19" s="71"/>
      <c r="M19" s="80">
        <f>Input_Data!L34</f>
        <v>49481</v>
      </c>
      <c r="N19" s="79">
        <f>Input_Data!L38</f>
        <v>4.2960000000000005E-2</v>
      </c>
      <c r="P19" s="80">
        <f t="shared" ref="P19:P38" si="2">(DATE(YEAR(D19)+10,MONTH(D19),DAY(D19)))</f>
        <v>49372</v>
      </c>
      <c r="Q19" s="79">
        <f t="shared" ref="Q19:Q38" si="3">(P19-J19)/(M19-J19)*N19+(1-(P19-J19)/(M19-J19))*K19</f>
        <v>4.2786318681318686E-2</v>
      </c>
      <c r="R19" s="79">
        <f t="shared" ref="R19:R38" si="4">(1+Q19/2)^2-1</f>
        <v>4.3243985947893471E-2</v>
      </c>
    </row>
    <row r="20" spans="2:18" s="72" customFormat="1" ht="12.3" x14ac:dyDescent="0.4">
      <c r="B20" s="70"/>
      <c r="C20"/>
      <c r="D20" s="74" t="str">
        <f>Input_Data!D39</f>
        <v>05-Mar-2025</v>
      </c>
      <c r="E20" s="63" t="s">
        <v>88</v>
      </c>
      <c r="F20" s="53" t="str">
        <f t="shared" si="0"/>
        <v>Percent</v>
      </c>
      <c r="G20" s="53" t="s">
        <v>67</v>
      </c>
      <c r="H20" s="53" t="str">
        <f t="shared" si="1"/>
        <v>N/A</v>
      </c>
      <c r="I20" s="71"/>
      <c r="J20" s="80">
        <f t="shared" ref="J20:J22" si="5">J19</f>
        <v>49299</v>
      </c>
      <c r="K20" s="79">
        <f>Input_Data!J39</f>
        <v>4.351E-2</v>
      </c>
      <c r="L20" s="71"/>
      <c r="M20" s="80">
        <f t="shared" ref="M20:M22" si="6">M19</f>
        <v>49481</v>
      </c>
      <c r="N20" s="79">
        <f>Input_Data!L39</f>
        <v>4.3819999999999998E-2</v>
      </c>
      <c r="P20" s="80">
        <f t="shared" si="2"/>
        <v>49373</v>
      </c>
      <c r="Q20" s="79">
        <f t="shared" si="3"/>
        <v>4.3636043956043952E-2</v>
      </c>
      <c r="R20" s="79">
        <f t="shared" si="4"/>
        <v>4.4112070039077356E-2</v>
      </c>
    </row>
    <row r="21" spans="2:18" s="72" customFormat="1" ht="12.3" x14ac:dyDescent="0.4">
      <c r="B21" s="70"/>
      <c r="C21"/>
      <c r="D21" s="74" t="str">
        <f>Input_Data!D40</f>
        <v>06-Mar-2025</v>
      </c>
      <c r="E21" s="63" t="s">
        <v>88</v>
      </c>
      <c r="F21" s="53" t="str">
        <f t="shared" si="0"/>
        <v>Percent</v>
      </c>
      <c r="G21" s="53" t="s">
        <v>67</v>
      </c>
      <c r="H21" s="53" t="str">
        <f t="shared" si="1"/>
        <v>N/A</v>
      </c>
      <c r="I21" s="71"/>
      <c r="J21" s="80">
        <f t="shared" si="5"/>
        <v>49299</v>
      </c>
      <c r="K21" s="79">
        <f>Input_Data!J40</f>
        <v>4.4790000000000003E-2</v>
      </c>
      <c r="L21" s="71"/>
      <c r="M21" s="80">
        <f t="shared" si="6"/>
        <v>49481</v>
      </c>
      <c r="N21" s="79">
        <f>Input_Data!L40</f>
        <v>4.5119999999999993E-2</v>
      </c>
      <c r="P21" s="80">
        <f t="shared" si="2"/>
        <v>49374</v>
      </c>
      <c r="Q21" s="79">
        <f t="shared" si="3"/>
        <v>4.4925989010989015E-2</v>
      </c>
      <c r="R21" s="79">
        <f t="shared" si="4"/>
        <v>4.5430575133143192E-2</v>
      </c>
    </row>
    <row r="22" spans="2:18" s="72" customFormat="1" ht="12.3" x14ac:dyDescent="0.4">
      <c r="B22" s="70"/>
      <c r="C22"/>
      <c r="D22" s="74" t="str">
        <f>Input_Data!D41</f>
        <v>07-Mar-2025</v>
      </c>
      <c r="E22" s="63" t="s">
        <v>88</v>
      </c>
      <c r="F22" s="53" t="str">
        <f t="shared" si="0"/>
        <v>Percent</v>
      </c>
      <c r="G22" s="53" t="s">
        <v>67</v>
      </c>
      <c r="H22" s="53" t="str">
        <f t="shared" si="1"/>
        <v>N/A</v>
      </c>
      <c r="I22" s="71"/>
      <c r="J22" s="80">
        <f t="shared" si="5"/>
        <v>49299</v>
      </c>
      <c r="K22" s="79">
        <f>Input_Data!J41</f>
        <v>4.4000000000000004E-2</v>
      </c>
      <c r="L22" s="71"/>
      <c r="M22" s="80">
        <f t="shared" si="6"/>
        <v>49481</v>
      </c>
      <c r="N22" s="79">
        <f>Input_Data!L41</f>
        <v>4.4320000000000005E-2</v>
      </c>
      <c r="P22" s="80">
        <f t="shared" si="2"/>
        <v>49375</v>
      </c>
      <c r="Q22" s="79">
        <f t="shared" si="3"/>
        <v>4.4133626373626375E-2</v>
      </c>
      <c r="R22" s="79">
        <f t="shared" si="4"/>
        <v>4.4620570617847966E-2</v>
      </c>
    </row>
    <row r="23" spans="2:18" s="72" customFormat="1" ht="12.3" x14ac:dyDescent="0.4">
      <c r="B23" s="70"/>
      <c r="C23"/>
      <c r="D23" s="74" t="str">
        <f>Input_Data!D42</f>
        <v>10-Mar-2025</v>
      </c>
      <c r="E23" s="63" t="s">
        <v>88</v>
      </c>
      <c r="F23" s="53" t="str">
        <f t="shared" si="0"/>
        <v>Percent</v>
      </c>
      <c r="G23" s="53" t="s">
        <v>67</v>
      </c>
      <c r="H23" s="53" t="str">
        <f t="shared" si="1"/>
        <v>N/A</v>
      </c>
      <c r="I23" s="71"/>
      <c r="J23" s="80">
        <f t="shared" ref="J23:J25" si="7">J22</f>
        <v>49299</v>
      </c>
      <c r="K23" s="79">
        <f>Input_Data!J42</f>
        <v>4.4349999999999994E-2</v>
      </c>
      <c r="L23" s="71"/>
      <c r="M23" s="80">
        <f t="shared" ref="M23:M25" si="8">M22</f>
        <v>49481</v>
      </c>
      <c r="N23" s="79">
        <f>Input_Data!L42</f>
        <v>4.4679999999999997E-2</v>
      </c>
      <c r="P23" s="80">
        <f t="shared" si="2"/>
        <v>49378</v>
      </c>
      <c r="Q23" s="79">
        <f t="shared" si="3"/>
        <v>4.449324175824175E-2</v>
      </c>
      <c r="R23" s="79">
        <f t="shared" si="4"/>
        <v>4.4988153898780858E-2</v>
      </c>
    </row>
    <row r="24" spans="2:18" s="72" customFormat="1" ht="12.3" x14ac:dyDescent="0.4">
      <c r="B24" s="70"/>
      <c r="C24"/>
      <c r="D24" s="74" t="str">
        <f>Input_Data!D43</f>
        <v>11-Mar-2025</v>
      </c>
      <c r="E24" s="63" t="s">
        <v>88</v>
      </c>
      <c r="F24" s="53" t="str">
        <f t="shared" si="0"/>
        <v>Percent</v>
      </c>
      <c r="G24" s="53" t="s">
        <v>67</v>
      </c>
      <c r="H24" s="53" t="str">
        <f t="shared" si="1"/>
        <v>N/A</v>
      </c>
      <c r="I24" s="71"/>
      <c r="J24" s="80">
        <f t="shared" si="7"/>
        <v>49299</v>
      </c>
      <c r="K24" s="79">
        <f>Input_Data!J43</f>
        <v>4.3749999999999997E-2</v>
      </c>
      <c r="L24" s="71"/>
      <c r="M24" s="80">
        <f t="shared" si="8"/>
        <v>49481</v>
      </c>
      <c r="N24" s="79">
        <f>Input_Data!L43</f>
        <v>4.4069999999999998E-2</v>
      </c>
      <c r="P24" s="80">
        <f t="shared" si="2"/>
        <v>49379</v>
      </c>
      <c r="Q24" s="79">
        <f t="shared" si="3"/>
        <v>4.389065934065934E-2</v>
      </c>
      <c r="R24" s="79">
        <f t="shared" si="4"/>
        <v>4.437225683499868E-2</v>
      </c>
    </row>
    <row r="25" spans="2:18" s="72" customFormat="1" ht="12.3" x14ac:dyDescent="0.4">
      <c r="B25" s="70"/>
      <c r="C25"/>
      <c r="D25" s="74" t="str">
        <f>Input_Data!D44</f>
        <v>12-Mar-2025</v>
      </c>
      <c r="E25" s="63" t="s">
        <v>88</v>
      </c>
      <c r="F25" s="53" t="str">
        <f t="shared" si="0"/>
        <v>Percent</v>
      </c>
      <c r="G25" s="53" t="s">
        <v>67</v>
      </c>
      <c r="H25" s="53" t="str">
        <f t="shared" si="1"/>
        <v>N/A</v>
      </c>
      <c r="I25" s="71"/>
      <c r="J25" s="80">
        <f t="shared" si="7"/>
        <v>49299</v>
      </c>
      <c r="K25" s="79">
        <f>Input_Data!J44</f>
        <v>4.4340000000000004E-2</v>
      </c>
      <c r="L25" s="71"/>
      <c r="M25" s="80">
        <f t="shared" si="8"/>
        <v>49481</v>
      </c>
      <c r="N25" s="79">
        <f>Input_Data!L44</f>
        <v>4.4679999999999997E-2</v>
      </c>
      <c r="P25" s="80">
        <f t="shared" si="2"/>
        <v>49380</v>
      </c>
      <c r="Q25" s="79">
        <f t="shared" si="3"/>
        <v>4.4491318681318684E-2</v>
      </c>
      <c r="R25" s="79">
        <f t="shared" si="4"/>
        <v>4.4986188040819108E-2</v>
      </c>
    </row>
    <row r="26" spans="2:18" s="72" customFormat="1" ht="12.3" x14ac:dyDescent="0.4">
      <c r="B26" s="70"/>
      <c r="C26"/>
      <c r="D26" s="74" t="str">
        <f>Input_Data!D45</f>
        <v>13-Mar-2025</v>
      </c>
      <c r="E26" s="63" t="s">
        <v>88</v>
      </c>
      <c r="F26" s="53" t="str">
        <f t="shared" si="0"/>
        <v>Percent</v>
      </c>
      <c r="G26" s="53" t="s">
        <v>67</v>
      </c>
      <c r="H26" s="53" t="str">
        <f t="shared" si="1"/>
        <v>N/A</v>
      </c>
      <c r="I26" s="71"/>
      <c r="J26" s="80">
        <f t="shared" ref="J26:J38" si="9">J25</f>
        <v>49299</v>
      </c>
      <c r="K26" s="79">
        <f>Input_Data!J45</f>
        <v>4.4160000000000005E-2</v>
      </c>
      <c r="L26" s="71"/>
      <c r="M26" s="80">
        <f t="shared" ref="M26:M38" si="10">M25</f>
        <v>49481</v>
      </c>
      <c r="N26" s="79">
        <f>Input_Data!L45</f>
        <v>4.4480000000000006E-2</v>
      </c>
      <c r="P26" s="80">
        <f t="shared" si="2"/>
        <v>49381</v>
      </c>
      <c r="Q26" s="79">
        <f t="shared" si="3"/>
        <v>4.4304175824175833E-2</v>
      </c>
      <c r="R26" s="79">
        <f t="shared" si="4"/>
        <v>4.4794890823040889E-2</v>
      </c>
    </row>
    <row r="27" spans="2:18" s="72" customFormat="1" ht="12.3" x14ac:dyDescent="0.4">
      <c r="B27" s="70"/>
      <c r="C27"/>
      <c r="D27" s="74" t="str">
        <f>Input_Data!D46</f>
        <v>14-Mar-2025</v>
      </c>
      <c r="E27" s="63" t="s">
        <v>88</v>
      </c>
      <c r="F27" s="53" t="str">
        <f t="shared" si="0"/>
        <v>Percent</v>
      </c>
      <c r="G27" s="53" t="s">
        <v>67</v>
      </c>
      <c r="H27" s="53" t="str">
        <f t="shared" si="1"/>
        <v>N/A</v>
      </c>
      <c r="I27" s="71"/>
      <c r="J27" s="80">
        <f t="shared" si="9"/>
        <v>49299</v>
      </c>
      <c r="K27" s="79">
        <f>Input_Data!J46</f>
        <v>4.4189999999999993E-2</v>
      </c>
      <c r="L27" s="71"/>
      <c r="M27" s="80">
        <f t="shared" si="10"/>
        <v>49481</v>
      </c>
      <c r="N27" s="79">
        <f>Input_Data!L46</f>
        <v>4.4519999999999997E-2</v>
      </c>
      <c r="P27" s="80">
        <f t="shared" si="2"/>
        <v>49382</v>
      </c>
      <c r="Q27" s="79">
        <f t="shared" si="3"/>
        <v>4.4340494505494502E-2</v>
      </c>
      <c r="R27" s="79">
        <f t="shared" si="4"/>
        <v>4.4832014368742401E-2</v>
      </c>
    </row>
    <row r="28" spans="2:18" s="72" customFormat="1" ht="12.3" x14ac:dyDescent="0.4">
      <c r="B28" s="70"/>
      <c r="C28"/>
      <c r="D28" s="74" t="str">
        <f>Input_Data!D47</f>
        <v>17-Mar-2025</v>
      </c>
      <c r="E28" s="63" t="s">
        <v>88</v>
      </c>
      <c r="F28" s="53" t="str">
        <f t="shared" si="0"/>
        <v>Percent</v>
      </c>
      <c r="G28" s="53" t="s">
        <v>67</v>
      </c>
      <c r="H28" s="53" t="str">
        <f t="shared" si="1"/>
        <v>N/A</v>
      </c>
      <c r="I28" s="71"/>
      <c r="J28" s="80">
        <f t="shared" si="9"/>
        <v>49299</v>
      </c>
      <c r="K28" s="79">
        <f>Input_Data!J47</f>
        <v>4.4069999999999998E-2</v>
      </c>
      <c r="L28" s="71"/>
      <c r="M28" s="80">
        <f t="shared" si="10"/>
        <v>49481</v>
      </c>
      <c r="N28" s="79">
        <f>Input_Data!L47</f>
        <v>4.4400000000000002E-2</v>
      </c>
      <c r="P28" s="80">
        <f t="shared" si="2"/>
        <v>49385</v>
      </c>
      <c r="Q28" s="79">
        <f t="shared" si="3"/>
        <v>4.4225934065934065E-2</v>
      </c>
      <c r="R28" s="79">
        <f t="shared" si="4"/>
        <v>4.4714917376935004E-2</v>
      </c>
    </row>
    <row r="29" spans="2:18" s="72" customFormat="1" ht="12.3" x14ac:dyDescent="0.4">
      <c r="B29" s="70"/>
      <c r="C29"/>
      <c r="D29" s="74" t="str">
        <f>Input_Data!D48</f>
        <v>18-Mar-2025</v>
      </c>
      <c r="E29" s="63" t="s">
        <v>88</v>
      </c>
      <c r="F29" s="53" t="str">
        <f t="shared" si="0"/>
        <v>Percent</v>
      </c>
      <c r="G29" s="53" t="s">
        <v>67</v>
      </c>
      <c r="H29" s="53" t="str">
        <f t="shared" si="1"/>
        <v>N/A</v>
      </c>
      <c r="I29" s="71"/>
      <c r="J29" s="80">
        <f t="shared" si="9"/>
        <v>49299</v>
      </c>
      <c r="K29" s="79">
        <f>Input_Data!J48</f>
        <v>4.3979999999999998E-2</v>
      </c>
      <c r="L29" s="71"/>
      <c r="M29" s="80">
        <f t="shared" si="10"/>
        <v>49481</v>
      </c>
      <c r="N29" s="79">
        <f>Input_Data!L48</f>
        <v>4.4310000000000002E-2</v>
      </c>
      <c r="P29" s="80">
        <f t="shared" si="2"/>
        <v>49386</v>
      </c>
      <c r="Q29" s="79">
        <f t="shared" si="3"/>
        <v>4.4137747252747252E-2</v>
      </c>
      <c r="R29" s="79">
        <f t="shared" si="4"/>
        <v>4.4624782435884081E-2</v>
      </c>
    </row>
    <row r="30" spans="2:18" s="72" customFormat="1" ht="12.3" x14ac:dyDescent="0.4">
      <c r="B30" s="70"/>
      <c r="C30"/>
      <c r="D30" s="74" t="str">
        <f>Input_Data!D49</f>
        <v>19-Mar-2025</v>
      </c>
      <c r="E30" s="63" t="s">
        <v>88</v>
      </c>
      <c r="F30" s="53" t="str">
        <f t="shared" si="0"/>
        <v>Percent</v>
      </c>
      <c r="G30" s="53" t="s">
        <v>67</v>
      </c>
      <c r="H30" s="53" t="str">
        <f t="shared" si="1"/>
        <v>N/A</v>
      </c>
      <c r="I30" s="71"/>
      <c r="J30" s="80">
        <f t="shared" si="9"/>
        <v>49299</v>
      </c>
      <c r="K30" s="79">
        <f>Input_Data!J49</f>
        <v>4.4180000000000004E-2</v>
      </c>
      <c r="L30" s="71"/>
      <c r="M30" s="80">
        <f t="shared" si="10"/>
        <v>49481</v>
      </c>
      <c r="N30" s="79">
        <f>Input_Data!L49</f>
        <v>4.4509999999999994E-2</v>
      </c>
      <c r="P30" s="80">
        <f t="shared" si="2"/>
        <v>49387</v>
      </c>
      <c r="Q30" s="79">
        <f t="shared" si="3"/>
        <v>4.4339560439560437E-2</v>
      </c>
      <c r="R30" s="79">
        <f t="shared" si="4"/>
        <v>4.4831059594553802E-2</v>
      </c>
    </row>
    <row r="31" spans="2:18" s="72" customFormat="1" ht="12.3" x14ac:dyDescent="0.4">
      <c r="B31" s="70"/>
      <c r="C31"/>
      <c r="D31" s="74" t="str">
        <f>Input_Data!D50</f>
        <v>20-Mar-2025</v>
      </c>
      <c r="E31" s="63" t="s">
        <v>88</v>
      </c>
      <c r="F31" s="53" t="str">
        <f t="shared" si="0"/>
        <v>Percent</v>
      </c>
      <c r="G31" s="53" t="s">
        <v>67</v>
      </c>
      <c r="H31" s="53" t="str">
        <f t="shared" si="1"/>
        <v>N/A</v>
      </c>
      <c r="I31" s="71"/>
      <c r="J31" s="80">
        <f t="shared" si="9"/>
        <v>49299</v>
      </c>
      <c r="K31" s="79">
        <f>Input_Data!J50</f>
        <v>4.3730000000000005E-2</v>
      </c>
      <c r="L31" s="71"/>
      <c r="M31" s="80">
        <f t="shared" si="10"/>
        <v>49481</v>
      </c>
      <c r="N31" s="79">
        <f>Input_Data!L50</f>
        <v>4.4059999999999995E-2</v>
      </c>
      <c r="P31" s="80">
        <f t="shared" si="2"/>
        <v>49388</v>
      </c>
      <c r="Q31" s="79">
        <f t="shared" si="3"/>
        <v>4.3891373626373624E-2</v>
      </c>
      <c r="R31" s="79">
        <f t="shared" si="4"/>
        <v>4.4372986796076264E-2</v>
      </c>
    </row>
    <row r="32" spans="2:18" s="72" customFormat="1" ht="12.3" x14ac:dyDescent="0.4">
      <c r="B32" s="70"/>
      <c r="C32"/>
      <c r="D32" s="74" t="str">
        <f>Input_Data!D51</f>
        <v>21-Mar-2025</v>
      </c>
      <c r="E32" s="63" t="s">
        <v>88</v>
      </c>
      <c r="F32" s="53" t="str">
        <f t="shared" si="0"/>
        <v>Percent</v>
      </c>
      <c r="G32" s="53" t="s">
        <v>67</v>
      </c>
      <c r="H32" s="53" t="str">
        <f t="shared" si="1"/>
        <v>N/A</v>
      </c>
      <c r="I32" s="71"/>
      <c r="J32" s="80">
        <f t="shared" si="9"/>
        <v>49299</v>
      </c>
      <c r="K32" s="79">
        <f>Input_Data!J51</f>
        <v>4.3929999999999997E-2</v>
      </c>
      <c r="L32" s="71"/>
      <c r="M32" s="80">
        <f t="shared" si="10"/>
        <v>49481</v>
      </c>
      <c r="N32" s="79">
        <f>Input_Data!L51</f>
        <v>4.4260000000000001E-2</v>
      </c>
      <c r="P32" s="80">
        <f t="shared" si="2"/>
        <v>49389</v>
      </c>
      <c r="Q32" s="79">
        <f t="shared" si="3"/>
        <v>4.4093186813186816E-2</v>
      </c>
      <c r="R32" s="79">
        <f t="shared" si="4"/>
        <v>4.4579239094022505E-2</v>
      </c>
    </row>
    <row r="33" spans="2:23" s="72" customFormat="1" ht="12.3" x14ac:dyDescent="0.4">
      <c r="B33" s="70"/>
      <c r="C33"/>
      <c r="D33" s="74" t="str">
        <f>Input_Data!D52</f>
        <v>24-Mar-2025</v>
      </c>
      <c r="E33" s="63" t="s">
        <v>88</v>
      </c>
      <c r="F33" s="53" t="str">
        <f t="shared" si="0"/>
        <v>Percent</v>
      </c>
      <c r="G33" s="53" t="s">
        <v>67</v>
      </c>
      <c r="H33" s="53" t="str">
        <f t="shared" si="1"/>
        <v>N/A</v>
      </c>
      <c r="I33" s="71"/>
      <c r="J33" s="80">
        <f t="shared" si="9"/>
        <v>49299</v>
      </c>
      <c r="K33" s="79">
        <f>Input_Data!J52</f>
        <v>4.3979999999999998E-2</v>
      </c>
      <c r="L33" s="71"/>
      <c r="M33" s="80">
        <f t="shared" si="10"/>
        <v>49481</v>
      </c>
      <c r="N33" s="79">
        <f>Input_Data!L52</f>
        <v>4.4310000000000002E-2</v>
      </c>
      <c r="P33" s="80">
        <f t="shared" si="2"/>
        <v>49392</v>
      </c>
      <c r="Q33" s="79">
        <f t="shared" si="3"/>
        <v>4.4148626373626376E-2</v>
      </c>
      <c r="R33" s="79">
        <f t="shared" si="4"/>
        <v>4.4635901676296053E-2</v>
      </c>
    </row>
    <row r="34" spans="2:23" s="72" customFormat="1" ht="12.3" x14ac:dyDescent="0.4">
      <c r="B34" s="70"/>
      <c r="C34"/>
      <c r="D34" s="74" t="str">
        <f>Input_Data!D53</f>
        <v>25-Mar-2025</v>
      </c>
      <c r="E34" s="63" t="s">
        <v>88</v>
      </c>
      <c r="F34" s="53" t="str">
        <f t="shared" si="0"/>
        <v>Percent</v>
      </c>
      <c r="G34" s="53" t="s">
        <v>67</v>
      </c>
      <c r="H34" s="53" t="str">
        <f t="shared" si="1"/>
        <v>N/A</v>
      </c>
      <c r="I34" s="71"/>
      <c r="J34" s="80">
        <f t="shared" si="9"/>
        <v>49299</v>
      </c>
      <c r="K34" s="79">
        <f>Input_Data!J53</f>
        <v>4.4219999999999995E-2</v>
      </c>
      <c r="L34" s="71"/>
      <c r="M34" s="80">
        <f t="shared" si="10"/>
        <v>49481</v>
      </c>
      <c r="N34" s="79">
        <f>Input_Data!L53</f>
        <v>4.4549999999999999E-2</v>
      </c>
      <c r="P34" s="80">
        <f t="shared" si="2"/>
        <v>49393</v>
      </c>
      <c r="Q34" s="79">
        <f t="shared" si="3"/>
        <v>4.439043956043956E-2</v>
      </c>
      <c r="R34" s="79">
        <f t="shared" si="4"/>
        <v>4.4883067341531691E-2</v>
      </c>
    </row>
    <row r="35" spans="2:23" s="72" customFormat="1" ht="12.3" x14ac:dyDescent="0.4">
      <c r="B35" s="70"/>
      <c r="C35"/>
      <c r="D35" s="74" t="str">
        <f>Input_Data!D54</f>
        <v>26-Mar-2025</v>
      </c>
      <c r="E35" s="63" t="s">
        <v>88</v>
      </c>
      <c r="F35" s="53" t="str">
        <f t="shared" si="0"/>
        <v>Percent</v>
      </c>
      <c r="G35" s="53" t="s">
        <v>67</v>
      </c>
      <c r="H35" s="53" t="str">
        <f t="shared" si="1"/>
        <v>N/A</v>
      </c>
      <c r="I35" s="71"/>
      <c r="J35" s="80">
        <f t="shared" si="9"/>
        <v>49299</v>
      </c>
      <c r="K35" s="79">
        <f>Input_Data!J54</f>
        <v>4.4740000000000002E-2</v>
      </c>
      <c r="L35" s="71"/>
      <c r="M35" s="80">
        <f t="shared" si="10"/>
        <v>49481</v>
      </c>
      <c r="N35" s="79">
        <f>Input_Data!L54</f>
        <v>4.5110000000000004E-2</v>
      </c>
      <c r="P35" s="80">
        <f t="shared" si="2"/>
        <v>49394</v>
      </c>
      <c r="Q35" s="79">
        <f t="shared" si="3"/>
        <v>4.4933131868131873E-2</v>
      </c>
      <c r="R35" s="79">
        <f t="shared" si="4"/>
        <v>4.5437878453001623E-2</v>
      </c>
    </row>
    <row r="36" spans="2:23" s="72" customFormat="1" ht="12.3" x14ac:dyDescent="0.4">
      <c r="B36" s="70"/>
      <c r="C36"/>
      <c r="D36" s="74" t="str">
        <f>Input_Data!D55</f>
        <v>27-Mar-2025</v>
      </c>
      <c r="E36" s="63" t="s">
        <v>88</v>
      </c>
      <c r="F36" s="53" t="str">
        <f t="shared" si="0"/>
        <v>Percent</v>
      </c>
      <c r="G36" s="53" t="s">
        <v>67</v>
      </c>
      <c r="H36" s="53" t="str">
        <f t="shared" si="1"/>
        <v>N/A</v>
      </c>
      <c r="I36" s="71"/>
      <c r="J36" s="80">
        <f t="shared" si="9"/>
        <v>49299</v>
      </c>
      <c r="K36" s="79">
        <f>Input_Data!J55</f>
        <v>4.5030000000000001E-2</v>
      </c>
      <c r="L36" s="71"/>
      <c r="M36" s="80">
        <f t="shared" si="10"/>
        <v>49481</v>
      </c>
      <c r="N36" s="79">
        <f>Input_Data!L55</f>
        <v>4.5410000000000006E-2</v>
      </c>
      <c r="P36" s="80">
        <f t="shared" si="2"/>
        <v>49395</v>
      </c>
      <c r="Q36" s="79">
        <f t="shared" si="3"/>
        <v>4.5230439560439567E-2</v>
      </c>
      <c r="R36" s="79">
        <f t="shared" si="4"/>
        <v>4.574188772614729E-2</v>
      </c>
    </row>
    <row r="37" spans="2:23" s="72" customFormat="1" ht="12.3" x14ac:dyDescent="0.4">
      <c r="B37" s="70"/>
      <c r="C37"/>
      <c r="D37" s="74" t="str">
        <f>Input_Data!D56</f>
        <v>28-Mar-2025</v>
      </c>
      <c r="E37" s="63" t="s">
        <v>88</v>
      </c>
      <c r="F37" s="53" t="str">
        <f t="shared" si="0"/>
        <v>Percent</v>
      </c>
      <c r="G37" s="53" t="s">
        <v>67</v>
      </c>
      <c r="H37" s="53" t="str">
        <f t="shared" si="1"/>
        <v>N/A</v>
      </c>
      <c r="I37" s="71"/>
      <c r="J37" s="80">
        <f t="shared" si="9"/>
        <v>49299</v>
      </c>
      <c r="K37" s="79">
        <f>Input_Data!J56</f>
        <v>4.4580000000000002E-2</v>
      </c>
      <c r="L37" s="71"/>
      <c r="M37" s="80">
        <f t="shared" si="10"/>
        <v>49481</v>
      </c>
      <c r="N37" s="79">
        <f>Input_Data!L56</f>
        <v>4.4960000000000007E-2</v>
      </c>
      <c r="P37" s="80">
        <f t="shared" si="2"/>
        <v>49396</v>
      </c>
      <c r="Q37" s="79">
        <f t="shared" si="3"/>
        <v>4.4782527472527478E-2</v>
      </c>
      <c r="R37" s="79">
        <f t="shared" si="4"/>
        <v>4.5283896164234561E-2</v>
      </c>
    </row>
    <row r="38" spans="2:23" s="72" customFormat="1" ht="12.3" x14ac:dyDescent="0.4">
      <c r="B38" s="70"/>
      <c r="C38"/>
      <c r="D38" s="74" t="str">
        <f>Input_Data!D57</f>
        <v>31-Mar-2025</v>
      </c>
      <c r="E38" s="63" t="s">
        <v>88</v>
      </c>
      <c r="F38" s="53" t="str">
        <f t="shared" si="0"/>
        <v>Percent</v>
      </c>
      <c r="G38" s="53" t="s">
        <v>67</v>
      </c>
      <c r="H38" s="53" t="str">
        <f t="shared" si="1"/>
        <v>N/A</v>
      </c>
      <c r="I38" s="71"/>
      <c r="J38" s="80">
        <f t="shared" si="9"/>
        <v>49299</v>
      </c>
      <c r="K38" s="79">
        <f>Input_Data!J57</f>
        <v>4.3819999999999998E-2</v>
      </c>
      <c r="L38" s="71"/>
      <c r="M38" s="80">
        <f t="shared" si="10"/>
        <v>49481</v>
      </c>
      <c r="N38" s="79">
        <f>Input_Data!L57</f>
        <v>4.4189999999999993E-2</v>
      </c>
      <c r="P38" s="80">
        <f t="shared" si="2"/>
        <v>49399</v>
      </c>
      <c r="Q38" s="79">
        <f t="shared" si="3"/>
        <v>4.4023296703296702E-2</v>
      </c>
      <c r="R38" s="79">
        <f t="shared" si="4"/>
        <v>4.4507809366453266E-2</v>
      </c>
    </row>
    <row r="39" spans="2:23" ht="12.3" x14ac:dyDescent="0.35">
      <c r="D39" s="10"/>
      <c r="E39" s="63"/>
      <c r="F39" s="63"/>
      <c r="G39" s="63"/>
      <c r="H39" s="63"/>
      <c r="I39" s="63"/>
      <c r="J39" s="63"/>
      <c r="K39" s="63"/>
      <c r="L39" s="63"/>
      <c r="M39" s="63"/>
      <c r="P39" s="69"/>
      <c r="Q39" s="55"/>
      <c r="R39" s="55"/>
    </row>
    <row r="40" spans="2:23" ht="12.3" x14ac:dyDescent="0.35">
      <c r="D40" s="62" t="s">
        <v>138</v>
      </c>
      <c r="E40" s="56" t="s">
        <v>88</v>
      </c>
      <c r="F40" s="56" t="str">
        <f>Percent</f>
        <v>Percent</v>
      </c>
      <c r="G40" s="56" t="s">
        <v>67</v>
      </c>
      <c r="H40" s="56" t="str">
        <f t="shared" si="1"/>
        <v>N/A</v>
      </c>
      <c r="N40" s="69"/>
      <c r="O40" s="69"/>
      <c r="P40" s="69"/>
      <c r="Q40" s="55"/>
      <c r="R40" s="81">
        <f>AVERAGE(R19:R38)</f>
        <v>4.4749706586474002E-2</v>
      </c>
    </row>
    <row r="41" spans="2:23" ht="12.3" x14ac:dyDescent="0.35">
      <c r="D41" s="10"/>
      <c r="E41" s="63"/>
      <c r="F41" s="63"/>
      <c r="G41" s="63"/>
      <c r="H41" s="63"/>
      <c r="I41" s="63"/>
      <c r="J41" s="63"/>
      <c r="K41" s="63"/>
      <c r="L41" s="63"/>
      <c r="M41" s="63"/>
      <c r="N41" s="69"/>
      <c r="O41" s="69"/>
      <c r="P41" s="69"/>
      <c r="Q41" s="69"/>
      <c r="R41" s="69"/>
      <c r="S41" s="69"/>
      <c r="T41" s="69"/>
      <c r="U41" s="55"/>
      <c r="V41" s="55"/>
      <c r="W41" s="55"/>
    </row>
    <row r="42" spans="2:23" s="2" customFormat="1" ht="15" x14ac:dyDescent="0.35">
      <c r="B42" s="2" t="s">
        <v>158</v>
      </c>
    </row>
    <row r="44" spans="2:23" s="8" customFormat="1" ht="14.1" x14ac:dyDescent="0.35">
      <c r="C44" s="8" t="str">
        <f>Input_Data!D74</f>
        <v>2025 return on debt observation</v>
      </c>
    </row>
    <row r="45" spans="2:23" ht="11.25" customHeight="1" x14ac:dyDescent="0.35"/>
    <row r="46" spans="2:23" s="72" customFormat="1" ht="12.3" x14ac:dyDescent="0.35">
      <c r="C46"/>
      <c r="D46" s="71"/>
      <c r="E46" s="71"/>
      <c r="F46" s="71"/>
      <c r="G46" s="71"/>
      <c r="H46" s="71"/>
      <c r="I46"/>
      <c r="J46" s="116" t="str">
        <f>Input_Data!J76</f>
        <v>BBB rated corporate bonds</v>
      </c>
      <c r="K46" s="116"/>
      <c r="L46" s="116"/>
      <c r="N46" s="116" t="str">
        <f>Input_Data!M76</f>
        <v>A rated corporate bonds</v>
      </c>
      <c r="O46" s="116"/>
      <c r="P46" s="116"/>
      <c r="R46" s="116" t="s">
        <v>200</v>
      </c>
      <c r="S46" s="116"/>
    </row>
    <row r="47" spans="2:23" s="72" customFormat="1" ht="12.3" x14ac:dyDescent="0.35">
      <c r="C47"/>
      <c r="D47" s="61" t="s">
        <v>108</v>
      </c>
      <c r="E47" s="54" t="str">
        <f>Lookup!E$19</f>
        <v>Source</v>
      </c>
      <c r="F47" s="54" t="str">
        <f>Lookup!F$19</f>
        <v>Unit</v>
      </c>
      <c r="G47" s="54" t="str">
        <f>Lookup!G$19</f>
        <v>Basis</v>
      </c>
      <c r="H47" s="54" t="str">
        <f>Lookup!H$19</f>
        <v>Timing</v>
      </c>
      <c r="I47"/>
      <c r="J47" s="54" t="str">
        <f>Input_Data!J78</f>
        <v>Bloomberg</v>
      </c>
      <c r="K47" s="54" t="str">
        <f>Input_Data!K78</f>
        <v>Refinitiv</v>
      </c>
      <c r="L47" s="54" t="s">
        <v>199</v>
      </c>
      <c r="N47" s="54" t="str">
        <f>J47</f>
        <v>Bloomberg</v>
      </c>
      <c r="O47" s="54" t="str">
        <f t="shared" ref="O47:P47" si="11">K47</f>
        <v>Refinitiv</v>
      </c>
      <c r="P47" s="54" t="str">
        <f t="shared" si="11"/>
        <v>Average</v>
      </c>
      <c r="R47" s="54" t="s">
        <v>107</v>
      </c>
      <c r="S47" s="54" t="s">
        <v>201</v>
      </c>
    </row>
    <row r="48" spans="2:23" s="72" customFormat="1" x14ac:dyDescent="0.35">
      <c r="C48"/>
      <c r="D48" s="71"/>
      <c r="E48" s="71"/>
      <c r="F48" s="71"/>
      <c r="G48" s="71"/>
      <c r="H48" s="71"/>
      <c r="I48"/>
      <c r="J48" s="78"/>
      <c r="K48" s="78"/>
      <c r="L48"/>
      <c r="N48" s="78"/>
      <c r="P48" s="78"/>
      <c r="S48" s="78"/>
    </row>
    <row r="49" spans="2:19" s="72" customFormat="1" ht="12.3" x14ac:dyDescent="0.4">
      <c r="B49" s="70"/>
      <c r="C49"/>
      <c r="D49" s="74">
        <f>Input_Data!D80</f>
        <v>45734</v>
      </c>
      <c r="E49" s="63" t="s">
        <v>88</v>
      </c>
      <c r="F49" s="53" t="str">
        <f t="shared" ref="F49:F58" si="12">Percent</f>
        <v>Percent</v>
      </c>
      <c r="G49" s="53" t="s">
        <v>67</v>
      </c>
      <c r="H49" s="53" t="str">
        <f t="shared" ref="H49:H60" si="13">NA</f>
        <v>N/A</v>
      </c>
      <c r="I49" s="71"/>
      <c r="J49" s="79">
        <f>(1+Input_Data!J80/2)^2-1</f>
        <v>5.8554957321000023E-2</v>
      </c>
      <c r="K49" s="79">
        <f>(1+Input_Data!K80/2)^2-1</f>
        <v>5.9468783024999805E-2</v>
      </c>
      <c r="L49" s="79">
        <f>AVERAGE(J49:K49)</f>
        <v>5.9011870172999914E-2</v>
      </c>
      <c r="N49" s="79">
        <f>(1+Input_Data!M80/2)^2-1</f>
        <v>5.3969156899999815E-2</v>
      </c>
      <c r="O49" s="79">
        <f>(1+Input_Data!N80/2)^2-1</f>
        <v>5.8429439999999833E-2</v>
      </c>
      <c r="P49" s="79">
        <f>AVERAGE(N49:O49)</f>
        <v>5.6199298449999824E-2</v>
      </c>
      <c r="R49" s="80">
        <f t="shared" ref="R49:R58" si="14">(DATE(YEAR(D49)+10,MONTH(D49),DAY(D49)))</f>
        <v>49386</v>
      </c>
      <c r="S49" s="79">
        <f>L49*2/3+P49*1/3</f>
        <v>5.8074346265333213E-2</v>
      </c>
    </row>
    <row r="50" spans="2:19" s="72" customFormat="1" ht="12.3" x14ac:dyDescent="0.4">
      <c r="B50" s="70"/>
      <c r="C50"/>
      <c r="D50" s="74">
        <f>Input_Data!D81</f>
        <v>45735</v>
      </c>
      <c r="E50" s="63" t="s">
        <v>88</v>
      </c>
      <c r="F50" s="53" t="str">
        <f t="shared" si="12"/>
        <v>Percent</v>
      </c>
      <c r="G50" s="53" t="s">
        <v>67</v>
      </c>
      <c r="H50" s="53" t="str">
        <f t="shared" si="13"/>
        <v>N/A</v>
      </c>
      <c r="I50" s="71"/>
      <c r="J50" s="79">
        <f>(1+Input_Data!J81/2)^2-1</f>
        <v>5.8853348036000286E-2</v>
      </c>
      <c r="K50" s="79">
        <f>(1+Input_Data!K81/2)^2-1</f>
        <v>5.9623184399999918E-2</v>
      </c>
      <c r="L50" s="79">
        <f t="shared" ref="L50:L58" si="15">AVERAGE(J50:K50)</f>
        <v>5.9238266218000102E-2</v>
      </c>
      <c r="N50" s="79">
        <f>(1+Input_Data!M81/2)^2-1</f>
        <v>5.428846301024981E-2</v>
      </c>
      <c r="O50" s="79">
        <f>(1+Input_Data!N81/2)^2-1</f>
        <v>5.8614632100000064E-2</v>
      </c>
      <c r="P50" s="79">
        <f t="shared" ref="P50:P58" si="16">AVERAGE(N50:O50)</f>
        <v>5.6451547555124937E-2</v>
      </c>
      <c r="R50" s="80">
        <f t="shared" si="14"/>
        <v>49387</v>
      </c>
      <c r="S50" s="79">
        <f t="shared" ref="S50:S58" si="17">L50*2/3+P50*1/3</f>
        <v>5.8309359997041718E-2</v>
      </c>
    </row>
    <row r="51" spans="2:19" s="72" customFormat="1" ht="12.3" x14ac:dyDescent="0.4">
      <c r="B51" s="70"/>
      <c r="C51"/>
      <c r="D51" s="74">
        <f>Input_Data!D82</f>
        <v>45736</v>
      </c>
      <c r="E51" s="63" t="s">
        <v>88</v>
      </c>
      <c r="F51" s="53" t="str">
        <f t="shared" si="12"/>
        <v>Percent</v>
      </c>
      <c r="G51" s="53" t="s">
        <v>67</v>
      </c>
      <c r="H51" s="53" t="str">
        <f t="shared" si="13"/>
        <v>N/A</v>
      </c>
      <c r="I51" s="71"/>
      <c r="J51" s="79">
        <f>(1+Input_Data!J82/2)^2-1</f>
        <v>5.8386230841000142E-2</v>
      </c>
      <c r="K51" s="79">
        <f>(1+Input_Data!K82/2)^2-1</f>
        <v>5.9664360000000194E-2</v>
      </c>
      <c r="L51" s="79">
        <f t="shared" si="15"/>
        <v>5.9025295420500168E-2</v>
      </c>
      <c r="N51" s="79">
        <f>(1+Input_Data!M82/2)^2-1</f>
        <v>5.3799769756249782E-2</v>
      </c>
      <c r="O51" s="79">
        <f>(1+Input_Data!N82/2)^2-1</f>
        <v>5.8532322500000067E-2</v>
      </c>
      <c r="P51" s="79">
        <f t="shared" si="16"/>
        <v>5.6166046128124925E-2</v>
      </c>
      <c r="R51" s="80">
        <f t="shared" si="14"/>
        <v>49388</v>
      </c>
      <c r="S51" s="79">
        <f t="shared" si="17"/>
        <v>5.8072212323041758E-2</v>
      </c>
    </row>
    <row r="52" spans="2:19" s="72" customFormat="1" ht="12.3" x14ac:dyDescent="0.4">
      <c r="B52" s="70"/>
      <c r="C52"/>
      <c r="D52" s="74">
        <f>Input_Data!D83</f>
        <v>45737</v>
      </c>
      <c r="E52" s="63" t="s">
        <v>88</v>
      </c>
      <c r="F52" s="53" t="str">
        <f t="shared" si="12"/>
        <v>Percent</v>
      </c>
      <c r="G52" s="53" t="s">
        <v>67</v>
      </c>
      <c r="H52" s="53" t="str">
        <f t="shared" si="13"/>
        <v>N/A</v>
      </c>
      <c r="I52" s="71"/>
      <c r="J52" s="79">
        <f>(1+Input_Data!J83/2)^2-1</f>
        <v>5.857141916100006E-2</v>
      </c>
      <c r="K52" s="79">
        <f>(1+Input_Data!K83/2)^2-1</f>
        <v>5.9427611225000065E-2</v>
      </c>
      <c r="L52" s="79">
        <f t="shared" si="15"/>
        <v>5.8999515193000063E-2</v>
      </c>
      <c r="N52" s="79">
        <f>(1+Input_Data!M83/2)^2-1</f>
        <v>5.3931171932249944E-2</v>
      </c>
      <c r="O52" s="79">
        <f>(1+Input_Data!N83/2)^2-1</f>
        <v>5.8532322500000067E-2</v>
      </c>
      <c r="P52" s="79">
        <f t="shared" si="16"/>
        <v>5.6231747216125005E-2</v>
      </c>
      <c r="R52" s="80">
        <f t="shared" si="14"/>
        <v>49389</v>
      </c>
      <c r="S52" s="79">
        <f t="shared" si="17"/>
        <v>5.8076925867375048E-2</v>
      </c>
    </row>
    <row r="53" spans="2:19" s="72" customFormat="1" ht="12.3" x14ac:dyDescent="0.4">
      <c r="B53" s="70"/>
      <c r="C53"/>
      <c r="D53" s="74">
        <f>Input_Data!D84</f>
        <v>45740</v>
      </c>
      <c r="E53" s="63" t="s">
        <v>88</v>
      </c>
      <c r="F53" s="53" t="str">
        <f t="shared" si="12"/>
        <v>Percent</v>
      </c>
      <c r="G53" s="53" t="s">
        <v>67</v>
      </c>
      <c r="H53" s="53" t="str">
        <f t="shared" si="13"/>
        <v>N/A</v>
      </c>
      <c r="I53" s="71"/>
      <c r="J53" s="79">
        <f>(1+Input_Data!J84/2)^2-1</f>
        <v>5.8680482083999674E-2</v>
      </c>
      <c r="K53" s="79">
        <f>(1+Input_Data!K84/2)^2-1</f>
        <v>5.9283516225000055E-2</v>
      </c>
      <c r="L53" s="79">
        <f t="shared" si="15"/>
        <v>5.8981999154499865E-2</v>
      </c>
      <c r="N53" s="79">
        <f>(1+Input_Data!M84/2)^2-1</f>
        <v>5.3891134463999846E-2</v>
      </c>
      <c r="O53" s="79">
        <f>(1+Input_Data!N84/2)^2-1</f>
        <v>5.8305987600000053E-2</v>
      </c>
      <c r="P53" s="79">
        <f t="shared" si="16"/>
        <v>5.6098561031999949E-2</v>
      </c>
      <c r="R53" s="80">
        <f t="shared" si="14"/>
        <v>49392</v>
      </c>
      <c r="S53" s="79">
        <f t="shared" si="17"/>
        <v>5.802085311366656E-2</v>
      </c>
    </row>
    <row r="54" spans="2:19" s="72" customFormat="1" ht="12.3" x14ac:dyDescent="0.4">
      <c r="B54" s="70"/>
      <c r="C54"/>
      <c r="D54" s="74">
        <f>Input_Data!D85</f>
        <v>45741</v>
      </c>
      <c r="E54" s="63" t="s">
        <v>88</v>
      </c>
      <c r="F54" s="53" t="str">
        <f t="shared" si="12"/>
        <v>Percent</v>
      </c>
      <c r="G54" s="53" t="s">
        <v>67</v>
      </c>
      <c r="H54" s="53" t="str">
        <f t="shared" si="13"/>
        <v>N/A</v>
      </c>
      <c r="I54" s="71"/>
      <c r="J54" s="79">
        <f>(1+Input_Data!J85/2)^2-1</f>
        <v>5.8969628906250016E-2</v>
      </c>
      <c r="K54" s="79">
        <f>(1+Input_Data!K85/2)^2-1</f>
        <v>5.9808480900000127E-2</v>
      </c>
      <c r="L54" s="79">
        <f t="shared" si="15"/>
        <v>5.9389054903125071E-2</v>
      </c>
      <c r="N54" s="79">
        <f>(1+Input_Data!M85/2)^2-1</f>
        <v>5.4122130320249706E-2</v>
      </c>
      <c r="O54" s="79">
        <f>(1+Input_Data!N85/2)^2-1</f>
        <v>5.9067392100000005E-2</v>
      </c>
      <c r="P54" s="79">
        <f t="shared" si="16"/>
        <v>5.6594761210124855E-2</v>
      </c>
      <c r="R54" s="80">
        <f t="shared" si="14"/>
        <v>49393</v>
      </c>
      <c r="S54" s="79">
        <f t="shared" si="17"/>
        <v>5.8457623672125002E-2</v>
      </c>
    </row>
    <row r="55" spans="2:19" s="72" customFormat="1" ht="12.3" x14ac:dyDescent="0.4">
      <c r="B55" s="70"/>
      <c r="C55"/>
      <c r="D55" s="74">
        <f>Input_Data!D86</f>
        <v>45742</v>
      </c>
      <c r="E55" s="63" t="s">
        <v>88</v>
      </c>
      <c r="F55" s="53" t="str">
        <f t="shared" si="12"/>
        <v>Percent</v>
      </c>
      <c r="G55" s="53" t="s">
        <v>67</v>
      </c>
      <c r="H55" s="53" t="str">
        <f t="shared" si="13"/>
        <v>N/A</v>
      </c>
      <c r="I55" s="71"/>
      <c r="J55" s="79">
        <f>(1+Input_Data!J86/2)^2-1</f>
        <v>5.9600538160999861E-2</v>
      </c>
      <c r="K55" s="79">
        <f>(1+Input_Data!K86/2)^2-1</f>
        <v>6.0168826024999733E-2</v>
      </c>
      <c r="L55" s="79">
        <f t="shared" si="15"/>
        <v>5.9884682092999797E-2</v>
      </c>
      <c r="N55" s="79">
        <f>(1+Input_Data!M86/2)^2-1</f>
        <v>5.4722838008999908E-2</v>
      </c>
      <c r="O55" s="79">
        <f>(1+Input_Data!N86/2)^2-1</f>
        <v>5.9458490000000142E-2</v>
      </c>
      <c r="P55" s="79">
        <f t="shared" si="16"/>
        <v>5.7090664004500025E-2</v>
      </c>
      <c r="R55" s="80">
        <f t="shared" si="14"/>
        <v>49394</v>
      </c>
      <c r="S55" s="79">
        <f t="shared" si="17"/>
        <v>5.8953342730166537E-2</v>
      </c>
    </row>
    <row r="56" spans="2:19" s="72" customFormat="1" ht="12.3" x14ac:dyDescent="0.4">
      <c r="B56" s="70"/>
      <c r="C56"/>
      <c r="D56" s="74">
        <f>Input_Data!D87</f>
        <v>45743</v>
      </c>
      <c r="E56" s="63" t="s">
        <v>88</v>
      </c>
      <c r="F56" s="53" t="str">
        <f t="shared" si="12"/>
        <v>Percent</v>
      </c>
      <c r="G56" s="53" t="s">
        <v>67</v>
      </c>
      <c r="H56" s="53" t="str">
        <f t="shared" si="13"/>
        <v>N/A</v>
      </c>
      <c r="I56" s="71"/>
      <c r="J56" s="79">
        <f>(1+Input_Data!J87/2)^2-1</f>
        <v>6.0050420156250173E-2</v>
      </c>
      <c r="K56" s="79">
        <f>(1+Input_Data!K87/2)^2-1</f>
        <v>6.0776403600000251E-2</v>
      </c>
      <c r="L56" s="79">
        <f t="shared" si="15"/>
        <v>6.0413411878125212E-2</v>
      </c>
      <c r="N56" s="79">
        <f>(1+Input_Data!M87/2)^2-1</f>
        <v>5.4855324782250081E-2</v>
      </c>
      <c r="O56" s="79">
        <f>(1+Input_Data!N87/2)^2-1</f>
        <v>5.9499662399999931E-2</v>
      </c>
      <c r="P56" s="79">
        <f t="shared" si="16"/>
        <v>5.7177493591125006E-2</v>
      </c>
      <c r="R56" s="80">
        <f t="shared" si="14"/>
        <v>49395</v>
      </c>
      <c r="S56" s="79">
        <f t="shared" si="17"/>
        <v>5.9334772449125148E-2</v>
      </c>
    </row>
    <row r="57" spans="2:19" s="72" customFormat="1" ht="12.3" x14ac:dyDescent="0.4">
      <c r="B57" s="70"/>
      <c r="C57"/>
      <c r="D57" s="74">
        <f>Input_Data!D88</f>
        <v>45744</v>
      </c>
      <c r="E57" s="63" t="s">
        <v>88</v>
      </c>
      <c r="F57" s="53" t="str">
        <f t="shared" si="12"/>
        <v>Percent</v>
      </c>
      <c r="G57" s="53" t="s">
        <v>67</v>
      </c>
      <c r="H57" s="53" t="str">
        <f t="shared" si="13"/>
        <v>N/A</v>
      </c>
      <c r="I57" s="71"/>
      <c r="J57" s="79">
        <f>(1+Input_Data!J88/2)^2-1</f>
        <v>5.9600538160999861E-2</v>
      </c>
      <c r="K57" s="79">
        <f>(1+Input_Data!K88/2)^2-1</f>
        <v>6.0292387025000282E-2</v>
      </c>
      <c r="L57" s="79">
        <f t="shared" si="15"/>
        <v>5.9946462593000072E-2</v>
      </c>
      <c r="N57" s="79">
        <f>(1+Input_Data!M88/2)^2-1</f>
        <v>5.4454808822249845E-2</v>
      </c>
      <c r="O57" s="79">
        <f>(1+Input_Data!N88/2)^2-1</f>
        <v>5.9067392100000005E-2</v>
      </c>
      <c r="P57" s="79">
        <f t="shared" si="16"/>
        <v>5.6761100461124925E-2</v>
      </c>
      <c r="R57" s="80">
        <f t="shared" si="14"/>
        <v>49396</v>
      </c>
      <c r="S57" s="79">
        <f t="shared" si="17"/>
        <v>5.8884675215708351E-2</v>
      </c>
    </row>
    <row r="58" spans="2:19" s="72" customFormat="1" ht="12.3" x14ac:dyDescent="0.4">
      <c r="B58" s="70"/>
      <c r="C58"/>
      <c r="D58" s="74">
        <f>Input_Data!D89</f>
        <v>45747</v>
      </c>
      <c r="E58" s="63" t="s">
        <v>88</v>
      </c>
      <c r="F58" s="53" t="str">
        <f t="shared" si="12"/>
        <v>Percent</v>
      </c>
      <c r="G58" s="53" t="s">
        <v>67</v>
      </c>
      <c r="H58" s="53" t="str">
        <f t="shared" si="13"/>
        <v>N/A</v>
      </c>
      <c r="I58" s="71"/>
      <c r="J58" s="79">
        <f>(1+Input_Data!J89/2)^2-1</f>
        <v>5.8897595756249865E-2</v>
      </c>
      <c r="K58" s="79">
        <f>(1+Input_Data!K89/2)^2-1</f>
        <v>5.9921725624999977E-2</v>
      </c>
      <c r="L58" s="79">
        <f t="shared" si="15"/>
        <v>5.9409660690624921E-2</v>
      </c>
      <c r="N58" s="79">
        <f>(1+Input_Data!M89/2)^2-1</f>
        <v>5.3886001510250026E-2</v>
      </c>
      <c r="O58" s="79">
        <f>(1+Input_Data!N89/2)^2-1</f>
        <v>5.8131109025000294E-2</v>
      </c>
      <c r="P58" s="79">
        <f t="shared" si="16"/>
        <v>5.600855526762516E-2</v>
      </c>
      <c r="R58" s="80">
        <f t="shared" si="14"/>
        <v>49399</v>
      </c>
      <c r="S58" s="79">
        <f t="shared" si="17"/>
        <v>5.8275958882958334E-2</v>
      </c>
    </row>
    <row r="59" spans="2:19" ht="12.3" x14ac:dyDescent="0.35">
      <c r="D59" s="10"/>
      <c r="E59" s="63"/>
      <c r="F59" s="63"/>
      <c r="G59" s="63"/>
      <c r="H59" s="63"/>
      <c r="I59" s="63"/>
      <c r="J59" s="63"/>
      <c r="K59" s="63"/>
      <c r="L59" s="63"/>
      <c r="O59" s="63"/>
      <c r="R59" s="69"/>
      <c r="S59" s="55"/>
    </row>
    <row r="60" spans="2:19" ht="12.3" x14ac:dyDescent="0.35">
      <c r="D60" s="62" t="s">
        <v>202</v>
      </c>
      <c r="E60" s="56" t="s">
        <v>88</v>
      </c>
      <c r="F60" s="56" t="str">
        <f>Percent</f>
        <v>Percent</v>
      </c>
      <c r="G60" s="56" t="s">
        <v>67</v>
      </c>
      <c r="H60" s="56" t="str">
        <f t="shared" si="13"/>
        <v>N/A</v>
      </c>
      <c r="P60" s="69"/>
      <c r="Q60" s="69"/>
      <c r="R60" s="69"/>
      <c r="S60" s="81">
        <f>AVERAGE(S49:S58)</f>
        <v>5.8446007051654168E-2</v>
      </c>
    </row>
    <row r="63" spans="2:19" ht="12.3" x14ac:dyDescent="0.35">
      <c r="D63" s="61" t="s">
        <v>152</v>
      </c>
      <c r="E63" s="54" t="str">
        <f>Lookup!E$19</f>
        <v>Source</v>
      </c>
      <c r="F63" s="54" t="str">
        <f>Lookup!F$19</f>
        <v>Unit</v>
      </c>
      <c r="G63" s="54" t="str">
        <f>Lookup!G$19</f>
        <v>Basis</v>
      </c>
      <c r="H63" s="54" t="str">
        <f>Lookup!H$19</f>
        <v>Timing</v>
      </c>
      <c r="J63" s="54" t="str">
        <f>J$10</f>
        <v>FY27</v>
      </c>
      <c r="K63" s="54" t="str">
        <f>K$10</f>
        <v>FY28</v>
      </c>
      <c r="L63" s="54" t="str">
        <f>L$10</f>
        <v>FY29</v>
      </c>
      <c r="M63" s="54" t="str">
        <f>M$10</f>
        <v>FY30</v>
      </c>
      <c r="N63" s="54" t="str">
        <f>N$10</f>
        <v>FY31</v>
      </c>
    </row>
    <row r="65" spans="2:14" ht="12.3" x14ac:dyDescent="0.35">
      <c r="D65" s="10" t="s">
        <v>153</v>
      </c>
    </row>
    <row r="66" spans="2:14" ht="12.3" x14ac:dyDescent="0.35">
      <c r="D66" s="85" t="str">
        <f>Lookup!D70</f>
        <v>Actual</v>
      </c>
      <c r="E66" s="63" t="s">
        <v>88</v>
      </c>
      <c r="F66" s="53" t="str">
        <f t="shared" ref="F66:F68" si="18">Percent</f>
        <v>Percent</v>
      </c>
      <c r="G66" s="53" t="s">
        <v>67</v>
      </c>
      <c r="H66" s="53" t="str">
        <f t="shared" ref="H66:H68" si="19">NA</f>
        <v>N/A</v>
      </c>
      <c r="J66" s="79" t="str">
        <f>IF(Input_Data!Q$65=$D66,Input_Data!Q$66,"")</f>
        <v/>
      </c>
      <c r="K66" s="43"/>
      <c r="L66" s="43"/>
      <c r="M66" s="43"/>
      <c r="N66" s="43"/>
    </row>
    <row r="67" spans="2:14" ht="12.3" x14ac:dyDescent="0.35">
      <c r="D67" s="85" t="str">
        <f>Lookup!D71</f>
        <v>Estimated</v>
      </c>
      <c r="E67" s="63" t="s">
        <v>88</v>
      </c>
      <c r="F67" s="53" t="str">
        <f t="shared" si="18"/>
        <v>Percent</v>
      </c>
      <c r="G67" s="53" t="s">
        <v>67</v>
      </c>
      <c r="H67" s="53" t="str">
        <f t="shared" si="19"/>
        <v>N/A</v>
      </c>
      <c r="J67" s="98">
        <f>IF(Input_Data!Q$65=$D67,S60,"")</f>
        <v>5.8446007051654168E-2</v>
      </c>
      <c r="K67" s="43"/>
      <c r="L67" s="43"/>
      <c r="M67" s="43"/>
      <c r="N67" s="43"/>
    </row>
    <row r="68" spans="2:14" ht="12.3" x14ac:dyDescent="0.35">
      <c r="D68" s="87" t="s">
        <v>154</v>
      </c>
      <c r="E68" s="88" t="s">
        <v>88</v>
      </c>
      <c r="F68" s="89" t="str">
        <f t="shared" si="18"/>
        <v>Percent</v>
      </c>
      <c r="G68" s="89" t="s">
        <v>67</v>
      </c>
      <c r="H68" s="89" t="str">
        <f t="shared" si="19"/>
        <v>N/A</v>
      </c>
      <c r="J68" s="90">
        <f>IF(ISNUMBER(J66),J66,IF(ISNUMBER(J67),J67,""))</f>
        <v>5.8446007051654168E-2</v>
      </c>
      <c r="K68" s="90" t="str">
        <f>IF(ISNUMBER(K66),K66,IF(ISNUMBER(K67),K67,""))</f>
        <v/>
      </c>
      <c r="L68" s="90" t="str">
        <f>IF(ISNUMBER(L66),L66,IF(ISNUMBER(L67),L67,""))</f>
        <v/>
      </c>
      <c r="M68" s="90" t="str">
        <f>IF(ISNUMBER(M66),M66,IF(ISNUMBER(M67),M67,""))</f>
        <v/>
      </c>
      <c r="N68" s="90" t="str">
        <f>IF(ISNUMBER(N66),N66,IF(ISNUMBER(N67),N67,""))</f>
        <v/>
      </c>
    </row>
    <row r="70" spans="2:14" ht="12.3" x14ac:dyDescent="0.35">
      <c r="D70" s="10" t="s">
        <v>149</v>
      </c>
    </row>
    <row r="71" spans="2:14" ht="12.3" x14ac:dyDescent="0.35">
      <c r="D71" s="85" t="s">
        <v>155</v>
      </c>
      <c r="E71" s="63" t="s">
        <v>88</v>
      </c>
      <c r="F71" s="53" t="str">
        <f t="shared" ref="F71" si="20">Percent</f>
        <v>Percent</v>
      </c>
      <c r="G71" s="53" t="str">
        <f t="shared" ref="G71:H71" si="21">NA</f>
        <v>N/A</v>
      </c>
      <c r="H71" s="53" t="str">
        <f t="shared" si="21"/>
        <v>N/A</v>
      </c>
      <c r="J71" s="79">
        <f t="shared" ref="J71:N71" si="22">Weight_New_Debt</f>
        <v>0.1</v>
      </c>
      <c r="K71" s="79">
        <f t="shared" si="22"/>
        <v>0.1</v>
      </c>
      <c r="L71" s="79">
        <f t="shared" si="22"/>
        <v>0.1</v>
      </c>
      <c r="M71" s="79">
        <f t="shared" si="22"/>
        <v>0.1</v>
      </c>
      <c r="N71" s="79">
        <f t="shared" si="22"/>
        <v>0.1</v>
      </c>
    </row>
    <row r="73" spans="2:14" ht="12.3" x14ac:dyDescent="0.35">
      <c r="D73" s="62" t="s">
        <v>156</v>
      </c>
      <c r="E73" s="56" t="s">
        <v>88</v>
      </c>
      <c r="F73" s="56" t="str">
        <f t="shared" ref="F73" si="23">Percent</f>
        <v>Percent</v>
      </c>
      <c r="G73" s="56" t="s">
        <v>67</v>
      </c>
      <c r="H73" s="56" t="str">
        <f t="shared" ref="H73" si="24">NA</f>
        <v>N/A</v>
      </c>
      <c r="J73" s="86">
        <f>IFERROR($J$68,"")</f>
        <v>5.8446007051654168E-2</v>
      </c>
      <c r="K73" s="81">
        <f>IFERROR(J73+(K$68-$J$68)*K71,J73)</f>
        <v>5.8446007051654168E-2</v>
      </c>
      <c r="L73" s="81">
        <f t="shared" ref="L73:N73" si="25">IFERROR(K73+(L$68-$J$68)*L71,K73)</f>
        <v>5.8446007051654168E-2</v>
      </c>
      <c r="M73" s="81">
        <f t="shared" si="25"/>
        <v>5.8446007051654168E-2</v>
      </c>
      <c r="N73" s="81">
        <f t="shared" si="25"/>
        <v>5.8446007051654168E-2</v>
      </c>
    </row>
    <row r="75" spans="2:14" s="2" customFormat="1" ht="15" x14ac:dyDescent="0.35">
      <c r="B75" s="2" t="s">
        <v>139</v>
      </c>
    </row>
    <row r="76" spans="2:14" ht="11.25" customHeight="1" x14ac:dyDescent="0.35"/>
    <row r="77" spans="2:14" ht="12.3" x14ac:dyDescent="0.35">
      <c r="D77" s="61" t="s">
        <v>87</v>
      </c>
      <c r="E77" s="54" t="str">
        <f>Lookup!E$19</f>
        <v>Source</v>
      </c>
      <c r="F77" s="54" t="str">
        <f>Lookup!F$19</f>
        <v>Unit</v>
      </c>
      <c r="G77" s="54" t="str">
        <f>Lookup!G$19</f>
        <v>Basis</v>
      </c>
      <c r="H77" s="54" t="str">
        <f>Lookup!H$19</f>
        <v>Timing</v>
      </c>
      <c r="J77" s="54" t="str">
        <f>J10</f>
        <v>FY27</v>
      </c>
      <c r="K77" s="54" t="str">
        <f>K10</f>
        <v>FY28</v>
      </c>
      <c r="L77" s="54" t="str">
        <f>L10</f>
        <v>FY29</v>
      </c>
      <c r="M77" s="54" t="str">
        <f>M10</f>
        <v>FY30</v>
      </c>
      <c r="N77" s="54" t="str">
        <f>N10</f>
        <v>FY31</v>
      </c>
    </row>
    <row r="78" spans="2:14" x14ac:dyDescent="0.35">
      <c r="L78" s="82"/>
    </row>
    <row r="79" spans="2:14" ht="12.3" x14ac:dyDescent="0.35">
      <c r="D79" s="10" t="s">
        <v>126</v>
      </c>
      <c r="E79" s="63" t="s">
        <v>88</v>
      </c>
      <c r="F79" s="53" t="str">
        <f t="shared" ref="F79:F80" si="26">Percent</f>
        <v>Percent</v>
      </c>
      <c r="G79" s="53" t="s">
        <v>67</v>
      </c>
      <c r="H79" s="53" t="str">
        <f t="shared" ref="H79:H81" si="27">NA</f>
        <v>N/A</v>
      </c>
      <c r="J79" s="77">
        <f t="array" ref="J79">GEOMEAN(1+Input_Data!P19:U19)-1</f>
        <v>2.8497220862572226E-2</v>
      </c>
      <c r="K79" s="43"/>
      <c r="L79" s="43"/>
      <c r="M79" s="43"/>
      <c r="N79" s="43"/>
    </row>
    <row r="80" spans="2:14" ht="12.3" x14ac:dyDescent="0.35">
      <c r="D80" s="10" t="s">
        <v>117</v>
      </c>
      <c r="E80" s="63" t="s">
        <v>88</v>
      </c>
      <c r="F80" s="53" t="str">
        <f t="shared" si="26"/>
        <v>Percent</v>
      </c>
      <c r="G80" s="53" t="s">
        <v>67</v>
      </c>
      <c r="H80" s="53" t="str">
        <f t="shared" si="27"/>
        <v>N/A</v>
      </c>
      <c r="J80" s="77">
        <f>RFR+MRP*Beta</f>
        <v>8.1949706586473992E-2</v>
      </c>
      <c r="K80" s="43"/>
      <c r="L80" s="43"/>
      <c r="M80" s="43"/>
      <c r="N80" s="43"/>
    </row>
    <row r="81" spans="2:14" ht="12.3" x14ac:dyDescent="0.35">
      <c r="D81" s="10" t="s">
        <v>140</v>
      </c>
      <c r="E81" s="63" t="s">
        <v>88</v>
      </c>
      <c r="F81" s="63" t="str">
        <f>Dollars</f>
        <v>Dollars</v>
      </c>
      <c r="G81" s="53" t="s">
        <v>67</v>
      </c>
      <c r="H81" s="53" t="str">
        <f t="shared" si="27"/>
        <v>N/A</v>
      </c>
      <c r="J81" s="77">
        <f>J73</f>
        <v>5.8446007051654168E-2</v>
      </c>
      <c r="K81" s="77">
        <f t="shared" ref="K81:N81" si="28">K73</f>
        <v>5.8446007051654168E-2</v>
      </c>
      <c r="L81" s="77">
        <f t="shared" si="28"/>
        <v>5.8446007051654168E-2</v>
      </c>
      <c r="M81" s="77">
        <f t="shared" si="28"/>
        <v>5.8446007051654168E-2</v>
      </c>
      <c r="N81" s="77">
        <f t="shared" si="28"/>
        <v>5.8446007051654168E-2</v>
      </c>
    </row>
    <row r="82" spans="2:14" ht="11.25" customHeight="1" x14ac:dyDescent="0.35"/>
    <row r="83" spans="2:14" s="2" customFormat="1" ht="15" x14ac:dyDescent="0.35">
      <c r="B83" s="2" t="s">
        <v>32</v>
      </c>
    </row>
  </sheetData>
  <mergeCells count="3">
    <mergeCell ref="J16:K16"/>
    <mergeCell ref="M16:N16"/>
    <mergeCell ref="P16:R16"/>
  </mergeCells>
  <conditionalFormatting sqref="B2">
    <cfRule type="cellIs" dxfId="4" priority="1" operator="notEqual">
      <formula>"No Errors Found"</formula>
    </cfRule>
  </conditionalFormatting>
  <hyperlinks>
    <hyperlink ref="B3:E3" location="TOC!A1" display="TOC!A1" xr:uid="{00000000-0004-0000-0500-000000000000}"/>
  </hyperlink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34998626667073579"/>
  </sheetPr>
  <dimension ref="A1:O38"/>
  <sheetViews>
    <sheetView showGridLines="0" zoomScaleNormal="100" workbookViewId="0">
      <pane xSplit="1" ySplit="10" topLeftCell="B11" activePane="bottomRight" state="frozen"/>
      <selection activeCell="E30" sqref="E30"/>
      <selection pane="topRight" activeCell="E30" sqref="E30"/>
      <selection pane="bottomLeft" activeCell="E30" sqref="E30"/>
      <selection pane="bottomRight" activeCell="B11" sqref="B11"/>
    </sheetView>
  </sheetViews>
  <sheetFormatPr defaultColWidth="9.33203125" defaultRowHeight="10.199999999999999" outlineLevelRow="1" x14ac:dyDescent="0.35"/>
  <cols>
    <col min="1" max="1" width="3.33203125" customWidth="1"/>
    <col min="2" max="3" width="2.796875" customWidth="1"/>
    <col min="4" max="4" width="45.1328125" customWidth="1"/>
    <col min="5" max="5" width="11.796875" customWidth="1"/>
    <col min="6" max="6" width="9.1328125" customWidth="1"/>
    <col min="7" max="7" width="12" customWidth="1"/>
    <col min="8" max="8" width="10" customWidth="1"/>
    <col min="9" max="9" width="5.33203125" customWidth="1"/>
    <col min="10" max="14" width="12.796875" customWidth="1"/>
    <col min="15" max="15" width="13.33203125" customWidth="1"/>
  </cols>
  <sheetData>
    <row r="1" spans="1:15" ht="18.899999999999999" x14ac:dyDescent="0.35">
      <c r="A1" s="58">
        <f>IF(SUM($A11:$A38)&gt;0,1,0)</f>
        <v>0</v>
      </c>
      <c r="B1" s="3" t="s">
        <v>147</v>
      </c>
    </row>
    <row r="2" spans="1:15" x14ac:dyDescent="0.35">
      <c r="B2" s="13" t="str">
        <f>Title_Msg</f>
        <v>No Errors Found</v>
      </c>
    </row>
    <row r="3" spans="1:15" x14ac:dyDescent="0.35">
      <c r="B3" s="46" t="str">
        <f>TOC!B1</f>
        <v>Table of Contents</v>
      </c>
      <c r="C3" s="41"/>
      <c r="D3" s="41"/>
      <c r="E3" s="41"/>
    </row>
    <row r="4" spans="1:15" ht="12.3" x14ac:dyDescent="0.35">
      <c r="B4" s="39" t="str">
        <f>Model_Name</f>
        <v>Rate of Return Model - Transgrid (TGD) - CWOREZ</v>
      </c>
    </row>
    <row r="5" spans="1:15" ht="12.3" hidden="1" outlineLevel="1" x14ac:dyDescent="0.35">
      <c r="B5" s="10" t="str">
        <f>Lookup!B14</f>
        <v>Period Start Date</v>
      </c>
      <c r="J5" s="51">
        <f>Lookup!P14</f>
        <v>46204</v>
      </c>
      <c r="K5" s="51">
        <f>Lookup!Q14</f>
        <v>46569</v>
      </c>
      <c r="L5" s="51">
        <f>Lookup!R14</f>
        <v>46935</v>
      </c>
      <c r="M5" s="51">
        <f>Lookup!S14</f>
        <v>47300</v>
      </c>
      <c r="N5" s="51">
        <f>Lookup!T14</f>
        <v>47665</v>
      </c>
    </row>
    <row r="6" spans="1:15" ht="12.3" hidden="1" outlineLevel="1" x14ac:dyDescent="0.35">
      <c r="B6" s="10" t="str">
        <f>Lookup!B15</f>
        <v>Period End Date</v>
      </c>
      <c r="J6" s="51">
        <f>Lookup!P15</f>
        <v>46568</v>
      </c>
      <c r="K6" s="51">
        <f>Lookup!Q15</f>
        <v>46934</v>
      </c>
      <c r="L6" s="51">
        <f>Lookup!R15</f>
        <v>47299</v>
      </c>
      <c r="M6" s="51">
        <f>Lookup!S15</f>
        <v>47664</v>
      </c>
      <c r="N6" s="51">
        <f>Lookup!T15</f>
        <v>48029</v>
      </c>
    </row>
    <row r="7" spans="1:15" ht="12.3" hidden="1" outlineLevel="1" x14ac:dyDescent="0.35">
      <c r="B7" s="10" t="str">
        <f>Lookup!B16</f>
        <v>Period Counter</v>
      </c>
      <c r="J7" s="52">
        <f>Lookup!P16</f>
        <v>8</v>
      </c>
      <c r="K7" s="52">
        <f>Lookup!Q16</f>
        <v>9</v>
      </c>
      <c r="L7" s="52">
        <f>Lookup!R16</f>
        <v>10</v>
      </c>
      <c r="M7" s="52">
        <f>Lookup!S16</f>
        <v>11</v>
      </c>
      <c r="N7" s="52">
        <f>Lookup!T16</f>
        <v>12</v>
      </c>
    </row>
    <row r="8" spans="1:15" ht="12.3" hidden="1" outlineLevel="1" x14ac:dyDescent="0.35">
      <c r="B8" s="10" t="str">
        <f>Lookup!B17</f>
        <v>Year</v>
      </c>
      <c r="J8" s="53">
        <f>Lookup!P17</f>
        <v>2027</v>
      </c>
      <c r="K8" s="53">
        <f>Lookup!Q17</f>
        <v>2028</v>
      </c>
      <c r="L8" s="53">
        <f>Lookup!R17</f>
        <v>2029</v>
      </c>
      <c r="M8" s="53">
        <f>Lookup!S17</f>
        <v>2030</v>
      </c>
      <c r="N8" s="53">
        <f>Lookup!T17</f>
        <v>2031</v>
      </c>
    </row>
    <row r="9" spans="1:15" ht="12.3" hidden="1" outlineLevel="1" x14ac:dyDescent="0.35">
      <c r="B9" s="10" t="str">
        <f>Lookup!B18</f>
        <v>Period Type</v>
      </c>
      <c r="J9" s="53" t="str">
        <f>Lookup!P18</f>
        <v>Forecast</v>
      </c>
      <c r="K9" s="53" t="str">
        <f>Lookup!Q18</f>
        <v>Forecast</v>
      </c>
      <c r="L9" s="53" t="str">
        <f>Lookup!R18</f>
        <v>Forecast</v>
      </c>
      <c r="M9" s="53" t="str">
        <f>Lookup!S18</f>
        <v>Forecast</v>
      </c>
      <c r="N9" s="53" t="str">
        <f>Lookup!T18</f>
        <v>Forecast</v>
      </c>
    </row>
    <row r="10" spans="1:15" ht="12.3" collapsed="1" x14ac:dyDescent="0.35">
      <c r="B10" s="5" t="str">
        <f>Lookup!B19</f>
        <v>Regulatory Year</v>
      </c>
      <c r="E10" s="50" t="str">
        <f>Lookup!E19</f>
        <v>Source</v>
      </c>
      <c r="F10" s="50" t="str">
        <f>Lookup!F19</f>
        <v>Unit</v>
      </c>
      <c r="G10" s="50" t="str">
        <f>Lookup!G19</f>
        <v>Basis</v>
      </c>
      <c r="H10" s="50" t="str">
        <f>Lookup!H19</f>
        <v>Timing</v>
      </c>
      <c r="I10" s="50"/>
      <c r="J10" s="50" t="str">
        <f>Lookup!P19</f>
        <v>FY27</v>
      </c>
      <c r="K10" s="50" t="str">
        <f>Lookup!Q19</f>
        <v>FY28</v>
      </c>
      <c r="L10" s="50" t="str">
        <f>Lookup!R19</f>
        <v>FY29</v>
      </c>
      <c r="M10" s="50" t="str">
        <f>Lookup!S19</f>
        <v>FY30</v>
      </c>
      <c r="N10" s="50" t="str">
        <f>Lookup!T19</f>
        <v>FY31</v>
      </c>
    </row>
    <row r="12" spans="1:15" s="2" customFormat="1" ht="15" x14ac:dyDescent="0.35">
      <c r="B12" s="2" t="s">
        <v>127</v>
      </c>
    </row>
    <row r="13" spans="1:15" ht="4.5" customHeight="1" x14ac:dyDescent="0.35"/>
    <row r="14" spans="1:15" s="8" customFormat="1" ht="14.1" x14ac:dyDescent="0.35">
      <c r="C14" s="8" t="s">
        <v>128</v>
      </c>
    </row>
    <row r="15" spans="1:15" ht="11.25" customHeight="1" x14ac:dyDescent="0.35"/>
    <row r="16" spans="1:15" ht="12.3" x14ac:dyDescent="0.35">
      <c r="D16" s="61" t="s">
        <v>87</v>
      </c>
      <c r="E16" s="54" t="str">
        <f>Lookup!E$19</f>
        <v>Source</v>
      </c>
      <c r="F16" s="54" t="str">
        <f>Lookup!F$19</f>
        <v>Unit</v>
      </c>
      <c r="G16" s="54" t="str">
        <f>Lookup!G$19</f>
        <v>Basis</v>
      </c>
      <c r="H16" s="54" t="str">
        <f>Lookup!H$19</f>
        <v>Timing</v>
      </c>
      <c r="J16" s="54" t="str">
        <f>J$10</f>
        <v>FY27</v>
      </c>
      <c r="K16" s="54" t="str">
        <f t="shared" ref="K16:N16" si="0">K$10</f>
        <v>FY28</v>
      </c>
      <c r="L16" s="54" t="str">
        <f t="shared" si="0"/>
        <v>FY29</v>
      </c>
      <c r="M16" s="54" t="str">
        <f t="shared" si="0"/>
        <v>FY30</v>
      </c>
      <c r="N16" s="54" t="str">
        <f t="shared" si="0"/>
        <v>FY31</v>
      </c>
      <c r="O16" s="54" t="str">
        <f>J$10&amp;" - "&amp;N$10</f>
        <v>FY27 - FY31</v>
      </c>
    </row>
    <row r="18" spans="3:15" ht="12.6" customHeight="1" x14ac:dyDescent="0.35">
      <c r="D18" s="10" t="s">
        <v>130</v>
      </c>
      <c r="E18" s="63" t="s">
        <v>88</v>
      </c>
      <c r="F18" s="63" t="str">
        <f>Percent</f>
        <v>Percent</v>
      </c>
      <c r="G18" s="63" t="str">
        <f>Nominal</f>
        <v>Nominal</v>
      </c>
      <c r="H18" s="63" t="str">
        <f>NA</f>
        <v>N/A</v>
      </c>
      <c r="J18" s="77">
        <f>Input_Data!Q19</f>
        <v>3.0600000000000002E-2</v>
      </c>
      <c r="K18" s="77">
        <f>Input_Data!R19</f>
        <v>2.9200000000000004E-2</v>
      </c>
      <c r="L18" s="77">
        <f>Input_Data!S19</f>
        <v>2.7800000000000005E-2</v>
      </c>
      <c r="M18" s="77">
        <f>Input_Data!T19</f>
        <v>2.6400000000000007E-2</v>
      </c>
      <c r="N18" s="77">
        <f>Input_Data!U19</f>
        <v>2.5000000000000001E-2</v>
      </c>
    </row>
    <row r="19" spans="3:15" ht="12.6" customHeight="1" x14ac:dyDescent="0.35">
      <c r="D19" s="10" t="s">
        <v>203</v>
      </c>
      <c r="E19" s="63" t="s">
        <v>88</v>
      </c>
      <c r="F19" s="63" t="str">
        <f>Factor</f>
        <v>Factor</v>
      </c>
      <c r="G19" s="63" t="str">
        <f>Nominal</f>
        <v>Nominal</v>
      </c>
      <c r="H19" s="63" t="str">
        <f>NA</f>
        <v>N/A</v>
      </c>
      <c r="J19" s="117">
        <f>(1+J18)</f>
        <v>1.0306</v>
      </c>
      <c r="K19" s="117">
        <f t="shared" ref="K19:N19" si="1">(1+K18)</f>
        <v>1.0291999999999999</v>
      </c>
      <c r="L19" s="117">
        <f t="shared" si="1"/>
        <v>1.0278</v>
      </c>
      <c r="M19" s="117">
        <f t="shared" si="1"/>
        <v>1.0264</v>
      </c>
      <c r="N19" s="117">
        <f t="shared" si="1"/>
        <v>1.0249999999999999</v>
      </c>
      <c r="O19" s="77">
        <f t="array" ref="O19">GEOMEAN(J19:N19)-1</f>
        <v>2.7798093009959057E-2</v>
      </c>
    </row>
    <row r="20" spans="3:15" ht="12.6" customHeight="1" x14ac:dyDescent="0.35">
      <c r="D20" s="10" t="s">
        <v>131</v>
      </c>
      <c r="E20" s="63" t="s">
        <v>88</v>
      </c>
      <c r="F20" s="63" t="str">
        <f>Percent</f>
        <v>Percent</v>
      </c>
      <c r="G20" s="63" t="str">
        <f>Nominal</f>
        <v>Nominal</v>
      </c>
      <c r="H20" s="63" t="str">
        <f>NA</f>
        <v>N/A</v>
      </c>
      <c r="J20" s="77">
        <f>ROE</f>
        <v>8.1949706586473992E-2</v>
      </c>
      <c r="K20" s="43"/>
      <c r="L20" s="43"/>
      <c r="M20" s="43"/>
      <c r="N20" s="43"/>
    </row>
    <row r="21" spans="3:15" ht="12.6" customHeight="1" x14ac:dyDescent="0.35">
      <c r="D21" s="10" t="s">
        <v>132</v>
      </c>
      <c r="E21" s="63" t="s">
        <v>88</v>
      </c>
      <c r="F21" s="63" t="str">
        <f>Percent</f>
        <v>Percent</v>
      </c>
      <c r="G21" s="63" t="str">
        <f>Nominal</f>
        <v>Nominal</v>
      </c>
      <c r="H21" s="63" t="str">
        <f>NA</f>
        <v>N/A</v>
      </c>
      <c r="J21" s="77">
        <f>Gamma</f>
        <v>0.56999999999999995</v>
      </c>
      <c r="K21" s="43"/>
      <c r="L21" s="43"/>
      <c r="M21" s="43"/>
      <c r="N21" s="43"/>
    </row>
    <row r="22" spans="3:15" ht="12.6" customHeight="1" x14ac:dyDescent="0.35">
      <c r="D22" s="10" t="s">
        <v>133</v>
      </c>
      <c r="E22" s="63" t="s">
        <v>88</v>
      </c>
      <c r="F22" s="63" t="str">
        <f>Percent</f>
        <v>Percent</v>
      </c>
      <c r="G22" s="63" t="str">
        <f>Nominal</f>
        <v>Nominal</v>
      </c>
      <c r="H22" s="63" t="str">
        <f>NA</f>
        <v>N/A</v>
      </c>
      <c r="J22" s="77">
        <f>Leverage</f>
        <v>0.6</v>
      </c>
      <c r="K22" s="43"/>
      <c r="L22" s="43"/>
      <c r="M22" s="43"/>
      <c r="N22" s="43"/>
    </row>
    <row r="23" spans="3:15" ht="12.6" customHeight="1" x14ac:dyDescent="0.35"/>
    <row r="24" spans="3:15" ht="12.6" customHeight="1" x14ac:dyDescent="0.35">
      <c r="D24" s="10" t="s">
        <v>141</v>
      </c>
      <c r="E24" s="63" t="s">
        <v>88</v>
      </c>
      <c r="F24" s="63" t="str">
        <f>Percent</f>
        <v>Percent</v>
      </c>
      <c r="G24" s="63" t="str">
        <f>Nominal</f>
        <v>Nominal</v>
      </c>
      <c r="H24" s="63" t="str">
        <f>NA</f>
        <v>N/A</v>
      </c>
      <c r="J24" s="77">
        <f>Calc_Returns!J81</f>
        <v>5.8446007051654168E-2</v>
      </c>
      <c r="K24" s="77">
        <f>Calc_Returns!K81</f>
        <v>5.8446007051654168E-2</v>
      </c>
      <c r="L24" s="77">
        <f>Calc_Returns!L81</f>
        <v>5.8446007051654168E-2</v>
      </c>
      <c r="M24" s="77">
        <f>Calc_Returns!M81</f>
        <v>5.8446007051654168E-2</v>
      </c>
      <c r="N24" s="77">
        <f>Calc_Returns!N81</f>
        <v>5.8446007051654168E-2</v>
      </c>
    </row>
    <row r="25" spans="3:15" ht="12.6" customHeight="1" x14ac:dyDescent="0.35"/>
    <row r="26" spans="3:15" ht="12.6" customHeight="1" x14ac:dyDescent="0.35">
      <c r="D26" s="10" t="s">
        <v>170</v>
      </c>
      <c r="E26" s="63" t="s">
        <v>88</v>
      </c>
      <c r="F26" s="63" t="str">
        <f>Percent</f>
        <v>Percent</v>
      </c>
      <c r="G26" s="63" t="str">
        <f>Nominal</f>
        <v>Nominal</v>
      </c>
      <c r="H26" s="63" t="str">
        <f>NA</f>
        <v>N/A</v>
      </c>
      <c r="J26" s="77">
        <f>$J$20*(1-$J$22)+J24*$J$22</f>
        <v>6.7847486865582091E-2</v>
      </c>
      <c r="K26" s="77">
        <f t="shared" ref="K26:N26" si="2">$J$20*(1-$J$22)+K24*$J$22</f>
        <v>6.7847486865582091E-2</v>
      </c>
      <c r="L26" s="77">
        <f t="shared" si="2"/>
        <v>6.7847486865582091E-2</v>
      </c>
      <c r="M26" s="77">
        <f t="shared" si="2"/>
        <v>6.7847486865582091E-2</v>
      </c>
      <c r="N26" s="77">
        <f t="shared" si="2"/>
        <v>6.7847486865582091E-2</v>
      </c>
    </row>
    <row r="28" spans="3:15" s="8" customFormat="1" ht="14.1" x14ac:dyDescent="0.35">
      <c r="C28" s="8" t="s">
        <v>129</v>
      </c>
    </row>
    <row r="29" spans="3:15" ht="11.25" customHeight="1" x14ac:dyDescent="0.35"/>
    <row r="30" spans="3:15" ht="12.3" x14ac:dyDescent="0.35">
      <c r="D30" s="61" t="s">
        <v>87</v>
      </c>
      <c r="E30" s="54" t="str">
        <f>Lookup!E$19</f>
        <v>Source</v>
      </c>
      <c r="F30" s="54" t="str">
        <f>Lookup!F$19</f>
        <v>Unit</v>
      </c>
      <c r="G30" s="54" t="str">
        <f>Lookup!G$19</f>
        <v>Basis</v>
      </c>
      <c r="H30" s="54" t="str">
        <f>Lookup!H$19</f>
        <v>Timing</v>
      </c>
      <c r="J30" s="54" t="str">
        <f>J$10&amp;" - "&amp;N$10</f>
        <v>FY27 - FY31</v>
      </c>
    </row>
    <row r="31" spans="3:15" ht="11.25" customHeight="1" x14ac:dyDescent="0.35"/>
    <row r="32" spans="3:15" ht="12.6" customHeight="1" x14ac:dyDescent="0.35">
      <c r="D32" s="10" t="s">
        <v>120</v>
      </c>
      <c r="E32" s="63" t="s">
        <v>88</v>
      </c>
      <c r="F32" s="63" t="str">
        <f>Percent</f>
        <v>Percent</v>
      </c>
      <c r="G32" s="63" t="str">
        <f>Nominal</f>
        <v>Nominal</v>
      </c>
      <c r="H32" s="63" t="str">
        <f>NA</f>
        <v>N/A</v>
      </c>
      <c r="J32" s="77">
        <f>Input_Data!J106</f>
        <v>0.878670689</v>
      </c>
    </row>
    <row r="33" spans="2:10" ht="12.6" customHeight="1" x14ac:dyDescent="0.35">
      <c r="D33" s="10" t="s">
        <v>121</v>
      </c>
      <c r="E33" s="63" t="s">
        <v>88</v>
      </c>
      <c r="F33" s="63" t="str">
        <f>Percent</f>
        <v>Percent</v>
      </c>
      <c r="G33" s="63" t="str">
        <f>Nominal</f>
        <v>Nominal</v>
      </c>
      <c r="H33" s="63" t="str">
        <f>NA</f>
        <v>N/A</v>
      </c>
      <c r="J33" s="77">
        <f>Input_Data!J107</f>
        <v>0.03</v>
      </c>
    </row>
    <row r="34" spans="2:10" ht="12.6" customHeight="1" x14ac:dyDescent="0.35">
      <c r="D34" s="10" t="s">
        <v>122</v>
      </c>
      <c r="E34" s="63" t="s">
        <v>88</v>
      </c>
      <c r="F34" s="63" t="str">
        <f>Percent</f>
        <v>Percent</v>
      </c>
      <c r="G34" s="63" t="str">
        <f>Nominal</f>
        <v>Nominal</v>
      </c>
      <c r="H34" s="63" t="str">
        <f>NA</f>
        <v>N/A</v>
      </c>
      <c r="J34" s="77">
        <f>Input_Data!J108</f>
        <v>0.01</v>
      </c>
    </row>
    <row r="35" spans="2:10" ht="12.6" customHeight="1" x14ac:dyDescent="0.35">
      <c r="D35" s="10" t="s">
        <v>123</v>
      </c>
      <c r="E35" s="63" t="s">
        <v>88</v>
      </c>
      <c r="F35" s="63" t="str">
        <f>Percent</f>
        <v>Percent</v>
      </c>
      <c r="G35" s="63" t="str">
        <f>Nominal</f>
        <v>Nominal</v>
      </c>
      <c r="H35" s="63" t="str">
        <f>NA</f>
        <v>N/A</v>
      </c>
      <c r="J35" s="77">
        <f>Input_Data!J109</f>
        <v>0.3</v>
      </c>
    </row>
    <row r="36" spans="2:10" ht="12.6" customHeight="1" x14ac:dyDescent="0.35">
      <c r="D36" s="10" t="s">
        <v>100</v>
      </c>
      <c r="E36" s="63" t="s">
        <v>88</v>
      </c>
      <c r="F36" s="63" t="str">
        <f>Percent</f>
        <v>Percent</v>
      </c>
      <c r="G36" s="63" t="str">
        <f>Nominal</f>
        <v>Nominal</v>
      </c>
      <c r="H36" s="63" t="str">
        <f>NA</f>
        <v>N/A</v>
      </c>
      <c r="J36" s="77">
        <f>Input_Data!J110</f>
        <v>8.2811948728585933E-4</v>
      </c>
    </row>
    <row r="38" spans="2:10" s="2" customFormat="1" ht="15" x14ac:dyDescent="0.35">
      <c r="B38" s="2" t="s">
        <v>32</v>
      </c>
    </row>
  </sheetData>
  <conditionalFormatting sqref="B2">
    <cfRule type="cellIs" dxfId="3" priority="1" operator="notEqual">
      <formula>"No Errors Found"</formula>
    </cfRule>
  </conditionalFormatting>
  <hyperlinks>
    <hyperlink ref="B3:E3" location="TOC!A1" display="TOC!A1" xr:uid="{00000000-0004-0000-06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dimension ref="B1:T73"/>
  <sheetViews>
    <sheetView showGridLines="0" zoomScaleNormal="100" workbookViewId="0">
      <pane xSplit="1" ySplit="4" topLeftCell="B5" activePane="bottomRight" state="frozen"/>
      <selection activeCell="E30" sqref="E30"/>
      <selection pane="topRight" activeCell="E30" sqref="E30"/>
      <selection pane="bottomLeft" activeCell="E30" sqref="E30"/>
      <selection pane="bottomRight" activeCell="B5" sqref="B5"/>
    </sheetView>
  </sheetViews>
  <sheetFormatPr defaultColWidth="9.33203125" defaultRowHeight="10.199999999999999" outlineLevelRow="1" x14ac:dyDescent="0.35"/>
  <cols>
    <col min="1" max="3" width="2.796875" customWidth="1"/>
    <col min="4" max="4" width="34" customWidth="1"/>
    <col min="5" max="8" width="20.6640625" customWidth="1"/>
    <col min="9" max="20" width="12.6640625" customWidth="1"/>
  </cols>
  <sheetData>
    <row r="1" spans="2:20" ht="18.899999999999999" x14ac:dyDescent="0.35">
      <c r="B1" s="3" t="s">
        <v>45</v>
      </c>
    </row>
    <row r="2" spans="2:20" x14ac:dyDescent="0.35">
      <c r="B2" s="13" t="str">
        <f>Title_Msg</f>
        <v>No Errors Found</v>
      </c>
    </row>
    <row r="3" spans="2:20" x14ac:dyDescent="0.35">
      <c r="B3" s="46" t="str">
        <f>TOC!B1</f>
        <v>Table of Contents</v>
      </c>
      <c r="C3" s="41"/>
      <c r="D3" s="41"/>
      <c r="E3" s="41"/>
    </row>
    <row r="4" spans="2:20" ht="12.3" x14ac:dyDescent="0.35">
      <c r="B4" s="39" t="str">
        <f>Model_Name</f>
        <v>Rate of Return Model - Transgrid (TGD) - CWOREZ</v>
      </c>
    </row>
    <row r="6" spans="2:20" s="2" customFormat="1" ht="15" x14ac:dyDescent="0.35">
      <c r="B6" s="2" t="s">
        <v>30</v>
      </c>
    </row>
    <row r="7" spans="2:20" ht="6.75" customHeight="1" x14ac:dyDescent="0.35"/>
    <row r="8" spans="2:20" s="8" customFormat="1" ht="14.1" x14ac:dyDescent="0.35">
      <c r="C8" s="8" t="s">
        <v>55</v>
      </c>
    </row>
    <row r="9" spans="2:20" x14ac:dyDescent="0.35">
      <c r="D9" s="1"/>
    </row>
    <row r="10" spans="2:20" ht="12.3" x14ac:dyDescent="0.35">
      <c r="D10" s="11" t="s">
        <v>54</v>
      </c>
      <c r="E10" s="47">
        <v>43647</v>
      </c>
    </row>
    <row r="11" spans="2:20" x14ac:dyDescent="0.35">
      <c r="I11" s="18"/>
      <c r="J11" s="19"/>
      <c r="K11" s="19"/>
      <c r="L11" s="19"/>
    </row>
    <row r="12" spans="2:20" s="8" customFormat="1" ht="14.1" x14ac:dyDescent="0.35">
      <c r="C12" s="8" t="s">
        <v>56</v>
      </c>
    </row>
    <row r="13" spans="2:20" x14ac:dyDescent="0.35">
      <c r="I13" s="18"/>
      <c r="J13" s="19"/>
      <c r="K13" s="19"/>
      <c r="L13" s="19"/>
    </row>
    <row r="14" spans="2:20" ht="12.3" outlineLevel="1" x14ac:dyDescent="0.35">
      <c r="B14" s="11" t="s">
        <v>52</v>
      </c>
      <c r="I14" s="48">
        <f>IF(I16=1,Model_Start_Date,H15+1)</f>
        <v>43647</v>
      </c>
      <c r="J14" s="48">
        <f t="shared" ref="J14:O14" si="0">IF(J16=1,Model_Start_Date,I15+1)</f>
        <v>44013</v>
      </c>
      <c r="K14" s="48">
        <f t="shared" si="0"/>
        <v>44378</v>
      </c>
      <c r="L14" s="48">
        <f t="shared" si="0"/>
        <v>44743</v>
      </c>
      <c r="M14" s="48">
        <f t="shared" si="0"/>
        <v>45108</v>
      </c>
      <c r="N14" s="48">
        <f t="shared" si="0"/>
        <v>45474</v>
      </c>
      <c r="O14" s="48">
        <f t="shared" si="0"/>
        <v>45839</v>
      </c>
      <c r="P14" s="48">
        <f t="shared" ref="P14" si="1">IF(P16=1,Model_Start_Date,O15+1)</f>
        <v>46204</v>
      </c>
      <c r="Q14" s="48">
        <f t="shared" ref="Q14" si="2">IF(Q16=1,Model_Start_Date,P15+1)</f>
        <v>46569</v>
      </c>
      <c r="R14" s="48">
        <f t="shared" ref="R14" si="3">IF(R16=1,Model_Start_Date,Q15+1)</f>
        <v>46935</v>
      </c>
      <c r="S14" s="48">
        <f t="shared" ref="S14" si="4">IF(S16=1,Model_Start_Date,R15+1)</f>
        <v>47300</v>
      </c>
      <c r="T14" s="48">
        <f t="shared" ref="T14" si="5">IF(T16=1,Model_Start_Date,S15+1)</f>
        <v>47665</v>
      </c>
    </row>
    <row r="15" spans="2:20" ht="12.3" outlineLevel="1" x14ac:dyDescent="0.35">
      <c r="B15" s="11" t="s">
        <v>53</v>
      </c>
      <c r="I15" s="48">
        <f t="shared" ref="I15:O15" si="6">EOMONTH(I14,Mths_In_Yr-1)</f>
        <v>44012</v>
      </c>
      <c r="J15" s="48">
        <f t="shared" si="6"/>
        <v>44377</v>
      </c>
      <c r="K15" s="48">
        <f t="shared" si="6"/>
        <v>44742</v>
      </c>
      <c r="L15" s="48">
        <f t="shared" si="6"/>
        <v>45107</v>
      </c>
      <c r="M15" s="48">
        <f t="shared" si="6"/>
        <v>45473</v>
      </c>
      <c r="N15" s="48">
        <f t="shared" si="6"/>
        <v>45838</v>
      </c>
      <c r="O15" s="48">
        <f t="shared" si="6"/>
        <v>46203</v>
      </c>
      <c r="P15" s="48">
        <f t="shared" ref="P15:R15" si="7">EOMONTH(P14,Mths_In_Yr-1)</f>
        <v>46568</v>
      </c>
      <c r="Q15" s="48">
        <f t="shared" si="7"/>
        <v>46934</v>
      </c>
      <c r="R15" s="48">
        <f t="shared" si="7"/>
        <v>47299</v>
      </c>
      <c r="S15" s="48">
        <f t="shared" ref="S15:T15" si="8">EOMONTH(S14,Mths_In_Yr-1)</f>
        <v>47664</v>
      </c>
      <c r="T15" s="48">
        <f t="shared" si="8"/>
        <v>48029</v>
      </c>
    </row>
    <row r="16" spans="2:20" ht="12.3" outlineLevel="1" x14ac:dyDescent="0.35">
      <c r="B16" s="11" t="s">
        <v>51</v>
      </c>
      <c r="I16" s="21">
        <f>N(H16)+1</f>
        <v>1</v>
      </c>
      <c r="J16" s="21">
        <f t="shared" ref="J16:O16" si="9">N(I16)+1</f>
        <v>2</v>
      </c>
      <c r="K16" s="21">
        <f t="shared" si="9"/>
        <v>3</v>
      </c>
      <c r="L16" s="21">
        <f t="shared" si="9"/>
        <v>4</v>
      </c>
      <c r="M16" s="21">
        <f t="shared" si="9"/>
        <v>5</v>
      </c>
      <c r="N16" s="21">
        <f t="shared" si="9"/>
        <v>6</v>
      </c>
      <c r="O16" s="21">
        <f t="shared" si="9"/>
        <v>7</v>
      </c>
      <c r="P16" s="21">
        <f t="shared" ref="P16" si="10">N(O16)+1</f>
        <v>8</v>
      </c>
      <c r="Q16" s="21">
        <f t="shared" ref="Q16" si="11">N(P16)+1</f>
        <v>9</v>
      </c>
      <c r="R16" s="21">
        <f t="shared" ref="R16" si="12">N(Q16)+1</f>
        <v>10</v>
      </c>
      <c r="S16" s="21">
        <f t="shared" ref="S16" si="13">N(R16)+1</f>
        <v>11</v>
      </c>
      <c r="T16" s="21">
        <f t="shared" ref="T16" si="14">N(S16)+1</f>
        <v>12</v>
      </c>
    </row>
    <row r="17" spans="2:20" ht="12.3" outlineLevel="1" x14ac:dyDescent="0.35">
      <c r="B17" s="11" t="s">
        <v>57</v>
      </c>
      <c r="I17" s="7">
        <f t="shared" ref="I17:O17" si="15">YEAR(I15)</f>
        <v>2020</v>
      </c>
      <c r="J17" s="7">
        <f t="shared" si="15"/>
        <v>2021</v>
      </c>
      <c r="K17" s="7">
        <f t="shared" si="15"/>
        <v>2022</v>
      </c>
      <c r="L17" s="7">
        <f t="shared" si="15"/>
        <v>2023</v>
      </c>
      <c r="M17" s="7">
        <f t="shared" si="15"/>
        <v>2024</v>
      </c>
      <c r="N17" s="7">
        <f t="shared" si="15"/>
        <v>2025</v>
      </c>
      <c r="O17" s="7">
        <f t="shared" si="15"/>
        <v>2026</v>
      </c>
      <c r="P17" s="7">
        <f t="shared" ref="P17:R17" si="16">YEAR(P15)</f>
        <v>2027</v>
      </c>
      <c r="Q17" s="7">
        <f t="shared" si="16"/>
        <v>2028</v>
      </c>
      <c r="R17" s="7">
        <f t="shared" si="16"/>
        <v>2029</v>
      </c>
      <c r="S17" s="7">
        <f t="shared" ref="S17:T17" si="17">YEAR(S15)</f>
        <v>2030</v>
      </c>
      <c r="T17" s="7">
        <f t="shared" si="17"/>
        <v>2031</v>
      </c>
    </row>
    <row r="18" spans="2:20" ht="12.3" outlineLevel="1" x14ac:dyDescent="0.35">
      <c r="B18" s="11" t="s">
        <v>58</v>
      </c>
      <c r="I18" s="14" t="s">
        <v>59</v>
      </c>
      <c r="J18" s="14" t="s">
        <v>59</v>
      </c>
      <c r="K18" s="14" t="s">
        <v>59</v>
      </c>
      <c r="L18" s="14" t="s">
        <v>59</v>
      </c>
      <c r="M18" s="14" t="s">
        <v>165</v>
      </c>
      <c r="N18" s="14" t="s">
        <v>165</v>
      </c>
      <c r="O18" s="14" t="s">
        <v>60</v>
      </c>
      <c r="P18" s="14" t="s">
        <v>60</v>
      </c>
      <c r="Q18" s="14" t="s">
        <v>60</v>
      </c>
      <c r="R18" s="14" t="s">
        <v>60</v>
      </c>
      <c r="S18" s="14" t="s">
        <v>60</v>
      </c>
      <c r="T18" s="14" t="s">
        <v>60</v>
      </c>
    </row>
    <row r="19" spans="2:20" ht="12.3" x14ac:dyDescent="0.35">
      <c r="B19" s="9" t="s">
        <v>61</v>
      </c>
      <c r="E19" s="15" t="s">
        <v>62</v>
      </c>
      <c r="F19" s="15" t="s">
        <v>63</v>
      </c>
      <c r="G19" s="15" t="s">
        <v>64</v>
      </c>
      <c r="H19" s="15" t="s">
        <v>65</v>
      </c>
      <c r="I19" s="49" t="str">
        <f t="shared" ref="I19:O19" si="18">"FY"&amp;RIGHT(I17,2)</f>
        <v>FY20</v>
      </c>
      <c r="J19" s="49" t="str">
        <f t="shared" si="18"/>
        <v>FY21</v>
      </c>
      <c r="K19" s="49" t="str">
        <f t="shared" si="18"/>
        <v>FY22</v>
      </c>
      <c r="L19" s="49" t="str">
        <f t="shared" si="18"/>
        <v>FY23</v>
      </c>
      <c r="M19" s="49" t="str">
        <f t="shared" si="18"/>
        <v>FY24</v>
      </c>
      <c r="N19" s="49" t="str">
        <f t="shared" si="18"/>
        <v>FY25</v>
      </c>
      <c r="O19" s="49" t="str">
        <f t="shared" si="18"/>
        <v>FY26</v>
      </c>
      <c r="P19" s="49" t="str">
        <f t="shared" ref="P19:R19" si="19">"FY"&amp;RIGHT(P17,2)</f>
        <v>FY27</v>
      </c>
      <c r="Q19" s="49" t="str">
        <f t="shared" si="19"/>
        <v>FY28</v>
      </c>
      <c r="R19" s="49" t="str">
        <f t="shared" si="19"/>
        <v>FY29</v>
      </c>
      <c r="S19" s="49" t="str">
        <f t="shared" ref="S19:T19" si="20">"FY"&amp;RIGHT(S17,2)</f>
        <v>FY30</v>
      </c>
      <c r="T19" s="49" t="str">
        <f t="shared" si="20"/>
        <v>FY31</v>
      </c>
    </row>
    <row r="20" spans="2:20" x14ac:dyDescent="0.35">
      <c r="I20" s="18"/>
      <c r="J20" s="19"/>
      <c r="K20" s="19"/>
      <c r="L20" s="19"/>
    </row>
    <row r="21" spans="2:20" s="2" customFormat="1" ht="15" x14ac:dyDescent="0.35">
      <c r="B21" s="2" t="s">
        <v>45</v>
      </c>
    </row>
    <row r="22" spans="2:20" x14ac:dyDescent="0.35">
      <c r="I22" s="18"/>
      <c r="J22" s="19"/>
      <c r="K22" s="19"/>
      <c r="L22" s="19"/>
    </row>
    <row r="23" spans="2:20" ht="12.3" x14ac:dyDescent="0.35">
      <c r="C23" s="4" t="s">
        <v>0</v>
      </c>
      <c r="E23" s="15" t="s">
        <v>1</v>
      </c>
    </row>
    <row r="24" spans="2:20" x14ac:dyDescent="0.35">
      <c r="E24" s="16"/>
    </row>
    <row r="25" spans="2:20" ht="12.3" x14ac:dyDescent="0.35">
      <c r="D25" s="12">
        <v>1</v>
      </c>
      <c r="E25" s="17" t="s">
        <v>2</v>
      </c>
    </row>
    <row r="26" spans="2:20" ht="12.3" x14ac:dyDescent="0.35">
      <c r="D26" s="12">
        <v>3</v>
      </c>
      <c r="E26" s="17" t="s">
        <v>3</v>
      </c>
    </row>
    <row r="27" spans="2:20" ht="12.3" x14ac:dyDescent="0.35">
      <c r="D27" s="12">
        <v>4</v>
      </c>
      <c r="E27" s="17" t="s">
        <v>33</v>
      </c>
    </row>
    <row r="28" spans="2:20" ht="12.3" x14ac:dyDescent="0.35">
      <c r="D28" s="12">
        <v>12</v>
      </c>
      <c r="E28" s="17" t="s">
        <v>4</v>
      </c>
    </row>
    <row r="29" spans="2:20" ht="12.3" x14ac:dyDescent="0.35">
      <c r="D29" s="12">
        <v>7</v>
      </c>
      <c r="E29" s="17" t="s">
        <v>13</v>
      </c>
    </row>
    <row r="30" spans="2:20" ht="12.3" x14ac:dyDescent="0.35">
      <c r="D30" s="12">
        <v>365</v>
      </c>
      <c r="E30" s="17" t="s">
        <v>46</v>
      </c>
    </row>
    <row r="31" spans="2:20" ht="12.3" x14ac:dyDescent="0.35">
      <c r="D31" s="12">
        <v>0.5</v>
      </c>
      <c r="E31" s="17" t="s">
        <v>8</v>
      </c>
    </row>
    <row r="32" spans="2:20" ht="12.3" x14ac:dyDescent="0.35">
      <c r="D32" s="12" t="s">
        <v>6</v>
      </c>
      <c r="E32" s="17" t="s">
        <v>6</v>
      </c>
    </row>
    <row r="33" spans="3:5" ht="12.3" x14ac:dyDescent="0.35">
      <c r="D33" s="12" t="s">
        <v>34</v>
      </c>
      <c r="E33" s="17" t="s">
        <v>35</v>
      </c>
    </row>
    <row r="34" spans="3:5" ht="12.3" x14ac:dyDescent="0.35">
      <c r="D34" s="12" t="s">
        <v>7</v>
      </c>
      <c r="E34" s="17" t="s">
        <v>7</v>
      </c>
    </row>
    <row r="35" spans="3:5" x14ac:dyDescent="0.35">
      <c r="E35" s="16"/>
    </row>
    <row r="36" spans="3:5" ht="12.3" x14ac:dyDescent="0.35">
      <c r="C36" s="4" t="s">
        <v>0</v>
      </c>
      <c r="E36" s="15" t="s">
        <v>1</v>
      </c>
    </row>
    <row r="37" spans="3:5" ht="12.3" x14ac:dyDescent="0.35">
      <c r="E37" s="17" t="s">
        <v>11</v>
      </c>
    </row>
    <row r="38" spans="3:5" ht="12.3" x14ac:dyDescent="0.35">
      <c r="D38" s="12" t="s">
        <v>9</v>
      </c>
      <c r="E38" s="17" t="s">
        <v>9</v>
      </c>
    </row>
    <row r="39" spans="3:5" ht="12.3" x14ac:dyDescent="0.35">
      <c r="D39" s="12" t="s">
        <v>10</v>
      </c>
      <c r="E39" s="17" t="s">
        <v>10</v>
      </c>
    </row>
    <row r="40" spans="3:5" x14ac:dyDescent="0.35">
      <c r="E40" s="16"/>
    </row>
    <row r="41" spans="3:5" ht="12.3" x14ac:dyDescent="0.35">
      <c r="C41" s="4" t="s">
        <v>70</v>
      </c>
      <c r="E41" s="15" t="s">
        <v>1</v>
      </c>
    </row>
    <row r="42" spans="3:5" ht="12.3" x14ac:dyDescent="0.35">
      <c r="E42" s="17" t="s">
        <v>78</v>
      </c>
    </row>
    <row r="43" spans="3:5" ht="12.3" x14ac:dyDescent="0.35">
      <c r="D43" s="12" t="s">
        <v>71</v>
      </c>
      <c r="E43" s="17" t="s">
        <v>71</v>
      </c>
    </row>
    <row r="44" spans="3:5" ht="12.3" x14ac:dyDescent="0.35">
      <c r="D44" s="12" t="s">
        <v>72</v>
      </c>
      <c r="E44" s="17" t="s">
        <v>72</v>
      </c>
    </row>
    <row r="45" spans="3:5" ht="12.3" x14ac:dyDescent="0.35">
      <c r="D45" s="12" t="s">
        <v>74</v>
      </c>
      <c r="E45" s="17" t="s">
        <v>76</v>
      </c>
    </row>
    <row r="46" spans="3:5" ht="12.3" x14ac:dyDescent="0.35">
      <c r="D46" s="12" t="s">
        <v>75</v>
      </c>
      <c r="E46" s="17" t="s">
        <v>77</v>
      </c>
    </row>
    <row r="47" spans="3:5" ht="12.3" x14ac:dyDescent="0.35">
      <c r="D47" s="12" t="s">
        <v>73</v>
      </c>
      <c r="E47" s="17" t="s">
        <v>73</v>
      </c>
    </row>
    <row r="48" spans="3:5" ht="12.3" x14ac:dyDescent="0.35">
      <c r="D48" s="12" t="s">
        <v>92</v>
      </c>
      <c r="E48" s="17" t="s">
        <v>92</v>
      </c>
    </row>
    <row r="49" spans="3:6" ht="12.3" x14ac:dyDescent="0.35">
      <c r="D49" s="12" t="s">
        <v>90</v>
      </c>
      <c r="E49" s="17" t="s">
        <v>159</v>
      </c>
    </row>
    <row r="50" spans="3:6" ht="12.3" x14ac:dyDescent="0.35">
      <c r="D50" s="12" t="s">
        <v>91</v>
      </c>
      <c r="E50" s="17" t="s">
        <v>160</v>
      </c>
    </row>
    <row r="51" spans="3:6" ht="12.3" x14ac:dyDescent="0.35">
      <c r="D51" s="12" t="s">
        <v>93</v>
      </c>
      <c r="E51" s="57" t="s">
        <v>94</v>
      </c>
    </row>
    <row r="52" spans="3:6" ht="12.3" x14ac:dyDescent="0.35">
      <c r="D52" s="12" t="str">
        <f>NA</f>
        <v>N/A</v>
      </c>
      <c r="E52" s="17" t="s">
        <v>89</v>
      </c>
    </row>
    <row r="53" spans="3:6" x14ac:dyDescent="0.35">
      <c r="E53" s="16"/>
    </row>
    <row r="54" spans="3:6" ht="12.3" x14ac:dyDescent="0.35">
      <c r="C54" s="4" t="s">
        <v>64</v>
      </c>
      <c r="E54" s="15" t="s">
        <v>1</v>
      </c>
    </row>
    <row r="55" spans="3:6" ht="12.3" x14ac:dyDescent="0.35">
      <c r="E55" s="17" t="s">
        <v>69</v>
      </c>
    </row>
    <row r="56" spans="3:6" ht="12.3" x14ac:dyDescent="0.35">
      <c r="D56" s="12" t="s">
        <v>66</v>
      </c>
      <c r="E56" s="17" t="s">
        <v>68</v>
      </c>
    </row>
    <row r="57" spans="3:6" ht="12.3" x14ac:dyDescent="0.35">
      <c r="D57" s="12" t="s">
        <v>98</v>
      </c>
      <c r="E57" s="17" t="s">
        <v>99</v>
      </c>
    </row>
    <row r="58" spans="3:6" ht="12.3" x14ac:dyDescent="0.35">
      <c r="D58" s="12" t="str">
        <f>NA</f>
        <v>N/A</v>
      </c>
      <c r="E58" s="17" t="s">
        <v>89</v>
      </c>
    </row>
    <row r="59" spans="3:6" ht="12.3" x14ac:dyDescent="0.35">
      <c r="D59" s="12" t="s">
        <v>67</v>
      </c>
      <c r="E59" s="17" t="s">
        <v>67</v>
      </c>
    </row>
    <row r="60" spans="3:6" x14ac:dyDescent="0.35">
      <c r="E60" s="16"/>
    </row>
    <row r="61" spans="3:6" ht="12.3" x14ac:dyDescent="0.35">
      <c r="C61" s="4" t="s">
        <v>65</v>
      </c>
      <c r="E61" s="15"/>
      <c r="F61" s="15" t="s">
        <v>1</v>
      </c>
    </row>
    <row r="62" spans="3:6" ht="12.3" x14ac:dyDescent="0.35">
      <c r="D62" s="17" t="s">
        <v>82</v>
      </c>
      <c r="E62" s="17" t="s">
        <v>83</v>
      </c>
    </row>
    <row r="63" spans="3:6" ht="12.3" x14ac:dyDescent="0.35">
      <c r="D63" s="12" t="s">
        <v>79</v>
      </c>
      <c r="E63" s="12">
        <v>0</v>
      </c>
      <c r="F63" s="17" t="s">
        <v>86</v>
      </c>
    </row>
    <row r="64" spans="3:6" ht="12.3" x14ac:dyDescent="0.35">
      <c r="D64" s="12" t="s">
        <v>80</v>
      </c>
      <c r="E64" s="12">
        <v>0.5</v>
      </c>
      <c r="F64" s="17" t="s">
        <v>85</v>
      </c>
    </row>
    <row r="65" spans="2:6" ht="12.3" x14ac:dyDescent="0.35">
      <c r="D65" s="12" t="s">
        <v>81</v>
      </c>
      <c r="E65" s="12">
        <v>1</v>
      </c>
      <c r="F65" s="17" t="s">
        <v>84</v>
      </c>
    </row>
    <row r="66" spans="2:6" ht="12.3" x14ac:dyDescent="0.35">
      <c r="D66" s="12" t="str">
        <f>NA</f>
        <v>N/A</v>
      </c>
      <c r="E66" s="12" t="str">
        <f>NA</f>
        <v>N/A</v>
      </c>
      <c r="F66" s="17"/>
    </row>
    <row r="67" spans="2:6" x14ac:dyDescent="0.35">
      <c r="E67" s="16"/>
    </row>
    <row r="68" spans="2:6" ht="12.3" x14ac:dyDescent="0.35">
      <c r="C68" s="4" t="s">
        <v>172</v>
      </c>
      <c r="E68" s="15" t="s">
        <v>1</v>
      </c>
    </row>
    <row r="69" spans="2:6" ht="12.3" x14ac:dyDescent="0.35">
      <c r="E69" s="17" t="s">
        <v>161</v>
      </c>
    </row>
    <row r="70" spans="2:6" ht="12.3" x14ac:dyDescent="0.35">
      <c r="D70" s="12" t="s">
        <v>59</v>
      </c>
    </row>
    <row r="71" spans="2:6" ht="12.3" x14ac:dyDescent="0.35">
      <c r="D71" s="12" t="s">
        <v>157</v>
      </c>
    </row>
    <row r="73" spans="2:6" s="2" customFormat="1" ht="15" x14ac:dyDescent="0.35">
      <c r="B73" s="2" t="s">
        <v>32</v>
      </c>
    </row>
  </sheetData>
  <conditionalFormatting sqref="B2">
    <cfRule type="cellIs" dxfId="2" priority="1" operator="notEqual">
      <formula>"No Errors Found"</formula>
    </cfRule>
  </conditionalFormatting>
  <hyperlinks>
    <hyperlink ref="B3:E3" location="TOC!A1" display="TOC!A1" xr:uid="{00000000-0004-0000-08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H25"/>
  <sheetViews>
    <sheetView showGridLines="0" zoomScaleNormal="100" workbookViewId="0">
      <pane xSplit="1" ySplit="4" topLeftCell="B5" activePane="bottomRight" state="frozen"/>
      <selection activeCell="E30" sqref="E30"/>
      <selection pane="topRight" activeCell="E30" sqref="E30"/>
      <selection pane="bottomLeft" activeCell="E30" sqref="E30"/>
      <selection pane="bottomRight" activeCell="B5" sqref="B5"/>
    </sheetView>
  </sheetViews>
  <sheetFormatPr defaultRowHeight="10.199999999999999" x14ac:dyDescent="0.35"/>
  <cols>
    <col min="1" max="3" width="2.796875" customWidth="1"/>
    <col min="4" max="4" width="65" customWidth="1"/>
    <col min="5" max="7" width="3.796875" customWidth="1"/>
  </cols>
  <sheetData>
    <row r="1" spans="2:8" ht="18.899999999999999" x14ac:dyDescent="0.35">
      <c r="B1" s="3" t="s">
        <v>15</v>
      </c>
    </row>
    <row r="2" spans="2:8" x14ac:dyDescent="0.35">
      <c r="B2" s="13" t="str">
        <f>Title_Msg</f>
        <v>No Errors Found</v>
      </c>
    </row>
    <row r="3" spans="2:8" x14ac:dyDescent="0.35">
      <c r="B3" s="46" t="str">
        <f>TOC!B1</f>
        <v>Table of Contents</v>
      </c>
      <c r="C3" s="41"/>
      <c r="D3" s="41"/>
      <c r="E3" s="41"/>
    </row>
    <row r="4" spans="2:8" ht="12.3" x14ac:dyDescent="0.35">
      <c r="B4" s="39" t="str">
        <f>Model_Name</f>
        <v>Rate of Return Model - Transgrid (TGD) - CWOREZ</v>
      </c>
    </row>
    <row r="5" spans="2:8" x14ac:dyDescent="0.35">
      <c r="B5" s="13"/>
    </row>
    <row r="6" spans="2:8" s="2" customFormat="1" ht="15" x14ac:dyDescent="0.35">
      <c r="B6" s="2" t="s">
        <v>17</v>
      </c>
    </row>
    <row r="8" spans="2:8" ht="12.3" x14ac:dyDescent="0.35">
      <c r="D8" s="6" t="s">
        <v>16</v>
      </c>
      <c r="H8" s="7" t="str">
        <f>IF(H23=0,"No Errors Found","Errors Found")</f>
        <v>No Errors Found</v>
      </c>
    </row>
    <row r="9" spans="2:8" ht="12.3" x14ac:dyDescent="0.35">
      <c r="D9" s="6" t="s">
        <v>18</v>
      </c>
      <c r="H9" s="6"/>
    </row>
    <row r="10" spans="2:8" ht="12.3" x14ac:dyDescent="0.35">
      <c r="D10" s="6" t="s">
        <v>19</v>
      </c>
      <c r="H10" s="23" t="str">
        <f>H8&amp;IF(H9="","",", " &amp;H9)</f>
        <v>No Errors Found</v>
      </c>
    </row>
    <row r="12" spans="2:8" s="2" customFormat="1" ht="15" x14ac:dyDescent="0.35">
      <c r="B12" s="2" t="s">
        <v>31</v>
      </c>
    </row>
    <row r="14" spans="2:8" s="8" customFormat="1" ht="14.1" x14ac:dyDescent="0.35">
      <c r="C14" s="8" t="s">
        <v>12</v>
      </c>
    </row>
    <row r="15" spans="2:8" ht="4.1500000000000004" customHeight="1" x14ac:dyDescent="0.35">
      <c r="B15" s="20"/>
    </row>
    <row r="17" spans="2:8" ht="4.1500000000000004" customHeight="1" x14ac:dyDescent="0.35">
      <c r="B17" s="20"/>
    </row>
    <row r="18" spans="2:8" ht="12.3" x14ac:dyDescent="0.35">
      <c r="D18" s="6" t="str">
        <f>Input_CPI!$B$1</f>
        <v>CPI inputs</v>
      </c>
      <c r="H18" s="58">
        <f>Input_CPI!$A$1</f>
        <v>0</v>
      </c>
    </row>
    <row r="19" spans="2:8" ht="12.3" x14ac:dyDescent="0.35">
      <c r="D19" s="6" t="str">
        <f>Input_Data!$B$1</f>
        <v>Rate of return inputs</v>
      </c>
      <c r="H19" s="58">
        <f>Input_Data!$A$1</f>
        <v>0</v>
      </c>
    </row>
    <row r="20" spans="2:8" ht="12.3" x14ac:dyDescent="0.35">
      <c r="D20" s="6" t="str">
        <f>Output_PTRM!$B$1</f>
        <v>Inputs to PTRM</v>
      </c>
      <c r="H20" s="58">
        <f>Output_PTRM!$A$1</f>
        <v>0</v>
      </c>
    </row>
    <row r="21" spans="2:8" ht="12.3" x14ac:dyDescent="0.35">
      <c r="D21" s="6" t="str">
        <f>Output_PTRM!$B$1</f>
        <v>Inputs to PTRM</v>
      </c>
      <c r="H21" s="58">
        <f>Output_PTRM!A1</f>
        <v>0</v>
      </c>
    </row>
    <row r="23" spans="2:8" ht="12.3" x14ac:dyDescent="0.35">
      <c r="C23" s="9" t="s">
        <v>47</v>
      </c>
      <c r="H23" s="22">
        <f>IF(SUM(H18:H21)=0,0,1)</f>
        <v>0</v>
      </c>
    </row>
    <row r="25" spans="2:8" s="2" customFormat="1" ht="15" x14ac:dyDescent="0.35">
      <c r="B25" s="2" t="s">
        <v>32</v>
      </c>
    </row>
  </sheetData>
  <conditionalFormatting sqref="B2 B5">
    <cfRule type="cellIs" dxfId="1" priority="21" operator="notEqual">
      <formula>"No Errors Found"</formula>
    </cfRule>
  </conditionalFormatting>
  <conditionalFormatting sqref="B15 B17">
    <cfRule type="cellIs" dxfId="0" priority="16" operator="notEqual">
      <formula>"No Errors Found"</formula>
    </cfRule>
  </conditionalFormatting>
  <hyperlinks>
    <hyperlink ref="B3:E3" location="TOC!A1" display="TOC!A1" xr:uid="{00000000-0004-0000-0900-000000000000}"/>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fc415a7-a3f4-4a35-be7c-3b967dd1d336">
      <UserInfo>
        <DisplayName>Eli Grace-Webb</DisplayName>
        <AccountId>13</AccountId>
        <AccountType/>
      </UserInfo>
      <UserInfo>
        <DisplayName>Ryan Barrett</DisplayName>
        <AccountId>3354</AccountId>
        <AccountType/>
      </UserInfo>
    </SharedWithUsers>
    <lcf76f155ced4ddcb4097134ff3c332f xmlns="5cd38f44-6e6c-458d-be22-2c2e27e18a50">
      <Terms xmlns="http://schemas.microsoft.com/office/infopath/2007/PartnerControls"/>
    </lcf76f155ced4ddcb4097134ff3c332f>
    <TaxCatchAll xmlns="cfc415a7-a3f4-4a35-be7c-3b967dd1d336"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CB50F176244EA43864D57E2FD450C59" ma:contentTypeVersion="18" ma:contentTypeDescription="Create a new document." ma:contentTypeScope="" ma:versionID="83da7e84f3166d9815de68031853dfb2">
  <xsd:schema xmlns:xsd="http://www.w3.org/2001/XMLSchema" xmlns:xs="http://www.w3.org/2001/XMLSchema" xmlns:p="http://schemas.microsoft.com/office/2006/metadata/properties" xmlns:ns1="http://schemas.microsoft.com/sharepoint/v3" xmlns:ns2="5cd38f44-6e6c-458d-be22-2c2e27e18a50" xmlns:ns3="cfc415a7-a3f4-4a35-be7c-3b967dd1d336" targetNamespace="http://schemas.microsoft.com/office/2006/metadata/properties" ma:root="true" ma:fieldsID="b7369bab847d81d99227a1057e56f539" ns1:_="" ns2:_="" ns3:_="">
    <xsd:import namespace="http://schemas.microsoft.com/sharepoint/v3"/>
    <xsd:import namespace="5cd38f44-6e6c-458d-be22-2c2e27e18a50"/>
    <xsd:import namespace="cfc415a7-a3f4-4a35-be7c-3b967dd1d33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d38f44-6e6c-458d-be22-2c2e27e18a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44158398-96c9-4633-9a72-0655c0871b94"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c415a7-a3f4-4a35-be7c-3b967dd1d33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f9d7a6ff-ae9f-4e87-92ca-5cd87ef63ddc}" ma:internalName="TaxCatchAll" ma:showField="CatchAllData" ma:web="cfc415a7-a3f4-4a35-be7c-3b967dd1d3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1997CDD1-FCE8-40FA-A22B-39998E6D97A8}">
  <ds:schemaRefs>
    <ds:schemaRef ds:uri="http://schemas.microsoft.com/sharepoint/v3"/>
    <ds:schemaRef ds:uri="http://purl.org/dc/terms/"/>
    <ds:schemaRef ds:uri="5cd38f44-6e6c-458d-be22-2c2e27e18a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cfc415a7-a3f4-4a35-be7c-3b967dd1d336"/>
    <ds:schemaRef ds:uri="http://www.w3.org/XML/1998/namespace"/>
    <ds:schemaRef ds:uri="http://purl.org/dc/dcmitype/"/>
  </ds:schemaRefs>
</ds:datastoreItem>
</file>

<file path=customXml/itemProps2.xml><?xml version="1.0" encoding="utf-8"?>
<ds:datastoreItem xmlns:ds="http://schemas.openxmlformats.org/officeDocument/2006/customXml" ds:itemID="{14AD868D-2D5C-4A7E-B68E-56F17FE488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cd38f44-6e6c-458d-be22-2c2e27e18a50"/>
    <ds:schemaRef ds:uri="cfc415a7-a3f4-4a35-be7c-3b967dd1d3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4CC24A-A301-4156-98D3-737AA101ADA0}">
  <ds:schemaRefs>
    <ds:schemaRef ds:uri="http://schemas.microsoft.com/sharepoint/v3/contenttype/forms"/>
  </ds:schemaRefs>
</ds:datastoreItem>
</file>

<file path=customXml/itemProps4.xml><?xml version="1.0" encoding="utf-8"?>
<ds:datastoreItem xmlns:ds="http://schemas.openxmlformats.org/officeDocument/2006/customXml" ds:itemID="{95D09A08-6893-45D3-8277-59D54DC068B4}">
  <ds:schemaRefs>
    <ds:schemaRef ds:uri="http://schemas.microsoft.com/PowerBIAddIn"/>
  </ds:schemaRefs>
</ds:datastoreItem>
</file>

<file path=docMetadata/LabelInfo.xml><?xml version="1.0" encoding="utf-8"?>
<clbl:labelList xmlns:clbl="http://schemas.microsoft.com/office/2020/mipLabelMetadata">
  <clbl:label id="{59ee855e-7930-433f-a581-82f192afe1cc}" enabled="0" method="" siteId="{59ee855e-7930-433f-a581-82f192afe1cc}" removed="1"/>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8</vt:i4>
      </vt:variant>
      <vt:variant>
        <vt:lpstr>Named Ranges</vt:lpstr>
      </vt:variant>
      <vt:variant>
        <vt:i4>43</vt:i4>
      </vt:variant>
    </vt:vector>
  </HeadingPairs>
  <TitlesOfParts>
    <vt:vector size="51" baseType="lpstr">
      <vt:lpstr>Cover</vt:lpstr>
      <vt:lpstr>TOC</vt:lpstr>
      <vt:lpstr>Input_CPI</vt:lpstr>
      <vt:lpstr>Input_Data</vt:lpstr>
      <vt:lpstr>Calc_Returns</vt:lpstr>
      <vt:lpstr>Output_PTRM</vt:lpstr>
      <vt:lpstr>Lookup</vt:lpstr>
      <vt:lpstr>Checks</vt:lpstr>
      <vt:lpstr>Beta</vt:lpstr>
      <vt:lpstr>Days_In_Wk</vt:lpstr>
      <vt:lpstr>Days_In_Yr</vt:lpstr>
      <vt:lpstr>Dollars</vt:lpstr>
      <vt:lpstr>End_year</vt:lpstr>
      <vt:lpstr>Error</vt:lpstr>
      <vt:lpstr>Factor</vt:lpstr>
      <vt:lpstr>Gamma</vt:lpstr>
      <vt:lpstr>Half</vt:lpstr>
      <vt:lpstr>Inflation</vt:lpstr>
      <vt:lpstr>Kilometres</vt:lpstr>
      <vt:lpstr>Leverage</vt:lpstr>
      <vt:lpstr>LU_Basis</vt:lpstr>
      <vt:lpstr>LU_Source</vt:lpstr>
      <vt:lpstr>LU_Timing</vt:lpstr>
      <vt:lpstr>LU_Timing_Value</vt:lpstr>
      <vt:lpstr>LU_Units</vt:lpstr>
      <vt:lpstr>Mid_year</vt:lpstr>
      <vt:lpstr>Millions</vt:lpstr>
      <vt:lpstr>Model_Name</vt:lpstr>
      <vt:lpstr>Model_Start_Date</vt:lpstr>
      <vt:lpstr>MRP</vt:lpstr>
      <vt:lpstr>Mths_In_Mth</vt:lpstr>
      <vt:lpstr>Mths_In_Qtr</vt:lpstr>
      <vt:lpstr>Mths_In_Yr</vt:lpstr>
      <vt:lpstr>NA</vt:lpstr>
      <vt:lpstr>No</vt:lpstr>
      <vt:lpstr>Nominal</vt:lpstr>
      <vt:lpstr>Number</vt:lpstr>
      <vt:lpstr>Ok</vt:lpstr>
      <vt:lpstr>Percent</vt:lpstr>
      <vt:lpstr>Qtrs_In_Yr</vt:lpstr>
      <vt:lpstr>Real2018</vt:lpstr>
      <vt:lpstr>Real2019</vt:lpstr>
      <vt:lpstr>RFR</vt:lpstr>
      <vt:lpstr>ROD</vt:lpstr>
      <vt:lpstr>ROE</vt:lpstr>
      <vt:lpstr>Start_year</vt:lpstr>
      <vt:lpstr>Thousands</vt:lpstr>
      <vt:lpstr>Title_Msg</vt:lpstr>
      <vt:lpstr>Weight_New_Debt</vt:lpstr>
      <vt:lpstr>Yes</vt:lpstr>
      <vt:lpstr>Yes_No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Power and Water Corporation</dc:creator>
  <cp:lastModifiedBy>Ryan Barrett</cp:lastModifiedBy>
  <cp:lastPrinted>2013-05-06T05:05:19Z</cp:lastPrinted>
  <dcterms:created xsi:type="dcterms:W3CDTF">2012-02-19T06:14:59Z</dcterms:created>
  <dcterms:modified xsi:type="dcterms:W3CDTF">2025-07-15T09:46:41Z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0x010100ECB50F176244EA43864D57E2FD450C59</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MediaServiceImageTags">
    <vt:lpwstr/>
  </property>
</Properties>
</file>