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20. Models/Proposal Updates Final/"/>
    </mc:Choice>
  </mc:AlternateContent>
  <xr:revisionPtr revIDLastSave="43" documentId="8_{79680BCF-EDBB-49CB-BFBB-A072A63D57F9}" xr6:coauthVersionLast="47" xr6:coauthVersionMax="47" xr10:uidLastSave="{2DF83D51-67DF-4866-A1DE-AB097D855B28}"/>
  <bookViews>
    <workbookView xWindow="-120" yWindow="-120" windowWidth="29040" windowHeight="15840" xr2:uid="{A8D06666-1D2E-40D9-A6BB-0DF0486DA303}"/>
  </bookViews>
  <sheets>
    <sheet name="Capex" sheetId="3" r:id="rId1"/>
    <sheet name="Inputs" sheetId="7" r:id="rId2"/>
    <sheet name="Minor Capex" sheetId="11" r:id="rId3"/>
    <sheet name="RAB" sheetId="8" r:id="rId4"/>
  </sheets>
  <definedNames>
    <definedName name="Asset49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9" i="8" l="1"/>
  <c r="E4" i="7" l="1"/>
  <c r="F4" i="7" s="1"/>
  <c r="G4" i="7" s="1"/>
  <c r="H4" i="7" s="1"/>
  <c r="D4" i="7"/>
  <c r="R4" i="11" l="1"/>
  <c r="S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D5" i="7" l="1"/>
  <c r="E5" i="7" l="1"/>
  <c r="K36" i="8"/>
  <c r="L36" i="8"/>
  <c r="M36" i="8"/>
  <c r="N36" i="8"/>
  <c r="O36" i="8"/>
  <c r="J36" i="8"/>
  <c r="F5" i="7" l="1"/>
  <c r="G5" i="7" l="1"/>
  <c r="H5" i="7" l="1"/>
  <c r="B33" i="8" l="1"/>
  <c r="H90" i="8"/>
  <c r="A65" i="8"/>
  <c r="A93" i="8" s="1"/>
  <c r="C90" i="8" l="1"/>
  <c r="F90" i="8"/>
  <c r="G90" i="8"/>
  <c r="B90" i="8"/>
  <c r="D90" i="8"/>
  <c r="E90" i="8"/>
  <c r="B95" i="8" l="1"/>
  <c r="B99" i="8"/>
  <c r="B103" i="8"/>
  <c r="B107" i="8"/>
  <c r="B111" i="8"/>
  <c r="B96" i="8"/>
  <c r="B100" i="8"/>
  <c r="B104" i="8"/>
  <c r="B108" i="8"/>
  <c r="B112" i="8"/>
  <c r="B94" i="8"/>
  <c r="B98" i="8"/>
  <c r="B106" i="8"/>
  <c r="B114" i="8"/>
  <c r="B101" i="8"/>
  <c r="B109" i="8"/>
  <c r="B102" i="8"/>
  <c r="B110" i="8"/>
  <c r="B97" i="8"/>
  <c r="B105" i="8"/>
  <c r="B113" i="8"/>
  <c r="B8" i="8" l="1"/>
  <c r="B37" i="8" s="1"/>
  <c r="B65" i="8" s="1"/>
  <c r="B93" i="8" s="1"/>
  <c r="C8" i="8" l="1"/>
  <c r="C37" i="8" s="1"/>
  <c r="C65" i="8" s="1"/>
  <c r="C93" i="8" s="1"/>
  <c r="D8" i="8" l="1"/>
  <c r="D37" i="8" s="1"/>
  <c r="D65" i="8" s="1"/>
  <c r="D93" i="8" s="1"/>
  <c r="E8" i="8" l="1"/>
  <c r="E37" i="8" s="1"/>
  <c r="E65" i="8" s="1"/>
  <c r="E93" i="8" s="1"/>
  <c r="F8" i="8" l="1"/>
  <c r="F37" i="8" s="1"/>
  <c r="F65" i="8" s="1"/>
  <c r="F93" i="8" s="1"/>
  <c r="G8" i="8" l="1"/>
  <c r="G37" i="8" s="1"/>
  <c r="G65" i="8" s="1"/>
  <c r="G93" i="8" s="1"/>
  <c r="H8" i="8" l="1"/>
  <c r="H37" i="8" s="1"/>
  <c r="H65" i="8" s="1"/>
  <c r="H93" i="8" s="1"/>
  <c r="J5" i="11" l="1"/>
  <c r="E5" i="11"/>
  <c r="B5" i="11"/>
  <c r="F5" i="11"/>
  <c r="O5" i="11"/>
  <c r="I5" i="11"/>
  <c r="P5" i="11"/>
  <c r="K5" i="11"/>
  <c r="G5" i="11"/>
  <c r="H5" i="11"/>
  <c r="D5" i="11"/>
  <c r="C5" i="11"/>
  <c r="Q5" i="11"/>
  <c r="L5" i="11"/>
  <c r="N5" i="11"/>
  <c r="M5" i="11"/>
  <c r="A29" i="8" l="1"/>
  <c r="A58" i="8" s="1"/>
  <c r="A18" i="8"/>
  <c r="A47" i="8" s="1"/>
  <c r="A10" i="8"/>
  <c r="A39" i="8" s="1"/>
  <c r="A17" i="8"/>
  <c r="A46" i="8" s="1"/>
  <c r="A14" i="8"/>
  <c r="A43" i="8" s="1"/>
  <c r="A13" i="8"/>
  <c r="A42" i="8" s="1"/>
  <c r="A27" i="8"/>
  <c r="A56" i="8" s="1"/>
  <c r="A19" i="8"/>
  <c r="A48" i="8" s="1"/>
  <c r="A23" i="8"/>
  <c r="A52" i="8" s="1"/>
  <c r="A12" i="8"/>
  <c r="A41" i="8" s="1"/>
  <c r="A16" i="8"/>
  <c r="A45" i="8" s="1"/>
  <c r="A9" i="8"/>
  <c r="A38" i="8" s="1"/>
  <c r="A21" i="8"/>
  <c r="A50" i="8" s="1"/>
  <c r="A26" i="8"/>
  <c r="A55" i="8" s="1"/>
  <c r="A11" i="8"/>
  <c r="A40" i="8" s="1"/>
  <c r="A15" i="8"/>
  <c r="A44" i="8" s="1"/>
  <c r="A25" i="8"/>
  <c r="A54" i="8" s="1"/>
  <c r="A22" i="8"/>
  <c r="A51" i="8" s="1"/>
  <c r="A24" i="8"/>
  <c r="A53" i="8" s="1"/>
  <c r="A20" i="8"/>
  <c r="A49" i="8" s="1"/>
  <c r="A77" i="8" s="1"/>
  <c r="A105" i="8" s="1"/>
  <c r="A28" i="8"/>
  <c r="A57" i="8" s="1"/>
  <c r="F2" i="3" l="1"/>
  <c r="A68" i="8"/>
  <c r="A96" i="8" s="1"/>
  <c r="A73" i="8"/>
  <c r="A101" i="8" s="1"/>
  <c r="A79" i="8"/>
  <c r="A107" i="8" s="1"/>
  <c r="A72" i="8"/>
  <c r="A100" i="8" s="1"/>
  <c r="A66" i="8"/>
  <c r="A94" i="8" s="1"/>
  <c r="A83" i="8"/>
  <c r="A111" i="8" s="1"/>
  <c r="A78" i="8"/>
  <c r="A106" i="8" s="1"/>
  <c r="A76" i="8"/>
  <c r="A104" i="8" s="1"/>
  <c r="A85" i="8"/>
  <c r="A113" i="8" s="1"/>
  <c r="A69" i="8"/>
  <c r="A97" i="8" s="1"/>
  <c r="A81" i="8"/>
  <c r="A109" i="8" s="1"/>
  <c r="A70" i="8"/>
  <c r="A98" i="8" s="1"/>
  <c r="A74" i="8"/>
  <c r="A102" i="8" s="1"/>
  <c r="A75" i="8"/>
  <c r="A103" i="8" s="1"/>
  <c r="A86" i="8"/>
  <c r="A114" i="8" s="1"/>
  <c r="A82" i="8"/>
  <c r="A110" i="8" s="1"/>
  <c r="A84" i="8"/>
  <c r="A112" i="8" s="1"/>
  <c r="A71" i="8"/>
  <c r="A99" i="8" s="1"/>
  <c r="A80" i="8"/>
  <c r="A108" i="8" s="1"/>
  <c r="A67" i="8"/>
  <c r="A95" i="8" s="1"/>
  <c r="S2" i="3"/>
  <c r="S4" i="3" s="1"/>
  <c r="Y2" i="3"/>
  <c r="Y4" i="3" s="1"/>
  <c r="N2" i="3"/>
  <c r="N4" i="3" s="1"/>
  <c r="T2" i="3"/>
  <c r="T4" i="3" s="1"/>
  <c r="Q2" i="3"/>
  <c r="Q4" i="3" s="1"/>
  <c r="P2" i="3"/>
  <c r="P4" i="3" s="1"/>
  <c r="U2" i="3"/>
  <c r="U4" i="3" s="1"/>
  <c r="AC2" i="3"/>
  <c r="AC4" i="3" s="1"/>
  <c r="W2" i="3"/>
  <c r="W4" i="3" s="1"/>
  <c r="Z2" i="3"/>
  <c r="Z4" i="3" s="1"/>
  <c r="AA2" i="3"/>
  <c r="AA4" i="3" s="1"/>
  <c r="V2" i="3"/>
  <c r="V4" i="3" s="1"/>
  <c r="X2" i="3"/>
  <c r="X4" i="3" s="1"/>
  <c r="R2" i="3"/>
  <c r="R4" i="3" s="1"/>
  <c r="AB2" i="3"/>
  <c r="AB4" i="3" s="1"/>
  <c r="O2" i="3"/>
  <c r="O4" i="3" s="1"/>
  <c r="I2" i="3" l="1"/>
  <c r="I4" i="3" s="1"/>
  <c r="H2" i="3"/>
  <c r="K2" i="3"/>
  <c r="K4" i="3" s="1"/>
  <c r="L2" i="3"/>
  <c r="L4" i="3" s="1"/>
  <c r="J2" i="3"/>
  <c r="J4" i="3" s="1"/>
  <c r="M2" i="3"/>
  <c r="M4" i="3" s="1"/>
  <c r="M1" i="3" l="1"/>
  <c r="H4" i="3"/>
  <c r="D10" i="7" l="1"/>
  <c r="C10" i="7"/>
  <c r="E10" i="7"/>
  <c r="F10" i="7"/>
  <c r="H10" i="7"/>
  <c r="G10" i="7"/>
  <c r="C3" i="8" l="1"/>
  <c r="C62" i="8"/>
  <c r="G62" i="8"/>
  <c r="G3" i="8"/>
  <c r="D3" i="8"/>
  <c r="D62" i="8"/>
  <c r="F62" i="8"/>
  <c r="F3" i="8"/>
  <c r="B62" i="8"/>
  <c r="B3" i="8"/>
  <c r="E3" i="8"/>
  <c r="E62" i="8"/>
  <c r="G15" i="8" l="1"/>
  <c r="O44" i="8" s="1"/>
  <c r="G27" i="8"/>
  <c r="O56" i="8" s="1"/>
  <c r="G12" i="8"/>
  <c r="O41" i="8" s="1"/>
  <c r="G20" i="8"/>
  <c r="O49" i="8" s="1"/>
  <c r="G13" i="8"/>
  <c r="O42" i="8" s="1"/>
  <c r="G25" i="8"/>
  <c r="O54" i="8" s="1"/>
  <c r="G18" i="8"/>
  <c r="O47" i="8" s="1"/>
  <c r="G11" i="8"/>
  <c r="O40" i="8" s="1"/>
  <c r="G23" i="8"/>
  <c r="O52" i="8" s="1"/>
  <c r="G16" i="8"/>
  <c r="O45" i="8" s="1"/>
  <c r="G28" i="8"/>
  <c r="O57" i="8" s="1"/>
  <c r="G9" i="8"/>
  <c r="O38" i="8" s="1"/>
  <c r="G21" i="8"/>
  <c r="O50" i="8" s="1"/>
  <c r="G19" i="8"/>
  <c r="O48" i="8" s="1"/>
  <c r="G14" i="8"/>
  <c r="O43" i="8" s="1"/>
  <c r="G26" i="8"/>
  <c r="O55" i="8" s="1"/>
  <c r="G24" i="8"/>
  <c r="O53" i="8" s="1"/>
  <c r="G17" i="8"/>
  <c r="O46" i="8" s="1"/>
  <c r="G29" i="8"/>
  <c r="O58" i="8" s="1"/>
  <c r="G10" i="8"/>
  <c r="O39" i="8" s="1"/>
  <c r="G22" i="8"/>
  <c r="O51" i="8" s="1"/>
  <c r="E13" i="8"/>
  <c r="M42" i="8" s="1"/>
  <c r="E25" i="8"/>
  <c r="M54" i="8" s="1"/>
  <c r="E29" i="8"/>
  <c r="M58" i="8" s="1"/>
  <c r="E18" i="8"/>
  <c r="M47" i="8" s="1"/>
  <c r="E11" i="8"/>
  <c r="M40" i="8" s="1"/>
  <c r="E23" i="8"/>
  <c r="M52" i="8" s="1"/>
  <c r="E17" i="8"/>
  <c r="M46" i="8" s="1"/>
  <c r="E16" i="8"/>
  <c r="M45" i="8" s="1"/>
  <c r="E28" i="8"/>
  <c r="M57" i="8" s="1"/>
  <c r="E9" i="8"/>
  <c r="M38" i="8" s="1"/>
  <c r="E21" i="8"/>
  <c r="M50" i="8" s="1"/>
  <c r="E22" i="8"/>
  <c r="M51" i="8" s="1"/>
  <c r="E14" i="8"/>
  <c r="M43" i="8" s="1"/>
  <c r="E26" i="8"/>
  <c r="M55" i="8" s="1"/>
  <c r="E10" i="8"/>
  <c r="M39" i="8" s="1"/>
  <c r="E19" i="8"/>
  <c r="M48" i="8" s="1"/>
  <c r="E12" i="8"/>
  <c r="M41" i="8" s="1"/>
  <c r="E24" i="8"/>
  <c r="M53" i="8" s="1"/>
  <c r="E15" i="8"/>
  <c r="M44" i="8" s="1"/>
  <c r="E27" i="8"/>
  <c r="M56" i="8" s="1"/>
  <c r="E20" i="8"/>
  <c r="M49" i="8" s="1"/>
  <c r="D18" i="8"/>
  <c r="L47" i="8" s="1"/>
  <c r="D10" i="8"/>
  <c r="L39" i="8" s="1"/>
  <c r="D11" i="8"/>
  <c r="L40" i="8" s="1"/>
  <c r="D23" i="8"/>
  <c r="L52" i="8" s="1"/>
  <c r="D22" i="8"/>
  <c r="L51" i="8" s="1"/>
  <c r="D15" i="8"/>
  <c r="L44" i="8" s="1"/>
  <c r="D16" i="8"/>
  <c r="L45" i="8" s="1"/>
  <c r="D28" i="8"/>
  <c r="L57" i="8" s="1"/>
  <c r="D27" i="8"/>
  <c r="L56" i="8" s="1"/>
  <c r="D9" i="8"/>
  <c r="L38" i="8" s="1"/>
  <c r="D21" i="8"/>
  <c r="L50" i="8" s="1"/>
  <c r="D14" i="8"/>
  <c r="L43" i="8" s="1"/>
  <c r="D26" i="8"/>
  <c r="L55" i="8" s="1"/>
  <c r="D19" i="8"/>
  <c r="L48" i="8" s="1"/>
  <c r="D12" i="8"/>
  <c r="L41" i="8" s="1"/>
  <c r="D24" i="8"/>
  <c r="L53" i="8" s="1"/>
  <c r="D17" i="8"/>
  <c r="L46" i="8" s="1"/>
  <c r="D29" i="8"/>
  <c r="L58" i="8" s="1"/>
  <c r="D20" i="8"/>
  <c r="L49" i="8" s="1"/>
  <c r="D13" i="8"/>
  <c r="L42" i="8" s="1"/>
  <c r="D25" i="8"/>
  <c r="L54" i="8" s="1"/>
  <c r="B11" i="8"/>
  <c r="J40" i="8" s="1"/>
  <c r="B23" i="8"/>
  <c r="J52" i="8" s="1"/>
  <c r="B12" i="8"/>
  <c r="J41" i="8" s="1"/>
  <c r="B24" i="8"/>
  <c r="J53" i="8" s="1"/>
  <c r="B13" i="8"/>
  <c r="B25" i="8"/>
  <c r="J54" i="8" s="1"/>
  <c r="B20" i="8"/>
  <c r="J49" i="8" s="1"/>
  <c r="B14" i="8"/>
  <c r="J43" i="8" s="1"/>
  <c r="B26" i="8"/>
  <c r="J55" i="8" s="1"/>
  <c r="B15" i="8"/>
  <c r="J44" i="8" s="1"/>
  <c r="B27" i="8"/>
  <c r="J56" i="8" s="1"/>
  <c r="B16" i="8"/>
  <c r="J45" i="8" s="1"/>
  <c r="B28" i="8"/>
  <c r="J57" i="8" s="1"/>
  <c r="B19" i="8"/>
  <c r="J48" i="8" s="1"/>
  <c r="B17" i="8"/>
  <c r="J46" i="8" s="1"/>
  <c r="B29" i="8"/>
  <c r="J58" i="8" s="1"/>
  <c r="B18" i="8"/>
  <c r="B9" i="8"/>
  <c r="B21" i="8"/>
  <c r="J50" i="8" s="1"/>
  <c r="B10" i="8"/>
  <c r="J39" i="8" s="1"/>
  <c r="B22" i="8"/>
  <c r="J51" i="8" s="1"/>
  <c r="C11" i="8"/>
  <c r="K40" i="8" s="1"/>
  <c r="C23" i="8"/>
  <c r="K52" i="8" s="1"/>
  <c r="C16" i="8"/>
  <c r="K45" i="8" s="1"/>
  <c r="C28" i="8"/>
  <c r="K57" i="8" s="1"/>
  <c r="C9" i="8"/>
  <c r="K38" i="8" s="1"/>
  <c r="C21" i="8"/>
  <c r="K50" i="8" s="1"/>
  <c r="C14" i="8"/>
  <c r="K43" i="8" s="1"/>
  <c r="C26" i="8"/>
  <c r="K55" i="8" s="1"/>
  <c r="C27" i="8"/>
  <c r="K56" i="8" s="1"/>
  <c r="C19" i="8"/>
  <c r="K48" i="8" s="1"/>
  <c r="C15" i="8"/>
  <c r="K44" i="8" s="1"/>
  <c r="C12" i="8"/>
  <c r="K41" i="8" s="1"/>
  <c r="C24" i="8"/>
  <c r="K53" i="8" s="1"/>
  <c r="C17" i="8"/>
  <c r="K46" i="8" s="1"/>
  <c r="C29" i="8"/>
  <c r="K58" i="8" s="1"/>
  <c r="C20" i="8"/>
  <c r="K49" i="8" s="1"/>
  <c r="C10" i="8"/>
  <c r="K39" i="8" s="1"/>
  <c r="C22" i="8"/>
  <c r="K51" i="8" s="1"/>
  <c r="C13" i="8"/>
  <c r="K42" i="8" s="1"/>
  <c r="C25" i="8"/>
  <c r="K54" i="8" s="1"/>
  <c r="C18" i="8"/>
  <c r="K47" i="8" s="1"/>
  <c r="F20" i="8"/>
  <c r="N49" i="8" s="1"/>
  <c r="F29" i="8"/>
  <c r="N58" i="8" s="1"/>
  <c r="F13" i="8"/>
  <c r="N42" i="8" s="1"/>
  <c r="F25" i="8"/>
  <c r="N54" i="8" s="1"/>
  <c r="F18" i="8"/>
  <c r="N47" i="8" s="1"/>
  <c r="F11" i="8"/>
  <c r="N40" i="8" s="1"/>
  <c r="F23" i="8"/>
  <c r="N52" i="8" s="1"/>
  <c r="F17" i="8"/>
  <c r="N46" i="8" s="1"/>
  <c r="F16" i="8"/>
  <c r="N45" i="8" s="1"/>
  <c r="F28" i="8"/>
  <c r="N57" i="8" s="1"/>
  <c r="F9" i="8"/>
  <c r="N38" i="8" s="1"/>
  <c r="F21" i="8"/>
  <c r="N50" i="8" s="1"/>
  <c r="F24" i="8"/>
  <c r="N53" i="8" s="1"/>
  <c r="F14" i="8"/>
  <c r="N43" i="8" s="1"/>
  <c r="F26" i="8"/>
  <c r="N55" i="8" s="1"/>
  <c r="F19" i="8"/>
  <c r="N48" i="8" s="1"/>
  <c r="F12" i="8"/>
  <c r="N41" i="8" s="1"/>
  <c r="F10" i="8"/>
  <c r="N39" i="8" s="1"/>
  <c r="F22" i="8"/>
  <c r="N51" i="8" s="1"/>
  <c r="F15" i="8"/>
  <c r="N44" i="8" s="1"/>
  <c r="F27" i="8"/>
  <c r="N56" i="8" s="1"/>
  <c r="B70" i="8"/>
  <c r="B69" i="8"/>
  <c r="B73" i="8"/>
  <c r="B81" i="8"/>
  <c r="B83" i="8"/>
  <c r="B74" i="8"/>
  <c r="B79" i="8"/>
  <c r="B67" i="8"/>
  <c r="B76" i="8"/>
  <c r="B84" i="8"/>
  <c r="B80" i="8"/>
  <c r="B71" i="8"/>
  <c r="B77" i="8"/>
  <c r="B86" i="8"/>
  <c r="B78" i="8"/>
  <c r="B66" i="8"/>
  <c r="B75" i="8"/>
  <c r="B85" i="8"/>
  <c r="B72" i="8"/>
  <c r="B82" i="8"/>
  <c r="B68" i="8"/>
  <c r="J38" i="8" l="1"/>
  <c r="X38" i="8"/>
  <c r="C47" i="8"/>
  <c r="X47" i="8" s="1"/>
  <c r="J47" i="8"/>
  <c r="C42" i="8"/>
  <c r="X42" i="8" s="1"/>
  <c r="J42" i="8"/>
  <c r="C58" i="8"/>
  <c r="C86" i="8" s="1"/>
  <c r="C53" i="8"/>
  <c r="C81" i="8" s="1"/>
  <c r="C46" i="8"/>
  <c r="C41" i="8"/>
  <c r="C48" i="8"/>
  <c r="C52" i="8"/>
  <c r="C57" i="8"/>
  <c r="C40" i="8"/>
  <c r="C45" i="8"/>
  <c r="C101" i="8" s="1"/>
  <c r="C56" i="8"/>
  <c r="C44" i="8"/>
  <c r="C100" i="8" s="1"/>
  <c r="C51" i="8"/>
  <c r="C79" i="8" s="1"/>
  <c r="C55" i="8"/>
  <c r="C83" i="8" s="1"/>
  <c r="C39" i="8"/>
  <c r="C43" i="8"/>
  <c r="C99" i="8" s="1"/>
  <c r="C50" i="8"/>
  <c r="C78" i="8" s="1"/>
  <c r="C49" i="8"/>
  <c r="C77" i="8" s="1"/>
  <c r="C38" i="8"/>
  <c r="C54" i="8"/>
  <c r="C110" i="8" s="1"/>
  <c r="G2" i="8"/>
  <c r="G4" i="8" s="1"/>
  <c r="E2" i="8"/>
  <c r="E4" i="8" s="1"/>
  <c r="D2" i="8"/>
  <c r="D4" i="8" s="1"/>
  <c r="F2" i="8"/>
  <c r="F4" i="8" s="1"/>
  <c r="C2" i="8"/>
  <c r="C4" i="8" s="1"/>
  <c r="B2" i="8"/>
  <c r="C103" i="8" l="1"/>
  <c r="C75" i="8"/>
  <c r="O59" i="8"/>
  <c r="X59" i="8" s="1"/>
  <c r="C105" i="8"/>
  <c r="D49" i="8" s="1"/>
  <c r="C109" i="8"/>
  <c r="D53" i="8" s="1"/>
  <c r="D47" i="8"/>
  <c r="C114" i="8"/>
  <c r="D58" i="8" s="1"/>
  <c r="C72" i="8"/>
  <c r="D44" i="8" s="1"/>
  <c r="C106" i="8"/>
  <c r="D50" i="8" s="1"/>
  <c r="C107" i="8"/>
  <c r="C71" i="8"/>
  <c r="D43" i="8" s="1"/>
  <c r="C111" i="8"/>
  <c r="D55" i="8" s="1"/>
  <c r="C82" i="8"/>
  <c r="D54" i="8" s="1"/>
  <c r="C73" i="8"/>
  <c r="D45" i="8" s="1"/>
  <c r="X43" i="8"/>
  <c r="X39" i="8"/>
  <c r="X45" i="8"/>
  <c r="X54" i="8"/>
  <c r="X41" i="8"/>
  <c r="X48" i="8"/>
  <c r="C76" i="8"/>
  <c r="X46" i="8"/>
  <c r="X40" i="8"/>
  <c r="X55" i="8"/>
  <c r="X57" i="8"/>
  <c r="X51" i="8"/>
  <c r="X53" i="8"/>
  <c r="C104" i="8"/>
  <c r="X58" i="8"/>
  <c r="I2" i="8"/>
  <c r="X49" i="8"/>
  <c r="X44" i="8"/>
  <c r="X56" i="8"/>
  <c r="X50" i="8"/>
  <c r="X52" i="8"/>
  <c r="D51" i="8"/>
  <c r="C74" i="8"/>
  <c r="C113" i="8"/>
  <c r="C112" i="8"/>
  <c r="C80" i="8"/>
  <c r="C98" i="8"/>
  <c r="C97" i="8"/>
  <c r="C67" i="8"/>
  <c r="C96" i="8"/>
  <c r="C68" i="8"/>
  <c r="C84" i="8"/>
  <c r="C95" i="8"/>
  <c r="C69" i="8"/>
  <c r="C85" i="8"/>
  <c r="C102" i="8"/>
  <c r="B4" i="8"/>
  <c r="C108" i="8"/>
  <c r="C70" i="8"/>
  <c r="D39" i="8" l="1"/>
  <c r="D67" i="8" s="1"/>
  <c r="D48" i="8"/>
  <c r="D76" i="8" s="1"/>
  <c r="D57" i="8"/>
  <c r="D85" i="8" s="1"/>
  <c r="D41" i="8"/>
  <c r="D97" i="8" s="1"/>
  <c r="D42" i="8"/>
  <c r="D70" i="8" s="1"/>
  <c r="D52" i="8"/>
  <c r="D108" i="8" s="1"/>
  <c r="X35" i="8"/>
  <c r="D46" i="8"/>
  <c r="D102" i="8" s="1"/>
  <c r="D40" i="8"/>
  <c r="D96" i="8" s="1"/>
  <c r="D56" i="8"/>
  <c r="D112" i="8" s="1"/>
  <c r="D114" i="8"/>
  <c r="D81" i="8"/>
  <c r="D99" i="8"/>
  <c r="D103" i="8"/>
  <c r="D110" i="8"/>
  <c r="D73" i="8"/>
  <c r="D72" i="8"/>
  <c r="D69" i="8"/>
  <c r="D113" i="8"/>
  <c r="D100" i="8"/>
  <c r="D101" i="8"/>
  <c r="D71" i="8"/>
  <c r="D86" i="8"/>
  <c r="D82" i="8"/>
  <c r="D75" i="8"/>
  <c r="D109" i="8"/>
  <c r="D107" i="8"/>
  <c r="D79" i="8"/>
  <c r="D106" i="8"/>
  <c r="D78" i="8"/>
  <c r="D104" i="8"/>
  <c r="D111" i="8"/>
  <c r="D83" i="8"/>
  <c r="D77" i="8"/>
  <c r="D105" i="8"/>
  <c r="E57" i="8" l="1"/>
  <c r="E113" i="8" s="1"/>
  <c r="D98" i="8"/>
  <c r="E55" i="8"/>
  <c r="E47" i="8"/>
  <c r="E54" i="8"/>
  <c r="E48" i="8"/>
  <c r="E58" i="8"/>
  <c r="E86" i="8" s="1"/>
  <c r="E53" i="8"/>
  <c r="E109" i="8" s="1"/>
  <c r="D68" i="8"/>
  <c r="E40" i="8" s="1"/>
  <c r="D74" i="8"/>
  <c r="E46" i="8" s="1"/>
  <c r="E102" i="8" s="1"/>
  <c r="D84" i="8"/>
  <c r="E56" i="8" s="1"/>
  <c r="E84" i="8" s="1"/>
  <c r="E49" i="8"/>
  <c r="D80" i="8"/>
  <c r="E52" i="8" s="1"/>
  <c r="E44" i="8"/>
  <c r="E72" i="8" s="1"/>
  <c r="E45" i="8"/>
  <c r="E73" i="8" s="1"/>
  <c r="E42" i="8"/>
  <c r="E43" i="8"/>
  <c r="E71" i="8" s="1"/>
  <c r="E50" i="8"/>
  <c r="E106" i="8" s="1"/>
  <c r="E51" i="8"/>
  <c r="E41" i="8"/>
  <c r="E69" i="8" s="1"/>
  <c r="D95" i="8"/>
  <c r="E39" i="8" s="1"/>
  <c r="E114" i="8" l="1"/>
  <c r="E97" i="8"/>
  <c r="F41" i="8" s="1"/>
  <c r="E74" i="8"/>
  <c r="F46" i="8" s="1"/>
  <c r="F74" i="8" s="1"/>
  <c r="E112" i="8"/>
  <c r="F56" i="8" s="1"/>
  <c r="F84" i="8" s="1"/>
  <c r="E81" i="8"/>
  <c r="F53" i="8" s="1"/>
  <c r="E99" i="8"/>
  <c r="F43" i="8" s="1"/>
  <c r="E68" i="8"/>
  <c r="E96" i="8"/>
  <c r="E100" i="8"/>
  <c r="F44" i="8" s="1"/>
  <c r="E101" i="8"/>
  <c r="F45" i="8" s="1"/>
  <c r="F73" i="8" s="1"/>
  <c r="E78" i="8"/>
  <c r="F50" i="8" s="1"/>
  <c r="F58" i="8"/>
  <c r="F114" i="8" s="1"/>
  <c r="E67" i="8"/>
  <c r="E95" i="8"/>
  <c r="E110" i="8"/>
  <c r="E103" i="8"/>
  <c r="E98" i="8"/>
  <c r="E75" i="8"/>
  <c r="E70" i="8"/>
  <c r="E82" i="8"/>
  <c r="E105" i="8"/>
  <c r="E83" i="8"/>
  <c r="E79" i="8"/>
  <c r="E104" i="8"/>
  <c r="E85" i="8"/>
  <c r="E76" i="8"/>
  <c r="E111" i="8"/>
  <c r="E107" i="8"/>
  <c r="E77" i="8"/>
  <c r="E80" i="8"/>
  <c r="E108" i="8"/>
  <c r="F47" i="8" l="1"/>
  <c r="F103" i="8" s="1"/>
  <c r="F86" i="8"/>
  <c r="G58" i="8" s="1"/>
  <c r="F40" i="8"/>
  <c r="F96" i="8" s="1"/>
  <c r="F42" i="8"/>
  <c r="F70" i="8" s="1"/>
  <c r="F102" i="8"/>
  <c r="G46" i="8" s="1"/>
  <c r="G102" i="8" s="1"/>
  <c r="F112" i="8"/>
  <c r="G56" i="8" s="1"/>
  <c r="G112" i="8" s="1"/>
  <c r="F51" i="8"/>
  <c r="F79" i="8" s="1"/>
  <c r="F39" i="8"/>
  <c r="F55" i="8"/>
  <c r="F83" i="8" s="1"/>
  <c r="F54" i="8"/>
  <c r="F48" i="8"/>
  <c r="F104" i="8" s="1"/>
  <c r="F69" i="8"/>
  <c r="F57" i="8"/>
  <c r="F113" i="8" s="1"/>
  <c r="F52" i="8"/>
  <c r="F49" i="8"/>
  <c r="F77" i="8" s="1"/>
  <c r="F97" i="8"/>
  <c r="F101" i="8"/>
  <c r="F100" i="8"/>
  <c r="F106" i="8"/>
  <c r="F78" i="8"/>
  <c r="F72" i="8"/>
  <c r="F71" i="8"/>
  <c r="F99" i="8"/>
  <c r="F81" i="8"/>
  <c r="F109" i="8"/>
  <c r="F75" i="8" l="1"/>
  <c r="G47" i="8" s="1"/>
  <c r="F98" i="8"/>
  <c r="G42" i="8" s="1"/>
  <c r="G70" i="8" s="1"/>
  <c r="F68" i="8"/>
  <c r="F107" i="8"/>
  <c r="G51" i="8" s="1"/>
  <c r="G41" i="8"/>
  <c r="G97" i="8" s="1"/>
  <c r="F111" i="8"/>
  <c r="G55" i="8" s="1"/>
  <c r="G84" i="8"/>
  <c r="H56" i="8" s="1"/>
  <c r="G74" i="8"/>
  <c r="H46" i="8" s="1"/>
  <c r="F76" i="8"/>
  <c r="G48" i="8" s="1"/>
  <c r="G43" i="8"/>
  <c r="G40" i="8"/>
  <c r="G96" i="8" s="1"/>
  <c r="G44" i="8"/>
  <c r="G72" i="8" s="1"/>
  <c r="F85" i="8"/>
  <c r="G57" i="8" s="1"/>
  <c r="G85" i="8" s="1"/>
  <c r="G53" i="8"/>
  <c r="F105" i="8"/>
  <c r="G49" i="8" s="1"/>
  <c r="G50" i="8"/>
  <c r="G78" i="8" s="1"/>
  <c r="G45" i="8"/>
  <c r="F95" i="8"/>
  <c r="F67" i="8"/>
  <c r="F82" i="8"/>
  <c r="F110" i="8"/>
  <c r="G114" i="8"/>
  <c r="F80" i="8"/>
  <c r="F108" i="8"/>
  <c r="G86" i="8"/>
  <c r="G39" i="8" l="1"/>
  <c r="G67" i="8" s="1"/>
  <c r="G98" i="8"/>
  <c r="H42" i="8" s="1"/>
  <c r="G69" i="8"/>
  <c r="H41" i="8" s="1"/>
  <c r="H58" i="8"/>
  <c r="G106" i="8"/>
  <c r="H50" i="8" s="1"/>
  <c r="G100" i="8"/>
  <c r="H44" i="8" s="1"/>
  <c r="G68" i="8"/>
  <c r="H40" i="8" s="1"/>
  <c r="G52" i="8"/>
  <c r="G80" i="8" s="1"/>
  <c r="G104" i="8"/>
  <c r="G76" i="8"/>
  <c r="G113" i="8"/>
  <c r="H57" i="8" s="1"/>
  <c r="G101" i="8"/>
  <c r="G73" i="8"/>
  <c r="G54" i="8"/>
  <c r="G103" i="8"/>
  <c r="G75" i="8"/>
  <c r="G111" i="8"/>
  <c r="G99" i="8"/>
  <c r="G79" i="8"/>
  <c r="G107" i="8"/>
  <c r="G71" i="8"/>
  <c r="G83" i="8"/>
  <c r="G81" i="8"/>
  <c r="G109" i="8"/>
  <c r="G77" i="8"/>
  <c r="G105" i="8"/>
  <c r="G95" i="8" l="1"/>
  <c r="H48" i="8"/>
  <c r="G108" i="8"/>
  <c r="H52" i="8" s="1"/>
  <c r="H39" i="8"/>
  <c r="H45" i="8"/>
  <c r="H47" i="8"/>
  <c r="H53" i="8"/>
  <c r="H43" i="8"/>
  <c r="H49" i="8"/>
  <c r="G110" i="8"/>
  <c r="G82" i="8"/>
  <c r="H55" i="8"/>
  <c r="H51" i="8"/>
  <c r="H54" i="8" l="1"/>
  <c r="C66" i="8" l="1"/>
  <c r="C94" i="8"/>
  <c r="C33" i="8"/>
  <c r="X33" i="8" s="1"/>
  <c r="X34" i="8" s="1"/>
  <c r="D38" i="8" l="1"/>
  <c r="D33" i="8" s="1"/>
  <c r="D66" i="8" l="1"/>
  <c r="D94" i="8"/>
  <c r="K33" i="8"/>
  <c r="K35" i="8"/>
  <c r="J35" i="8"/>
  <c r="J33" i="8"/>
  <c r="E38" i="8" l="1"/>
  <c r="E33" i="8" s="1"/>
  <c r="E94" i="8" l="1"/>
  <c r="E66" i="8"/>
  <c r="L33" i="8"/>
  <c r="L35" i="8"/>
  <c r="F38" i="8" l="1"/>
  <c r="F66" i="8" s="1"/>
  <c r="M33" i="8"/>
  <c r="M35" i="8"/>
  <c r="F33" i="8" l="1"/>
  <c r="F94" i="8"/>
  <c r="G38" i="8" s="1"/>
  <c r="G94" i="8" s="1"/>
  <c r="N33" i="8"/>
  <c r="N35" i="8"/>
  <c r="G33" i="8" l="1"/>
  <c r="G66" i="8"/>
  <c r="H38" i="8" s="1"/>
  <c r="H33" i="8" s="1"/>
  <c r="O33" i="8"/>
  <c r="O35" i="8"/>
  <c r="J59" i="8" l="1"/>
  <c r="AG3" i="3"/>
  <c r="AD2" i="3" l="1"/>
  <c r="AD4" i="3" l="1"/>
  <c r="AE2" i="3" l="1"/>
  <c r="AE4" i="3" l="1"/>
  <c r="AG2" i="3"/>
  <c r="L59" i="8" l="1"/>
</calcChain>
</file>

<file path=xl/sharedStrings.xml><?xml version="1.0" encoding="utf-8"?>
<sst xmlns="http://schemas.openxmlformats.org/spreadsheetml/2006/main" count="87" uniqueCount="64">
  <si>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</si>
  <si>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</si>
  <si>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</si>
  <si>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</si>
  <si>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</si>
  <si>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</si>
  <si>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</si>
  <si>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</si>
  <si>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</si>
  <si>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</si>
  <si>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</si>
  <si>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</si>
  <si>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</si>
  <si>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</si>
  <si>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</si>
  <si>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</si>
  <si>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</si>
  <si>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BUILDING INSTALLATION</t>
  </si>
  <si>
    <t>2000-01</t>
  </si>
  <si>
    <t>2001-02</t>
  </si>
  <si>
    <t>2002-03</t>
  </si>
  <si>
    <t>2003-04</t>
  </si>
  <si>
    <t>2004-05</t>
  </si>
  <si>
    <t>Source</t>
  </si>
  <si>
    <t>Total</t>
  </si>
  <si>
    <t>IN-HOUSE SOFTWARE</t>
  </si>
  <si>
    <t>RFM</t>
  </si>
  <si>
    <t>Asset Class</t>
  </si>
  <si>
    <t>Part 23</t>
  </si>
  <si>
    <t>Cost of Debt</t>
  </si>
  <si>
    <t>Cost of Equity</t>
  </si>
  <si>
    <t>Gearing</t>
  </si>
  <si>
    <t>WACC</t>
  </si>
  <si>
    <t>Inflation</t>
  </si>
  <si>
    <t>Equity Raising Costs (Powerlink 2007)</t>
  </si>
  <si>
    <t>Modelled Capex</t>
  </si>
  <si>
    <t>Capex</t>
  </si>
  <si>
    <t>Opening Asset Base</t>
  </si>
  <si>
    <t>Equity raising costs</t>
  </si>
  <si>
    <t xml:space="preserve">Equity Raising Cost </t>
  </si>
  <si>
    <t>Financing</t>
  </si>
  <si>
    <t>Indexation</t>
  </si>
  <si>
    <t>Check</t>
  </si>
  <si>
    <t>2022-23</t>
  </si>
  <si>
    <t>Minor Capex Nominal</t>
  </si>
  <si>
    <t>VALVE HALL</t>
  </si>
  <si>
    <t>CABLE</t>
  </si>
  <si>
    <t>DC FILTER</t>
  </si>
  <si>
    <t>AC FILTERS</t>
  </si>
  <si>
    <t>AC SWITCHYARD</t>
  </si>
  <si>
    <t>CONTROL SYSTEM</t>
  </si>
  <si>
    <t>MEASURING DEVICES</t>
  </si>
  <si>
    <t>DC SWITCHYARD</t>
  </si>
  <si>
    <t>STATION POWER SUPPLY</t>
  </si>
  <si>
    <t>SWITCHYARD COMPONENTS</t>
  </si>
  <si>
    <t>AUXILIARY SYSTEMS</t>
  </si>
  <si>
    <t>CONVERTER TRANSFORMER</t>
  </si>
  <si>
    <t>OTHER</t>
  </si>
  <si>
    <t>MOTOR VEHICLES</t>
  </si>
  <si>
    <t>OVERHEAD LINES</t>
  </si>
  <si>
    <t>SMOOTHING REACTOR</t>
  </si>
  <si>
    <t>EASEMENT</t>
  </si>
  <si>
    <t>FREEHOLD LAND</t>
  </si>
  <si>
    <t>VALVE COOLING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</si>
</sst>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A7D00"/>
      <name val="Arial Nova"/>
      <family val="2"/>
    </font>
    <font>
      <b/>
      <sz val="15"/>
      <color theme="3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3"/>
      <color theme="4" tint="0.39994506668294322"/>
      <name val="Calibri"/>
      <family val="2"/>
      <scheme val="minor"/>
    </font>
    <font>
      <b/>
      <sz val="9"/>
      <color rgb="FF3F3F3F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4" tint="0.39994506668294322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3" fontId="2" fillId="2" borderId="1" applyAlignment="0" applyProtection="0"/>
    <xf numFmtId="0" fontId="7" fillId="0" borderId="5" applyNumberFormat="0" applyFill="0" applyAlignment="0" applyProtection="0"/>
    <xf numFmtId="0" fontId="2" fillId="0" borderId="2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3" applyNumberFormat="0" applyFill="0" applyAlignment="0" applyProtection="0"/>
    <xf numFmtId="0" fontId="4" fillId="3" borderId="1" applyNumberFormat="0" applyAlignment="0" applyProtection="0"/>
    <xf numFmtId="0" fontId="6" fillId="4" borderId="4" applyNumberFormat="0" applyAlignment="0" applyProtection="0"/>
    <xf numFmtId="0" fontId="8" fillId="2" borderId="6" applyNumberFormat="0" applyAlignment="0" applyProtection="0"/>
  </cellStyleXfs>
  <cellXfs count="27">
    <xf numFmtId="0" fontId="0" fillId="0" borderId="0" xfId="0"/>
    <xf numFmtId="3" fontId="2" fillId="2" borderId="1" xfId="1"/>
    <xf numFmtId="0" fontId="7" fillId="0" borderId="5" xfId="2"/>
    <xf numFmtId="164" fontId="0" fillId="0" borderId="0" xfId="4" applyNumberFormat="1" applyFont="1"/>
    <xf numFmtId="164" fontId="0" fillId="0" borderId="0" xfId="0" applyNumberFormat="1"/>
    <xf numFmtId="165" fontId="0" fillId="0" borderId="0" xfId="5" applyNumberFormat="1" applyFont="1"/>
    <xf numFmtId="43" fontId="0" fillId="0" borderId="0" xfId="0" applyNumberFormat="1"/>
    <xf numFmtId="0" fontId="3" fillId="0" borderId="3" xfId="6"/>
    <xf numFmtId="164" fontId="2" fillId="2" borderId="1" xfId="1" applyNumberFormat="1"/>
    <xf numFmtId="10" fontId="0" fillId="0" borderId="0" xfId="0" applyNumberFormat="1"/>
    <xf numFmtId="0" fontId="4" fillId="3" borderId="1" xfId="7"/>
    <xf numFmtId="9" fontId="4" fillId="3" borderId="1" xfId="7" applyNumberFormat="1"/>
    <xf numFmtId="43" fontId="6" fillId="4" borderId="4" xfId="8" applyNumberFormat="1"/>
    <xf numFmtId="164" fontId="6" fillId="4" borderId="4" xfId="8" applyNumberFormat="1"/>
    <xf numFmtId="3" fontId="8" fillId="2" borderId="6" xfId="9" applyNumberFormat="1"/>
    <xf numFmtId="165" fontId="2" fillId="0" borderId="2" xfId="5" applyNumberFormat="1" applyFont="1" applyBorder="1"/>
    <xf numFmtId="0" fontId="6" fillId="4" borderId="4" xfId="8"/>
    <xf numFmtId="0" fontId="6" fillId="4" borderId="7" xfId="8" applyBorder="1"/>
    <xf numFmtId="43" fontId="0" fillId="0" borderId="0" xfId="4" applyFont="1"/>
    <xf numFmtId="164" fontId="6" fillId="4" borderId="4" xfId="4" applyNumberFormat="1" applyFont="1" applyFill="1" applyBorder="1"/>
    <xf numFmtId="43" fontId="2" fillId="2" borderId="1" xfId="4" applyFont="1" applyFill="1" applyBorder="1"/>
    <xf numFmtId="164" fontId="4" fillId="3" borderId="1" xfId="7" applyNumberFormat="1"/>
    <xf numFmtId="3" fontId="4" fillId="3" borderId="1" xfId="7" applyNumberFormat="1"/>
    <xf numFmtId="43" fontId="4" fillId="3" borderId="1" xfId="7" applyNumberFormat="1"/>
    <xf numFmtId="17" fontId="4" fillId="3" borderId="1" xfId="7" applyNumberFormat="1"/>
    <xf numFmtId="165" fontId="4" fillId="3" borderId="1" xfId="7" applyNumberFormat="1"/>
    <xf numFmtId="10" fontId="4" fillId="3" borderId="1" xfId="7" applyNumberFormat="1"/>
  </cellXfs>
  <cellStyles count="10">
    <cellStyle name="Calculation" xfId="1" builtinId="22" customBuiltin="1"/>
    <cellStyle name="Check Cell" xfId="8" builtinId="23" customBuiltin="1"/>
    <cellStyle name="Comma" xfId="4" builtinId="3"/>
    <cellStyle name="Heading 1" xfId="6" builtinId="16" customBuiltin="1"/>
    <cellStyle name="Heading 2" xfId="2" builtinId="17" customBuiltin="1"/>
    <cellStyle name="Input" xfId="7" builtinId="20" customBuiltin="1"/>
    <cellStyle name="Linked Cell" xfId="3" builtinId="24" customBuiltin="1"/>
    <cellStyle name="Normal" xfId="0" builtinId="0"/>
    <cellStyle name="Output" xfId="9" builtinId="21" customBuiltin="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E8D0-F9E5-4771-8D2A-5C705B2C9B74}">
  <dimension ref="E1:AG29"/>
  <sheetViews>
    <sheetView tabSelected="1" workbookViewId="0">
      <selection activeCell="B17" sqref="B17"/>
    </sheetView>
  </sheetViews>
  <sheetFormatPr defaultRowHeight="15" x14ac:dyDescent="0.25"/>
  <cols>
    <col min="1" max="1" width="26.28515625" bestFit="1" customWidth="1"/>
    <col min="5" max="5" width="26.28515625" bestFit="1" customWidth="1"/>
    <col min="6" max="6" width="13.28515625" bestFit="1" customWidth="1"/>
    <col min="8" max="8" width="13.42578125" bestFit="1" customWidth="1"/>
    <col min="9" max="9" width="14.42578125" bestFit="1" customWidth="1"/>
    <col min="10" max="13" width="15.42578125" bestFit="1" customWidth="1"/>
    <col min="14" max="14" width="11.7109375" bestFit="1" customWidth="1"/>
    <col min="15" max="15" width="13.42578125" bestFit="1" customWidth="1"/>
    <col min="16" max="16" width="11.7109375" bestFit="1" customWidth="1"/>
    <col min="17" max="19" width="13.42578125" bestFit="1" customWidth="1"/>
    <col min="20" max="20" width="9.7109375" bestFit="1" customWidth="1"/>
    <col min="21" max="21" width="13.42578125" bestFit="1" customWidth="1"/>
    <col min="22" max="22" width="10.7109375" bestFit="1" customWidth="1"/>
    <col min="23" max="23" width="10.5703125" customWidth="1"/>
    <col min="24" max="24" width="10.7109375" bestFit="1" customWidth="1"/>
    <col min="25" max="25" width="11.7109375" bestFit="1" customWidth="1"/>
    <col min="26" max="26" width="14.42578125" bestFit="1" customWidth="1"/>
    <col min="27" max="29" width="13.42578125" bestFit="1" customWidth="1"/>
    <col min="30" max="30" width="11.7109375" bestFit="1" customWidth="1"/>
    <col min="31" max="31" width="15.28515625" bestFit="1" customWidth="1"/>
  </cols>
  <sheetData>
    <row r="1" spans="5:33" ht="16.5" thickTop="1" thickBot="1" x14ac:dyDescent="0.3">
      <c r="G1" s="16" t="s">
        <v>26</v>
      </c>
      <c r="H1" s="19"/>
      <c r="I1" s="19"/>
      <c r="J1" s="19"/>
      <c r="K1" s="19"/>
      <c r="L1" s="19"/>
      <c r="M1" s="19">
        <f>SUM(H2:M2)</f>
        <v>780732694.10846174</v>
      </c>
      <c r="N1" s="19">
        <v>233417.12</v>
      </c>
      <c r="O1" s="19">
        <v>537140.19999999995</v>
      </c>
      <c r="P1" s="19">
        <v>145028.27000000002</v>
      </c>
      <c r="Q1" s="19">
        <v>738451.86</v>
      </c>
      <c r="R1" s="19">
        <v>525369</v>
      </c>
      <c r="S1" s="19">
        <v>1531255</v>
      </c>
      <c r="T1" s="19">
        <v>4850</v>
      </c>
      <c r="U1" s="19">
        <v>980472.67999999993</v>
      </c>
      <c r="V1" s="19">
        <v>27400</v>
      </c>
      <c r="W1" s="19">
        <v>0</v>
      </c>
      <c r="X1" s="19">
        <v>42411.9</v>
      </c>
      <c r="Y1" s="19">
        <v>96831.85</v>
      </c>
      <c r="Z1" s="19">
        <v>6519688.7800000012</v>
      </c>
      <c r="AA1" s="19">
        <v>1495453.4800000004</v>
      </c>
      <c r="AB1" s="19">
        <v>4698707.8599999994</v>
      </c>
      <c r="AC1" s="19">
        <v>5228671.75</v>
      </c>
      <c r="AD1" s="19">
        <v>7145754.7437544046</v>
      </c>
      <c r="AE1" s="12">
        <v>37293814.405050889</v>
      </c>
      <c r="AG1" s="16" t="s">
        <v>24</v>
      </c>
    </row>
    <row r="2" spans="5:33" ht="16.5" thickTop="1" thickBot="1" x14ac:dyDescent="0.3">
      <c r="F2" s="4">
        <f>SUM(F9:F29)</f>
        <v>780732694.10846174</v>
      </c>
      <c r="G2" s="16" t="s">
        <v>24</v>
      </c>
      <c r="H2" s="19">
        <f t="shared" ref="H2:AE2" si="0">SUM(H9:H29)</f>
        <v>8168680.8659287374</v>
      </c>
      <c r="I2" s="19">
        <f t="shared" si="0"/>
        <v>17129331.257950872</v>
      </c>
      <c r="J2" s="19">
        <f t="shared" si="0"/>
        <v>128304250.91056433</v>
      </c>
      <c r="K2" s="19">
        <f t="shared" si="0"/>
        <v>132374919.07926589</v>
      </c>
      <c r="L2" s="19">
        <f t="shared" si="0"/>
        <v>335317211.00951982</v>
      </c>
      <c r="M2" s="19">
        <f t="shared" si="0"/>
        <v>159438300.98523208</v>
      </c>
      <c r="N2" s="19">
        <f t="shared" si="0"/>
        <v>233417.12</v>
      </c>
      <c r="O2" s="19">
        <f t="shared" si="0"/>
        <v>537140.19999999995</v>
      </c>
      <c r="P2" s="19">
        <f t="shared" si="0"/>
        <v>145028.26999999999</v>
      </c>
      <c r="Q2" s="19">
        <f t="shared" si="0"/>
        <v>738451.86</v>
      </c>
      <c r="R2" s="19">
        <f t="shared" si="0"/>
        <v>525369</v>
      </c>
      <c r="S2" s="19">
        <f t="shared" si="0"/>
        <v>1531255</v>
      </c>
      <c r="T2" s="19">
        <f t="shared" si="0"/>
        <v>4850</v>
      </c>
      <c r="U2" s="19">
        <f t="shared" si="0"/>
        <v>980472.68</v>
      </c>
      <c r="V2" s="19">
        <f t="shared" si="0"/>
        <v>27400</v>
      </c>
      <c r="W2" s="19">
        <f t="shared" si="0"/>
        <v>0</v>
      </c>
      <c r="X2" s="19">
        <f t="shared" si="0"/>
        <v>42411.9</v>
      </c>
      <c r="Y2" s="19">
        <f t="shared" si="0"/>
        <v>96831.85</v>
      </c>
      <c r="Z2" s="19">
        <f t="shared" si="0"/>
        <v>6519688.7800000003</v>
      </c>
      <c r="AA2" s="19">
        <f t="shared" si="0"/>
        <v>1495453.48</v>
      </c>
      <c r="AB2" s="19">
        <f t="shared" si="0"/>
        <v>4698707.8599999994</v>
      </c>
      <c r="AC2" s="19">
        <f t="shared" si="0"/>
        <v>5228671.7500000009</v>
      </c>
      <c r="AD2" s="19">
        <f t="shared" si="0"/>
        <v>7145754.7437544055</v>
      </c>
      <c r="AE2" s="12">
        <f t="shared" si="0"/>
        <v>0</v>
      </c>
      <c r="AG2" s="12">
        <f>SUM(H2:AF2)</f>
        <v>810683598.60221612</v>
      </c>
    </row>
    <row r="3" spans="5:33" ht="16.5" thickTop="1" thickBot="1" x14ac:dyDescent="0.3">
      <c r="F3" s="4"/>
      <c r="G3" s="10" t="s">
        <v>23</v>
      </c>
      <c r="H3" s="21">
        <v>8168680.8659287309</v>
      </c>
      <c r="I3" s="21">
        <v>17129331.257950857</v>
      </c>
      <c r="J3" s="21">
        <v>128304250.91056426</v>
      </c>
      <c r="K3" s="21">
        <v>132374919.0792658</v>
      </c>
      <c r="L3" s="21">
        <v>335317211.0095194</v>
      </c>
      <c r="M3" s="21">
        <v>159438300.985232</v>
      </c>
      <c r="N3" s="21">
        <v>233417.12</v>
      </c>
      <c r="O3" s="21">
        <v>537140.19999999995</v>
      </c>
      <c r="P3" s="21">
        <v>145028.26999999999</v>
      </c>
      <c r="Q3" s="21">
        <v>738451.86</v>
      </c>
      <c r="R3" s="21">
        <v>525369</v>
      </c>
      <c r="S3" s="21">
        <v>1531255</v>
      </c>
      <c r="T3" s="21">
        <v>4850</v>
      </c>
      <c r="U3" s="21">
        <v>980472.67999999993</v>
      </c>
      <c r="V3" s="21">
        <v>27400</v>
      </c>
      <c r="W3" s="21">
        <v>0</v>
      </c>
      <c r="X3" s="21">
        <v>42411.9</v>
      </c>
      <c r="Y3" s="21">
        <v>96831.85</v>
      </c>
      <c r="Z3" s="21">
        <v>6519688.7800000012</v>
      </c>
      <c r="AA3" s="21">
        <v>1495453.48</v>
      </c>
      <c r="AB3" s="21">
        <v>4698707.8600000013</v>
      </c>
      <c r="AC3" s="21">
        <v>5228671.7499999991</v>
      </c>
      <c r="AD3" s="21">
        <v>7145754.7437544055</v>
      </c>
      <c r="AE3" s="23">
        <v>24204970.130000003</v>
      </c>
      <c r="AG3" s="12">
        <f>SUM(H3:AF3)</f>
        <v>834888568.7322154</v>
      </c>
    </row>
    <row r="4" spans="5:33" ht="16.5" thickTop="1" thickBot="1" x14ac:dyDescent="0.3">
      <c r="F4" s="4"/>
      <c r="G4" s="17" t="s">
        <v>42</v>
      </c>
      <c r="H4" s="19">
        <f>H2-H3</f>
        <v>0</v>
      </c>
      <c r="I4" s="19">
        <f t="shared" ref="I4:AE4" si="1">I2-I3</f>
        <v>0</v>
      </c>
      <c r="J4" s="19">
        <f t="shared" si="1"/>
        <v>0</v>
      </c>
      <c r="K4" s="19">
        <f t="shared" si="1"/>
        <v>0</v>
      </c>
      <c r="L4" s="19">
        <f t="shared" si="1"/>
        <v>0</v>
      </c>
      <c r="M4" s="19">
        <f t="shared" si="1"/>
        <v>0</v>
      </c>
      <c r="N4" s="19">
        <f t="shared" si="1"/>
        <v>0</v>
      </c>
      <c r="O4" s="19">
        <f t="shared" si="1"/>
        <v>0</v>
      </c>
      <c r="P4" s="19">
        <f t="shared" si="1"/>
        <v>0</v>
      </c>
      <c r="Q4" s="19">
        <f t="shared" si="1"/>
        <v>0</v>
      </c>
      <c r="R4" s="19">
        <f t="shared" si="1"/>
        <v>0</v>
      </c>
      <c r="S4" s="19">
        <f t="shared" si="1"/>
        <v>0</v>
      </c>
      <c r="T4" s="19">
        <f t="shared" si="1"/>
        <v>0</v>
      </c>
      <c r="U4" s="19">
        <f t="shared" si="1"/>
        <v>0</v>
      </c>
      <c r="V4" s="19">
        <f t="shared" si="1"/>
        <v>0</v>
      </c>
      <c r="W4" s="19">
        <f t="shared" si="1"/>
        <v>0</v>
      </c>
      <c r="X4" s="19">
        <f t="shared" si="1"/>
        <v>0</v>
      </c>
      <c r="Y4" s="19">
        <f t="shared" si="1"/>
        <v>0</v>
      </c>
      <c r="Z4" s="19">
        <f t="shared" si="1"/>
        <v>0</v>
      </c>
      <c r="AA4" s="19">
        <f t="shared" si="1"/>
        <v>0</v>
      </c>
      <c r="AB4" s="19">
        <f t="shared" si="1"/>
        <v>0</v>
      </c>
      <c r="AC4" s="19">
        <f t="shared" si="1"/>
        <v>0</v>
      </c>
      <c r="AD4" s="19">
        <f t="shared" si="1"/>
        <v>0</v>
      </c>
      <c r="AE4" s="12">
        <f t="shared" si="1"/>
        <v>-24204970.130000003</v>
      </c>
    </row>
    <row r="5" spans="5:33" ht="15.75" thickTop="1" x14ac:dyDescent="0.25">
      <c r="F5" s="4"/>
      <c r="O5" s="6"/>
    </row>
    <row r="6" spans="5:33" ht="15.75" thickBot="1" x14ac:dyDescent="0.3">
      <c r="H6" s="15">
        <v>1.0462839493684532E-2</v>
      </c>
      <c r="I6" s="15">
        <v>2.1940071662441763E-2</v>
      </c>
      <c r="J6" s="15">
        <v>0.1643382579963277</v>
      </c>
      <c r="K6" s="15">
        <v>0.16955216564925357</v>
      </c>
      <c r="L6" s="15">
        <v>0.4294904178342715</v>
      </c>
      <c r="M6" s="15">
        <v>0.20421624736402097</v>
      </c>
    </row>
    <row r="7" spans="5:33" ht="16.5" thickTop="1" thickBot="1" x14ac:dyDescent="0.3">
      <c r="H7" s="5"/>
      <c r="I7" s="5"/>
      <c r="J7" s="5"/>
      <c r="K7" s="5"/>
      <c r="L7" s="5"/>
      <c r="M7" s="5"/>
    </row>
    <row r="8" spans="5:33" ht="18.75" thickTop="1" thickBot="1" x14ac:dyDescent="0.35">
      <c r="H8" s="2" t="s">
        <v>18</v>
      </c>
      <c r="I8" s="2" t="s">
        <v>19</v>
      </c>
      <c r="J8" s="2" t="s">
        <v>20</v>
      </c>
      <c r="K8" s="2" t="s">
        <v>21</v>
      </c>
      <c r="L8" s="2" t="s">
        <v>22</v>
      </c>
      <c r="M8" s="2" t="s">
        <v>0</v>
      </c>
      <c r="N8" s="2" t="s">
        <v>1</v>
      </c>
      <c r="O8" s="2" t="s">
        <v>2</v>
      </c>
      <c r="P8" s="2" t="s">
        <v>3</v>
      </c>
      <c r="Q8" s="2" t="s">
        <v>4</v>
      </c>
      <c r="R8" s="2" t="s">
        <v>5</v>
      </c>
      <c r="S8" s="2" t="s">
        <v>6</v>
      </c>
      <c r="T8" s="2" t="s">
        <v>7</v>
      </c>
      <c r="U8" s="2" t="s">
        <v>8</v>
      </c>
      <c r="V8" s="2" t="s">
        <v>9</v>
      </c>
      <c r="W8" s="2" t="s">
        <v>10</v>
      </c>
      <c r="X8" s="2" t="s">
        <v>11</v>
      </c>
      <c r="Y8" s="2" t="s">
        <v>12</v>
      </c>
      <c r="Z8" s="2" t="s">
        <v>13</v>
      </c>
      <c r="AA8" s="2" t="s">
        <v>14</v>
      </c>
      <c r="AB8" s="2" t="s">
        <v>15</v>
      </c>
      <c r="AC8" s="2" t="s">
        <v>16</v>
      </c>
      <c r="AD8" s="2" t="s">
        <v>43</v>
      </c>
    </row>
    <row r="9" spans="5:33" ht="15.75" thickTop="1" x14ac:dyDescent="0.25">
      <c r="E9" s="22" t="s">
        <v>48</v>
      </c>
      <c r="F9" s="21">
        <v>9843924.7774833664</v>
      </c>
      <c r="H9" s="4">
        <v>102995.40493471269</v>
      </c>
      <c r="I9" s="4">
        <v>215976.41505767114</v>
      </c>
      <c r="J9" s="4">
        <v>1617733.4497785042</v>
      </c>
      <c r="K9" s="4">
        <v>1669058.7645106514</v>
      </c>
      <c r="L9" s="4">
        <v>4227871.3658104688</v>
      </c>
      <c r="M9" s="4">
        <v>2010289.3773913581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</row>
    <row r="10" spans="5:33" x14ac:dyDescent="0.25">
      <c r="E10" s="22" t="s">
        <v>49</v>
      </c>
      <c r="F10" s="21">
        <v>5761591.0535904905</v>
      </c>
      <c r="H10" s="4">
        <v>60282.602421966061</v>
      </c>
      <c r="I10" s="4">
        <v>126409.7206054587</v>
      </c>
      <c r="J10" s="4">
        <v>946849.83703428763</v>
      </c>
      <c r="K10" s="4">
        <v>976890.24072163226</v>
      </c>
      <c r="L10" s="4">
        <v>2474548.1489967802</v>
      </c>
      <c r="M10" s="4">
        <v>1176610.5038103659</v>
      </c>
      <c r="N10" s="4">
        <v>0</v>
      </c>
      <c r="O10" s="4">
        <v>0</v>
      </c>
      <c r="P10" s="4">
        <v>0</v>
      </c>
      <c r="Q10" s="4">
        <v>422160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2646853.8499999996</v>
      </c>
      <c r="AC10" s="4">
        <v>1028090.45</v>
      </c>
      <c r="AD10" s="4">
        <v>0</v>
      </c>
    </row>
    <row r="11" spans="5:33" x14ac:dyDescent="0.25">
      <c r="E11" s="22" t="s">
        <v>55</v>
      </c>
      <c r="F11" s="21">
        <v>10834053.80813233</v>
      </c>
      <c r="H11" s="4">
        <v>113354.96606043025</v>
      </c>
      <c r="I11" s="4">
        <v>237699.91694517341</v>
      </c>
      <c r="J11" s="4">
        <v>1780449.5298669476</v>
      </c>
      <c r="K11" s="4">
        <v>1836937.2859293793</v>
      </c>
      <c r="L11" s="4">
        <v>4653122.2968937345</v>
      </c>
      <c r="M11" s="4">
        <v>2212489.8124366654</v>
      </c>
      <c r="N11" s="4">
        <v>0</v>
      </c>
      <c r="O11" s="4">
        <v>0</v>
      </c>
      <c r="P11" s="4">
        <v>6727.27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</row>
    <row r="12" spans="5:33" x14ac:dyDescent="0.25">
      <c r="E12" s="22" t="s">
        <v>17</v>
      </c>
      <c r="F12" s="21">
        <v>14435971.116828181</v>
      </c>
      <c r="H12" s="4">
        <v>151041.24873083908</v>
      </c>
      <c r="I12" s="4">
        <v>316726.24082014972</v>
      </c>
      <c r="J12" s="4">
        <v>2372382.3458248447</v>
      </c>
      <c r="K12" s="4">
        <v>2447650.1661082916</v>
      </c>
      <c r="L12" s="4">
        <v>6200111.2668100102</v>
      </c>
      <c r="M12" s="4">
        <v>2948059.8485340457</v>
      </c>
      <c r="N12" s="4">
        <v>55376.219999999994</v>
      </c>
      <c r="O12" s="4">
        <v>14357</v>
      </c>
      <c r="P12" s="4">
        <v>1144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</row>
    <row r="13" spans="5:33" x14ac:dyDescent="0.25">
      <c r="E13" s="22" t="s">
        <v>46</v>
      </c>
      <c r="F13" s="21">
        <v>466409286.27525043</v>
      </c>
      <c r="H13" s="4">
        <v>4879965.5006619049</v>
      </c>
      <c r="I13" s="4">
        <v>10233053.16490731</v>
      </c>
      <c r="J13" s="4">
        <v>76648889.619785175</v>
      </c>
      <c r="K13" s="4">
        <v>79080704.566891387</v>
      </c>
      <c r="L13" s="4">
        <v>200318319.24414167</v>
      </c>
      <c r="M13" s="4">
        <v>95248354.178863019</v>
      </c>
      <c r="N13" s="4">
        <v>121405.5</v>
      </c>
      <c r="O13" s="4">
        <v>0</v>
      </c>
      <c r="P13" s="4">
        <v>137157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6394951.0200000005</v>
      </c>
      <c r="AA13" s="4">
        <v>179671.63</v>
      </c>
      <c r="AB13" s="4">
        <v>59267.7</v>
      </c>
      <c r="AC13" s="4">
        <v>0</v>
      </c>
      <c r="AD13" s="4">
        <v>2353775.02</v>
      </c>
    </row>
    <row r="14" spans="5:33" x14ac:dyDescent="0.25">
      <c r="E14" s="22" t="s">
        <v>50</v>
      </c>
      <c r="F14" s="21">
        <v>3614028.327397739</v>
      </c>
      <c r="H14" s="4">
        <v>37812.998315191719</v>
      </c>
      <c r="I14" s="4">
        <v>79292.040493200941</v>
      </c>
      <c r="J14" s="4">
        <v>593923.11967392627</v>
      </c>
      <c r="K14" s="4">
        <v>612766.32962803624</v>
      </c>
      <c r="L14" s="4">
        <v>1552190.5363989484</v>
      </c>
      <c r="M14" s="4">
        <v>738043.30288843566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</row>
    <row r="15" spans="5:33" x14ac:dyDescent="0.25">
      <c r="E15" s="22" t="s">
        <v>56</v>
      </c>
      <c r="F15" s="21">
        <v>145573259.69396821</v>
      </c>
      <c r="H15" s="4">
        <v>1523109.6507504452</v>
      </c>
      <c r="I15" s="4">
        <v>3193887.7498209076</v>
      </c>
      <c r="J15" s="4">
        <v>23923255.90895376</v>
      </c>
      <c r="K15" s="4">
        <v>24682261.441733506</v>
      </c>
      <c r="L15" s="4">
        <v>62522320.131459318</v>
      </c>
      <c r="M15" s="4">
        <v>29728424.811250273</v>
      </c>
      <c r="N15" s="4">
        <v>38042</v>
      </c>
      <c r="O15" s="4">
        <v>431363.2</v>
      </c>
      <c r="P15" s="4">
        <v>0</v>
      </c>
      <c r="Q15" s="4">
        <v>136421.85999999999</v>
      </c>
      <c r="R15" s="4">
        <v>505369</v>
      </c>
      <c r="S15" s="4">
        <v>1531255</v>
      </c>
      <c r="T15" s="4">
        <v>4850</v>
      </c>
      <c r="U15" s="4">
        <v>12590.91</v>
      </c>
      <c r="V15" s="4">
        <v>27400</v>
      </c>
      <c r="W15" s="4">
        <v>0</v>
      </c>
      <c r="X15" s="4">
        <v>0</v>
      </c>
      <c r="Y15" s="4">
        <v>96831.85</v>
      </c>
      <c r="Z15" s="4">
        <v>92866.09</v>
      </c>
      <c r="AA15" s="4">
        <v>1062341.9500000002</v>
      </c>
      <c r="AB15" s="4">
        <v>1502627.5899999999</v>
      </c>
      <c r="AC15" s="4">
        <v>4200581.3000000007</v>
      </c>
      <c r="AD15" s="4">
        <v>114620.73</v>
      </c>
    </row>
    <row r="16" spans="5:33" x14ac:dyDescent="0.25">
      <c r="E16" s="22" t="s">
        <v>47</v>
      </c>
      <c r="F16" s="21">
        <v>214776.54059963711</v>
      </c>
      <c r="H16" s="4">
        <v>2247.1724713028225</v>
      </c>
      <c r="I16" s="4">
        <v>4712.2126921673707</v>
      </c>
      <c r="J16" s="4">
        <v>35296.002540621914</v>
      </c>
      <c r="K16" s="4">
        <v>36415.827589323308</v>
      </c>
      <c r="L16" s="4">
        <v>92244.46616313752</v>
      </c>
      <c r="M16" s="4">
        <v>43860.859143084184</v>
      </c>
      <c r="N16" s="4">
        <v>18593.400000000001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</row>
    <row r="17" spans="5:30" x14ac:dyDescent="0.25">
      <c r="E17" s="22" t="s">
        <v>52</v>
      </c>
      <c r="F17" s="21">
        <v>1185171.8292704334</v>
      </c>
      <c r="H17" s="4">
        <v>12400.262622093032</v>
      </c>
      <c r="I17" s="4">
        <v>26002.754866500502</v>
      </c>
      <c r="J17" s="4">
        <v>194769.07384862413</v>
      </c>
      <c r="K17" s="4">
        <v>200948.4503192894</v>
      </c>
      <c r="L17" s="4">
        <v>509019.9441587663</v>
      </c>
      <c r="M17" s="4">
        <v>242031.34345516007</v>
      </c>
      <c r="N17" s="4">
        <v>0</v>
      </c>
      <c r="O17" s="4">
        <v>0</v>
      </c>
      <c r="P17" s="4">
        <v>0</v>
      </c>
      <c r="Q17" s="4">
        <v>179870</v>
      </c>
      <c r="R17" s="4">
        <v>20000</v>
      </c>
      <c r="S17" s="4">
        <v>0</v>
      </c>
      <c r="T17" s="4">
        <v>0</v>
      </c>
      <c r="U17" s="4">
        <v>967881.77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</row>
    <row r="18" spans="5:30" x14ac:dyDescent="0.25">
      <c r="E18" s="22" t="s">
        <v>61</v>
      </c>
      <c r="F18" s="21">
        <v>6198025.4100000011</v>
      </c>
      <c r="H18" s="4">
        <v>64848.945042608277</v>
      </c>
      <c r="I18" s="4">
        <v>135985.12166103502</v>
      </c>
      <c r="J18" s="4">
        <v>1018572.698896375</v>
      </c>
      <c r="K18" s="4">
        <v>1050888.631014603</v>
      </c>
      <c r="L18" s="4">
        <v>2661992.5230883323</v>
      </c>
      <c r="M18" s="4">
        <v>1265737.4902970477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</row>
    <row r="19" spans="5:30" x14ac:dyDescent="0.25">
      <c r="E19" s="22" t="s">
        <v>62</v>
      </c>
      <c r="F19" s="21">
        <v>1954530.3199999998</v>
      </c>
      <c r="H19" s="4">
        <v>20449.937023699866</v>
      </c>
      <c r="I19" s="4">
        <v>42882.535287215229</v>
      </c>
      <c r="J19" s="4">
        <v>321204.10798980494</v>
      </c>
      <c r="K19" s="4">
        <v>331394.84858312854</v>
      </c>
      <c r="L19" s="4">
        <v>839452.0438065523</v>
      </c>
      <c r="M19" s="4">
        <v>399146.84730959905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</row>
    <row r="20" spans="5:30" x14ac:dyDescent="0.25">
      <c r="E20" s="22" t="s">
        <v>25</v>
      </c>
      <c r="F20" s="21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</row>
    <row r="21" spans="5:30" x14ac:dyDescent="0.25">
      <c r="E21" s="22" t="s">
        <v>51</v>
      </c>
      <c r="F21" s="21">
        <v>6312502.8118547183</v>
      </c>
      <c r="H21" s="4">
        <v>66046.70372386821</v>
      </c>
      <c r="I21" s="4">
        <v>138496.76406145765</v>
      </c>
      <c r="J21" s="4">
        <v>1037385.7156971247</v>
      </c>
      <c r="K21" s="4">
        <v>1070298.5224169702</v>
      </c>
      <c r="L21" s="4">
        <v>2711159.4702434968</v>
      </c>
      <c r="M21" s="4">
        <v>1289115.635711801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</row>
    <row r="22" spans="5:30" x14ac:dyDescent="0.25">
      <c r="E22" s="22" t="s">
        <v>58</v>
      </c>
      <c r="F22" s="21">
        <v>29793.23</v>
      </c>
      <c r="H22" s="4">
        <v>311.72178348842681</v>
      </c>
      <c r="I22" s="4">
        <v>653.66560125560977</v>
      </c>
      <c r="J22" s="4">
        <v>4896.1675182839299</v>
      </c>
      <c r="K22" s="4">
        <v>5051.5066681863109</v>
      </c>
      <c r="L22" s="4">
        <v>12795.906801332552</v>
      </c>
      <c r="M22" s="4">
        <v>6084.2616274531701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42411.9</v>
      </c>
      <c r="Y22" s="4">
        <v>0</v>
      </c>
      <c r="Z22" s="4">
        <v>31871.67</v>
      </c>
      <c r="AA22" s="4">
        <v>253439.9</v>
      </c>
      <c r="AB22" s="4">
        <v>55361.64</v>
      </c>
      <c r="AC22" s="4">
        <v>0</v>
      </c>
      <c r="AD22" s="4">
        <v>110553.19807353884</v>
      </c>
    </row>
    <row r="23" spans="5:30" x14ac:dyDescent="0.25">
      <c r="E23" s="22" t="s">
        <v>57</v>
      </c>
      <c r="F23" s="21">
        <v>2896959.2148188232</v>
      </c>
      <c r="H23" s="4">
        <v>30310.419284399715</v>
      </c>
      <c r="I23" s="4">
        <v>63559.492776296</v>
      </c>
      <c r="J23" s="4">
        <v>476081.23084973468</v>
      </c>
      <c r="K23" s="4">
        <v>491185.70867009269</v>
      </c>
      <c r="L23" s="4">
        <v>1244216.2236213794</v>
      </c>
      <c r="M23" s="4">
        <v>591606.13961692073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4406548.5656808661</v>
      </c>
    </row>
    <row r="24" spans="5:30" x14ac:dyDescent="0.25">
      <c r="E24" s="22" t="s">
        <v>59</v>
      </c>
      <c r="F24" s="21">
        <v>67232399.995399207</v>
      </c>
      <c r="H24" s="4">
        <v>703441.80992705864</v>
      </c>
      <c r="I24" s="4">
        <v>1475083.6739370078</v>
      </c>
      <c r="J24" s="4">
        <v>11048855.496156216</v>
      </c>
      <c r="K24" s="4">
        <v>11399399.021016801</v>
      </c>
      <c r="L24" s="4">
        <v>28875671.566024877</v>
      </c>
      <c r="M24" s="4">
        <v>13729948.428337246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91021</v>
      </c>
      <c r="AC24" s="4">
        <v>0</v>
      </c>
      <c r="AD24" s="4">
        <v>0</v>
      </c>
    </row>
    <row r="25" spans="5:30" x14ac:dyDescent="0.25">
      <c r="E25" s="22" t="s">
        <v>60</v>
      </c>
      <c r="F25" s="21">
        <v>1514449.9657666716</v>
      </c>
      <c r="H25" s="4">
        <v>15845.44691303272</v>
      </c>
      <c r="I25" s="4">
        <v>33227.140778103247</v>
      </c>
      <c r="J25" s="4">
        <v>248882.06919669293</v>
      </c>
      <c r="K25" s="4">
        <v>256778.27146317711</v>
      </c>
      <c r="L25" s="4">
        <v>650441.74858622591</v>
      </c>
      <c r="M25" s="4">
        <v>309275.28882943967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</row>
    <row r="26" spans="5:30" x14ac:dyDescent="0.25">
      <c r="E26" s="22" t="s">
        <v>53</v>
      </c>
      <c r="F26" s="21">
        <v>7304926.4636639375</v>
      </c>
      <c r="H26" s="4">
        <v>76430.273102484338</v>
      </c>
      <c r="I26" s="4">
        <v>160270.61010165408</v>
      </c>
      <c r="J26" s="4">
        <v>1200478.8898298058</v>
      </c>
      <c r="K26" s="4">
        <v>1238566.1018227641</v>
      </c>
      <c r="L26" s="4">
        <v>3137395.919127652</v>
      </c>
      <c r="M26" s="4">
        <v>1491784.6696795777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</row>
    <row r="27" spans="5:30" x14ac:dyDescent="0.25">
      <c r="E27" s="22" t="s">
        <v>54</v>
      </c>
      <c r="F27" s="21">
        <v>3049551.5219756169</v>
      </c>
      <c r="H27" s="4">
        <v>31906.968102152259</v>
      </c>
      <c r="I27" s="4">
        <v>66907.378930453386</v>
      </c>
      <c r="J27" s="4">
        <v>501157.98479152273</v>
      </c>
      <c r="K27" s="4">
        <v>517058.06480994314</v>
      </c>
      <c r="L27" s="4">
        <v>1309753.1573804463</v>
      </c>
      <c r="M27" s="4">
        <v>622767.96796109923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</row>
    <row r="28" spans="5:30" x14ac:dyDescent="0.25">
      <c r="E28" s="22" t="s">
        <v>63</v>
      </c>
      <c r="F28" s="21">
        <v>516289.76105681993</v>
      </c>
      <c r="H28" s="4">
        <v>5401.856902170246</v>
      </c>
      <c r="I28" s="4">
        <v>11327.434356171563</v>
      </c>
      <c r="J28" s="4">
        <v>84846.159953418057</v>
      </c>
      <c r="K28" s="4">
        <v>87538.047089719475</v>
      </c>
      <c r="L28" s="4">
        <v>221741.50519984978</v>
      </c>
      <c r="M28" s="4">
        <v>105434.75755549083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</row>
    <row r="29" spans="5:30" x14ac:dyDescent="0.25">
      <c r="E29" s="22" t="s">
        <v>45</v>
      </c>
      <c r="F29" s="21">
        <v>25851201.99140504</v>
      </c>
      <c r="H29" s="4">
        <v>270476.97715488891</v>
      </c>
      <c r="I29" s="4">
        <v>567177.2242516838</v>
      </c>
      <c r="J29" s="4">
        <v>4248341.5023787022</v>
      </c>
      <c r="K29" s="4">
        <v>4383127.2822790211</v>
      </c>
      <c r="L29" s="4">
        <v>11102843.544806702</v>
      </c>
      <c r="M29" s="4">
        <v>5279235.4605340436</v>
      </c>
      <c r="N29" s="4">
        <v>0</v>
      </c>
      <c r="O29" s="4">
        <v>91420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343576.08</v>
      </c>
      <c r="AC29" s="4">
        <v>0</v>
      </c>
      <c r="AD29" s="4">
        <v>160257.23000000001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43E5-C6EB-4784-819C-B9BC784E63D5}">
  <dimension ref="B1:H13"/>
  <sheetViews>
    <sheetView workbookViewId="0">
      <selection activeCell="O11" sqref="O11"/>
    </sheetView>
  </sheetViews>
  <sheetFormatPr defaultRowHeight="15" x14ac:dyDescent="0.25"/>
  <cols>
    <col min="2" max="2" width="34.5703125" bestFit="1" customWidth="1"/>
    <col min="3" max="8" width="10.7109375" bestFit="1" customWidth="1"/>
  </cols>
  <sheetData>
    <row r="1" spans="2:8" ht="15.75" thickBot="1" x14ac:dyDescent="0.3"/>
    <row r="2" spans="2:8" ht="18.75" thickTop="1" thickBot="1" x14ac:dyDescent="0.35">
      <c r="B2" s="2" t="s">
        <v>28</v>
      </c>
      <c r="C2" s="2"/>
      <c r="D2" s="2"/>
      <c r="E2" s="2"/>
      <c r="F2" s="2"/>
      <c r="G2" s="2"/>
      <c r="H2" s="2"/>
    </row>
    <row r="3" spans="2:8" ht="21" thickTop="1" thickBot="1" x14ac:dyDescent="0.35">
      <c r="B3" s="7"/>
      <c r="C3" s="7" t="s">
        <v>19</v>
      </c>
      <c r="D3" s="7" t="s">
        <v>20</v>
      </c>
      <c r="E3" s="7" t="s">
        <v>21</v>
      </c>
      <c r="F3" s="7" t="s">
        <v>22</v>
      </c>
      <c r="G3" s="7" t="s">
        <v>0</v>
      </c>
      <c r="H3" s="7" t="s">
        <v>1</v>
      </c>
    </row>
    <row r="4" spans="2:8" ht="15.75" thickTop="1" x14ac:dyDescent="0.25">
      <c r="C4" s="10">
        <v>2002</v>
      </c>
      <c r="D4" s="10">
        <f>C4+1</f>
        <v>2003</v>
      </c>
      <c r="E4" s="10">
        <f t="shared" ref="E4:H4" si="0">D4+1</f>
        <v>2004</v>
      </c>
      <c r="F4" s="10">
        <f t="shared" si="0"/>
        <v>2005</v>
      </c>
      <c r="G4" s="10">
        <f t="shared" si="0"/>
        <v>2006</v>
      </c>
      <c r="H4" s="10">
        <f t="shared" si="0"/>
        <v>2007</v>
      </c>
    </row>
    <row r="5" spans="2:8" x14ac:dyDescent="0.25">
      <c r="C5" s="24">
        <v>36891</v>
      </c>
      <c r="D5" s="24">
        <f>DATE(YEAR(C5)+1,MONTH(C5),DAY(C5))</f>
        <v>37256</v>
      </c>
      <c r="E5" s="24">
        <f t="shared" ref="E5:H5" si="1">DATE(YEAR(D5)+1,MONTH(D5),DAY(D5))</f>
        <v>37621</v>
      </c>
      <c r="F5" s="24">
        <f t="shared" si="1"/>
        <v>37986</v>
      </c>
      <c r="G5" s="24">
        <f t="shared" si="1"/>
        <v>38352</v>
      </c>
      <c r="H5" s="24">
        <f t="shared" si="1"/>
        <v>38717</v>
      </c>
    </row>
    <row r="6" spans="2:8" x14ac:dyDescent="0.25">
      <c r="B6" s="10" t="s">
        <v>29</v>
      </c>
      <c r="C6" s="25">
        <v>8.2417700936303864E-2</v>
      </c>
      <c r="D6" s="25">
        <v>8.4749186775369648E-2</v>
      </c>
      <c r="E6" s="25">
        <v>7.8765053742507862E-2</v>
      </c>
      <c r="F6" s="25">
        <v>7.6999378209639049E-2</v>
      </c>
      <c r="G6" s="25">
        <v>6.9382363350097745E-2</v>
      </c>
      <c r="H6" s="25">
        <v>6.8179231729388945E-2</v>
      </c>
    </row>
    <row r="7" spans="2:8" x14ac:dyDescent="0.25">
      <c r="B7" s="10" t="s">
        <v>30</v>
      </c>
      <c r="C7" s="25">
        <v>0.11699999999999999</v>
      </c>
      <c r="D7" s="25">
        <v>0.121</v>
      </c>
      <c r="E7" s="25">
        <v>0.11799999999999999</v>
      </c>
      <c r="F7" s="25">
        <v>0.11699999999999999</v>
      </c>
      <c r="G7" s="25">
        <v>0.124</v>
      </c>
      <c r="H7" s="25">
        <v>0.128</v>
      </c>
    </row>
    <row r="8" spans="2:8" x14ac:dyDescent="0.25">
      <c r="B8" s="10" t="s">
        <v>31</v>
      </c>
      <c r="C8" s="11">
        <v>0.6</v>
      </c>
      <c r="D8" s="11">
        <v>0.6</v>
      </c>
      <c r="E8" s="11">
        <v>0.6</v>
      </c>
      <c r="F8" s="11">
        <v>0.6</v>
      </c>
      <c r="G8" s="11">
        <v>0.6</v>
      </c>
      <c r="H8" s="11">
        <v>0.6</v>
      </c>
    </row>
    <row r="10" spans="2:8" x14ac:dyDescent="0.25">
      <c r="B10" s="1" t="s">
        <v>32</v>
      </c>
      <c r="C10" s="1">
        <f>C6*C8+(1-C8)*C7</f>
        <v>9.6250620561782324E-2</v>
      </c>
      <c r="D10" s="1">
        <f>D6*D8+(1-D8)*D7</f>
        <v>9.9249512065221784E-2</v>
      </c>
      <c r="E10" s="1">
        <f t="shared" ref="E10:H10" si="2">E6*E8+(1-E8)*E7</f>
        <v>9.4459032245504712E-2</v>
      </c>
      <c r="F10" s="1">
        <f t="shared" si="2"/>
        <v>9.2999626925783424E-2</v>
      </c>
      <c r="G10" s="1">
        <f t="shared" si="2"/>
        <v>9.1229418010058655E-2</v>
      </c>
      <c r="H10" s="1">
        <f t="shared" si="2"/>
        <v>9.2107539037633371E-2</v>
      </c>
    </row>
    <row r="11" spans="2:8" x14ac:dyDescent="0.25">
      <c r="B11" s="10" t="s">
        <v>33</v>
      </c>
      <c r="C11" s="26">
        <v>2.9769959404600588E-2</v>
      </c>
      <c r="D11" s="26">
        <v>3.2851511169513792E-2</v>
      </c>
      <c r="E11" s="26">
        <v>2.0356234096692294E-2</v>
      </c>
      <c r="F11" s="26">
        <v>2.3690773067331472E-2</v>
      </c>
      <c r="G11" s="26">
        <v>2.923264311814866E-2</v>
      </c>
      <c r="H11" s="26">
        <v>2.485207100591702E-2</v>
      </c>
    </row>
    <row r="13" spans="2:8" x14ac:dyDescent="0.25">
      <c r="B13" s="10" t="s">
        <v>34</v>
      </c>
      <c r="C13" s="26">
        <v>3.8300000000000001E-2</v>
      </c>
      <c r="D13" s="26">
        <v>3.8300000000000001E-2</v>
      </c>
      <c r="E13" s="26">
        <v>3.8300000000000001E-2</v>
      </c>
      <c r="F13" s="26">
        <v>3.8300000000000001E-2</v>
      </c>
      <c r="G13" s="26">
        <v>3.8300000000000001E-2</v>
      </c>
      <c r="H13" s="26">
        <v>3.8300000000000001E-2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4BEF-67A1-4E3F-AC8B-A567F279691F}">
  <dimension ref="A4:S5"/>
  <sheetViews>
    <sheetView workbookViewId="0">
      <selection activeCell="E12" sqref="E12"/>
    </sheetView>
  </sheetViews>
  <sheetFormatPr defaultRowHeight="15" x14ac:dyDescent="0.25"/>
  <cols>
    <col min="1" max="1" width="20.42578125" bestFit="1" customWidth="1"/>
    <col min="2" max="3" width="11.5703125" bestFit="1" customWidth="1"/>
    <col min="4" max="4" width="10.5703125" bestFit="1" customWidth="1"/>
    <col min="5" max="6" width="11.5703125" bestFit="1" customWidth="1"/>
    <col min="7" max="7" width="10.5703125" bestFit="1" customWidth="1"/>
    <col min="8" max="8" width="9.5703125" bestFit="1" customWidth="1"/>
    <col min="9" max="10" width="10.5703125" bestFit="1" customWidth="1"/>
    <col min="11" max="11" width="7.7109375" bestFit="1" customWidth="1"/>
    <col min="12" max="13" width="10.5703125" bestFit="1" customWidth="1"/>
    <col min="14" max="16" width="11.5703125" bestFit="1" customWidth="1"/>
    <col min="17" max="17" width="13.28515625" bestFit="1" customWidth="1"/>
    <col min="18" max="19" width="10.5703125" bestFit="1" customWidth="1"/>
  </cols>
  <sheetData>
    <row r="4" spans="1:19" x14ac:dyDescent="0.25">
      <c r="B4" t="str">
        <f>Capex!N8</f>
        <v>2006-07</v>
      </c>
      <c r="C4" t="str">
        <f>Capex!O8</f>
        <v>2007-08</v>
      </c>
      <c r="D4" t="str">
        <f>Capex!P8</f>
        <v>2008-09</v>
      </c>
      <c r="E4" t="str">
        <f>Capex!Q8</f>
        <v>2009-10</v>
      </c>
      <c r="F4" t="str">
        <f>Capex!R8</f>
        <v>2010-11</v>
      </c>
      <c r="G4" t="str">
        <f>Capex!S8</f>
        <v>2011-12</v>
      </c>
      <c r="H4" t="str">
        <f>Capex!T8</f>
        <v>2012-13</v>
      </c>
      <c r="I4" t="str">
        <f>Capex!U8</f>
        <v>2013-14</v>
      </c>
      <c r="J4" t="str">
        <f>Capex!V8</f>
        <v>2014-15</v>
      </c>
      <c r="K4" t="str">
        <f>Capex!W8</f>
        <v>2015-16</v>
      </c>
      <c r="L4" t="str">
        <f>Capex!X8</f>
        <v>2016-17</v>
      </c>
      <c r="M4" t="str">
        <f>Capex!Y8</f>
        <v>2017-18</v>
      </c>
      <c r="N4" t="str">
        <f>Capex!Z8</f>
        <v>2018-19</v>
      </c>
      <c r="O4" t="str">
        <f>Capex!AA8</f>
        <v>2019-20</v>
      </c>
      <c r="P4" t="str">
        <f>Capex!AB8</f>
        <v>2020-21</v>
      </c>
      <c r="Q4" t="str">
        <f>Capex!AC8</f>
        <v>2021-22</v>
      </c>
      <c r="R4" t="str">
        <f>Capex!AD8</f>
        <v>2022-23</v>
      </c>
      <c r="S4">
        <f>Capex!AE8</f>
        <v>0</v>
      </c>
    </row>
    <row r="5" spans="1:19" x14ac:dyDescent="0.25">
      <c r="A5" t="s">
        <v>44</v>
      </c>
      <c r="B5" s="18" t="e">
        <f>SUMIF(#REF!,B$4,#REF!)</f>
        <v>#REF!</v>
      </c>
      <c r="C5" s="18" t="e">
        <f>SUMIF(#REF!,C$4,#REF!)</f>
        <v>#REF!</v>
      </c>
      <c r="D5" s="18" t="e">
        <f>SUMIF(#REF!,D$4,#REF!)</f>
        <v>#REF!</v>
      </c>
      <c r="E5" s="18" t="e">
        <f>SUMIF(#REF!,E$4,#REF!)</f>
        <v>#REF!</v>
      </c>
      <c r="F5" s="18" t="e">
        <f>SUMIF(#REF!,F$4,#REF!)</f>
        <v>#REF!</v>
      </c>
      <c r="G5" s="18" t="e">
        <f>SUMIF(#REF!,G$4,#REF!)</f>
        <v>#REF!</v>
      </c>
      <c r="H5" s="18" t="e">
        <f>SUMIF(#REF!,H$4,#REF!)</f>
        <v>#REF!</v>
      </c>
      <c r="I5" s="18" t="e">
        <f>SUMIF(#REF!,I$4,#REF!)</f>
        <v>#REF!</v>
      </c>
      <c r="J5" s="18" t="e">
        <f>SUMIF(#REF!,J$4,#REF!)</f>
        <v>#REF!</v>
      </c>
      <c r="K5" s="18" t="e">
        <f>SUMIF(#REF!,K$4,#REF!)</f>
        <v>#REF!</v>
      </c>
      <c r="L5" s="18" t="e">
        <f>SUMIF(#REF!,L$4,#REF!)</f>
        <v>#REF!</v>
      </c>
      <c r="M5" s="18" t="e">
        <f>SUMIF(#REF!,M$4,#REF!)</f>
        <v>#REF!</v>
      </c>
      <c r="N5" s="18" t="e">
        <f>SUMIF(#REF!,N$4,#REF!)</f>
        <v>#REF!</v>
      </c>
      <c r="O5" s="18" t="e">
        <f>SUMIF(#REF!,O$4,#REF!)</f>
        <v>#REF!</v>
      </c>
      <c r="P5" s="18" t="e">
        <f>SUMIF(#REF!,P$4,#REF!)</f>
        <v>#REF!</v>
      </c>
      <c r="Q5" s="18" t="e">
        <f>SUMIF(#REF!,Q$4,#REF!)</f>
        <v>#REF!</v>
      </c>
      <c r="R5" s="18">
        <v>83940.11</v>
      </c>
      <c r="S5" s="18">
        <v>43383.32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2106-B1CD-4EDF-A867-0B26143FF09C}">
  <sheetPr>
    <tabColor rgb="FFC00000"/>
  </sheetPr>
  <dimension ref="A2:X114"/>
  <sheetViews>
    <sheetView workbookViewId="0">
      <selection activeCell="M5" sqref="M5"/>
    </sheetView>
  </sheetViews>
  <sheetFormatPr defaultRowHeight="15" x14ac:dyDescent="0.25"/>
  <cols>
    <col min="1" max="1" width="26.28515625" bestFit="1" customWidth="1"/>
    <col min="2" max="2" width="13.42578125" bestFit="1" customWidth="1"/>
    <col min="3" max="3" width="11.7109375" bestFit="1" customWidth="1"/>
    <col min="4" max="7" width="12.5703125" bestFit="1" customWidth="1"/>
    <col min="8" max="8" width="12.42578125" bestFit="1" customWidth="1"/>
    <col min="9" max="10" width="12.5703125" bestFit="1" customWidth="1"/>
    <col min="11" max="11" width="12" bestFit="1" customWidth="1"/>
    <col min="12" max="12" width="10.5703125" bestFit="1" customWidth="1"/>
    <col min="13" max="13" width="10.7109375" customWidth="1"/>
    <col min="14" max="14" width="12.7109375" customWidth="1"/>
    <col min="15" max="15" width="13.42578125" customWidth="1"/>
    <col min="17" max="17" width="8" bestFit="1" customWidth="1"/>
    <col min="18" max="18" width="9" bestFit="1" customWidth="1"/>
    <col min="19" max="22" width="10.5703125" bestFit="1" customWidth="1"/>
    <col min="24" max="24" width="13.28515625" bestFit="1" customWidth="1"/>
  </cols>
  <sheetData>
    <row r="2" spans="1:9" ht="15.75" thickBot="1" x14ac:dyDescent="0.3">
      <c r="A2" t="s">
        <v>35</v>
      </c>
      <c r="B2" s="8">
        <f t="shared" ref="B2:G2" si="0">SUM(B9:B29)</f>
        <v>8552771.2266367506</v>
      </c>
      <c r="C2" s="8">
        <f t="shared" si="0"/>
        <v>17959264.590182293</v>
      </c>
      <c r="D2" s="8">
        <f t="shared" si="0"/>
        <v>134227283.28136462</v>
      </c>
      <c r="E2" s="8">
        <f t="shared" si="0"/>
        <v>138393506.8907994</v>
      </c>
      <c r="F2" s="8">
        <f t="shared" si="0"/>
        <v>350278819.98333728</v>
      </c>
      <c r="G2" s="8">
        <f t="shared" si="0"/>
        <v>166619321.00577196</v>
      </c>
      <c r="I2" s="4">
        <f>SUM(B2:G2)</f>
        <v>816030966.97809231</v>
      </c>
    </row>
    <row r="3" spans="1:9" ht="16.5" thickTop="1" thickBot="1" x14ac:dyDescent="0.3">
      <c r="B3" s="12">
        <f>Capex!H3*(1+Inputs!C10)^0.5</f>
        <v>8552771.226636745</v>
      </c>
      <c r="C3" s="12">
        <f>Capex!I3*(1+Inputs!D10)^0.5</f>
        <v>17959264.590182282</v>
      </c>
      <c r="D3" s="12">
        <f>Capex!J3*(1+Inputs!E10)^0.5</f>
        <v>134227283.2813645</v>
      </c>
      <c r="E3" s="12">
        <f>Capex!K3*(1+Inputs!F10)^0.5</f>
        <v>138393506.89079931</v>
      </c>
      <c r="F3" s="12">
        <f>Capex!L3*(1+Inputs!G10)^0.5</f>
        <v>350278819.98333693</v>
      </c>
      <c r="G3" s="12">
        <f>Capex!M3*(1+Inputs!H10)^0.5</f>
        <v>166619321.00577182</v>
      </c>
    </row>
    <row r="4" spans="1:9" ht="16.5" thickTop="1" thickBot="1" x14ac:dyDescent="0.3">
      <c r="B4" s="12">
        <f>B2-B3</f>
        <v>0</v>
      </c>
      <c r="C4" s="12">
        <f t="shared" ref="C4:G4" si="1">C2-C3</f>
        <v>0</v>
      </c>
      <c r="D4" s="12">
        <f t="shared" si="1"/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</row>
    <row r="5" spans="1:9" ht="16.5" thickTop="1" thickBot="1" x14ac:dyDescent="0.3"/>
    <row r="6" spans="1:9" ht="21" thickTop="1" thickBot="1" x14ac:dyDescent="0.35">
      <c r="A6" s="7" t="s">
        <v>36</v>
      </c>
      <c r="B6" s="7"/>
      <c r="C6" s="7"/>
      <c r="D6" s="7"/>
      <c r="E6" s="7"/>
      <c r="F6" s="7"/>
      <c r="G6" s="7"/>
      <c r="H6" s="7"/>
    </row>
    <row r="7" spans="1:9" ht="16.5" thickTop="1" thickBot="1" x14ac:dyDescent="0.3"/>
    <row r="8" spans="1:9" ht="18.75" thickTop="1" thickBot="1" x14ac:dyDescent="0.35">
      <c r="A8" s="2" t="s">
        <v>27</v>
      </c>
      <c r="B8" s="2" t="str">
        <f>Capex!H8</f>
        <v>2000-01</v>
      </c>
      <c r="C8" s="2" t="str">
        <f>Capex!I8</f>
        <v>2001-02</v>
      </c>
      <c r="D8" s="2" t="str">
        <f>Capex!J8</f>
        <v>2002-03</v>
      </c>
      <c r="E8" s="2" t="str">
        <f>Capex!K8</f>
        <v>2003-04</v>
      </c>
      <c r="F8" s="2" t="str">
        <f>Capex!L8</f>
        <v>2004-05</v>
      </c>
      <c r="G8" s="2" t="str">
        <f>Capex!M8</f>
        <v>2005-06</v>
      </c>
      <c r="H8" s="2" t="str">
        <f>Capex!N8</f>
        <v>2006-07</v>
      </c>
    </row>
    <row r="9" spans="1:9" ht="15.75" thickTop="1" x14ac:dyDescent="0.25">
      <c r="A9" t="str">
        <f>Capex!E9</f>
        <v>AC FILTERS</v>
      </c>
      <c r="B9" s="8">
        <f>Capex!H9*(1+B$62)^0.5</f>
        <v>107838.23609459348</v>
      </c>
      <c r="C9" s="8">
        <f>Capex!I9*(1+C$62)^0.5</f>
        <v>226440.68964801807</v>
      </c>
      <c r="D9" s="8">
        <f>Capex!J9*(1+D$62)^0.5</f>
        <v>1692414.4328508701</v>
      </c>
      <c r="E9" s="8">
        <f>Capex!K9*(1+E$62)^0.5</f>
        <v>1744944.5652853574</v>
      </c>
      <c r="F9" s="8">
        <f>Capex!L9*(1+F$62)^0.5</f>
        <v>4416515.8972868454</v>
      </c>
      <c r="G9" s="8">
        <f>Capex!M9*(1+G$62)^0.5</f>
        <v>2100831.7889506924</v>
      </c>
    </row>
    <row r="10" spans="1:9" x14ac:dyDescent="0.25">
      <c r="A10" t="str">
        <f>Capex!E10</f>
        <v>AC SWITCHYARD</v>
      </c>
      <c r="B10" s="8">
        <f>Capex!H10*(1+B$62)^0.5</f>
        <v>63117.082907700918</v>
      </c>
      <c r="C10" s="8">
        <f>Capex!I10*(1+C$62)^0.5</f>
        <v>132534.39874196419</v>
      </c>
      <c r="D10" s="8">
        <f>Capex!J10*(1+D$62)^0.5</f>
        <v>990560.1755089676</v>
      </c>
      <c r="E10" s="8">
        <f>Capex!K10*(1+E$62)^0.5</f>
        <v>1021305.7518842312</v>
      </c>
      <c r="F10" s="8">
        <f>Capex!L10*(1+F$62)^0.5</f>
        <v>2584960.6795099326</v>
      </c>
      <c r="G10" s="8">
        <f>Capex!M10*(1+G$62)^0.5</f>
        <v>1229604.4427323714</v>
      </c>
    </row>
    <row r="11" spans="1:9" x14ac:dyDescent="0.25">
      <c r="A11" t="str">
        <f>Capex!E11</f>
        <v>AUXILIARY SYSTEMS</v>
      </c>
      <c r="B11" s="8">
        <f>Capex!H11*(1+B$62)^0.5</f>
        <v>118684.9024989797</v>
      </c>
      <c r="C11" s="8">
        <f>Capex!I11*(1+C$62)^0.5</f>
        <v>249216.7170566706</v>
      </c>
      <c r="D11" s="8">
        <f>Capex!J11*(1+D$62)^0.5</f>
        <v>1862642.131632956</v>
      </c>
      <c r="E11" s="8">
        <f>Capex!K11*(1+E$62)^0.5</f>
        <v>1920455.88927618</v>
      </c>
      <c r="F11" s="8">
        <f>Capex!L11*(1+F$62)^0.5</f>
        <v>4860741.2142283991</v>
      </c>
      <c r="G11" s="8">
        <f>Capex!M11*(1+G$62)^0.5</f>
        <v>2312139.2287950329</v>
      </c>
    </row>
    <row r="12" spans="1:9" x14ac:dyDescent="0.25">
      <c r="A12" t="str">
        <f>Capex!E12</f>
        <v>BUILDING INSTALLATION</v>
      </c>
      <c r="B12" s="8">
        <f>Capex!H12*(1+B$62)^0.5</f>
        <v>158143.18950426174</v>
      </c>
      <c r="C12" s="8">
        <f>Capex!I12*(1+C$62)^0.5</f>
        <v>332071.94582699222</v>
      </c>
      <c r="D12" s="8">
        <f>Capex!J12*(1+D$62)^0.5</f>
        <v>2481900.9107243856</v>
      </c>
      <c r="E12" s="8">
        <f>Capex!K12*(1+E$62)^0.5</f>
        <v>2558935.5784741812</v>
      </c>
      <c r="F12" s="8">
        <f>Capex!L12*(1+F$62)^0.5</f>
        <v>6476755.7017583195</v>
      </c>
      <c r="G12" s="8">
        <f>Capex!M12*(1+G$62)^0.5</f>
        <v>3080838.9653664152</v>
      </c>
    </row>
    <row r="13" spans="1:9" x14ac:dyDescent="0.25">
      <c r="A13" t="str">
        <f>Capex!E13</f>
        <v>CABLE</v>
      </c>
      <c r="B13" s="8">
        <f>Capex!H13*(1+B$62)^0.5</f>
        <v>5109420.8729741871</v>
      </c>
      <c r="C13" s="8">
        <f>Capex!I13*(1+C$62)^0.5</f>
        <v>10728854.88560267</v>
      </c>
      <c r="D13" s="8">
        <f>Capex!J13*(1+D$62)^0.5</f>
        <v>80187305.932432085</v>
      </c>
      <c r="E13" s="8">
        <f>Capex!K13*(1+E$62)^0.5</f>
        <v>82676205.647793084</v>
      </c>
      <c r="F13" s="8">
        <f>Capex!L13*(1+F$62)^0.5</f>
        <v>209256376.29704404</v>
      </c>
      <c r="G13" s="8">
        <f>Capex!M13*(1+G$62)^0.5</f>
        <v>99538291.62836732</v>
      </c>
    </row>
    <row r="14" spans="1:9" x14ac:dyDescent="0.25">
      <c r="A14" t="str">
        <f>Capex!E14</f>
        <v>CONTROL SYSTEM</v>
      </c>
      <c r="B14" s="8">
        <f>Capex!H14*(1+B$62)^0.5</f>
        <v>39590.96080395914</v>
      </c>
      <c r="C14" s="8">
        <f>Capex!I14*(1+C$62)^0.5</f>
        <v>83133.819626020617</v>
      </c>
      <c r="D14" s="8">
        <f>Capex!J14*(1+D$62)^0.5</f>
        <v>621340.96310958511</v>
      </c>
      <c r="E14" s="8">
        <f>Capex!K14*(1+E$62)^0.5</f>
        <v>640626.50124112761</v>
      </c>
      <c r="F14" s="8">
        <f>Capex!L14*(1+F$62)^0.5</f>
        <v>1621448.1441088067</v>
      </c>
      <c r="G14" s="8">
        <f>Capex!M14*(1+G$62)^0.5</f>
        <v>771284.39804133819</v>
      </c>
    </row>
    <row r="15" spans="1:9" x14ac:dyDescent="0.25">
      <c r="A15" t="str">
        <f>Capex!E15</f>
        <v>CONVERTER TRANSFORMER</v>
      </c>
      <c r="B15" s="8">
        <f>Capex!H15*(1+B$62)^0.5</f>
        <v>1594726.0775341941</v>
      </c>
      <c r="C15" s="8">
        <f>Capex!I15*(1+C$62)^0.5</f>
        <v>3348634.8244769378</v>
      </c>
      <c r="D15" s="8">
        <f>Capex!J15*(1+D$62)^0.5</f>
        <v>25027648.149725609</v>
      </c>
      <c r="E15" s="8">
        <f>Capex!K15*(1+E$62)^0.5</f>
        <v>25804470.685807515</v>
      </c>
      <c r="F15" s="8">
        <f>Capex!L15*(1+F$62)^0.5</f>
        <v>65312020.377165392</v>
      </c>
      <c r="G15" s="8">
        <f>Capex!M15*(1+G$62)^0.5</f>
        <v>31067377.951302078</v>
      </c>
    </row>
    <row r="16" spans="1:9" x14ac:dyDescent="0.25">
      <c r="A16" t="str">
        <f>Capex!E16</f>
        <v>DC FILTER</v>
      </c>
      <c r="B16" s="8">
        <f>Capex!H16*(1+B$62)^0.5</f>
        <v>2352.8342420638578</v>
      </c>
      <c r="C16" s="8">
        <f>Capex!I16*(1+C$62)^0.5</f>
        <v>4940.5241377749398</v>
      </c>
      <c r="D16" s="8">
        <f>Capex!J16*(1+D$62)^0.5</f>
        <v>36925.405807655356</v>
      </c>
      <c r="E16" s="8">
        <f>Capex!K16*(1+E$62)^0.5</f>
        <v>38071.51778804417</v>
      </c>
      <c r="F16" s="8">
        <f>Capex!L16*(1+F$62)^0.5</f>
        <v>96360.34684989482</v>
      </c>
      <c r="G16" s="8">
        <f>Capex!M16*(1+G$62)^0.5</f>
        <v>45836.329940742391</v>
      </c>
    </row>
    <row r="17" spans="1:15" x14ac:dyDescent="0.25">
      <c r="A17" t="str">
        <f>Capex!E17</f>
        <v>DC SWITCHYARD</v>
      </c>
      <c r="B17" s="8">
        <f>Capex!H17*(1+B$62)^0.5</f>
        <v>12983.321431901524</v>
      </c>
      <c r="C17" s="8">
        <f>Capex!I17*(1+C$62)^0.5</f>
        <v>27262.61449958073</v>
      </c>
      <c r="D17" s="8">
        <f>Capex!J17*(1+D$62)^0.5</f>
        <v>203760.38568006401</v>
      </c>
      <c r="E17" s="8">
        <f>Capex!K17*(1+E$62)^0.5</f>
        <v>210084.81770859842</v>
      </c>
      <c r="F17" s="8">
        <f>Capex!L17*(1+F$62)^0.5</f>
        <v>531732.04217917379</v>
      </c>
      <c r="G17" s="8">
        <f>Capex!M17*(1+G$62)^0.5</f>
        <v>252932.31211958808</v>
      </c>
    </row>
    <row r="18" spans="1:15" x14ac:dyDescent="0.25">
      <c r="A18" t="str">
        <f>Capex!E18</f>
        <v>EASEMENT</v>
      </c>
      <c r="B18" s="8">
        <f>Capex!H18*(1+B$62)^0.5</f>
        <v>67898.134391752683</v>
      </c>
      <c r="C18" s="8">
        <f>Capex!I18*(1+C$62)^0.5</f>
        <v>142573.73761191481</v>
      </c>
      <c r="D18" s="8">
        <f>Capex!J18*(1+D$62)^0.5</f>
        <v>1065594.0487328819</v>
      </c>
      <c r="E18" s="8">
        <f>Capex!K18*(1+E$62)^0.5</f>
        <v>1098668.5696154819</v>
      </c>
      <c r="F18" s="8">
        <f>Capex!L18*(1+F$62)^0.5</f>
        <v>2780768.6846273318</v>
      </c>
      <c r="G18" s="8">
        <f>Capex!M18*(1+G$62)^0.5</f>
        <v>1322745.663379705</v>
      </c>
    </row>
    <row r="19" spans="1:15" x14ac:dyDescent="0.25">
      <c r="A19" t="str">
        <f>Capex!E19</f>
        <v>FREEHOLD LAND</v>
      </c>
      <c r="B19" s="8">
        <f>Capex!H19*(1+B$62)^0.5</f>
        <v>21411.490525030833</v>
      </c>
      <c r="C19" s="8">
        <f>Capex!I19*(1+C$62)^0.5</f>
        <v>44960.237263404793</v>
      </c>
      <c r="D19" s="8">
        <f>Capex!J19*(1+D$62)^0.5</f>
        <v>336032.16174294049</v>
      </c>
      <c r="E19" s="8">
        <f>Capex!K19*(1+E$62)^0.5</f>
        <v>346462.1212232961</v>
      </c>
      <c r="F19" s="8">
        <f>Capex!L19*(1+F$62)^0.5</f>
        <v>876907.78070085985</v>
      </c>
      <c r="G19" s="8">
        <f>Capex!M19*(1+G$62)^0.5</f>
        <v>417124.21839266823</v>
      </c>
    </row>
    <row r="20" spans="1:15" x14ac:dyDescent="0.25">
      <c r="A20" t="str">
        <f>Capex!E20</f>
        <v>IN-HOUSE SOFTWARE</v>
      </c>
      <c r="B20" s="8">
        <f>Capex!H20*(1+B$62)^0.5</f>
        <v>0</v>
      </c>
      <c r="C20" s="8">
        <f>Capex!I20*(1+C$62)^0.5</f>
        <v>0</v>
      </c>
      <c r="D20" s="8">
        <f>Capex!J20*(1+D$62)^0.5</f>
        <v>0</v>
      </c>
      <c r="E20" s="8">
        <f>Capex!K20*(1+E$62)^0.5</f>
        <v>0</v>
      </c>
      <c r="F20" s="8">
        <f>Capex!L20*(1+F$62)^0.5</f>
        <v>0</v>
      </c>
      <c r="G20" s="8">
        <f>Capex!M20*(1+G$62)^0.5</f>
        <v>0</v>
      </c>
    </row>
    <row r="21" spans="1:15" x14ac:dyDescent="0.25">
      <c r="A21" t="str">
        <f>Capex!E21</f>
        <v>MEASURING DEVICES</v>
      </c>
      <c r="B21" s="8">
        <f>Capex!H21*(1+B$62)^0.5</f>
        <v>69152.211537581985</v>
      </c>
      <c r="C21" s="8">
        <f>Capex!I21*(1+C$62)^0.5</f>
        <v>145207.07161344934</v>
      </c>
      <c r="D21" s="8">
        <f>Capex!J21*(1+D$62)^0.5</f>
        <v>1085275.5488980755</v>
      </c>
      <c r="E21" s="8">
        <f>Capex!K21*(1+E$62)^0.5</f>
        <v>1118960.9555011699</v>
      </c>
      <c r="F21" s="8">
        <f>Capex!L21*(1+F$62)^0.5</f>
        <v>2832129.4250433827</v>
      </c>
      <c r="G21" s="8">
        <f>Capex!M21*(1+G$62)^0.5</f>
        <v>1347176.7485788707</v>
      </c>
    </row>
    <row r="22" spans="1:15" x14ac:dyDescent="0.25">
      <c r="A22" t="str">
        <f>Capex!E22</f>
        <v>MOTOR VEHICLES</v>
      </c>
      <c r="B22" s="8">
        <f>Capex!H22*(1+B$62)^0.5</f>
        <v>326.37890306816234</v>
      </c>
      <c r="C22" s="8">
        <f>Capex!I22*(1+C$62)^0.5</f>
        <v>685.33635724985311</v>
      </c>
      <c r="D22" s="8">
        <f>Capex!J22*(1+D$62)^0.5</f>
        <v>5122.1940021910868</v>
      </c>
      <c r="E22" s="8">
        <f>Capex!K22*(1+E$62)^0.5</f>
        <v>5281.1796052841701</v>
      </c>
      <c r="F22" s="8">
        <f>Capex!L22*(1+F$62)^0.5</f>
        <v>13366.850814169145</v>
      </c>
      <c r="G22" s="8">
        <f>Capex!M22*(1+G$62)^0.5</f>
        <v>6358.2936780141608</v>
      </c>
    </row>
    <row r="23" spans="1:15" x14ac:dyDescent="0.25">
      <c r="A23" t="str">
        <f>Capex!E23</f>
        <v>OTHER</v>
      </c>
      <c r="B23" s="8">
        <f>Capex!H23*(1+B$62)^0.5</f>
        <v>31735.611438094238</v>
      </c>
      <c r="C23" s="8">
        <f>Capex!I23*(1+C$62)^0.5</f>
        <v>66639.014144667322</v>
      </c>
      <c r="D23" s="8">
        <f>Capex!J23*(1+D$62)^0.5</f>
        <v>498059.02598466753</v>
      </c>
      <c r="E23" s="8">
        <f>Capex!K23*(1+E$62)^0.5</f>
        <v>513518.06845518976</v>
      </c>
      <c r="F23" s="8">
        <f>Capex!L23*(1+F$62)^0.5</f>
        <v>1299732.2424999166</v>
      </c>
      <c r="G23" s="8">
        <f>Capex!M23*(1+G$62)^0.5</f>
        <v>618251.77938234259</v>
      </c>
    </row>
    <row r="24" spans="1:15" x14ac:dyDescent="0.25">
      <c r="A24" t="str">
        <f>Capex!E24</f>
        <v>OVERHEAD LINES</v>
      </c>
      <c r="B24" s="8">
        <f>Capex!H24*(1+B$62)^0.5</f>
        <v>736517.55654349388</v>
      </c>
      <c r="C24" s="8">
        <f>Capex!I24*(1+C$62)^0.5</f>
        <v>1546552.961931685</v>
      </c>
      <c r="D24" s="8">
        <f>Capex!J24*(1+D$62)^0.5</f>
        <v>11558914.424832281</v>
      </c>
      <c r="E24" s="8">
        <f>Capex!K24*(1+E$62)^0.5</f>
        <v>11917686.658009548</v>
      </c>
      <c r="F24" s="8">
        <f>Capex!L24*(1+F$62)^0.5</f>
        <v>30164082.934849545</v>
      </c>
      <c r="G24" s="8">
        <f>Capex!M24*(1+G$62)^0.5</f>
        <v>14348338.325467432</v>
      </c>
    </row>
    <row r="25" spans="1:15" x14ac:dyDescent="0.25">
      <c r="A25" t="str">
        <f>Capex!E25</f>
        <v>SMOOTHING REACTOR</v>
      </c>
      <c r="B25" s="8">
        <f>Capex!H25*(1+B$62)^0.5</f>
        <v>16590.497860706688</v>
      </c>
      <c r="C25" s="8">
        <f>Capex!I25*(1+C$62)^0.5</f>
        <v>34837.029176618154</v>
      </c>
      <c r="D25" s="8">
        <f>Capex!J25*(1+D$62)^0.5</f>
        <v>260371.45120782615</v>
      </c>
      <c r="E25" s="8">
        <f>Capex!K25*(1+E$62)^0.5</f>
        <v>268453.0100439011</v>
      </c>
      <c r="F25" s="8">
        <f>Capex!L25*(1+F$62)^0.5</f>
        <v>679463.98419797607</v>
      </c>
      <c r="G25" s="8">
        <f>Capex!M25*(1+G$62)^0.5</f>
        <v>323204.89060779882</v>
      </c>
    </row>
    <row r="26" spans="1:15" x14ac:dyDescent="0.25">
      <c r="A26" t="str">
        <f>Capex!E26</f>
        <v>STATION POWER SUPPLY</v>
      </c>
      <c r="B26" s="8">
        <f>Capex!H26*(1+B$62)^0.5</f>
        <v>80024.015059939004</v>
      </c>
      <c r="C26" s="8">
        <f>Capex!I26*(1+C$62)^0.5</f>
        <v>168035.88239964229</v>
      </c>
      <c r="D26" s="8">
        <f>Capex!J26*(1+D$62)^0.5</f>
        <v>1255897.7498789614</v>
      </c>
      <c r="E26" s="8">
        <f>Capex!K26*(1+E$62)^0.5</f>
        <v>1294879.026476908</v>
      </c>
      <c r="F26" s="8">
        <f>Capex!L26*(1+F$62)^0.5</f>
        <v>3277384.2328700866</v>
      </c>
      <c r="G26" s="8">
        <f>Capex!M26*(1+G$62)^0.5</f>
        <v>1558973.8928029207</v>
      </c>
    </row>
    <row r="27" spans="1:15" x14ac:dyDescent="0.25">
      <c r="A27" t="str">
        <f>Capex!E27</f>
        <v>SWITCHYARD COMPONENTS</v>
      </c>
      <c r="B27" s="8">
        <f>Capex!H27*(1+B$62)^0.5</f>
        <v>33407.229783150295</v>
      </c>
      <c r="C27" s="8">
        <f>Capex!I27*(1+C$62)^0.5</f>
        <v>70149.108751099324</v>
      </c>
      <c r="D27" s="8">
        <f>Capex!J27*(1+D$62)^0.5</f>
        <v>524293.42220485013</v>
      </c>
      <c r="E27" s="8">
        <f>Capex!K27*(1+E$62)^0.5</f>
        <v>540566.74295203737</v>
      </c>
      <c r="F27" s="8">
        <f>Capex!L27*(1+F$62)^0.5</f>
        <v>1368193.3863622888</v>
      </c>
      <c r="G27" s="8">
        <f>Capex!M27*(1+G$62)^0.5</f>
        <v>650817.12063297699</v>
      </c>
    </row>
    <row r="28" spans="1:15" x14ac:dyDescent="0.25">
      <c r="A28" t="str">
        <f>Capex!E28</f>
        <v>VALVE COOLING</v>
      </c>
      <c r="B28" s="8">
        <f>Capex!H28*(1+B$62)^0.5</f>
        <v>5655.8515434227356</v>
      </c>
      <c r="C28" s="8">
        <f>Capex!I28*(1+C$62)^0.5</f>
        <v>11876.259946574373</v>
      </c>
      <c r="D28" s="8">
        <f>Capex!J28*(1+D$62)^0.5</f>
        <v>88762.99472994075</v>
      </c>
      <c r="E28" s="8">
        <f>Capex!K28*(1+E$62)^0.5</f>
        <v>91518.07160587539</v>
      </c>
      <c r="F28" s="8">
        <f>Capex!L28*(1+F$62)^0.5</f>
        <v>231635.44915840097</v>
      </c>
      <c r="G28" s="8">
        <f>Capex!M28*(1+G$62)^0.5</f>
        <v>110183.4854344769</v>
      </c>
    </row>
    <row r="29" spans="1:15" x14ac:dyDescent="0.25">
      <c r="A29" t="str">
        <f>Capex!E29</f>
        <v>VALVE HALL</v>
      </c>
      <c r="B29" s="8">
        <f>Capex!H29*(1+B$62)^0.5</f>
        <v>283194.77105866908</v>
      </c>
      <c r="C29" s="8">
        <f>Capex!I29*(1+C$62)^0.5</f>
        <v>594657.53136936412</v>
      </c>
      <c r="D29" s="8">
        <f>Capex!J29*(1+D$62)^0.5</f>
        <v>4444461.771677834</v>
      </c>
      <c r="E29" s="8">
        <f>Capex!K29*(1+E$62)^0.5</f>
        <v>4582411.5320524098</v>
      </c>
      <c r="F29" s="8">
        <f>Capex!L29*(1+F$62)^0.5</f>
        <v>11598244.312082427</v>
      </c>
      <c r="G29" s="8">
        <f>Capex!M29*(1+G$62)^0.5</f>
        <v>5517009.5417991858</v>
      </c>
    </row>
    <row r="31" spans="1:15" ht="19.5" x14ac:dyDescent="0.3">
      <c r="A31" s="7" t="s">
        <v>37</v>
      </c>
      <c r="B31" s="7"/>
      <c r="C31" s="7"/>
      <c r="D31" s="7"/>
      <c r="E31" s="7"/>
      <c r="F31" s="7"/>
      <c r="G31" s="7"/>
      <c r="H31" s="7"/>
      <c r="I31" s="7" t="s">
        <v>38</v>
      </c>
      <c r="J31" s="7"/>
      <c r="K31" s="7"/>
      <c r="L31" s="7"/>
      <c r="M31" s="7"/>
      <c r="N31" s="7"/>
      <c r="O31" s="7"/>
    </row>
    <row r="32" spans="1:15" ht="17.25" x14ac:dyDescent="0.3">
      <c r="J32" s="2" t="s">
        <v>19</v>
      </c>
      <c r="K32" s="2" t="s">
        <v>20</v>
      </c>
      <c r="L32" s="2" t="s">
        <v>21</v>
      </c>
      <c r="M32" s="2" t="s">
        <v>22</v>
      </c>
      <c r="N32" s="2" t="s">
        <v>0</v>
      </c>
      <c r="O32" s="2" t="s">
        <v>1</v>
      </c>
    </row>
    <row r="33" spans="1:24" x14ac:dyDescent="0.25">
      <c r="A33" t="s">
        <v>24</v>
      </c>
      <c r="B33" s="1">
        <f>SUM(B38:B58)</f>
        <v>0</v>
      </c>
      <c r="C33" s="1">
        <f>SUM(C38:C58)</f>
        <v>8683799.6818288267</v>
      </c>
      <c r="D33" s="1">
        <f>SUM(D38:D58)</f>
        <v>28065339.02906777</v>
      </c>
      <c r="E33" s="1">
        <f t="shared" ref="E33:H33" si="2">SUM(E38:E58)</f>
        <v>167571313.66590935</v>
      </c>
      <c r="F33" s="1">
        <f t="shared" si="2"/>
        <v>327638972.70132256</v>
      </c>
      <c r="G33" s="1">
        <f t="shared" si="2"/>
        <v>722752130.16433418</v>
      </c>
      <c r="H33" s="14">
        <f t="shared" si="2"/>
        <v>976456866.47008049</v>
      </c>
      <c r="J33" s="4">
        <f>SUM(J38:J58)</f>
        <v>131028.45519207501</v>
      </c>
      <c r="K33" s="4">
        <f t="shared" ref="K33:O33" si="3">SUM(K38:K58)</f>
        <v>275135.93352159287</v>
      </c>
      <c r="L33" s="4">
        <f t="shared" si="3"/>
        <v>2056361.9798705063</v>
      </c>
      <c r="M33" s="4">
        <f t="shared" si="3"/>
        <v>2120188.5255670473</v>
      </c>
      <c r="N33" s="4">
        <f t="shared" si="3"/>
        <v>5366271.5221447255</v>
      </c>
      <c r="O33" s="4">
        <f t="shared" si="3"/>
        <v>2552607.9978084266</v>
      </c>
      <c r="X33" s="3">
        <f>C33*0.4</f>
        <v>3473519.872731531</v>
      </c>
    </row>
    <row r="34" spans="1:24" ht="15.75" thickTop="1" x14ac:dyDescent="0.25">
      <c r="X34" s="3">
        <f>X33*J36</f>
        <v>133035.81112561765</v>
      </c>
    </row>
    <row r="35" spans="1:24" x14ac:dyDescent="0.25">
      <c r="J35" s="4">
        <f>SUM(J38:J58)</f>
        <v>131028.45519207501</v>
      </c>
      <c r="K35" s="4">
        <f t="shared" ref="K35:O35" si="4">SUM(K38:K58)</f>
        <v>275135.93352159287</v>
      </c>
      <c r="L35" s="4">
        <f t="shared" si="4"/>
        <v>2056361.9798705063</v>
      </c>
      <c r="M35" s="4">
        <f t="shared" si="4"/>
        <v>2120188.5255670473</v>
      </c>
      <c r="N35" s="4">
        <f t="shared" si="4"/>
        <v>5366271.5221447255</v>
      </c>
      <c r="O35" s="4">
        <f t="shared" si="4"/>
        <v>2552607.9978084266</v>
      </c>
      <c r="X35" s="3">
        <f>SUM(X38:X58)</f>
        <v>239196.65555041874</v>
      </c>
    </row>
    <row r="36" spans="1:24" ht="15.75" thickBot="1" x14ac:dyDescent="0.3">
      <c r="A36" t="s">
        <v>39</v>
      </c>
      <c r="J36" s="9">
        <f>Inputs!C13</f>
        <v>3.8300000000000001E-2</v>
      </c>
      <c r="K36" s="9">
        <f>Inputs!D13</f>
        <v>3.8300000000000001E-2</v>
      </c>
      <c r="L36" s="9">
        <f>Inputs!E13</f>
        <v>3.8300000000000001E-2</v>
      </c>
      <c r="M36" s="9">
        <f>Inputs!F13</f>
        <v>3.8300000000000001E-2</v>
      </c>
      <c r="N36" s="9">
        <f>Inputs!G13</f>
        <v>3.8300000000000001E-2</v>
      </c>
      <c r="O36" s="9">
        <f>Inputs!H13</f>
        <v>3.8300000000000001E-2</v>
      </c>
    </row>
    <row r="37" spans="1:24" ht="18.75" thickTop="1" thickBot="1" x14ac:dyDescent="0.35">
      <c r="A37" s="2" t="s">
        <v>27</v>
      </c>
      <c r="B37" s="2" t="str">
        <f t="shared" ref="B37:H37" si="5">B8</f>
        <v>2000-01</v>
      </c>
      <c r="C37" s="2" t="str">
        <f t="shared" si="5"/>
        <v>2001-02</v>
      </c>
      <c r="D37" s="2" t="str">
        <f t="shared" si="5"/>
        <v>2002-03</v>
      </c>
      <c r="E37" s="2" t="str">
        <f t="shared" si="5"/>
        <v>2003-04</v>
      </c>
      <c r="F37" s="2" t="str">
        <f t="shared" si="5"/>
        <v>2004-05</v>
      </c>
      <c r="G37" s="2" t="str">
        <f t="shared" si="5"/>
        <v>2005-06</v>
      </c>
      <c r="H37" s="2" t="str">
        <f t="shared" si="5"/>
        <v>2006-07</v>
      </c>
      <c r="J37" s="2" t="s">
        <v>19</v>
      </c>
      <c r="K37" s="2" t="s">
        <v>20</v>
      </c>
      <c r="L37" s="2" t="s">
        <v>21</v>
      </c>
      <c r="M37" s="2" t="s">
        <v>22</v>
      </c>
      <c r="N37" s="2" t="s">
        <v>0</v>
      </c>
      <c r="O37" s="2" t="s">
        <v>1</v>
      </c>
    </row>
    <row r="38" spans="1:24" x14ac:dyDescent="0.25">
      <c r="A38" t="str">
        <f t="shared" ref="A38:A58" si="6">A9</f>
        <v>AC FILTERS</v>
      </c>
      <c r="B38" s="10">
        <v>0</v>
      </c>
      <c r="C38" s="8">
        <f>B9+B38+B66+B94+Q38</f>
        <v>109490.31787156266</v>
      </c>
      <c r="D38" s="8">
        <f t="shared" ref="D38:H53" si="7">C9+C38+C66+C94+R38</f>
        <v>353863.86191011826</v>
      </c>
      <c r="E38" s="8">
        <f t="shared" si="7"/>
        <v>2112835.0574263525</v>
      </c>
      <c r="F38" s="8">
        <f t="shared" si="7"/>
        <v>4131059.7414224385</v>
      </c>
      <c r="G38" s="8">
        <f t="shared" si="7"/>
        <v>9112872.6333512254</v>
      </c>
      <c r="H38" s="8">
        <f t="shared" si="7"/>
        <v>12311727.194881946</v>
      </c>
      <c r="J38" s="4">
        <f>B9*40%*J$36</f>
        <v>1652.0817769691723</v>
      </c>
      <c r="K38" s="4">
        <f t="shared" ref="K38:O53" si="8">C9*40%*K$36</f>
        <v>3469.0713654076371</v>
      </c>
      <c r="L38" s="4">
        <f t="shared" si="8"/>
        <v>25927.789111275331</v>
      </c>
      <c r="M38" s="4">
        <f t="shared" si="8"/>
        <v>26732.550740171679</v>
      </c>
      <c r="N38" s="4">
        <f t="shared" si="8"/>
        <v>67661.023546434473</v>
      </c>
      <c r="O38" s="4">
        <f t="shared" si="8"/>
        <v>32184.74300672461</v>
      </c>
      <c r="Q38" s="21">
        <v>1652.0817769691723</v>
      </c>
      <c r="R38" s="21">
        <v>3469.0713654076371</v>
      </c>
      <c r="S38" s="21">
        <v>25927.789111275331</v>
      </c>
      <c r="T38" s="21">
        <v>26732.550740171679</v>
      </c>
      <c r="U38" s="21">
        <v>67661.023546434473</v>
      </c>
      <c r="V38" s="21">
        <v>32184.74300672461</v>
      </c>
      <c r="X38" s="6">
        <f>B9+B38+B66+B94</f>
        <v>107838.23609459348</v>
      </c>
    </row>
    <row r="39" spans="1:24" x14ac:dyDescent="0.25">
      <c r="A39" t="str">
        <f t="shared" si="6"/>
        <v>AC SWITCHYARD</v>
      </c>
      <c r="B39" s="10">
        <v>0</v>
      </c>
      <c r="C39" s="8">
        <f t="shared" ref="C39:C58" si="9">B10+B39+B67+B95+Q39</f>
        <v>64084.036617846898</v>
      </c>
      <c r="D39" s="8">
        <f t="shared" si="7"/>
        <v>207114.42915876783</v>
      </c>
      <c r="E39" s="8">
        <f t="shared" si="7"/>
        <v>1236629.8849037089</v>
      </c>
      <c r="F39" s="8">
        <f t="shared" si="7"/>
        <v>2417884.87681966</v>
      </c>
      <c r="G39" s="8">
        <f t="shared" si="7"/>
        <v>5333710.5497721024</v>
      </c>
      <c r="H39" s="8">
        <f t="shared" si="7"/>
        <v>7205981.2385536497</v>
      </c>
      <c r="J39" s="4">
        <f t="shared" ref="J39:J58" si="10">B10*40%*J$36</f>
        <v>966.95371014597822</v>
      </c>
      <c r="K39" s="4">
        <f t="shared" si="8"/>
        <v>2030.4269887268915</v>
      </c>
      <c r="L39" s="4">
        <f t="shared" si="8"/>
        <v>15175.381888797385</v>
      </c>
      <c r="M39" s="4">
        <f t="shared" si="8"/>
        <v>15646.404118866423</v>
      </c>
      <c r="N39" s="4">
        <f t="shared" si="8"/>
        <v>39601.597610092169</v>
      </c>
      <c r="O39" s="4">
        <f t="shared" si="8"/>
        <v>18837.540062659929</v>
      </c>
      <c r="Q39" s="21">
        <v>966.95371014597822</v>
      </c>
      <c r="R39" s="21">
        <v>2030.4269887268915</v>
      </c>
      <c r="S39" s="21">
        <v>15175.381888797385</v>
      </c>
      <c r="T39" s="21">
        <v>15646.404118866423</v>
      </c>
      <c r="U39" s="21">
        <v>39601.597610092169</v>
      </c>
      <c r="V39" s="21">
        <v>18837.540062659929</v>
      </c>
      <c r="X39" s="6">
        <f t="shared" ref="X39:X58" si="11">(C39*0.4)*J$36</f>
        <v>981.76744098541462</v>
      </c>
    </row>
    <row r="40" spans="1:24" x14ac:dyDescent="0.25">
      <c r="A40" t="str">
        <f t="shared" si="6"/>
        <v>AUXILIARY SYSTEMS</v>
      </c>
      <c r="B40" s="10">
        <v>0</v>
      </c>
      <c r="C40" s="8">
        <f t="shared" si="9"/>
        <v>120503.15520526408</v>
      </c>
      <c r="D40" s="8">
        <f t="shared" si="7"/>
        <v>389456.4624728724</v>
      </c>
      <c r="E40" s="8">
        <f t="shared" si="7"/>
        <v>2325349.8190299585</v>
      </c>
      <c r="F40" s="8">
        <f t="shared" si="7"/>
        <v>4546573.0930363722</v>
      </c>
      <c r="G40" s="8">
        <f t="shared" si="7"/>
        <v>10029470.42852396</v>
      </c>
      <c r="H40" s="8">
        <f t="shared" si="7"/>
        <v>13550074.580567615</v>
      </c>
      <c r="J40" s="4">
        <f t="shared" si="10"/>
        <v>1818.2527062843694</v>
      </c>
      <c r="K40" s="4">
        <f t="shared" si="8"/>
        <v>3818.0001053081937</v>
      </c>
      <c r="L40" s="4">
        <f t="shared" si="8"/>
        <v>28535.67745661689</v>
      </c>
      <c r="M40" s="4">
        <f t="shared" si="8"/>
        <v>29421.384223711077</v>
      </c>
      <c r="N40" s="4">
        <f t="shared" si="8"/>
        <v>74466.555401979072</v>
      </c>
      <c r="O40" s="4">
        <f t="shared" si="8"/>
        <v>35421.97298513991</v>
      </c>
      <c r="Q40" s="21">
        <v>1818.2527062843694</v>
      </c>
      <c r="R40" s="21">
        <v>3818.0001053081937</v>
      </c>
      <c r="S40" s="21">
        <v>28535.67745661689</v>
      </c>
      <c r="T40" s="21">
        <v>29421.384223711077</v>
      </c>
      <c r="U40" s="21">
        <v>74466.555401979072</v>
      </c>
      <c r="V40" s="21">
        <v>35421.97298513991</v>
      </c>
      <c r="X40" s="6">
        <f t="shared" si="11"/>
        <v>1846.1083377446457</v>
      </c>
    </row>
    <row r="41" spans="1:24" x14ac:dyDescent="0.25">
      <c r="A41" t="str">
        <f t="shared" si="6"/>
        <v>BUILDING INSTALLATION</v>
      </c>
      <c r="B41" s="10">
        <v>0</v>
      </c>
      <c r="C41" s="8">
        <f t="shared" si="9"/>
        <v>160565.94316746702</v>
      </c>
      <c r="D41" s="8">
        <f t="shared" si="7"/>
        <v>518936.15659360157</v>
      </c>
      <c r="E41" s="8">
        <f t="shared" si="7"/>
        <v>3098441.5823041755</v>
      </c>
      <c r="F41" s="8">
        <f t="shared" si="7"/>
        <v>6058138.4414349552</v>
      </c>
      <c r="G41" s="8">
        <f t="shared" si="7"/>
        <v>13363893.883799491</v>
      </c>
      <c r="H41" s="8">
        <f t="shared" si="7"/>
        <v>18054967.119427893</v>
      </c>
      <c r="J41" s="4">
        <f t="shared" si="10"/>
        <v>2422.7536632052902</v>
      </c>
      <c r="K41" s="4">
        <f t="shared" si="8"/>
        <v>5087.3422100695207</v>
      </c>
      <c r="L41" s="4">
        <f t="shared" si="8"/>
        <v>38022.721952297594</v>
      </c>
      <c r="M41" s="4">
        <f t="shared" si="8"/>
        <v>39202.893062224459</v>
      </c>
      <c r="N41" s="4">
        <f t="shared" si="8"/>
        <v>99223.897350937463</v>
      </c>
      <c r="O41" s="4">
        <f t="shared" si="8"/>
        <v>47198.452949413484</v>
      </c>
      <c r="Q41" s="21">
        <v>2422.7536632052902</v>
      </c>
      <c r="R41" s="21">
        <v>5087.3422100695207</v>
      </c>
      <c r="S41" s="21">
        <v>38022.721952297594</v>
      </c>
      <c r="T41" s="21">
        <v>39202.893062224459</v>
      </c>
      <c r="U41" s="21">
        <v>99223.897350937463</v>
      </c>
      <c r="V41" s="21">
        <v>47198.452949413484</v>
      </c>
      <c r="X41" s="6">
        <f t="shared" si="11"/>
        <v>2459.8702493255951</v>
      </c>
    </row>
    <row r="42" spans="1:24" x14ac:dyDescent="0.25">
      <c r="A42" t="str">
        <f t="shared" si="6"/>
        <v>CABLE</v>
      </c>
      <c r="B42" s="10">
        <v>0</v>
      </c>
      <c r="C42" s="8">
        <f t="shared" si="9"/>
        <v>5187697.2007481521</v>
      </c>
      <c r="D42" s="8">
        <f t="shared" si="7"/>
        <v>16766218.251649057</v>
      </c>
      <c r="E42" s="8">
        <f t="shared" si="7"/>
        <v>100107011.52508049</v>
      </c>
      <c r="F42" s="8">
        <f t="shared" si="7"/>
        <v>195731343.86037475</v>
      </c>
      <c r="G42" s="8">
        <f t="shared" si="7"/>
        <v>431771728.95110416</v>
      </c>
      <c r="H42" s="8">
        <f t="shared" si="7"/>
        <v>583334800.25316882</v>
      </c>
      <c r="J42" s="4">
        <f t="shared" si="10"/>
        <v>78276.327773964556</v>
      </c>
      <c r="K42" s="4">
        <f t="shared" si="8"/>
        <v>164366.05684743292</v>
      </c>
      <c r="L42" s="4">
        <f t="shared" si="8"/>
        <v>1228469.5268848597</v>
      </c>
      <c r="M42" s="4">
        <f t="shared" si="8"/>
        <v>1266599.47052419</v>
      </c>
      <c r="N42" s="4">
        <f t="shared" si="8"/>
        <v>3205807.6848707148</v>
      </c>
      <c r="O42" s="4">
        <f t="shared" si="8"/>
        <v>1524926.6277465874</v>
      </c>
      <c r="Q42" s="21">
        <v>78276.327773964556</v>
      </c>
      <c r="R42" s="21">
        <v>164366.05684743292</v>
      </c>
      <c r="S42" s="21">
        <v>1228469.5268848597</v>
      </c>
      <c r="T42" s="21">
        <v>1266599.47052419</v>
      </c>
      <c r="U42" s="21">
        <v>3205807.6848707148</v>
      </c>
      <c r="V42" s="21">
        <v>1524926.6277465874</v>
      </c>
      <c r="X42" s="6">
        <f t="shared" si="11"/>
        <v>79475.521115461685</v>
      </c>
    </row>
    <row r="43" spans="1:24" x14ac:dyDescent="0.25">
      <c r="A43" t="str">
        <f t="shared" si="6"/>
        <v>CONTROL SYSTEM</v>
      </c>
      <c r="B43" s="10">
        <v>0</v>
      </c>
      <c r="C43" s="8">
        <f t="shared" si="9"/>
        <v>40197.494323475796</v>
      </c>
      <c r="D43" s="8">
        <f t="shared" si="7"/>
        <v>129915.05419777067</v>
      </c>
      <c r="E43" s="8">
        <f t="shared" si="7"/>
        <v>775691.19241177267</v>
      </c>
      <c r="F43" s="8">
        <f t="shared" si="7"/>
        <v>1516647.8071655803</v>
      </c>
      <c r="G43" s="8">
        <f t="shared" si="7"/>
        <v>3345635.0576988752</v>
      </c>
      <c r="H43" s="8">
        <f t="shared" si="7"/>
        <v>4520039.7044146983</v>
      </c>
      <c r="J43" s="4">
        <f t="shared" si="10"/>
        <v>606.53351951665411</v>
      </c>
      <c r="K43" s="4">
        <f t="shared" si="8"/>
        <v>1273.6101166706358</v>
      </c>
      <c r="L43" s="4">
        <f t="shared" si="8"/>
        <v>9518.9435548388446</v>
      </c>
      <c r="M43" s="4">
        <f t="shared" si="8"/>
        <v>9814.397999014076</v>
      </c>
      <c r="N43" s="4">
        <f t="shared" si="8"/>
        <v>24840.585567746919</v>
      </c>
      <c r="O43" s="4">
        <f t="shared" si="8"/>
        <v>11816.076977993303</v>
      </c>
      <c r="Q43" s="21">
        <v>606.53351951665411</v>
      </c>
      <c r="R43" s="21">
        <v>1273.6101166706358</v>
      </c>
      <c r="S43" s="21">
        <v>9518.9435548388446</v>
      </c>
      <c r="T43" s="21">
        <v>9814.397999014076</v>
      </c>
      <c r="U43" s="21">
        <v>24840.585567746919</v>
      </c>
      <c r="V43" s="21">
        <v>11816.076977993303</v>
      </c>
      <c r="X43" s="6">
        <f t="shared" si="11"/>
        <v>615.82561303564921</v>
      </c>
    </row>
    <row r="44" spans="1:24" x14ac:dyDescent="0.25">
      <c r="A44" t="str">
        <f t="shared" si="6"/>
        <v>CONVERTER TRANSFORMER</v>
      </c>
      <c r="B44" s="10">
        <v>0</v>
      </c>
      <c r="C44" s="8">
        <f t="shared" si="9"/>
        <v>1619157.281042018</v>
      </c>
      <c r="D44" s="8">
        <f t="shared" si="7"/>
        <v>5232985.524633565</v>
      </c>
      <c r="E44" s="8">
        <f t="shared" si="7"/>
        <v>31244883.870788634</v>
      </c>
      <c r="F44" s="8">
        <f t="shared" si="7"/>
        <v>61090657.044123471</v>
      </c>
      <c r="G44" s="8">
        <f t="shared" si="7"/>
        <v>134762364.03667858</v>
      </c>
      <c r="H44" s="8">
        <f t="shared" si="7"/>
        <v>182067447.7644715</v>
      </c>
      <c r="J44" s="4">
        <f t="shared" si="10"/>
        <v>24431.203507823859</v>
      </c>
      <c r="K44" s="4">
        <f t="shared" si="8"/>
        <v>51301.085510986697</v>
      </c>
      <c r="L44" s="4">
        <f t="shared" si="8"/>
        <v>383423.56965379632</v>
      </c>
      <c r="M44" s="4">
        <f t="shared" si="8"/>
        <v>395324.49090657115</v>
      </c>
      <c r="N44" s="4">
        <f t="shared" si="8"/>
        <v>1000580.1521781739</v>
      </c>
      <c r="O44" s="4">
        <f t="shared" si="8"/>
        <v>475952.23021394789</v>
      </c>
      <c r="Q44" s="21">
        <v>24431.203507823859</v>
      </c>
      <c r="R44" s="21">
        <v>51301.085510986697</v>
      </c>
      <c r="S44" s="21">
        <v>383423.56965379632</v>
      </c>
      <c r="T44" s="21">
        <v>395324.49090657115</v>
      </c>
      <c r="U44" s="21">
        <v>1000580.1521781739</v>
      </c>
      <c r="V44" s="21">
        <v>475952.23021394789</v>
      </c>
      <c r="X44" s="6">
        <f t="shared" si="11"/>
        <v>24805.48954556372</v>
      </c>
    </row>
    <row r="45" spans="1:24" x14ac:dyDescent="0.25">
      <c r="A45" t="str">
        <f t="shared" si="6"/>
        <v>DC FILTER</v>
      </c>
      <c r="B45" s="10">
        <v>0</v>
      </c>
      <c r="C45" s="8">
        <f t="shared" si="9"/>
        <v>2388.8796626522762</v>
      </c>
      <c r="D45" s="8">
        <f t="shared" si="7"/>
        <v>7720.6660780389439</v>
      </c>
      <c r="E45" s="8">
        <f t="shared" si="7"/>
        <v>46098.219434756793</v>
      </c>
      <c r="F45" s="8">
        <f t="shared" si="7"/>
        <v>90132.212540125955</v>
      </c>
      <c r="G45" s="8">
        <f t="shared" si="7"/>
        <v>198826.3120003904</v>
      </c>
      <c r="H45" s="8">
        <f t="shared" si="7"/>
        <v>268619.50243378786</v>
      </c>
      <c r="J45" s="4">
        <f t="shared" si="10"/>
        <v>36.045420588418303</v>
      </c>
      <c r="K45" s="4">
        <f t="shared" si="8"/>
        <v>75.688829790712077</v>
      </c>
      <c r="L45" s="4">
        <f t="shared" si="8"/>
        <v>565.69721697328009</v>
      </c>
      <c r="M45" s="4">
        <f t="shared" si="8"/>
        <v>583.25565251283672</v>
      </c>
      <c r="N45" s="4">
        <f t="shared" si="8"/>
        <v>1476.2405137403889</v>
      </c>
      <c r="O45" s="4">
        <f t="shared" si="8"/>
        <v>702.21257469217346</v>
      </c>
      <c r="Q45" s="21">
        <v>36.045420588418303</v>
      </c>
      <c r="R45" s="21">
        <v>75.688829790712077</v>
      </c>
      <c r="S45" s="21">
        <v>565.69721697328009</v>
      </c>
      <c r="T45" s="21">
        <v>583.25565251283672</v>
      </c>
      <c r="U45" s="21">
        <v>1476.2405137403889</v>
      </c>
      <c r="V45" s="21">
        <v>702.21257469217346</v>
      </c>
      <c r="X45" s="6">
        <f t="shared" si="11"/>
        <v>36.597636431832875</v>
      </c>
    </row>
    <row r="46" spans="1:24" x14ac:dyDescent="0.25">
      <c r="A46" t="str">
        <f t="shared" si="6"/>
        <v>DC SWITCHYARD</v>
      </c>
      <c r="B46" s="10">
        <v>0</v>
      </c>
      <c r="C46" s="8">
        <f t="shared" si="9"/>
        <v>13182.225916238256</v>
      </c>
      <c r="D46" s="8">
        <f t="shared" si="7"/>
        <v>42603.889201999089</v>
      </c>
      <c r="E46" s="8">
        <f t="shared" si="7"/>
        <v>254377.46087662264</v>
      </c>
      <c r="F46" s="8">
        <f t="shared" si="7"/>
        <v>497364.18565144279</v>
      </c>
      <c r="G46" s="8">
        <f t="shared" si="7"/>
        <v>1097155.8776517266</v>
      </c>
      <c r="H46" s="8">
        <f t="shared" si="7"/>
        <v>1482286.0364001221</v>
      </c>
      <c r="J46" s="4">
        <f t="shared" si="10"/>
        <v>198.90448433673137</v>
      </c>
      <c r="K46" s="4">
        <f t="shared" si="8"/>
        <v>417.6632541335768</v>
      </c>
      <c r="L46" s="4">
        <f t="shared" si="8"/>
        <v>3121.6091086185811</v>
      </c>
      <c r="M46" s="4">
        <f t="shared" si="8"/>
        <v>3218.4994072957279</v>
      </c>
      <c r="N46" s="4">
        <f t="shared" si="8"/>
        <v>8146.1348861849428</v>
      </c>
      <c r="O46" s="4">
        <f t="shared" si="8"/>
        <v>3874.9230216720898</v>
      </c>
      <c r="Q46" s="21">
        <v>198.90448433673137</v>
      </c>
      <c r="R46" s="21">
        <v>417.6632541335768</v>
      </c>
      <c r="S46" s="21">
        <v>3121.6091086185811</v>
      </c>
      <c r="T46" s="21">
        <v>3218.4994072957279</v>
      </c>
      <c r="U46" s="21">
        <v>8146.1348861849428</v>
      </c>
      <c r="V46" s="21">
        <v>3874.9230216720898</v>
      </c>
      <c r="X46" s="6">
        <f t="shared" si="11"/>
        <v>201.95170103677012</v>
      </c>
    </row>
    <row r="47" spans="1:24" x14ac:dyDescent="0.25">
      <c r="A47" t="str">
        <f t="shared" si="6"/>
        <v>EASEMENT</v>
      </c>
      <c r="B47" s="10">
        <v>0</v>
      </c>
      <c r="C47" s="8">
        <f t="shared" si="9"/>
        <v>68938.333810634329</v>
      </c>
      <c r="D47" s="8">
        <f t="shared" si="7"/>
        <v>222803.12551924624</v>
      </c>
      <c r="E47" s="8">
        <f t="shared" si="7"/>
        <v>1330303.2752770821</v>
      </c>
      <c r="F47" s="8">
        <f t="shared" si="7"/>
        <v>2601037.0686833072</v>
      </c>
      <c r="G47" s="8">
        <f t="shared" si="7"/>
        <v>5737733.4159235917</v>
      </c>
      <c r="H47" s="8">
        <f t="shared" si="7"/>
        <v>7751826.6057265447</v>
      </c>
      <c r="J47" s="4">
        <f t="shared" si="10"/>
        <v>1040.1994188816511</v>
      </c>
      <c r="K47" s="4">
        <f t="shared" si="8"/>
        <v>2184.2296602145352</v>
      </c>
      <c r="L47" s="4">
        <f t="shared" si="8"/>
        <v>16324.900826587751</v>
      </c>
      <c r="M47" s="4">
        <f t="shared" si="8"/>
        <v>16831.602486509186</v>
      </c>
      <c r="N47" s="4">
        <f t="shared" si="8"/>
        <v>42601.37624849072</v>
      </c>
      <c r="O47" s="4">
        <f t="shared" si="8"/>
        <v>20264.463562977086</v>
      </c>
      <c r="Q47" s="21">
        <v>1040.1994188816511</v>
      </c>
      <c r="R47" s="21">
        <v>2184.2296602145352</v>
      </c>
      <c r="S47" s="21">
        <v>16324.900826587751</v>
      </c>
      <c r="T47" s="21">
        <v>16831.602486509186</v>
      </c>
      <c r="U47" s="21">
        <v>42601.37624849072</v>
      </c>
      <c r="V47" s="21">
        <v>20264.463562977086</v>
      </c>
      <c r="X47" s="6">
        <f t="shared" si="11"/>
        <v>1056.1352739789179</v>
      </c>
    </row>
    <row r="48" spans="1:24" x14ac:dyDescent="0.25">
      <c r="A48" t="str">
        <f t="shared" si="6"/>
        <v>FREEHOLD LAND</v>
      </c>
      <c r="B48" s="10">
        <v>0</v>
      </c>
      <c r="C48" s="8">
        <f t="shared" si="9"/>
        <v>21739.514559874304</v>
      </c>
      <c r="D48" s="8">
        <f t="shared" si="7"/>
        <v>70260.354776140288</v>
      </c>
      <c r="E48" s="8">
        <f t="shared" si="7"/>
        <v>419507.49058390246</v>
      </c>
      <c r="F48" s="8">
        <f t="shared" si="7"/>
        <v>820229.90838068281</v>
      </c>
      <c r="G48" s="8">
        <f t="shared" si="7"/>
        <v>1809378.5016444176</v>
      </c>
      <c r="H48" s="8">
        <f t="shared" si="7"/>
        <v>2444517.2670363761</v>
      </c>
      <c r="J48" s="4">
        <f t="shared" si="10"/>
        <v>328.02403484347241</v>
      </c>
      <c r="K48" s="4">
        <f t="shared" si="8"/>
        <v>688.7908348753615</v>
      </c>
      <c r="L48" s="4">
        <f t="shared" si="8"/>
        <v>5148.0127179018491</v>
      </c>
      <c r="M48" s="4">
        <f t="shared" si="8"/>
        <v>5307.7996971408966</v>
      </c>
      <c r="N48" s="4">
        <f t="shared" si="8"/>
        <v>13434.227200337173</v>
      </c>
      <c r="O48" s="4">
        <f t="shared" si="8"/>
        <v>6390.3430257756781</v>
      </c>
      <c r="Q48" s="21">
        <v>328.02403484347241</v>
      </c>
      <c r="R48" s="21">
        <v>688.7908348753615</v>
      </c>
      <c r="S48" s="21">
        <v>5148.0127179018491</v>
      </c>
      <c r="T48" s="21">
        <v>5307.7996971408966</v>
      </c>
      <c r="U48" s="21">
        <v>13434.227200337173</v>
      </c>
      <c r="V48" s="21">
        <v>6390.3430257756781</v>
      </c>
      <c r="X48" s="6">
        <f t="shared" si="11"/>
        <v>333.04936305727438</v>
      </c>
    </row>
    <row r="49" spans="1:24" x14ac:dyDescent="0.25">
      <c r="A49" t="str">
        <f t="shared" si="6"/>
        <v>IN-HOUSE SOFTWARE</v>
      </c>
      <c r="B49" s="10">
        <v>0</v>
      </c>
      <c r="C49" s="8">
        <f t="shared" si="9"/>
        <v>0</v>
      </c>
      <c r="D49" s="8">
        <f t="shared" si="7"/>
        <v>0</v>
      </c>
      <c r="E49" s="8">
        <f t="shared" si="7"/>
        <v>0</v>
      </c>
      <c r="F49" s="8">
        <f t="shared" si="7"/>
        <v>0</v>
      </c>
      <c r="G49" s="8">
        <f t="shared" si="7"/>
        <v>0</v>
      </c>
      <c r="H49" s="8">
        <f t="shared" si="7"/>
        <v>0</v>
      </c>
      <c r="J49" s="4">
        <f t="shared" si="10"/>
        <v>0</v>
      </c>
      <c r="K49" s="4">
        <f t="shared" si="8"/>
        <v>0</v>
      </c>
      <c r="L49" s="4">
        <f t="shared" si="8"/>
        <v>0</v>
      </c>
      <c r="M49" s="4">
        <f t="shared" si="8"/>
        <v>0</v>
      </c>
      <c r="N49" s="4">
        <f t="shared" si="8"/>
        <v>0</v>
      </c>
      <c r="O49" s="4">
        <f t="shared" si="8"/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X49" s="6">
        <f t="shared" si="11"/>
        <v>0</v>
      </c>
    </row>
    <row r="50" spans="1:24" x14ac:dyDescent="0.25">
      <c r="A50" t="str">
        <f t="shared" si="6"/>
        <v>MEASURING DEVICES</v>
      </c>
      <c r="B50" s="10">
        <v>0</v>
      </c>
      <c r="C50" s="8">
        <f t="shared" si="9"/>
        <v>70211.623418337738</v>
      </c>
      <c r="D50" s="8">
        <f t="shared" si="7"/>
        <v>226918.29466543946</v>
      </c>
      <c r="E50" s="8">
        <f t="shared" si="7"/>
        <v>1354873.9494125629</v>
      </c>
      <c r="F50" s="8">
        <f t="shared" si="7"/>
        <v>2649078.1698492141</v>
      </c>
      <c r="G50" s="8">
        <f t="shared" si="7"/>
        <v>5843709.2341140369</v>
      </c>
      <c r="H50" s="8">
        <f t="shared" si="7"/>
        <v>7895002.6837110082</v>
      </c>
      <c r="J50" s="4">
        <f t="shared" si="10"/>
        <v>1059.4118807557561</v>
      </c>
      <c r="K50" s="4">
        <f t="shared" si="8"/>
        <v>2224.5723371180443</v>
      </c>
      <c r="L50" s="4">
        <f t="shared" si="8"/>
        <v>16626.421409118517</v>
      </c>
      <c r="M50" s="4">
        <f t="shared" si="8"/>
        <v>17142.481838277923</v>
      </c>
      <c r="N50" s="4">
        <f t="shared" si="8"/>
        <v>43388.222791664622</v>
      </c>
      <c r="O50" s="4">
        <f t="shared" si="8"/>
        <v>20638.747788228298</v>
      </c>
      <c r="Q50" s="21">
        <v>1059.4118807557561</v>
      </c>
      <c r="R50" s="21">
        <v>2224.5723371180443</v>
      </c>
      <c r="S50" s="21">
        <v>16626.421409118517</v>
      </c>
      <c r="T50" s="21">
        <v>17142.481838277923</v>
      </c>
      <c r="U50" s="21">
        <v>43388.222791664622</v>
      </c>
      <c r="V50" s="21">
        <v>20638.747788228298</v>
      </c>
      <c r="X50" s="6">
        <f t="shared" si="11"/>
        <v>1075.6420707689342</v>
      </c>
    </row>
    <row r="51" spans="1:24" x14ac:dyDescent="0.25">
      <c r="A51" t="str">
        <f t="shared" si="6"/>
        <v>MOTOR VEHICLES</v>
      </c>
      <c r="B51" s="10">
        <v>0</v>
      </c>
      <c r="C51" s="8">
        <f t="shared" si="9"/>
        <v>331.37902786316658</v>
      </c>
      <c r="D51" s="8">
        <f t="shared" si="7"/>
        <v>1070.9902467653437</v>
      </c>
      <c r="E51" s="8">
        <f t="shared" si="7"/>
        <v>6394.6222915022572</v>
      </c>
      <c r="F51" s="8">
        <f t="shared" si="7"/>
        <v>12502.900601339667</v>
      </c>
      <c r="G51" s="8">
        <f t="shared" si="7"/>
        <v>27580.656746500365</v>
      </c>
      <c r="H51" s="8">
        <f t="shared" si="7"/>
        <v>37262.182341477397</v>
      </c>
      <c r="J51" s="4">
        <f t="shared" si="10"/>
        <v>5.0001247950042478</v>
      </c>
      <c r="K51" s="4">
        <f t="shared" si="8"/>
        <v>10.499352993067751</v>
      </c>
      <c r="L51" s="4">
        <f t="shared" si="8"/>
        <v>78.472012113567459</v>
      </c>
      <c r="M51" s="4">
        <f t="shared" si="8"/>
        <v>80.907671552953488</v>
      </c>
      <c r="N51" s="4">
        <f t="shared" si="8"/>
        <v>204.78015447307135</v>
      </c>
      <c r="O51" s="4">
        <f t="shared" si="8"/>
        <v>97.409059147176947</v>
      </c>
      <c r="Q51" s="21">
        <v>5.0001247950042478</v>
      </c>
      <c r="R51" s="21">
        <v>10.499352993067751</v>
      </c>
      <c r="S51" s="21">
        <v>78.472012113567459</v>
      </c>
      <c r="T51" s="21">
        <v>80.907671552953488</v>
      </c>
      <c r="U51" s="21">
        <v>204.78015447307135</v>
      </c>
      <c r="V51" s="21">
        <v>97.409059147176947</v>
      </c>
      <c r="X51" s="6">
        <f t="shared" si="11"/>
        <v>5.0767267068637123</v>
      </c>
    </row>
    <row r="52" spans="1:24" x14ac:dyDescent="0.25">
      <c r="A52" t="str">
        <f t="shared" si="6"/>
        <v>OTHER</v>
      </c>
      <c r="B52" s="10">
        <v>0</v>
      </c>
      <c r="C52" s="8">
        <f t="shared" si="9"/>
        <v>32221.80100532584</v>
      </c>
      <c r="D52" s="8">
        <f t="shared" si="7"/>
        <v>104138.25772995905</v>
      </c>
      <c r="E52" s="8">
        <f t="shared" si="7"/>
        <v>621784.20979038929</v>
      </c>
      <c r="F52" s="8">
        <f t="shared" si="7"/>
        <v>1215725.6232041558</v>
      </c>
      <c r="G52" s="8">
        <f t="shared" si="7"/>
        <v>2681818.5779967182</v>
      </c>
      <c r="H52" s="8">
        <f t="shared" si="7"/>
        <v>3623206.4297292428</v>
      </c>
      <c r="J52" s="4">
        <f t="shared" si="10"/>
        <v>486.18956723160375</v>
      </c>
      <c r="K52" s="4">
        <f t="shared" si="8"/>
        <v>1020.9096966963034</v>
      </c>
      <c r="L52" s="4">
        <f t="shared" si="8"/>
        <v>7630.2642780851065</v>
      </c>
      <c r="M52" s="4">
        <f t="shared" si="8"/>
        <v>7867.0968087335077</v>
      </c>
      <c r="N52" s="4">
        <f t="shared" si="8"/>
        <v>19911.897955098724</v>
      </c>
      <c r="O52" s="4">
        <f t="shared" si="8"/>
        <v>9471.6172601374892</v>
      </c>
      <c r="Q52" s="21">
        <v>486.18956723160375</v>
      </c>
      <c r="R52" s="21">
        <v>1020.9096966963034</v>
      </c>
      <c r="S52" s="21">
        <v>7630.2642780851065</v>
      </c>
      <c r="T52" s="21">
        <v>7867.0968087335077</v>
      </c>
      <c r="U52" s="21">
        <v>19911.897955098724</v>
      </c>
      <c r="V52" s="21">
        <v>9471.6172601374892</v>
      </c>
      <c r="X52" s="6">
        <f t="shared" si="11"/>
        <v>493.63799140159193</v>
      </c>
    </row>
    <row r="53" spans="1:24" x14ac:dyDescent="0.25">
      <c r="A53" t="str">
        <f t="shared" si="6"/>
        <v>OVERHEAD LINES</v>
      </c>
      <c r="B53" s="10">
        <v>0</v>
      </c>
      <c r="C53" s="8">
        <f t="shared" si="9"/>
        <v>747801.00550974021</v>
      </c>
      <c r="D53" s="8">
        <f t="shared" si="7"/>
        <v>2416832.4368220191</v>
      </c>
      <c r="E53" s="8">
        <f t="shared" si="7"/>
        <v>14430318.690580912</v>
      </c>
      <c r="F53" s="8">
        <f t="shared" si="7"/>
        <v>28214463.968223173</v>
      </c>
      <c r="G53" s="8">
        <f t="shared" si="7"/>
        <v>62239433.136874311</v>
      </c>
      <c r="H53" s="8">
        <f t="shared" si="7"/>
        <v>84087087.834508345</v>
      </c>
      <c r="J53" s="4">
        <f t="shared" si="10"/>
        <v>11283.448966246326</v>
      </c>
      <c r="K53" s="4">
        <f t="shared" si="8"/>
        <v>23693.191376793413</v>
      </c>
      <c r="L53" s="4">
        <f t="shared" si="8"/>
        <v>177082.56898843055</v>
      </c>
      <c r="M53" s="4">
        <f t="shared" si="8"/>
        <v>182578.95960070629</v>
      </c>
      <c r="N53" s="4">
        <f t="shared" si="8"/>
        <v>462113.75056189508</v>
      </c>
      <c r="O53" s="4">
        <f t="shared" si="8"/>
        <v>219816.54314616107</v>
      </c>
      <c r="Q53" s="21">
        <v>11283.448966246326</v>
      </c>
      <c r="R53" s="21">
        <v>23693.191376793413</v>
      </c>
      <c r="S53" s="21">
        <v>177082.56898843055</v>
      </c>
      <c r="T53" s="21">
        <v>182578.95960070629</v>
      </c>
      <c r="U53" s="21">
        <v>462113.75056189508</v>
      </c>
      <c r="V53" s="21">
        <v>219816.54314616107</v>
      </c>
      <c r="X53" s="6">
        <f t="shared" si="11"/>
        <v>11456.31140440922</v>
      </c>
    </row>
    <row r="54" spans="1:24" x14ac:dyDescent="0.25">
      <c r="A54" t="str">
        <f t="shared" si="6"/>
        <v>SMOOTHING REACTOR</v>
      </c>
      <c r="B54" s="10">
        <v>0</v>
      </c>
      <c r="C54" s="8">
        <f t="shared" si="9"/>
        <v>16844.664287932716</v>
      </c>
      <c r="D54" s="8">
        <f t="shared" ref="D54:D58" si="12">C25+C54+C82+C110+R54</f>
        <v>54440.594140018176</v>
      </c>
      <c r="E54" s="8">
        <f t="shared" ref="E54:E58" si="13">D25+D54+D82+D110+S54</f>
        <v>325051.54729636188</v>
      </c>
      <c r="F54" s="8">
        <f t="shared" ref="F54:F58" si="14">E25+E54+E82+E110+T54</f>
        <v>635547.65252652881</v>
      </c>
      <c r="G54" s="8">
        <f t="shared" ref="G54:G58" si="15">F25+F54+F82+F110+U54</f>
        <v>1401980.4051309573</v>
      </c>
      <c r="H54" s="8">
        <f t="shared" ref="H54:H58" si="16">G25+G54+G82+G110+V54</f>
        <v>1894111.8761356832</v>
      </c>
      <c r="J54" s="4">
        <f t="shared" si="10"/>
        <v>254.16642722602649</v>
      </c>
      <c r="K54" s="4">
        <f t="shared" ref="K54:K58" si="17">C25*40%*K$36</f>
        <v>533.70328698579021</v>
      </c>
      <c r="L54" s="4">
        <f t="shared" ref="L54:L58" si="18">D25*40%*L$36</f>
        <v>3988.890632503897</v>
      </c>
      <c r="M54" s="4">
        <f t="shared" ref="M54:M58" si="19">E25*40%*M$36</f>
        <v>4112.7001138725655</v>
      </c>
      <c r="N54" s="4">
        <f t="shared" ref="N54:N58" si="20">F25*40%*N$36</f>
        <v>10409.388237912994</v>
      </c>
      <c r="O54" s="4">
        <f t="shared" ref="O54:O58" si="21">G25*40%*O$36</f>
        <v>4951.4989241114781</v>
      </c>
      <c r="Q54" s="21">
        <v>254.16642722602649</v>
      </c>
      <c r="R54" s="21">
        <v>533.70328698579021</v>
      </c>
      <c r="S54" s="21">
        <v>3988.890632503897</v>
      </c>
      <c r="T54" s="21">
        <v>4112.7001138725655</v>
      </c>
      <c r="U54" s="21">
        <v>10409.388237912994</v>
      </c>
      <c r="V54" s="21">
        <v>4951.4989241114781</v>
      </c>
      <c r="X54" s="6">
        <f t="shared" si="11"/>
        <v>258.0602568911292</v>
      </c>
    </row>
    <row r="55" spans="1:24" x14ac:dyDescent="0.25">
      <c r="A55" t="str">
        <f t="shared" si="6"/>
        <v>STATION POWER SUPPLY</v>
      </c>
      <c r="B55" s="10">
        <v>0</v>
      </c>
      <c r="C55" s="8">
        <f t="shared" si="9"/>
        <v>81249.982970657264</v>
      </c>
      <c r="D55" s="8">
        <f t="shared" si="12"/>
        <v>262593.38097689074</v>
      </c>
      <c r="E55" s="8">
        <f t="shared" si="13"/>
        <v>1567881.2133605573</v>
      </c>
      <c r="F55" s="8">
        <f t="shared" si="14"/>
        <v>3065554.4724518252</v>
      </c>
      <c r="G55" s="8">
        <f t="shared" si="15"/>
        <v>6762431.2420218233</v>
      </c>
      <c r="H55" s="8">
        <f t="shared" si="16"/>
        <v>9136219.9358756803</v>
      </c>
      <c r="J55" s="4">
        <f t="shared" si="10"/>
        <v>1225.9679107182656</v>
      </c>
      <c r="K55" s="4">
        <f t="shared" si="17"/>
        <v>2574.30971836252</v>
      </c>
      <c r="L55" s="4">
        <f t="shared" si="18"/>
        <v>19240.35352814569</v>
      </c>
      <c r="M55" s="4">
        <f t="shared" si="19"/>
        <v>19837.546685626232</v>
      </c>
      <c r="N55" s="4">
        <f t="shared" si="20"/>
        <v>50209.526447569726</v>
      </c>
      <c r="O55" s="4">
        <f t="shared" si="21"/>
        <v>23883.480037740745</v>
      </c>
      <c r="Q55" s="21">
        <v>1225.9679107182656</v>
      </c>
      <c r="R55" s="21">
        <v>2574.30971836252</v>
      </c>
      <c r="S55" s="21">
        <v>19240.35352814569</v>
      </c>
      <c r="T55" s="21">
        <v>19837.546685626232</v>
      </c>
      <c r="U55" s="21">
        <v>50209.526447569726</v>
      </c>
      <c r="V55" s="21">
        <v>23883.480037740745</v>
      </c>
      <c r="X55" s="6">
        <f t="shared" si="11"/>
        <v>1244.7497391104694</v>
      </c>
    </row>
    <row r="56" spans="1:24" x14ac:dyDescent="0.25">
      <c r="A56" t="str">
        <f t="shared" si="6"/>
        <v>SWITCHYARD COMPONENTS</v>
      </c>
      <c r="B56" s="10">
        <v>0</v>
      </c>
      <c r="C56" s="8">
        <f t="shared" si="9"/>
        <v>33919.028543428154</v>
      </c>
      <c r="D56" s="8">
        <f t="shared" si="12"/>
        <v>109623.56001830938</v>
      </c>
      <c r="E56" s="8">
        <f t="shared" si="13"/>
        <v>654535.61569221981</v>
      </c>
      <c r="F56" s="8">
        <f t="shared" si="14"/>
        <v>1279761.8639511475</v>
      </c>
      <c r="G56" s="8">
        <f t="shared" si="15"/>
        <v>2823078.7248773384</v>
      </c>
      <c r="H56" s="8">
        <f t="shared" si="16"/>
        <v>3814052.5505823093</v>
      </c>
      <c r="J56" s="4">
        <f t="shared" si="10"/>
        <v>511.79876027786253</v>
      </c>
      <c r="K56" s="4">
        <f t="shared" si="17"/>
        <v>1074.6843460668417</v>
      </c>
      <c r="L56" s="4">
        <f t="shared" si="18"/>
        <v>8032.1752281783047</v>
      </c>
      <c r="M56" s="4">
        <f t="shared" si="19"/>
        <v>8281.4825020252138</v>
      </c>
      <c r="N56" s="4">
        <f t="shared" si="20"/>
        <v>20960.72267907027</v>
      </c>
      <c r="O56" s="4">
        <f t="shared" si="21"/>
        <v>9970.5182880972079</v>
      </c>
      <c r="Q56" s="21">
        <v>511.79876027786253</v>
      </c>
      <c r="R56" s="21">
        <v>1074.6843460668417</v>
      </c>
      <c r="S56" s="21">
        <v>8032.1752281783047</v>
      </c>
      <c r="T56" s="21">
        <v>8281.4825020252138</v>
      </c>
      <c r="U56" s="21">
        <v>20960.72267907027</v>
      </c>
      <c r="V56" s="21">
        <v>9970.5182880972079</v>
      </c>
      <c r="X56" s="6">
        <f t="shared" si="11"/>
        <v>519.63951728531936</v>
      </c>
    </row>
    <row r="57" spans="1:24" x14ac:dyDescent="0.25">
      <c r="A57" t="str">
        <f t="shared" si="6"/>
        <v>VALVE COOLING</v>
      </c>
      <c r="B57" s="10">
        <v>0</v>
      </c>
      <c r="C57" s="8">
        <f t="shared" si="9"/>
        <v>5742.4991890679721</v>
      </c>
      <c r="D57" s="8">
        <f t="shared" si="12"/>
        <v>18559.29345682438</v>
      </c>
      <c r="E57" s="8">
        <f t="shared" si="13"/>
        <v>110813.02748739612</v>
      </c>
      <c r="F57" s="8">
        <f t="shared" si="14"/>
        <v>216663.9724522258</v>
      </c>
      <c r="G57" s="8">
        <f t="shared" si="15"/>
        <v>477947.86538555374</v>
      </c>
      <c r="H57" s="8">
        <f t="shared" si="16"/>
        <v>645719.95777352853</v>
      </c>
      <c r="J57" s="4">
        <f t="shared" si="10"/>
        <v>86.64764564523631</v>
      </c>
      <c r="K57" s="4">
        <f t="shared" si="17"/>
        <v>181.94430238151941</v>
      </c>
      <c r="L57" s="4">
        <f t="shared" si="18"/>
        <v>1359.8490792626922</v>
      </c>
      <c r="M57" s="4">
        <f t="shared" si="19"/>
        <v>1402.0568570020112</v>
      </c>
      <c r="N57" s="4">
        <f t="shared" si="20"/>
        <v>3548.6550811067032</v>
      </c>
      <c r="O57" s="4">
        <f t="shared" si="21"/>
        <v>1688.010996856186</v>
      </c>
      <c r="Q57" s="21">
        <v>86.64764564523631</v>
      </c>
      <c r="R57" s="21">
        <v>181.94430238151941</v>
      </c>
      <c r="S57" s="21">
        <v>1359.8490792626922</v>
      </c>
      <c r="T57" s="21">
        <v>1402.0568570020112</v>
      </c>
      <c r="U57" s="21">
        <v>3548.6550811067032</v>
      </c>
      <c r="V57" s="21">
        <v>1688.010996856186</v>
      </c>
      <c r="X57" s="6">
        <f t="shared" si="11"/>
        <v>87.975087576521332</v>
      </c>
    </row>
    <row r="58" spans="1:24" x14ac:dyDescent="0.25">
      <c r="A58" t="str">
        <f t="shared" si="6"/>
        <v>VALVE HALL</v>
      </c>
      <c r="B58" s="10">
        <v>0</v>
      </c>
      <c r="C58" s="8">
        <f t="shared" si="9"/>
        <v>287533.31495128787</v>
      </c>
      <c r="D58" s="8">
        <f t="shared" si="12"/>
        <v>929284.44482037111</v>
      </c>
      <c r="E58" s="8">
        <f t="shared" si="13"/>
        <v>5548531.4118800219</v>
      </c>
      <c r="F58" s="8">
        <f t="shared" si="14"/>
        <v>10848605.83843012</v>
      </c>
      <c r="G58" s="8">
        <f t="shared" si="15"/>
        <v>23931380.673038445</v>
      </c>
      <c r="H58" s="8">
        <f t="shared" si="16"/>
        <v>32331915.752340328</v>
      </c>
      <c r="J58" s="4">
        <f t="shared" si="10"/>
        <v>4338.5438926188108</v>
      </c>
      <c r="K58" s="4">
        <f t="shared" si="17"/>
        <v>9110.1533805786585</v>
      </c>
      <c r="L58" s="4">
        <f t="shared" si="18"/>
        <v>68089.154342104419</v>
      </c>
      <c r="M58" s="4">
        <f t="shared" si="19"/>
        <v>70202.544671042924</v>
      </c>
      <c r="N58" s="4">
        <f t="shared" si="20"/>
        <v>177685.10286110279</v>
      </c>
      <c r="O58" s="4">
        <f t="shared" si="21"/>
        <v>84520.586180363534</v>
      </c>
      <c r="Q58" s="21">
        <v>4338.5438926188108</v>
      </c>
      <c r="R58" s="21">
        <v>9110.1533805786585</v>
      </c>
      <c r="S58" s="21">
        <v>68089.154342104419</v>
      </c>
      <c r="T58" s="21">
        <v>70202.544671042924</v>
      </c>
      <c r="U58" s="21">
        <v>177685.10286110279</v>
      </c>
      <c r="V58" s="21">
        <v>84520.586180363534</v>
      </c>
      <c r="X58" s="6">
        <f t="shared" si="11"/>
        <v>4405.0103850537307</v>
      </c>
    </row>
    <row r="59" spans="1:24" x14ac:dyDescent="0.25">
      <c r="J59" s="13">
        <f>SUM(H38:H58)</f>
        <v>976456866.47008049</v>
      </c>
      <c r="K59" s="13">
        <v>976456866.47008073</v>
      </c>
      <c r="L59" s="13">
        <f>K59-J59</f>
        <v>0</v>
      </c>
      <c r="O59" s="1">
        <f>SUM(J38:O58)</f>
        <v>12501594.41410438</v>
      </c>
      <c r="V59" s="1">
        <f>SUM(Q38:V58)</f>
        <v>12501594.41410438</v>
      </c>
      <c r="X59" s="20">
        <f>O59-V59</f>
        <v>0</v>
      </c>
    </row>
    <row r="60" spans="1:24" ht="19.5" x14ac:dyDescent="0.3">
      <c r="A60" s="7" t="s">
        <v>40</v>
      </c>
      <c r="B60" s="7"/>
      <c r="C60" s="7"/>
      <c r="D60" s="7"/>
      <c r="E60" s="7"/>
      <c r="F60" s="7"/>
      <c r="G60" s="7"/>
      <c r="H60" s="7"/>
    </row>
    <row r="61" spans="1:24" ht="15.75" thickTop="1" x14ac:dyDescent="0.25"/>
    <row r="62" spans="1:24" x14ac:dyDescent="0.25">
      <c r="A62" t="s">
        <v>32</v>
      </c>
      <c r="B62" s="9">
        <f>Inputs!C10</f>
        <v>9.6250620561782324E-2</v>
      </c>
      <c r="C62" s="9">
        <f>Inputs!D10</f>
        <v>9.9249512065221784E-2</v>
      </c>
      <c r="D62" s="9">
        <f>Inputs!E10</f>
        <v>9.4459032245504712E-2</v>
      </c>
      <c r="E62" s="9">
        <f>Inputs!F10</f>
        <v>9.2999626925783424E-2</v>
      </c>
      <c r="F62" s="9">
        <f>Inputs!G10</f>
        <v>9.1229418010058655E-2</v>
      </c>
      <c r="G62" s="9">
        <f>Inputs!H10</f>
        <v>9.2107539037633371E-2</v>
      </c>
      <c r="H62" s="9"/>
    </row>
    <row r="64" spans="1:24" ht="15.75" thickBot="1" x14ac:dyDescent="0.3"/>
    <row r="65" spans="1:8" ht="18.75" thickTop="1" thickBot="1" x14ac:dyDescent="0.35">
      <c r="A65" s="2" t="str">
        <f t="shared" ref="A65:H65" si="22">A37</f>
        <v>Asset Class</v>
      </c>
      <c r="B65" s="2" t="str">
        <f t="shared" si="22"/>
        <v>2000-01</v>
      </c>
      <c r="C65" s="2" t="str">
        <f t="shared" si="22"/>
        <v>2001-02</v>
      </c>
      <c r="D65" s="2" t="str">
        <f t="shared" si="22"/>
        <v>2002-03</v>
      </c>
      <c r="E65" s="2" t="str">
        <f t="shared" si="22"/>
        <v>2003-04</v>
      </c>
      <c r="F65" s="2" t="str">
        <f t="shared" si="22"/>
        <v>2004-05</v>
      </c>
      <c r="G65" s="2" t="str">
        <f t="shared" si="22"/>
        <v>2005-06</v>
      </c>
      <c r="H65" s="2" t="str">
        <f t="shared" si="22"/>
        <v>2006-07</v>
      </c>
    </row>
    <row r="66" spans="1:8" ht="15.75" thickTop="1" x14ac:dyDescent="0.25">
      <c r="A66" t="str">
        <f t="shared" ref="A66:A86" si="23">A38</f>
        <v>AC FILTERS</v>
      </c>
      <c r="B66" s="1">
        <f t="shared" ref="B66:G75" si="24">B38*B$62</f>
        <v>0</v>
      </c>
      <c r="C66" s="1">
        <f t="shared" si="24"/>
        <v>10866.860624618626</v>
      </c>
      <c r="D66" s="1">
        <f t="shared" si="24"/>
        <v>33425.637942686684</v>
      </c>
      <c r="E66" s="1">
        <f t="shared" si="24"/>
        <v>196492.87209636698</v>
      </c>
      <c r="F66" s="1">
        <f t="shared" si="24"/>
        <v>376874.17597475246</v>
      </c>
      <c r="G66" s="1">
        <f t="shared" si="24"/>
        <v>839364.27182137885</v>
      </c>
    </row>
    <row r="67" spans="1:8" x14ac:dyDescent="0.25">
      <c r="A67" t="str">
        <f t="shared" si="23"/>
        <v>AC SWITCHYARD</v>
      </c>
      <c r="B67" s="1">
        <f t="shared" si="24"/>
        <v>0</v>
      </c>
      <c r="C67" s="1">
        <f t="shared" si="24"/>
        <v>6360.3093654911099</v>
      </c>
      <c r="D67" s="1">
        <f t="shared" si="24"/>
        <v>19563.828542417352</v>
      </c>
      <c r="E67" s="1">
        <f t="shared" si="24"/>
        <v>115006.11794131943</v>
      </c>
      <c r="F67" s="1">
        <f t="shared" si="24"/>
        <v>220582.23012757994</v>
      </c>
      <c r="G67" s="1">
        <f t="shared" si="24"/>
        <v>491274.95267857087</v>
      </c>
    </row>
    <row r="68" spans="1:8" x14ac:dyDescent="0.25">
      <c r="A68" t="str">
        <f t="shared" si="23"/>
        <v>AUXILIARY SYSTEMS</v>
      </c>
      <c r="B68" s="1">
        <f t="shared" si="24"/>
        <v>0</v>
      </c>
      <c r="C68" s="1">
        <f t="shared" si="24"/>
        <v>11959.87935644215</v>
      </c>
      <c r="D68" s="1">
        <f t="shared" si="24"/>
        <v>36787.680546945252</v>
      </c>
      <c r="E68" s="1">
        <f t="shared" si="24"/>
        <v>216256.66564172413</v>
      </c>
      <c r="F68" s="1">
        <f t="shared" si="24"/>
        <v>414781.2172179005</v>
      </c>
      <c r="G68" s="1">
        <f t="shared" si="24"/>
        <v>923789.83902206016</v>
      </c>
    </row>
    <row r="69" spans="1:8" x14ac:dyDescent="0.25">
      <c r="A69" t="str">
        <f t="shared" si="23"/>
        <v>BUILDING INSTALLATION</v>
      </c>
      <c r="B69" s="1">
        <f t="shared" si="24"/>
        <v>0</v>
      </c>
      <c r="C69" s="1">
        <f t="shared" si="24"/>
        <v>15936.091513663234</v>
      </c>
      <c r="D69" s="1">
        <f t="shared" si="24"/>
        <v>49018.207149033296</v>
      </c>
      <c r="E69" s="1">
        <f t="shared" si="24"/>
        <v>288153.91120562237</v>
      </c>
      <c r="F69" s="1">
        <f t="shared" si="24"/>
        <v>552680.44423647481</v>
      </c>
      <c r="G69" s="1">
        <f t="shared" si="24"/>
        <v>1230915.3775968514</v>
      </c>
    </row>
    <row r="70" spans="1:8" x14ac:dyDescent="0.25">
      <c r="A70" t="str">
        <f t="shared" si="23"/>
        <v>CABLE</v>
      </c>
      <c r="B70" s="1">
        <f t="shared" si="24"/>
        <v>0</v>
      </c>
      <c r="C70" s="1">
        <f t="shared" si="24"/>
        <v>514876.41591637098</v>
      </c>
      <c r="D70" s="1">
        <f t="shared" si="24"/>
        <v>1583720.7504676878</v>
      </c>
      <c r="E70" s="1">
        <f t="shared" si="24"/>
        <v>9309914.7244875859</v>
      </c>
      <c r="F70" s="1">
        <f t="shared" si="24"/>
        <v>17856456.586708657</v>
      </c>
      <c r="G70" s="1">
        <f t="shared" si="24"/>
        <v>39769431.379710279</v>
      </c>
    </row>
    <row r="71" spans="1:8" x14ac:dyDescent="0.25">
      <c r="A71" t="str">
        <f t="shared" si="23"/>
        <v>CONTROL SYSTEM</v>
      </c>
      <c r="B71" s="1">
        <f t="shared" si="24"/>
        <v>0</v>
      </c>
      <c r="C71" s="1">
        <f t="shared" si="24"/>
        <v>3989.581697849495</v>
      </c>
      <c r="D71" s="1">
        <f t="shared" si="24"/>
        <v>12271.650293643712</v>
      </c>
      <c r="E71" s="1">
        <f t="shared" si="24"/>
        <v>72138.991503910947</v>
      </c>
      <c r="F71" s="1">
        <f t="shared" si="24"/>
        <v>138362.89677394755</v>
      </c>
      <c r="G71" s="1">
        <f t="shared" si="24"/>
        <v>308158.21168267395</v>
      </c>
    </row>
    <row r="72" spans="1:8" x14ac:dyDescent="0.25">
      <c r="A72" t="str">
        <f t="shared" si="23"/>
        <v>CONVERTER TRANSFORMER</v>
      </c>
      <c r="B72" s="1">
        <f t="shared" si="24"/>
        <v>0</v>
      </c>
      <c r="C72" s="1">
        <f t="shared" si="24"/>
        <v>160700.57010027146</v>
      </c>
      <c r="D72" s="1">
        <f t="shared" si="24"/>
        <v>494302.74841162132</v>
      </c>
      <c r="E72" s="1">
        <f t="shared" si="24"/>
        <v>2905762.5433227709</v>
      </c>
      <c r="F72" s="1">
        <f t="shared" si="24"/>
        <v>5573265.0879874742</v>
      </c>
      <c r="G72" s="1">
        <f t="shared" si="24"/>
        <v>12412629.706312131</v>
      </c>
    </row>
    <row r="73" spans="1:8" x14ac:dyDescent="0.25">
      <c r="A73" t="str">
        <f t="shared" si="23"/>
        <v>DC FILTER</v>
      </c>
      <c r="B73" s="1">
        <f t="shared" si="24"/>
        <v>0</v>
      </c>
      <c r="C73" s="1">
        <f t="shared" si="24"/>
        <v>237.09514090077005</v>
      </c>
      <c r="D73" s="1">
        <f t="shared" si="24"/>
        <v>729.28664602225501</v>
      </c>
      <c r="E73" s="1">
        <f t="shared" si="24"/>
        <v>4287.1172093752803</v>
      </c>
      <c r="F73" s="1">
        <f t="shared" si="24"/>
        <v>8222.7092939946015</v>
      </c>
      <c r="G73" s="1">
        <f t="shared" si="24"/>
        <v>18313.402294284631</v>
      </c>
    </row>
    <row r="74" spans="1:8" x14ac:dyDescent="0.25">
      <c r="A74" t="str">
        <f t="shared" si="23"/>
        <v>DC SWITCHYARD</v>
      </c>
      <c r="B74" s="1">
        <f t="shared" si="24"/>
        <v>0</v>
      </c>
      <c r="C74" s="1">
        <f t="shared" si="24"/>
        <v>1308.3294901201682</v>
      </c>
      <c r="D74" s="1">
        <f t="shared" si="24"/>
        <v>4024.3221439155418</v>
      </c>
      <c r="E74" s="1">
        <f t="shared" si="24"/>
        <v>23657.008959853974</v>
      </c>
      <c r="F74" s="1">
        <f t="shared" si="24"/>
        <v>45374.245196027892</v>
      </c>
      <c r="G74" s="1">
        <f t="shared" si="24"/>
        <v>101056.32783117531</v>
      </c>
    </row>
    <row r="75" spans="1:8" x14ac:dyDescent="0.25">
      <c r="A75" t="str">
        <f t="shared" si="23"/>
        <v>EASEMENT</v>
      </c>
      <c r="B75" s="1">
        <f t="shared" si="24"/>
        <v>0</v>
      </c>
      <c r="C75" s="1">
        <f t="shared" si="24"/>
        <v>6842.095993294839</v>
      </c>
      <c r="D75" s="1">
        <f t="shared" si="24"/>
        <v>21045.767617821715</v>
      </c>
      <c r="E75" s="1">
        <f t="shared" si="24"/>
        <v>123717.7082989164</v>
      </c>
      <c r="F75" s="1">
        <f t="shared" si="24"/>
        <v>237291.09799856707</v>
      </c>
      <c r="G75" s="1">
        <f t="shared" si="24"/>
        <v>528488.50459471566</v>
      </c>
    </row>
    <row r="76" spans="1:8" x14ac:dyDescent="0.25">
      <c r="A76" t="str">
        <f t="shared" si="23"/>
        <v>FREEHOLD LAND</v>
      </c>
      <c r="B76" s="1">
        <f t="shared" ref="B76:G85" si="25">B48*B$62</f>
        <v>0</v>
      </c>
      <c r="C76" s="1">
        <f t="shared" si="25"/>
        <v>2157.6362126023096</v>
      </c>
      <c r="D76" s="1">
        <f t="shared" si="25"/>
        <v>6636.7251173800369</v>
      </c>
      <c r="E76" s="1">
        <f t="shared" si="25"/>
        <v>39014.04011687453</v>
      </c>
      <c r="F76" s="1">
        <f t="shared" si="25"/>
        <v>74829.097176013427</v>
      </c>
      <c r="G76" s="1">
        <f t="shared" si="25"/>
        <v>166657.40097406777</v>
      </c>
    </row>
    <row r="77" spans="1:8" x14ac:dyDescent="0.25">
      <c r="A77" t="str">
        <f t="shared" si="23"/>
        <v>IN-HOUSE SOFTWARE</v>
      </c>
      <c r="B77" s="1">
        <f t="shared" si="25"/>
        <v>0</v>
      </c>
      <c r="C77" s="1">
        <f t="shared" si="25"/>
        <v>0</v>
      </c>
      <c r="D77" s="1">
        <f t="shared" si="25"/>
        <v>0</v>
      </c>
      <c r="E77" s="1">
        <f t="shared" si="25"/>
        <v>0</v>
      </c>
      <c r="F77" s="1">
        <f t="shared" si="25"/>
        <v>0</v>
      </c>
      <c r="G77" s="1">
        <f t="shared" si="25"/>
        <v>0</v>
      </c>
    </row>
    <row r="78" spans="1:8" x14ac:dyDescent="0.25">
      <c r="A78" t="str">
        <f t="shared" si="23"/>
        <v>MEASURING DEVICES</v>
      </c>
      <c r="B78" s="1">
        <f t="shared" si="25"/>
        <v>0</v>
      </c>
      <c r="C78" s="1">
        <f t="shared" si="25"/>
        <v>6968.4693655771198</v>
      </c>
      <c r="D78" s="1">
        <f t="shared" si="25"/>
        <v>21434.482512897685</v>
      </c>
      <c r="E78" s="1">
        <f t="shared" si="25"/>
        <v>126002.77182683111</v>
      </c>
      <c r="F78" s="1">
        <f t="shared" si="25"/>
        <v>241673.85969849513</v>
      </c>
      <c r="G78" s="1">
        <f t="shared" si="25"/>
        <v>538249.67640573729</v>
      </c>
    </row>
    <row r="79" spans="1:8" x14ac:dyDescent="0.25">
      <c r="A79" t="str">
        <f t="shared" si="23"/>
        <v>MOTOR VEHICLES</v>
      </c>
      <c r="B79" s="1">
        <f t="shared" si="25"/>
        <v>0</v>
      </c>
      <c r="C79" s="1">
        <f t="shared" si="25"/>
        <v>32.889206824066818</v>
      </c>
      <c r="D79" s="1">
        <f t="shared" si="25"/>
        <v>101.16470225382865</v>
      </c>
      <c r="E79" s="1">
        <f t="shared" si="25"/>
        <v>594.69748744100821</v>
      </c>
      <c r="F79" s="1">
        <f t="shared" si="25"/>
        <v>1140.6323452978302</v>
      </c>
      <c r="G79" s="1">
        <f t="shared" si="25"/>
        <v>2540.3864179618486</v>
      </c>
    </row>
    <row r="80" spans="1:8" x14ac:dyDescent="0.25">
      <c r="A80" t="str">
        <f t="shared" si="23"/>
        <v>OTHER</v>
      </c>
      <c r="B80" s="1">
        <f t="shared" si="25"/>
        <v>0</v>
      </c>
      <c r="C80" s="1">
        <f t="shared" si="25"/>
        <v>3197.9980276412625</v>
      </c>
      <c r="D80" s="1">
        <f t="shared" si="25"/>
        <v>9836.799044904883</v>
      </c>
      <c r="E80" s="1">
        <f t="shared" si="25"/>
        <v>57825.699538849258</v>
      </c>
      <c r="F80" s="1">
        <f t="shared" si="25"/>
        <v>110909.941064831</v>
      </c>
      <c r="G80" s="1">
        <f t="shared" si="25"/>
        <v>247015.70936468313</v>
      </c>
    </row>
    <row r="81" spans="1:8" x14ac:dyDescent="0.25">
      <c r="A81" t="str">
        <f t="shared" si="23"/>
        <v>OVERHEAD LINES</v>
      </c>
      <c r="B81" s="1">
        <f t="shared" si="25"/>
        <v>0</v>
      </c>
      <c r="C81" s="1">
        <f t="shared" si="25"/>
        <v>74218.884918723939</v>
      </c>
      <c r="D81" s="1">
        <f t="shared" si="25"/>
        <v>228291.65308175283</v>
      </c>
      <c r="E81" s="1">
        <f t="shared" si="25"/>
        <v>1342014.2546441844</v>
      </c>
      <c r="F81" s="1">
        <f t="shared" si="25"/>
        <v>2573989.1272867699</v>
      </c>
      <c r="G81" s="1">
        <f t="shared" si="25"/>
        <v>5732721.0173348226</v>
      </c>
    </row>
    <row r="82" spans="1:8" x14ac:dyDescent="0.25">
      <c r="A82" t="str">
        <f t="shared" si="23"/>
        <v>SMOOTHING REACTOR</v>
      </c>
      <c r="B82" s="1">
        <f t="shared" si="25"/>
        <v>0</v>
      </c>
      <c r="C82" s="1">
        <f t="shared" si="25"/>
        <v>1671.8247114797887</v>
      </c>
      <c r="D82" s="1">
        <f t="shared" si="25"/>
        <v>5142.4058373364114</v>
      </c>
      <c r="E82" s="1">
        <f t="shared" si="25"/>
        <v>30229.672630210302</v>
      </c>
      <c r="F82" s="1">
        <f t="shared" si="25"/>
        <v>57980.642457654205</v>
      </c>
      <c r="G82" s="1">
        <f t="shared" si="25"/>
        <v>129132.9648955967</v>
      </c>
    </row>
    <row r="83" spans="1:8" x14ac:dyDescent="0.25">
      <c r="A83" t="str">
        <f t="shared" si="23"/>
        <v>STATION POWER SUPPLY</v>
      </c>
      <c r="B83" s="1">
        <f t="shared" si="25"/>
        <v>0</v>
      </c>
      <c r="C83" s="1">
        <f t="shared" si="25"/>
        <v>8064.0211651453128</v>
      </c>
      <c r="D83" s="1">
        <f t="shared" si="25"/>
        <v>24804.316641152225</v>
      </c>
      <c r="E83" s="1">
        <f t="shared" si="25"/>
        <v>145812.36790647649</v>
      </c>
      <c r="F83" s="1">
        <f t="shared" si="25"/>
        <v>279668.75039991242</v>
      </c>
      <c r="G83" s="1">
        <f t="shared" si="25"/>
        <v>622870.89961383666</v>
      </c>
    </row>
    <row r="84" spans="1:8" x14ac:dyDescent="0.25">
      <c r="A84" t="str">
        <f t="shared" si="23"/>
        <v>SWITCHYARD COMPONENTS</v>
      </c>
      <c r="B84" s="1">
        <f t="shared" si="25"/>
        <v>0</v>
      </c>
      <c r="C84" s="1">
        <f t="shared" si="25"/>
        <v>3366.4470326615747</v>
      </c>
      <c r="D84" s="1">
        <f t="shared" si="25"/>
        <v>10354.935390636507</v>
      </c>
      <c r="E84" s="1">
        <f t="shared" si="25"/>
        <v>60871.5680690144</v>
      </c>
      <c r="F84" s="1">
        <f t="shared" si="25"/>
        <v>116751.93003973106</v>
      </c>
      <c r="G84" s="1">
        <f t="shared" si="25"/>
        <v>260026.83385795169</v>
      </c>
    </row>
    <row r="85" spans="1:8" x14ac:dyDescent="0.25">
      <c r="A85" t="str">
        <f t="shared" si="23"/>
        <v>VALVE COOLING</v>
      </c>
      <c r="B85" s="1">
        <f t="shared" si="25"/>
        <v>0</v>
      </c>
      <c r="C85" s="1">
        <f t="shared" si="25"/>
        <v>569.94024254992803</v>
      </c>
      <c r="D85" s="1">
        <f t="shared" si="25"/>
        <v>1753.0928990919588</v>
      </c>
      <c r="E85" s="1">
        <f t="shared" si="25"/>
        <v>10305.570214844423</v>
      </c>
      <c r="F85" s="1">
        <f t="shared" si="25"/>
        <v>19766.128110563943</v>
      </c>
      <c r="G85" s="1">
        <f t="shared" si="25"/>
        <v>44022.60166895343</v>
      </c>
    </row>
    <row r="86" spans="1:8" x14ac:dyDescent="0.25">
      <c r="A86" t="str">
        <f t="shared" si="23"/>
        <v>VALVE HALL</v>
      </c>
      <c r="B86" s="1">
        <f t="shared" ref="B86:G86" si="26">B58*B$62</f>
        <v>0</v>
      </c>
      <c r="C86" s="1">
        <f t="shared" si="26"/>
        <v>28537.541211411062</v>
      </c>
      <c r="D86" s="1">
        <f t="shared" si="26"/>
        <v>87779.309338533378</v>
      </c>
      <c r="E86" s="1">
        <f t="shared" si="26"/>
        <v>516011.35129083239</v>
      </c>
      <c r="F86" s="1">
        <f t="shared" si="26"/>
        <v>989711.99686050427</v>
      </c>
      <c r="G86" s="1">
        <f t="shared" si="26"/>
        <v>2204260.5795663535</v>
      </c>
    </row>
    <row r="87" spans="1:8" ht="15.75" thickBot="1" x14ac:dyDescent="0.3"/>
    <row r="88" spans="1:8" ht="21" thickTop="1" thickBot="1" x14ac:dyDescent="0.35">
      <c r="A88" s="7" t="s">
        <v>41</v>
      </c>
      <c r="B88" s="7"/>
      <c r="C88" s="7"/>
      <c r="D88" s="7"/>
      <c r="E88" s="7"/>
      <c r="F88" s="7"/>
      <c r="G88" s="7"/>
      <c r="H88" s="7"/>
    </row>
    <row r="89" spans="1:8" ht="15.75" thickTop="1" x14ac:dyDescent="0.25"/>
    <row r="90" spans="1:8" x14ac:dyDescent="0.25">
      <c r="A90" t="s">
        <v>33</v>
      </c>
      <c r="B90" s="9">
        <f>Inputs!C11</f>
        <v>2.9769959404600588E-2</v>
      </c>
      <c r="C90" s="9">
        <f>Inputs!D11</f>
        <v>3.2851511169513792E-2</v>
      </c>
      <c r="D90" s="9">
        <f>Inputs!E11</f>
        <v>2.0356234096692294E-2</v>
      </c>
      <c r="E90" s="9">
        <f>Inputs!F11</f>
        <v>2.3690773067331472E-2</v>
      </c>
      <c r="F90" s="9">
        <f>Inputs!G11</f>
        <v>2.923264311814866E-2</v>
      </c>
      <c r="G90" s="9">
        <f>Inputs!H11</f>
        <v>2.485207100591702E-2</v>
      </c>
      <c r="H90" s="9">
        <f>Inputs!I18</f>
        <v>0</v>
      </c>
    </row>
    <row r="92" spans="1:8" ht="15.75" thickBot="1" x14ac:dyDescent="0.3"/>
    <row r="93" spans="1:8" ht="18.75" thickTop="1" thickBot="1" x14ac:dyDescent="0.35">
      <c r="A93" s="2" t="str">
        <f t="shared" ref="A93:A114" si="27">A65</f>
        <v>Asset Class</v>
      </c>
      <c r="B93" s="2" t="str">
        <f t="shared" ref="B93:H93" si="28">B65</f>
        <v>2000-01</v>
      </c>
      <c r="C93" s="2" t="str">
        <f t="shared" si="28"/>
        <v>2001-02</v>
      </c>
      <c r="D93" s="2" t="str">
        <f t="shared" si="28"/>
        <v>2002-03</v>
      </c>
      <c r="E93" s="2" t="str">
        <f t="shared" si="28"/>
        <v>2003-04</v>
      </c>
      <c r="F93" s="2" t="str">
        <f t="shared" si="28"/>
        <v>2004-05</v>
      </c>
      <c r="G93" s="2" t="str">
        <f t="shared" si="28"/>
        <v>2005-06</v>
      </c>
      <c r="H93" s="2" t="str">
        <f t="shared" si="28"/>
        <v>2006-07</v>
      </c>
    </row>
    <row r="94" spans="1:8" ht="15.75" thickTop="1" x14ac:dyDescent="0.25">
      <c r="A94" t="str">
        <f t="shared" si="27"/>
        <v>AC FILTERS</v>
      </c>
      <c r="B94" s="1">
        <f t="shared" ref="B94:G103" si="29">B38*B$90</f>
        <v>0</v>
      </c>
      <c r="C94" s="1">
        <f t="shared" si="29"/>
        <v>3596.922400511256</v>
      </c>
      <c r="D94" s="1">
        <f t="shared" si="29"/>
        <v>7203.3356114019625</v>
      </c>
      <c r="E94" s="1">
        <f t="shared" si="29"/>
        <v>50054.69587418998</v>
      </c>
      <c r="F94" s="1">
        <f t="shared" si="29"/>
        <v>120761.79512075362</v>
      </c>
      <c r="G94" s="1">
        <f t="shared" si="29"/>
        <v>226473.75775192268</v>
      </c>
    </row>
    <row r="95" spans="1:8" x14ac:dyDescent="0.25">
      <c r="A95" t="str">
        <f t="shared" si="27"/>
        <v>AC SWITCHYARD</v>
      </c>
      <c r="B95" s="1">
        <f t="shared" si="29"/>
        <v>0</v>
      </c>
      <c r="C95" s="1">
        <f t="shared" si="29"/>
        <v>2105.2574447387283</v>
      </c>
      <c r="D95" s="1">
        <f t="shared" si="29"/>
        <v>4216.0698047586702</v>
      </c>
      <c r="E95" s="1">
        <f t="shared" si="29"/>
        <v>29296.717971534006</v>
      </c>
      <c r="F95" s="1">
        <f t="shared" si="29"/>
        <v>70681.165704837957</v>
      </c>
      <c r="G95" s="1">
        <f t="shared" si="29"/>
        <v>132553.75330794501</v>
      </c>
    </row>
    <row r="96" spans="1:8" x14ac:dyDescent="0.25">
      <c r="A96" t="str">
        <f t="shared" si="27"/>
        <v>AUXILIARY SYSTEMS</v>
      </c>
      <c r="B96" s="1">
        <f t="shared" si="29"/>
        <v>0</v>
      </c>
      <c r="C96" s="1">
        <f t="shared" si="29"/>
        <v>3958.7107491873867</v>
      </c>
      <c r="D96" s="1">
        <f t="shared" si="29"/>
        <v>7927.8669205674478</v>
      </c>
      <c r="E96" s="1">
        <f t="shared" si="29"/>
        <v>55089.33486479905</v>
      </c>
      <c r="F96" s="1">
        <f t="shared" si="29"/>
        <v>132908.34863930958</v>
      </c>
      <c r="G96" s="1">
        <f t="shared" si="29"/>
        <v>249253.11124142245</v>
      </c>
    </row>
    <row r="97" spans="1:7" x14ac:dyDescent="0.25">
      <c r="A97" t="str">
        <f t="shared" si="27"/>
        <v>BUILDING INSTALLATION</v>
      </c>
      <c r="B97" s="1">
        <f t="shared" si="29"/>
        <v>0</v>
      </c>
      <c r="C97" s="1">
        <f t="shared" si="29"/>
        <v>5274.8338754095594</v>
      </c>
      <c r="D97" s="1">
        <f t="shared" si="29"/>
        <v>10563.585884857124</v>
      </c>
      <c r="E97" s="1">
        <f t="shared" si="29"/>
        <v>73404.476388751675</v>
      </c>
      <c r="F97" s="1">
        <f t="shared" si="29"/>
        <v>177095.39901880539</v>
      </c>
      <c r="G97" s="1">
        <f t="shared" si="29"/>
        <v>332120.43971572514</v>
      </c>
    </row>
    <row r="98" spans="1:7" x14ac:dyDescent="0.25">
      <c r="A98" t="str">
        <f t="shared" si="27"/>
        <v>CABLE</v>
      </c>
      <c r="B98" s="1">
        <f t="shared" si="29"/>
        <v>0</v>
      </c>
      <c r="C98" s="1">
        <f t="shared" si="29"/>
        <v>170423.69253443336</v>
      </c>
      <c r="D98" s="1">
        <f t="shared" si="29"/>
        <v>341297.0636468032</v>
      </c>
      <c r="E98" s="1">
        <f t="shared" si="29"/>
        <v>2371612.492489418</v>
      </c>
      <c r="F98" s="1">
        <f t="shared" si="29"/>
        <v>5721744.5221059732</v>
      </c>
      <c r="G98" s="1">
        <f t="shared" si="29"/>
        <v>10730421.666240398</v>
      </c>
    </row>
    <row r="99" spans="1:7" x14ac:dyDescent="0.25">
      <c r="A99" t="str">
        <f t="shared" si="27"/>
        <v>CONTROL SYSTEM</v>
      </c>
      <c r="B99" s="1">
        <f t="shared" si="29"/>
        <v>0</v>
      </c>
      <c r="C99" s="1">
        <f t="shared" si="29"/>
        <v>1320.5484337541322</v>
      </c>
      <c r="D99" s="1">
        <f t="shared" si="29"/>
        <v>2644.5812559342867</v>
      </c>
      <c r="E99" s="1">
        <f t="shared" si="29"/>
        <v>18376.72400975506</v>
      </c>
      <c r="F99" s="1">
        <f t="shared" si="29"/>
        <v>44335.624082794158</v>
      </c>
      <c r="G99" s="1">
        <f t="shared" si="29"/>
        <v>83145.960013817734</v>
      </c>
    </row>
    <row r="100" spans="1:7" x14ac:dyDescent="0.25">
      <c r="A100" t="str">
        <f t="shared" si="27"/>
        <v>CONVERTER TRANSFORMER</v>
      </c>
      <c r="B100" s="1">
        <f t="shared" si="29"/>
        <v>0</v>
      </c>
      <c r="C100" s="1">
        <f t="shared" si="29"/>
        <v>53191.763503351438</v>
      </c>
      <c r="D100" s="1">
        <f t="shared" si="29"/>
        <v>106523.87836404299</v>
      </c>
      <c r="E100" s="1">
        <f t="shared" si="29"/>
        <v>740215.45329797885</v>
      </c>
      <c r="F100" s="1">
        <f t="shared" si="29"/>
        <v>1785841.375224076</v>
      </c>
      <c r="G100" s="1">
        <f t="shared" si="29"/>
        <v>3349123.8399647744</v>
      </c>
    </row>
    <row r="101" spans="1:7" x14ac:dyDescent="0.25">
      <c r="A101" t="str">
        <f t="shared" si="27"/>
        <v>DC FILTER</v>
      </c>
      <c r="B101" s="1">
        <f t="shared" si="29"/>
        <v>0</v>
      </c>
      <c r="C101" s="1">
        <f t="shared" si="29"/>
        <v>78.478306920245586</v>
      </c>
      <c r="D101" s="1">
        <f t="shared" si="29"/>
        <v>157.16368606695193</v>
      </c>
      <c r="E101" s="1">
        <f t="shared" si="29"/>
        <v>1092.1024554368726</v>
      </c>
      <c r="F101" s="1">
        <f t="shared" si="29"/>
        <v>2634.8028026346256</v>
      </c>
      <c r="G101" s="1">
        <f t="shared" si="29"/>
        <v>4941.2456236783137</v>
      </c>
    </row>
    <row r="102" spans="1:7" x14ac:dyDescent="0.25">
      <c r="A102" t="str">
        <f t="shared" si="27"/>
        <v>DC SWITCHYARD</v>
      </c>
      <c r="B102" s="1">
        <f t="shared" si="29"/>
        <v>0</v>
      </c>
      <c r="C102" s="1">
        <f t="shared" si="29"/>
        <v>433.05604192635525</v>
      </c>
      <c r="D102" s="1">
        <f t="shared" si="29"/>
        <v>867.25474202543455</v>
      </c>
      <c r="E102" s="1">
        <f t="shared" si="29"/>
        <v>6026.3986990720568</v>
      </c>
      <c r="F102" s="1">
        <f t="shared" si="29"/>
        <v>14539.269738897261</v>
      </c>
      <c r="G102" s="1">
        <f t="shared" si="29"/>
        <v>27266.595775959915</v>
      </c>
    </row>
    <row r="103" spans="1:7" x14ac:dyDescent="0.25">
      <c r="A103" t="str">
        <f t="shared" si="27"/>
        <v>EASEMENT</v>
      </c>
      <c r="B103" s="1">
        <f t="shared" si="29"/>
        <v>0</v>
      </c>
      <c r="C103" s="1">
        <f t="shared" si="29"/>
        <v>2264.7284431877238</v>
      </c>
      <c r="D103" s="1">
        <f t="shared" si="29"/>
        <v>4535.4325805444932</v>
      </c>
      <c r="E103" s="1">
        <f t="shared" si="29"/>
        <v>31515.913005317143</v>
      </c>
      <c r="F103" s="1">
        <f t="shared" si="29"/>
        <v>76035.188365894646</v>
      </c>
      <c r="G103" s="1">
        <f t="shared" si="29"/>
        <v>142594.55826555591</v>
      </c>
    </row>
    <row r="104" spans="1:7" x14ac:dyDescent="0.25">
      <c r="A104" t="str">
        <f t="shared" si="27"/>
        <v>FREEHOLD LAND</v>
      </c>
      <c r="B104" s="1">
        <f t="shared" ref="B104:G113" si="30">B48*B$90</f>
        <v>0</v>
      </c>
      <c r="C104" s="1">
        <f t="shared" si="30"/>
        <v>714.1759053835184</v>
      </c>
      <c r="D104" s="1">
        <f t="shared" si="30"/>
        <v>1430.2362295397643</v>
      </c>
      <c r="E104" s="1">
        <f t="shared" si="30"/>
        <v>9938.456759468927</v>
      </c>
      <c r="F104" s="1">
        <f t="shared" si="30"/>
        <v>23977.488186524275</v>
      </c>
      <c r="G104" s="1">
        <f t="shared" si="30"/>
        <v>44966.802999446816</v>
      </c>
    </row>
    <row r="105" spans="1:7" x14ac:dyDescent="0.25">
      <c r="A105" t="str">
        <f t="shared" si="27"/>
        <v>IN-HOUSE SOFTWARE</v>
      </c>
      <c r="B105" s="1">
        <f t="shared" si="30"/>
        <v>0</v>
      </c>
      <c r="C105" s="1">
        <f t="shared" si="30"/>
        <v>0</v>
      </c>
      <c r="D105" s="1">
        <f t="shared" si="30"/>
        <v>0</v>
      </c>
      <c r="E105" s="1">
        <f t="shared" si="30"/>
        <v>0</v>
      </c>
      <c r="F105" s="1">
        <f t="shared" si="30"/>
        <v>0</v>
      </c>
      <c r="G105" s="1">
        <f t="shared" si="30"/>
        <v>0</v>
      </c>
    </row>
    <row r="106" spans="1:7" x14ac:dyDescent="0.25">
      <c r="A106" t="str">
        <f t="shared" si="27"/>
        <v>MEASURING DEVICES</v>
      </c>
      <c r="B106" s="1">
        <f t="shared" si="30"/>
        <v>0</v>
      </c>
      <c r="C106" s="1">
        <f t="shared" si="30"/>
        <v>2306.5579309572181</v>
      </c>
      <c r="D106" s="1">
        <f t="shared" si="30"/>
        <v>4619.2019270318879</v>
      </c>
      <c r="E106" s="1">
        <f t="shared" si="30"/>
        <v>32098.011270372168</v>
      </c>
      <c r="F106" s="1">
        <f t="shared" si="30"/>
        <v>77439.556731280478</v>
      </c>
      <c r="G106" s="1">
        <f t="shared" si="30"/>
        <v>145228.27682413501</v>
      </c>
    </row>
    <row r="107" spans="1:7" x14ac:dyDescent="0.25">
      <c r="A107" t="str">
        <f t="shared" si="27"/>
        <v>MOTOR VEHICLES</v>
      </c>
      <c r="B107" s="1">
        <f t="shared" si="30"/>
        <v>0</v>
      </c>
      <c r="C107" s="1">
        <f t="shared" si="30"/>
        <v>10.886301835189439</v>
      </c>
      <c r="D107" s="1">
        <f t="shared" si="30"/>
        <v>21.801328178429582</v>
      </c>
      <c r="E107" s="1">
        <f t="shared" si="30"/>
        <v>151.49354555927914</v>
      </c>
      <c r="F107" s="1">
        <f t="shared" si="30"/>
        <v>365.49283122064872</v>
      </c>
      <c r="G107" s="1">
        <f t="shared" si="30"/>
        <v>685.43643985385131</v>
      </c>
    </row>
    <row r="108" spans="1:7" x14ac:dyDescent="0.25">
      <c r="A108" t="str">
        <f t="shared" si="27"/>
        <v>OTHER</v>
      </c>
      <c r="B108" s="1">
        <f t="shared" si="30"/>
        <v>0</v>
      </c>
      <c r="C108" s="1">
        <f t="shared" si="30"/>
        <v>1058.5348556283125</v>
      </c>
      <c r="D108" s="1">
        <f t="shared" si="30"/>
        <v>2119.8627527727222</v>
      </c>
      <c r="E108" s="1">
        <f t="shared" si="30"/>
        <v>14730.548610994136</v>
      </c>
      <c r="F108" s="1">
        <f t="shared" si="30"/>
        <v>35538.873272715959</v>
      </c>
      <c r="G108" s="1">
        <f t="shared" si="30"/>
        <v>66648.745725361849</v>
      </c>
    </row>
    <row r="109" spans="1:7" x14ac:dyDescent="0.25">
      <c r="A109" t="str">
        <f t="shared" si="27"/>
        <v>OVERHEAD LINES</v>
      </c>
      <c r="B109" s="1">
        <f t="shared" si="30"/>
        <v>0</v>
      </c>
      <c r="C109" s="1">
        <f t="shared" si="30"/>
        <v>24566.393085076874</v>
      </c>
      <c r="D109" s="1">
        <f t="shared" si="30"/>
        <v>49197.606856428305</v>
      </c>
      <c r="E109" s="1">
        <f t="shared" si="30"/>
        <v>341865.40538782423</v>
      </c>
      <c r="F109" s="1">
        <f t="shared" si="30"/>
        <v>824783.3559529325</v>
      </c>
      <c r="G109" s="1">
        <f t="shared" si="30"/>
        <v>1546778.811685625</v>
      </c>
    </row>
    <row r="110" spans="1:7" x14ac:dyDescent="0.25">
      <c r="A110" t="str">
        <f t="shared" si="27"/>
        <v>SMOOTHING REACTOR</v>
      </c>
      <c r="B110" s="1">
        <f t="shared" si="30"/>
        <v>0</v>
      </c>
      <c r="C110" s="1">
        <f t="shared" si="30"/>
        <v>553.37267700173163</v>
      </c>
      <c r="D110" s="1">
        <f t="shared" si="30"/>
        <v>1108.2054786772246</v>
      </c>
      <c r="E110" s="1">
        <f t="shared" si="30"/>
        <v>7700.7224421830724</v>
      </c>
      <c r="F110" s="1">
        <f t="shared" si="30"/>
        <v>18578.737710885169</v>
      </c>
      <c r="G110" s="1">
        <f t="shared" si="30"/>
        <v>34842.116577218861</v>
      </c>
    </row>
    <row r="111" spans="1:7" x14ac:dyDescent="0.25">
      <c r="A111" t="str">
        <f t="shared" si="27"/>
        <v>STATION POWER SUPPLY</v>
      </c>
      <c r="B111" s="1">
        <f t="shared" si="30"/>
        <v>0</v>
      </c>
      <c r="C111" s="1">
        <f t="shared" si="30"/>
        <v>2669.1847230833523</v>
      </c>
      <c r="D111" s="1">
        <f t="shared" si="30"/>
        <v>5345.4123354074927</v>
      </c>
      <c r="E111" s="1">
        <f t="shared" si="30"/>
        <v>37144.318022257285</v>
      </c>
      <c r="F111" s="1">
        <f t="shared" si="30"/>
        <v>89614.259852428688</v>
      </c>
      <c r="G111" s="1">
        <f t="shared" si="30"/>
        <v>168060.42139935799</v>
      </c>
    </row>
    <row r="112" spans="1:7" x14ac:dyDescent="0.25">
      <c r="A112" t="str">
        <f t="shared" si="27"/>
        <v>SWITCHYARD COMPONENTS</v>
      </c>
      <c r="B112" s="1">
        <f t="shared" si="30"/>
        <v>0</v>
      </c>
      <c r="C112" s="1">
        <f t="shared" si="30"/>
        <v>1114.291345053487</v>
      </c>
      <c r="D112" s="1">
        <f t="shared" si="30"/>
        <v>2231.5228502455034</v>
      </c>
      <c r="E112" s="1">
        <f t="shared" si="30"/>
        <v>15506.454735850464</v>
      </c>
      <c r="F112" s="1">
        <f t="shared" si="30"/>
        <v>37410.821845100618</v>
      </c>
      <c r="G112" s="1">
        <f t="shared" si="30"/>
        <v>70159.352925945292</v>
      </c>
    </row>
    <row r="113" spans="1:7" x14ac:dyDescent="0.25">
      <c r="A113" t="str">
        <f t="shared" si="27"/>
        <v>VALVE COOLING</v>
      </c>
      <c r="B113" s="1">
        <f t="shared" si="30"/>
        <v>0</v>
      </c>
      <c r="C113" s="1">
        <f t="shared" si="30"/>
        <v>188.64977625059038</v>
      </c>
      <c r="D113" s="1">
        <f t="shared" si="30"/>
        <v>377.79732227632661</v>
      </c>
      <c r="E113" s="1">
        <f t="shared" si="30"/>
        <v>2625.246287107866</v>
      </c>
      <c r="F113" s="1">
        <f t="shared" si="30"/>
        <v>6333.6605832563091</v>
      </c>
      <c r="G113" s="1">
        <f t="shared" si="30"/>
        <v>11877.994287688251</v>
      </c>
    </row>
    <row r="114" spans="1:7" x14ac:dyDescent="0.25">
      <c r="A114" t="str">
        <f t="shared" si="27"/>
        <v>VALVE HALL</v>
      </c>
      <c r="B114" s="1">
        <f t="shared" ref="B114:G114" si="31">B58*B$90</f>
        <v>0</v>
      </c>
      <c r="C114" s="1">
        <f t="shared" si="31"/>
        <v>9445.9039077295602</v>
      </c>
      <c r="D114" s="1">
        <f t="shared" si="31"/>
        <v>18916.731701178207</v>
      </c>
      <c r="E114" s="1">
        <f t="shared" si="31"/>
        <v>131448.99853580989</v>
      </c>
      <c r="F114" s="1">
        <f t="shared" si="31"/>
        <v>317133.42280429159</v>
      </c>
      <c r="G114" s="1">
        <f t="shared" si="31"/>
        <v>594744.3717559817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D6757-AE1C-4BEC-91A1-57CFCC35A922}">
  <ds:schemaRefs>
    <ds:schemaRef ds:uri="22f559db-fd0e-4983-bd46-a36235db0ac7"/>
    <ds:schemaRef ds:uri="http://www.w3.org/XML/1998/namespace"/>
    <ds:schemaRef ds:uri="http://schemas.microsoft.com/office/infopath/2007/PartnerControls"/>
    <ds:schemaRef ds:uri="http://purl.org/dc/terms/"/>
    <ds:schemaRef ds:uri="58ae7821-a946-4260-8774-bcebb426304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553670-434A-4FB5-9256-16C7DBCA6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F0834-71B7-4E59-9401-4CA5FAEDB1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Capex</vt:lpstr>
      <vt:lpstr>Inputs</vt:lpstr>
      <vt:lpstr>Minor Capex</vt:lpstr>
      <vt:lpstr>RAB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2023-05-16T23:35:37Z</dcterms:created>
  <dcterms:modified xsi:type="dcterms:W3CDTF">2024-10-24T23:50:32Z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2023-08-01T01:00:30Z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fd57a669-e19e-4687-935a-0999964ac598</vt:lpwstr>
  </property>
  <property fmtid="{D5CDD505-2E9C-101B-9397-08002B2CF9AE}" pid="10" name="MSIP_Label_a9c42b93-5bd2-48fe-a993-78d6016bf3ce_ContentBits">
    <vt:lpwstr>0</vt:lpwstr>
  </property>
</Properties>
</file>