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C6AD516E-7548-4921-8E7D-7CC0142A3438}" xr6:coauthVersionLast="47" xr6:coauthVersionMax="47" xr10:uidLastSave="{00000000-0000-0000-0000-000000000000}"/>
  <bookViews>
    <workbookView xWindow="-51720" yWindow="-3630" windowWidth="51840" windowHeight="21240" tabRatio="835" activeTab="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Deferred + re-proposed" sheetId="16" r:id="rId5"/>
    <sheet name="Calc | CESS Revenue Increments" sheetId="4" r:id="rId6"/>
    <sheet name="Output | Models" sheetId="10" r:id="rId7"/>
    <sheet name="Output | Prior Period True-up" sheetId="14" r:id="rId8"/>
  </sheets>
  <externalReferences>
    <externalReference r:id="rId9"/>
    <externalReference r:id="rId10"/>
    <externalReference r:id="rId11"/>
  </externalReferences>
  <definedNames>
    <definedName name="Cash_Timing">'[1]Real 2018 to real 2023'!$D$21:$D$22</definedName>
    <definedName name="dollars">#REF!</definedName>
    <definedName name="factor">#REF!</definedName>
    <definedName name="Index_Period">[2]CPI!$I$5:$AD$5</definedName>
    <definedName name="Mid_Period">#REF!</definedName>
    <definedName name="millions">#REF!</definedName>
    <definedName name="Nominal">#REF!</definedName>
    <definedName name="Nominal_to_Real">'[3]Input|Rate of change'!$C$23:$C$26</definedName>
    <definedName name="number">#REF!</definedName>
    <definedName name="percent" localSheetId="6">'[3]Lookup|Tables'!$G$14</definedName>
    <definedName name="percent">#REF!</definedName>
    <definedName name="thousands">#REF!</definedName>
    <definedName name="Timing_Adj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H9" i="16"/>
  <c r="K15" i="13"/>
  <c r="H15" i="13" l="1"/>
  <c r="G15" i="13"/>
  <c r="G10" i="13"/>
  <c r="C10" i="16" l="1"/>
  <c r="H5" i="14" l="1"/>
  <c r="I5" i="14"/>
  <c r="J5" i="14"/>
  <c r="K5" i="14"/>
  <c r="G5" i="14"/>
  <c r="G21" i="14" l="1"/>
  <c r="H14" i="14"/>
  <c r="G14" i="14"/>
  <c r="K14" i="14"/>
  <c r="J14" i="14"/>
  <c r="I14" i="14"/>
  <c r="D18" i="4" l="1"/>
  <c r="D8" i="4" l="1"/>
  <c r="H13" i="2" l="1"/>
  <c r="G13" i="2" s="1"/>
  <c r="F13" i="2" s="1"/>
  <c r="E13" i="2" s="1"/>
  <c r="D13" i="2" s="1"/>
  <c r="D18" i="2"/>
  <c r="E18" i="2" l="1"/>
  <c r="H14" i="16"/>
  <c r="H6" i="16" s="1"/>
  <c r="G7" i="13"/>
  <c r="F7" i="13" s="1"/>
  <c r="F28" i="3" l="1"/>
  <c r="E14" i="14"/>
  <c r="E12" i="14"/>
  <c r="E11" i="14"/>
  <c r="F18" i="2"/>
  <c r="I14" i="16"/>
  <c r="I6" i="16" s="1"/>
  <c r="F9" i="3"/>
  <c r="F11" i="3"/>
  <c r="F8" i="3"/>
  <c r="M7" i="13"/>
  <c r="L7" i="13"/>
  <c r="H7" i="13"/>
  <c r="I7" i="13"/>
  <c r="J7" i="13"/>
  <c r="K7" i="13"/>
  <c r="G18" i="2" l="1"/>
  <c r="J14" i="16"/>
  <c r="J6" i="16" s="1"/>
  <c r="N7" i="13"/>
  <c r="E7" i="4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G19" i="13"/>
  <c r="N19" i="13"/>
  <c r="H19" i="13"/>
  <c r="I19" i="13"/>
  <c r="J19" i="13"/>
  <c r="K19" i="13"/>
  <c r="H18" i="2" l="1"/>
  <c r="K14" i="16"/>
  <c r="K6" i="16" s="1"/>
  <c r="O7" i="13"/>
  <c r="O19" i="13" s="1"/>
  <c r="H15" i="3"/>
  <c r="I15" i="3"/>
  <c r="I21" i="3" s="1"/>
  <c r="L15" i="3"/>
  <c r="K15" i="3"/>
  <c r="J15" i="3"/>
  <c r="L14" i="16" l="1"/>
  <c r="L6" i="16" s="1"/>
  <c r="P7" i="13"/>
  <c r="P19" i="13" s="1"/>
  <c r="H8" i="4"/>
  <c r="C15" i="13" l="1"/>
  <c r="C10" i="13"/>
  <c r="G8" i="4"/>
  <c r="F8" i="4"/>
  <c r="E8" i="4"/>
  <c r="B1" i="2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C9" i="16" l="1"/>
  <c r="B1" i="10"/>
  <c r="B1" i="16"/>
  <c r="C42" i="4"/>
  <c r="C44" i="4"/>
  <c r="B1" i="5"/>
  <c r="B1" i="3"/>
  <c r="B1" i="13"/>
  <c r="B1" i="4"/>
  <c r="I22" i="13" l="1"/>
  <c r="F9" i="4" s="1"/>
  <c r="I7" i="14"/>
  <c r="I9" i="14" s="1"/>
  <c r="H22" i="13"/>
  <c r="E9" i="4" s="1"/>
  <c r="E11" i="4" s="1"/>
  <c r="H7" i="14"/>
  <c r="H9" i="14" s="1"/>
  <c r="J7" i="14"/>
  <c r="J9" i="14" s="1"/>
  <c r="J22" i="13"/>
  <c r="G9" i="4" s="1"/>
  <c r="K7" i="14"/>
  <c r="K9" i="14" s="1"/>
  <c r="J23" i="14" s="1"/>
  <c r="K22" i="13"/>
  <c r="H9" i="4" s="1"/>
  <c r="G19" i="4" s="1"/>
  <c r="G7" i="14"/>
  <c r="G22" i="13"/>
  <c r="D9" i="4" s="1"/>
  <c r="F19" i="4" l="1"/>
  <c r="E19" i="4" s="1"/>
  <c r="D19" i="4" s="1"/>
  <c r="D21" i="4" s="1"/>
  <c r="I23" i="14"/>
  <c r="H23" i="14" s="1"/>
  <c r="G23" i="14" s="1"/>
  <c r="G25" i="14" s="1"/>
  <c r="H10" i="13"/>
  <c r="I10" i="13" s="1"/>
  <c r="J10" i="13" s="1"/>
  <c r="K10" i="13" s="1"/>
  <c r="G8" i="14"/>
  <c r="G9" i="14"/>
  <c r="I15" i="13" l="1"/>
  <c r="E10" i="4"/>
  <c r="E12" i="4" s="1"/>
  <c r="H8" i="14"/>
  <c r="G15" i="14"/>
  <c r="H16" i="14" l="1"/>
  <c r="H21" i="14" s="1"/>
  <c r="H25" i="14" s="1"/>
  <c r="K16" i="14"/>
  <c r="G24" i="14"/>
  <c r="I16" i="14"/>
  <c r="H15" i="14"/>
  <c r="I8" i="14"/>
  <c r="J16" i="14" s="1"/>
  <c r="G14" i="4"/>
  <c r="H14" i="4"/>
  <c r="E20" i="4"/>
  <c r="F14" i="4"/>
  <c r="J15" i="13"/>
  <c r="F10" i="4"/>
  <c r="J8" i="14" l="1"/>
  <c r="I15" i="14"/>
  <c r="J17" i="14"/>
  <c r="H24" i="14"/>
  <c r="I17" i="14"/>
  <c r="I21" i="14" s="1"/>
  <c r="I25" i="14" s="1"/>
  <c r="G10" i="4"/>
  <c r="K18" i="14" l="1"/>
  <c r="I24" i="14"/>
  <c r="J18" i="14"/>
  <c r="J21" i="14" s="1"/>
  <c r="J25" i="14" s="1"/>
  <c r="K8" i="14"/>
  <c r="K15" i="14" s="1"/>
  <c r="K24" i="14" s="1"/>
  <c r="J15" i="14"/>
  <c r="K17" i="14"/>
  <c r="H10" i="4"/>
  <c r="K19" i="14" l="1"/>
  <c r="K21" i="14" s="1"/>
  <c r="K25" i="14" s="1"/>
  <c r="J24" i="14"/>
  <c r="K26" i="14" l="1"/>
  <c r="J21" i="3" l="1"/>
  <c r="K21" i="3"/>
  <c r="F11" i="4" l="1"/>
  <c r="F12" i="4" s="1"/>
  <c r="F20" i="4" s="1"/>
  <c r="G11" i="4"/>
  <c r="G12" i="4" s="1"/>
  <c r="G15" i="4" l="1"/>
  <c r="H15" i="4"/>
  <c r="G20" i="4"/>
  <c r="H16" i="4"/>
  <c r="L21" i="3" l="1"/>
  <c r="H11" i="4" l="1"/>
  <c r="H12" i="4" l="1"/>
  <c r="H20" i="4" s="1"/>
  <c r="H21" i="3"/>
  <c r="D11" i="4" l="1"/>
  <c r="D12" i="4" s="1"/>
  <c r="D20" i="4" s="1"/>
  <c r="G13" i="4" l="1"/>
  <c r="G18" i="4" s="1"/>
  <c r="G21" i="4" s="1"/>
  <c r="F13" i="4"/>
  <c r="F18" i="4" s="1"/>
  <c r="F21" i="4" s="1"/>
  <c r="H13" i="4"/>
  <c r="H18" i="4" s="1"/>
  <c r="H21" i="4" s="1"/>
  <c r="E13" i="4"/>
  <c r="E18" i="4" s="1"/>
  <c r="E21" i="4" s="1"/>
  <c r="M14" i="13"/>
  <c r="L15" i="13"/>
  <c r="M15" i="13" l="1"/>
  <c r="D35" i="4"/>
  <c r="N14" i="13"/>
  <c r="H8" i="16"/>
  <c r="L10" i="13"/>
  <c r="M9" i="13"/>
  <c r="H10" i="16" l="1"/>
  <c r="M10" i="13"/>
  <c r="I8" i="16"/>
  <c r="N9" i="13"/>
  <c r="O14" i="13"/>
  <c r="N15" i="13"/>
  <c r="I9" i="16" l="1"/>
  <c r="I10" i="16"/>
  <c r="N6" i="14"/>
  <c r="O6" i="14"/>
  <c r="P6" i="14"/>
  <c r="N10" i="13"/>
  <c r="O15" i="13"/>
  <c r="N22" i="13"/>
  <c r="O22" i="13"/>
  <c r="P14" i="13"/>
  <c r="P22" i="13" s="1"/>
  <c r="L6" i="14"/>
  <c r="G31" i="14" s="1"/>
  <c r="D41" i="4"/>
  <c r="E41" i="4" s="1"/>
  <c r="F41" i="4" s="1"/>
  <c r="G41" i="4" s="1"/>
  <c r="H41" i="4" s="1"/>
  <c r="L22" i="13"/>
  <c r="M6" i="14"/>
  <c r="M22" i="13"/>
  <c r="O9" i="13"/>
  <c r="J8" i="16"/>
  <c r="J9" i="16" l="1"/>
  <c r="J10" i="16"/>
  <c r="H31" i="14"/>
  <c r="I31" i="14" s="1"/>
  <c r="J31" i="14" s="1"/>
  <c r="K31" i="14" s="1"/>
  <c r="I33" i="14" s="1"/>
  <c r="F25" i="4"/>
  <c r="O10" i="13"/>
  <c r="E25" i="4"/>
  <c r="H25" i="4"/>
  <c r="D25" i="4"/>
  <c r="D27" i="4" s="1"/>
  <c r="G25" i="4"/>
  <c r="P9" i="13"/>
  <c r="K8" i="16"/>
  <c r="P15" i="13"/>
  <c r="K9" i="16" l="1"/>
  <c r="G33" i="14"/>
  <c r="H33" i="14"/>
  <c r="J33" i="14"/>
  <c r="K33" i="14"/>
  <c r="K10" i="16"/>
  <c r="G27" i="4"/>
  <c r="H27" i="4"/>
  <c r="F27" i="4"/>
  <c r="E27" i="4"/>
  <c r="L8" i="16"/>
  <c r="P10" i="13"/>
  <c r="L9" i="16" l="1"/>
  <c r="L33" i="14"/>
  <c r="L10" i="16"/>
  <c r="H18" i="16" l="1"/>
  <c r="H28" i="16" s="1"/>
  <c r="H27" i="3" s="1"/>
  <c r="H28" i="3" s="1"/>
  <c r="H29" i="3" s="1"/>
  <c r="D26" i="4" s="1"/>
  <c r="D28" i="4" s="1"/>
  <c r="K18" i="16"/>
  <c r="K28" i="16" s="1"/>
  <c r="K27" i="3" s="1"/>
  <c r="K28" i="3" s="1"/>
  <c r="K29" i="3" s="1"/>
  <c r="G26" i="4" s="1"/>
  <c r="G28" i="4" s="1"/>
  <c r="L18" i="16"/>
  <c r="L28" i="16" s="1"/>
  <c r="L27" i="3" s="1"/>
  <c r="L28" i="3" s="1"/>
  <c r="L29" i="3" s="1"/>
  <c r="H26" i="4" s="1"/>
  <c r="H28" i="4" s="1"/>
  <c r="J18" i="16"/>
  <c r="J28" i="16" s="1"/>
  <c r="J27" i="3" s="1"/>
  <c r="J28" i="3" s="1"/>
  <c r="J29" i="3" s="1"/>
  <c r="F26" i="4" s="1"/>
  <c r="F28" i="4" s="1"/>
  <c r="I18" i="16"/>
  <c r="I28" i="16" s="1"/>
  <c r="I27" i="3" s="1"/>
  <c r="I28" i="3" s="1"/>
  <c r="I29" i="3" s="1"/>
  <c r="E26" i="4" s="1"/>
  <c r="E28" i="4" s="1"/>
  <c r="D31" i="4" l="1"/>
  <c r="D34" i="4" s="1"/>
  <c r="D36" i="4" s="1"/>
  <c r="D42" i="4" s="1"/>
  <c r="D33" i="4" l="1"/>
  <c r="E42" i="4"/>
  <c r="J8" i="10"/>
  <c r="F42" i="4" l="1"/>
  <c r="K8" i="10"/>
  <c r="L8" i="10" l="1"/>
  <c r="G42" i="4"/>
  <c r="M8" i="10" l="1"/>
  <c r="H42" i="4"/>
  <c r="N8" i="10" l="1"/>
  <c r="O8" i="10" s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Real, end of year terms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FDFF589F-1CA8-4128-9793-F67EB29C34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2" authorId="0" shapeId="0" xr:uid="{8854E25E-6550-4FB2-9A2E-EA47F69187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<sst xmlns="http://schemas.openxmlformats.org/spreadsheetml/2006/main" count="343" uniqueCount="151">
  <si>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</si>
  <si>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</si>
  <si>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</si>
  <si>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</si>
  <si>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</si>
  <si>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</si>
  <si>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</si>
  <si>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</si>
  <si>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</si>
  <si>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</si>
  <si>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</si>
  <si>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</si>
  <si>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</si>
  <si>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</si>
  <si>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</si>
  <si>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</si>
  <si>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</si>
  <si>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</si>
  <si>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</si>
  <si>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</si>
  <si>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</si>
  <si>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</si>
  <si>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</si>
  <si>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</si>
  <si>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</si>
  <si>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</si>
  <si>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</si>
  <si>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</si>
  <si>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</si>
  <si>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</si>
  <si>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</si>
  <si>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</si>
  <si>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</si>
  <si>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</si>
  <si>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</si>
  <si>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</si>
  <si>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</si>
  <si>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</si>
  <si>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</si>
  <si>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</si>
  <si>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</si>
  <si>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</si>
  <si>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</si>
  <si>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</si>
  <si>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</si>
  <si>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</si>
  <si>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</si>
  <si>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</si>
  <si>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</si>
  <si>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</si>
  <si>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</si>
  <si>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</si>
  <si>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</si>
  <si>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</si>
  <si>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</si>
  <si>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</si>
  <si>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</si>
  <si>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</si>
  <si>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</si>
  <si>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</si>
  <si>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</si>
  <si>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</si>
  <si>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</si>
  <si>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</si>
  <si>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</si>
  <si>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</si>
  <si>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</si>
  <si>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</si>
  <si>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</si>
  <si>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</si>
  <si>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</si>
  <si>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</si>
  <si>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</si>
  <si>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</si>
  <si>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</si>
  <si>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</si>
  <si>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</si>
  <si>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</si>
  <si>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</si>
  <si>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</si>
  <si>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</si>
  <si>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</si>
  <si>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</si>
  <si>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</si>
  <si>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</si>
  <si>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</si>
  <si>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</si>
  <si>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</si>
  <si>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</si>
  <si>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</si>
  <si>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</si>
  <si>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</si>
  <si>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</si>
  <si>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</si>
  <si>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</si>
  <si>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</si>
  <si>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</si>
  <si>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</si>
  <si>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</si>
  <si>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</si>
  <si>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2023-28</t>
  </si>
  <si>
    <t>Transgrid</t>
  </si>
  <si>
    <t>2023-24</t>
  </si>
  <si>
    <t>2018–19</t>
  </si>
  <si>
    <t>2019–20</t>
  </si>
  <si>
    <t>2020–21</t>
  </si>
  <si>
    <t>2021–22</t>
  </si>
  <si>
    <t>2022–23</t>
  </si>
  <si>
    <t>2024–25</t>
  </si>
  <si>
    <t>2025–26</t>
  </si>
  <si>
    <t>2026–27</t>
  </si>
  <si>
    <t>2027–28</t>
  </si>
  <si>
    <t>Real vanilla WACC</t>
  </si>
  <si>
    <t>Forecast real vanilla WACC</t>
  </si>
  <si>
    <t xml:space="preserve">Actual and forecast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</si>
  <si>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</si>
  <si>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</si>
  <si>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</si>
  <si>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</si>
  <si>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</si>
  <si>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Calc | Total CESS Payment Adjustment</t>
  </si>
  <si>
    <t>CESS - Previous Period True-up</t>
  </si>
  <si>
    <t>Calc | NPV of CESS adjustments</t>
  </si>
  <si>
    <t>CESS increments/decrements as per NER 6A.5.4(a)(5) in the previous reset</t>
  </si>
  <si>
    <t>CESS increments as per NER 6A.5.4(a)(5) after final year true-up</t>
  </si>
  <si>
    <t>CESS Payment Adjustment Per Year ($2022-23)</t>
  </si>
  <si>
    <t>2022-23</t>
  </si>
  <si>
    <t>AER draft decision amendments</t>
  </si>
  <si>
    <t>1337 - Replacement of Various Circuit Breakers</t>
  </si>
  <si>
    <t>Input | Deferred and re-proposed projects</t>
  </si>
  <si>
    <t>Total deferred and re-proposed capex</t>
  </si>
  <si>
    <t>Projects forecast in nominal dollars</t>
  </si>
  <si>
    <t>Project EnergyConnect</t>
  </si>
  <si>
    <t>Projects forecast in real dollars</t>
  </si>
  <si>
    <t>Input | Inflation conversion</t>
  </si>
  <si>
    <t>Forecast inflation</t>
  </si>
  <si>
    <t>Input | Deferred and re-proposed capex</t>
  </si>
  <si>
    <t>Input | Deferred + re-proposed</t>
  </si>
  <si>
    <t>Inputs any capex deferred from the prior regulatory control period and re-proposed for the forecast period</t>
  </si>
  <si>
    <t>Supply to Strathnairn area  (EVOEnergy)</t>
  </si>
  <si>
    <t>Condition of  AusGrid cables 9SA and 92P</t>
  </si>
  <si>
    <t>Wallerwang Secondary Systems Renewal</t>
  </si>
  <si>
    <t xml:space="preserve">Regentville Secondary Systems Renewal </t>
  </si>
  <si>
    <t>FY22</t>
  </si>
  <si>
    <t>Commercial in Confidence</t>
  </si>
  <si>
    <t>Output | Prior Period True-up</t>
  </si>
  <si>
    <t>Outputs the adjustment for the true-up for difference between actual and estimated capex in 2018-19</t>
  </si>
  <si>
    <t>Transgrid revised proposal amendments to AER's draft decision</t>
  </si>
  <si>
    <t>AER final decision amendments</t>
  </si>
  <si>
    <t>c-i-c</t>
  </si>
  <si>
    <t>Amendments to Transgrid’s 2023–28 Revenue Determination for Humelink Early Works Contingent Project (Stage 1 Part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</si>
</sst>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3" formatCode="_-* #,##0.00_-;\-* #,##0.00_-;_-* &quot;-&quot;??_-;_-@_-"/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_-* #,##0.000_-;\-* #,##0.000_-;_-* &quot;-&quot;??_-;_-@_-"/>
    <numFmt numFmtId="227" formatCode="[Red]\●;[Red]\●;[Color10]\●"/>
    <numFmt numFmtId="228" formatCode="_(#,##0.00%_);\(#,##0.00%\);_(&quot;-&quot;_)"/>
  </numFmts>
  <fonts count="2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  <font>
      <sz val="18"/>
      <color theme="3"/>
      <name val="Arial"/>
      <family val="2"/>
    </font>
    <font>
      <b/>
      <sz val="14"/>
      <color theme="0"/>
      <name val="Arial"/>
      <family val="2"/>
    </font>
    <font>
      <b/>
      <sz val="11"/>
      <color theme="3"/>
      <name val="Arial"/>
      <family val="2"/>
    </font>
    <font>
      <sz val="10"/>
      <color theme="1"/>
      <name val="Helvetica"/>
      <family val="2"/>
    </font>
    <font>
      <sz val="8"/>
      <color theme="1"/>
      <name val="Helvetica"/>
      <family val="2"/>
    </font>
  </fonts>
  <fills count="1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87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27" fontId="36" fillId="0" borderId="0">
      <alignment vertical="center"/>
    </xf>
    <xf numFmtId="0" fontId="204" fillId="0" borderId="0" applyNumberFormat="0" applyFill="0" applyBorder="0" applyAlignment="0" applyProtection="0"/>
    <xf numFmtId="0" fontId="205" fillId="102" borderId="0" applyNumberFormat="0" applyBorder="0">
      <alignment vertical="center"/>
    </xf>
    <xf numFmtId="0" fontId="206" fillId="0" borderId="0" applyNumberFormat="0" applyFill="0" applyBorder="0">
      <alignment vertical="center"/>
    </xf>
    <xf numFmtId="0" fontId="23" fillId="0" borderId="0" applyFill="0" applyBorder="0">
      <alignment vertical="center"/>
    </xf>
    <xf numFmtId="228" fontId="23" fillId="103" borderId="18">
      <alignment vertical="center"/>
      <protection locked="0"/>
    </xf>
    <xf numFmtId="186" fontId="79" fillId="0" borderId="0" applyFill="0" applyBorder="0">
      <alignment vertical="center"/>
    </xf>
    <xf numFmtId="0" fontId="23" fillId="103" borderId="18">
      <alignment vertical="center"/>
      <protection locked="0"/>
    </xf>
    <xf numFmtId="186" fontId="79" fillId="103" borderId="18">
      <alignment vertical="center"/>
      <protection locked="0"/>
    </xf>
    <xf numFmtId="43" fontId="11" fillId="0" borderId="0" applyFont="0" applyFill="0" applyBorder="0" applyAlignment="0" applyProtection="0"/>
    <xf numFmtId="0" fontId="207" fillId="0" borderId="0" applyFill="0" applyBorder="0">
      <alignment vertical="center"/>
    </xf>
  </cellStyleXfs>
  <cellXfs count="23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8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10" fontId="194" fillId="3" borderId="0" xfId="0" applyNumberFormat="1" applyFont="1" applyFill="1" applyAlignment="1">
      <alignment horizontal="left" vertical="center"/>
    </xf>
    <xf numFmtId="0" fontId="195" fillId="3" borderId="0" xfId="0" applyFont="1" applyFill="1" applyAlignment="1">
      <alignment horizontal="left" vertical="center"/>
    </xf>
    <xf numFmtId="0" fontId="193" fillId="3" borderId="0" xfId="0" applyFont="1" applyFill="1" applyAlignment="1">
      <alignment vertical="center"/>
    </xf>
    <xf numFmtId="0" fontId="196" fillId="3" borderId="0" xfId="0" applyFont="1" applyFill="1" applyAlignment="1">
      <alignment horizontal="center" vertical="center"/>
    </xf>
    <xf numFmtId="0" fontId="197" fillId="3" borderId="0" xfId="0" applyFont="1" applyFill="1"/>
    <xf numFmtId="0" fontId="119" fillId="0" borderId="0" xfId="0" applyFont="1"/>
    <xf numFmtId="10" fontId="0" fillId="0" borderId="0" xfId="268" applyNumberFormat="1" applyFont="1"/>
    <xf numFmtId="0" fontId="12" fillId="0" borderId="0" xfId="3" applyFont="1"/>
    <xf numFmtId="168" fontId="18" fillId="0" borderId="0" xfId="3" applyNumberFormat="1" applyFont="1" applyAlignment="1">
      <alignment horizontal="center" wrapText="1"/>
    </xf>
    <xf numFmtId="0" fontId="14" fillId="0" borderId="0" xfId="3" applyFont="1"/>
    <xf numFmtId="0" fontId="18" fillId="0" borderId="0" xfId="3" applyFont="1" applyAlignment="1">
      <alignment vertical="center"/>
    </xf>
    <xf numFmtId="0" fontId="15" fillId="0" borderId="0" xfId="3" applyAlignment="1">
      <alignment wrapText="1"/>
    </xf>
    <xf numFmtId="170" fontId="22" fillId="3" borderId="0" xfId="0" applyNumberFormat="1" applyFont="1" applyFill="1" applyAlignment="1">
      <alignment horizontal="left" vertical="center"/>
    </xf>
    <xf numFmtId="164" fontId="199" fillId="3" borderId="2" xfId="302" applyFont="1" applyFill="1" applyBorder="1" applyAlignment="1" applyProtection="1">
      <alignment horizontal="left" vertical="center"/>
    </xf>
    <xf numFmtId="0" fontId="0" fillId="0" borderId="65" xfId="0" applyBorder="1"/>
    <xf numFmtId="10" fontId="0" fillId="0" borderId="65" xfId="268" applyNumberFormat="1" applyFont="1" applyBorder="1"/>
    <xf numFmtId="226" fontId="0" fillId="0" borderId="65" xfId="302" applyNumberFormat="1" applyFont="1" applyBorder="1"/>
    <xf numFmtId="164" fontId="0" fillId="53" borderId="65" xfId="302" applyFont="1" applyFill="1" applyBorder="1"/>
    <xf numFmtId="164" fontId="0" fillId="0" borderId="65" xfId="302" applyFont="1" applyBorder="1"/>
    <xf numFmtId="164" fontId="198" fillId="0" borderId="65" xfId="302" applyFont="1" applyBorder="1"/>
    <xf numFmtId="164" fontId="0" fillId="0" borderId="66" xfId="302" applyFont="1" applyBorder="1"/>
    <xf numFmtId="164" fontId="0" fillId="0" borderId="20" xfId="302" applyFont="1" applyBorder="1"/>
    <xf numFmtId="0" fontId="0" fillId="0" borderId="20" xfId="0" applyBorder="1"/>
    <xf numFmtId="0" fontId="200" fillId="3" borderId="0" xfId="0" applyFont="1" applyFill="1"/>
    <xf numFmtId="164" fontId="17" fillId="0" borderId="0" xfId="302" applyFont="1" applyProtection="1"/>
    <xf numFmtId="170" fontId="201" fillId="0" borderId="0" xfId="3" applyNumberFormat="1" applyFont="1" applyAlignment="1">
      <alignment horizontal="center"/>
    </xf>
    <xf numFmtId="170" fontId="202" fillId="0" borderId="0" xfId="3" applyNumberFormat="1" applyFont="1" applyAlignment="1">
      <alignment horizontal="right"/>
    </xf>
    <xf numFmtId="164" fontId="203" fillId="0" borderId="0" xfId="302" applyFont="1" applyProtection="1"/>
    <xf numFmtId="164" fontId="203" fillId="0" borderId="0" xfId="302" applyFont="1" applyBorder="1" applyProtection="1"/>
    <xf numFmtId="170" fontId="202" fillId="0" borderId="0" xfId="3" applyNumberFormat="1" applyFont="1" applyAlignment="1">
      <alignment horizontal="center"/>
    </xf>
    <xf numFmtId="10" fontId="0" fillId="0" borderId="65" xfId="268" applyNumberFormat="1" applyFont="1" applyFill="1" applyBorder="1"/>
    <xf numFmtId="10" fontId="0" fillId="55" borderId="65" xfId="268" applyNumberFormat="1" applyFont="1" applyFill="1" applyBorder="1"/>
    <xf numFmtId="10" fontId="24" fillId="53" borderId="26" xfId="0" applyNumberFormat="1" applyFont="1" applyFill="1" applyBorder="1" applyAlignment="1">
      <alignment horizontal="center" vertical="center"/>
    </xf>
    <xf numFmtId="0" fontId="101" fillId="101" borderId="0" xfId="265" applyFont="1" applyFill="1" applyAlignment="1">
      <alignment horizontal="center" vertical="center" wrapText="1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7" fillId="3" borderId="0" xfId="0" applyNumberFormat="1" applyFont="1" applyFill="1" applyAlignment="1" applyProtection="1">
      <alignment horizontal="left" vertical="center" wrapText="1" indent="1"/>
      <protection locked="0"/>
    </xf>
    <xf numFmtId="0" fontId="101" fillId="104" borderId="0" xfId="265" applyFont="1" applyFill="1" applyAlignment="1">
      <alignment horizontal="center" vertical="center" wrapText="1"/>
    </xf>
    <xf numFmtId="2" fontId="24" fillId="104" borderId="24" xfId="1" applyNumberFormat="1" applyFont="1" applyFill="1" applyBorder="1" applyAlignment="1">
      <alignment horizontal="center" vertical="center"/>
    </xf>
    <xf numFmtId="2" fontId="24" fillId="105" borderId="24" xfId="1" applyNumberFormat="1" applyFont="1" applyFill="1" applyBorder="1" applyAlignment="1">
      <alignment horizontal="center" vertical="center"/>
    </xf>
    <xf numFmtId="0" fontId="13" fillId="104" borderId="0" xfId="2" quotePrefix="1" applyFont="1" applyFill="1" applyBorder="1" applyAlignment="1">
      <alignment horizontal="left"/>
    </xf>
    <xf numFmtId="0" fontId="14" fillId="104" borderId="0" xfId="0" applyFont="1" applyFill="1" applyAlignment="1">
      <alignment horizontal="left"/>
    </xf>
    <xf numFmtId="10" fontId="24" fillId="101" borderId="26" xfId="0" applyNumberFormat="1" applyFont="1" applyFill="1" applyBorder="1" applyAlignment="1">
      <alignment horizontal="center" vertical="center"/>
    </xf>
    <xf numFmtId="10" fontId="24" fillId="104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left" vertical="center"/>
      <protection locked="0"/>
    </xf>
    <xf numFmtId="0" fontId="24" fillId="104" borderId="24" xfId="1" applyFont="1" applyFill="1" applyBorder="1" applyAlignment="1">
      <alignment horizontal="center" vertical="center"/>
    </xf>
    <xf numFmtId="2" fontId="24" fillId="106" borderId="24" xfId="1" applyNumberFormat="1" applyFont="1" applyFill="1" applyBorder="1" applyAlignment="1">
      <alignment horizontal="center" vertical="center"/>
    </xf>
    <xf numFmtId="0" fontId="208" fillId="106" borderId="0" xfId="45874" applyFont="1" applyFill="1" applyBorder="1" applyAlignment="1">
      <alignment horizontal="centerContinuous" vertical="center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100" fillId="107" borderId="0" xfId="0" applyFont="1" applyFill="1" applyAlignment="1">
      <alignment horizontal="center" vertical="center" wrapText="1"/>
    </xf>
    <xf numFmtId="10" fontId="24" fillId="107" borderId="26" xfId="0" applyNumberFormat="1" applyFont="1" applyFill="1" applyBorder="1" applyAlignment="1">
      <alignment horizontal="center" vertical="center"/>
    </xf>
    <xf numFmtId="0" fontId="195" fillId="0" borderId="0" xfId="0" applyFont="1" applyAlignment="1">
      <alignment horizontal="left" vertical="center"/>
    </xf>
    <xf numFmtId="0" fontId="3" fillId="0" borderId="0" xfId="0" applyFont="1"/>
    <xf numFmtId="2" fontId="24" fillId="108" borderId="24" xfId="1" applyNumberFormat="1" applyFont="1" applyFill="1" applyBorder="1" applyAlignment="1">
      <alignment horizontal="center" vertical="center"/>
    </xf>
    <xf numFmtId="2" fontId="24" fillId="107" borderId="24" xfId="1" applyNumberFormat="1" applyFont="1" applyFill="1" applyBorder="1" applyAlignment="1">
      <alignment horizontal="center" vertical="center"/>
    </xf>
    <xf numFmtId="2" fontId="91" fillId="3" borderId="0" xfId="0" applyNumberFormat="1" applyFont="1" applyFill="1"/>
    <xf numFmtId="2" fontId="3" fillId="3" borderId="0" xfId="0" applyNumberFormat="1" applyFont="1" applyFill="1" applyAlignment="1">
      <alignment horizontal="center" vertical="center"/>
    </xf>
    <xf numFmtId="43" fontId="3" fillId="3" borderId="0" xfId="0" applyNumberFormat="1" applyFont="1" applyFill="1" applyAlignment="1">
      <alignment horizontal="center" vertical="center"/>
    </xf>
    <xf numFmtId="0" fontId="24" fillId="109" borderId="24" xfId="1" applyFont="1" applyFill="1" applyBorder="1" applyAlignment="1">
      <alignment horizontal="center" vertical="center" wrapText="1"/>
    </xf>
    <xf numFmtId="2" fontId="24" fillId="110" borderId="24" xfId="1" applyNumberFormat="1" applyFont="1" applyFill="1" applyBorder="1" applyAlignment="1">
      <alignment horizontal="center" vertical="center"/>
    </xf>
    <xf numFmtId="0" fontId="101" fillId="0" borderId="0" xfId="265" applyFont="1" applyAlignment="1">
      <alignment horizontal="center" vertical="center" wrapText="1"/>
    </xf>
    <xf numFmtId="0" fontId="101" fillId="104" borderId="0" xfId="265" applyFont="1" applyFill="1" applyAlignment="1">
      <alignment horizontal="center" vertical="center" wrapText="1"/>
    </xf>
    <xf numFmtId="0" fontId="101" fillId="109" borderId="0" xfId="265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</cellXfs>
  <cellStyles count="4587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3" xfId="45864" xr:uid="{A61198BE-E454-42A8-B62B-3788D3ECAB26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15" xfId="45873" xr:uid="{9C6901FD-C1BA-41D4-A02B-AF722FBFAE22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2 5" xfId="45866" xr:uid="{B1F1FF6D-BC56-4D13-ACB5-1DCA1D46C479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2 6" xfId="45867" xr:uid="{64AF4C64-2485-4165-9A07-283CF2B0856D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 Output" xfId="45874" xr:uid="{4BA87A65-8B2E-4947-9269-88C6EC215EAA}"/>
    <cellStyle name="Heading 4." xfId="649" xr:uid="{00000000-0005-0000-0000-000061740000}"/>
    <cellStyle name="Heading 4. 2" xfId="706" xr:uid="{00000000-0005-0000-0000-000062740000}"/>
    <cellStyle name="Heading 5" xfId="45868" xr:uid="{335AF3D4-E0FE-46C2-9A33-E9D345CE436D}"/>
    <cellStyle name="Heading 5 Assumptions" xfId="45871" xr:uid="{7A267491-0F78-4A65-95AD-9CBC0527270B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2" xfId="45870" xr:uid="{3DD46DFC-88B4-4331-9B23-15BC8D1092ED}"/>
    <cellStyle name="Number Assumptions" xfId="45872" xr:uid="{29DA3F94-662E-462B-8A3B-594B3C8F8E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Assumptions" xfId="45869" xr:uid="{BD68CBBA-BE3A-4655-AE39-B2E629AC2629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2 3" xfId="45865" xr:uid="{D1AC7A94-A4BB-4872-8B85-09F3D0B44549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FF99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hi/Work%20Folders/Desktop/CPI%20series%20for%202023%20Transmission%20resets%20-%20Feb%202022%20-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606_TransGrid_reset_modelling_support_202328/Working/Analysis/CESS/data%20source/CESS_Transgrid-IR001-CESS%20AER%20Capex%20Deferrals_Attachment%20A-20220310-PUBLIC_Miche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 series"/>
      <sheetName val="Data1"/>
      <sheetName val="real 2018 to nominal"/>
      <sheetName val="Nominal to real 2023"/>
      <sheetName val="Real 2018 to real 2023"/>
      <sheetName val="TG Real 2018 to real 2023"/>
    </sheetNames>
    <sheetDataSet>
      <sheetData sheetId="0"/>
      <sheetData sheetId="1"/>
      <sheetData sheetId="2"/>
      <sheetData sheetId="3"/>
      <sheetData sheetId="4">
        <row r="5">
          <cell r="I5" t="str">
            <v>Nominal</v>
          </cell>
        </row>
        <row r="21">
          <cell r="D21" t="str">
            <v>Mid Period</v>
          </cell>
        </row>
        <row r="22">
          <cell r="D22" t="str">
            <v>End Period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#001 - Deferrals in 2023-28"/>
      <sheetName val="IR#001 - Deferrals Post 2023-28"/>
      <sheetName val="CPI"/>
    </sheetNames>
    <sheetDataSet>
      <sheetData sheetId="0"/>
      <sheetData sheetId="1"/>
      <sheetData sheetId="2">
        <row r="5">
          <cell r="I5" t="str">
            <v>Nominal</v>
          </cell>
          <cell r="J5">
            <v>2008</v>
          </cell>
          <cell r="K5">
            <v>2009</v>
          </cell>
          <cell r="L5">
            <v>2010</v>
          </cell>
          <cell r="M5">
            <v>2011</v>
          </cell>
          <cell r="N5">
            <v>2012</v>
          </cell>
          <cell r="O5">
            <v>2013</v>
          </cell>
          <cell r="P5">
            <v>2014</v>
          </cell>
          <cell r="Q5">
            <v>2015</v>
          </cell>
          <cell r="R5">
            <v>2016</v>
          </cell>
          <cell r="S5">
            <v>2017</v>
          </cell>
          <cell r="T5">
            <v>2018</v>
          </cell>
          <cell r="U5">
            <v>2019</v>
          </cell>
          <cell r="V5">
            <v>2020</v>
          </cell>
          <cell r="W5">
            <v>2021</v>
          </cell>
          <cell r="X5">
            <v>2022</v>
          </cell>
          <cell r="Y5">
            <v>2023</v>
          </cell>
          <cell r="Z5">
            <v>2024</v>
          </cell>
          <cell r="AA5">
            <v>2025</v>
          </cell>
          <cell r="AB5">
            <v>2026</v>
          </cell>
          <cell r="AC5">
            <v>2027</v>
          </cell>
          <cell r="AD5">
            <v>2028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4"/>
  <sheetViews>
    <sheetView zoomScaleNormal="100" workbookViewId="0"/>
  </sheetViews>
  <sheetFormatPr defaultColWidth="0" defaultRowHeight="18" customHeight="1" zeroHeight="1"/>
  <cols>
    <col min="1" max="2" width="1.21875" style="2" customWidth="1"/>
    <col min="3" max="3" width="26.44140625" style="1" customWidth="1"/>
    <col min="4" max="4" width="79.21875" style="1" customWidth="1"/>
    <col min="5" max="5" width="2.77734375" style="1" customWidth="1"/>
    <col min="6" max="6" width="2.77734375" style="2" customWidth="1"/>
    <col min="7" max="28" width="12.77734375" style="2" hidden="1" customWidth="1"/>
    <col min="29" max="16384" width="9.21875" style="2" hidden="1"/>
  </cols>
  <sheetData>
    <row r="1" spans="2:13" s="5" customFormat="1" ht="18" customHeigh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6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6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6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07" t="s">
        <v>137</v>
      </c>
      <c r="D10" s="208" t="s">
        <v>138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6" t="s">
        <v>58</v>
      </c>
      <c r="D11" s="26" t="s">
        <v>39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6" t="s">
        <v>80</v>
      </c>
      <c r="D12" s="26" t="s">
        <v>54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207" t="s">
        <v>145</v>
      </c>
      <c r="D13" s="208" t="s">
        <v>146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6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6" customHeight="1">
      <c r="C15" s="23" t="s">
        <v>34</v>
      </c>
      <c r="D15" s="7"/>
      <c r="E15" s="7"/>
    </row>
    <row r="17" ht="18" customHeight="1"/>
    <row r="18" ht="18" customHeight="1"/>
    <row r="24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Prior Period True-up'!A1" display="Output | Prior Period True-up" xr:uid="{480732CE-43B8-41A0-8D4B-5F6DBF20AD22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tabSelected="1" zoomScaleNormal="100" workbookViewId="0">
      <selection activeCell="H7" sqref="H7"/>
    </sheetView>
  </sheetViews>
  <sheetFormatPr defaultColWidth="0" defaultRowHeight="0" customHeight="1" zeroHeight="1"/>
  <cols>
    <col min="1" max="2" width="1.21875" style="11" customWidth="1"/>
    <col min="3" max="3" width="56.77734375" style="12" customWidth="1"/>
    <col min="4" max="8" width="12.77734375" style="11" customWidth="1"/>
    <col min="9" max="9" width="9.44140625" style="11" customWidth="1"/>
    <col min="10" max="10" width="12.77734375" style="11" customWidth="1"/>
    <col min="11" max="11" width="25.77734375" style="11" customWidth="1"/>
    <col min="12" max="12" width="17.21875" style="11" customWidth="1"/>
    <col min="13" max="22" width="9.21875" style="11" hidden="1" customWidth="1"/>
    <col min="23" max="16384" width="12.77734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Transgrid 2023-28 Amendments to Transgrid’s 2023–28 Revenue Determination for Humelink Early Works Contingent Project (Stage 1 Part 1) - Capital expenditure sharing scheme model</v>
      </c>
      <c r="F1" s="93"/>
      <c r="G1" s="94" t="s">
        <v>47</v>
      </c>
      <c r="H1" s="136" t="s">
        <v>48</v>
      </c>
      <c r="I1" s="139" t="s">
        <v>36</v>
      </c>
      <c r="J1" s="200" t="s">
        <v>127</v>
      </c>
      <c r="K1" s="204" t="s">
        <v>147</v>
      </c>
      <c r="L1" s="216" t="s">
        <v>148</v>
      </c>
      <c r="M1" s="95"/>
    </row>
    <row r="2" spans="1:13" s="2" customFormat="1" ht="14.4">
      <c r="B2" s="10" t="s">
        <v>35</v>
      </c>
      <c r="H2" s="227"/>
    </row>
    <row r="3" spans="1:13" s="2" customFormat="1" ht="3" customHeight="1">
      <c r="B3" s="1"/>
    </row>
    <row r="4" spans="1:13" s="54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101</v>
      </c>
      <c r="J6" s="71"/>
      <c r="K6" s="71"/>
      <c r="L6" s="71"/>
      <c r="M6" s="71"/>
    </row>
    <row r="7" spans="1:13" s="62" customFormat="1" ht="81.599999999999994">
      <c r="C7" s="61" t="s">
        <v>89</v>
      </c>
      <c r="D7" s="225" t="s">
        <v>150</v>
      </c>
      <c r="I7" s="71"/>
      <c r="J7" s="71"/>
      <c r="K7" s="71"/>
      <c r="L7" s="71"/>
    </row>
    <row r="8" spans="1:13" s="62" customFormat="1" ht="11.25" customHeight="1">
      <c r="C8" s="61" t="s">
        <v>90</v>
      </c>
      <c r="D8" s="137" t="s">
        <v>100</v>
      </c>
      <c r="J8" s="71"/>
      <c r="K8" s="71"/>
      <c r="L8" s="71"/>
      <c r="M8" s="71"/>
    </row>
    <row r="9" spans="1:13" s="62" customFormat="1" ht="11.25" customHeight="1">
      <c r="C9" s="164" t="s">
        <v>99</v>
      </c>
      <c r="D9" s="137" t="s">
        <v>102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2" t="s">
        <v>88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63</v>
      </c>
      <c r="E12" s="63" t="s">
        <v>64</v>
      </c>
      <c r="F12" s="63" t="s">
        <v>65</v>
      </c>
      <c r="G12" s="63" t="s">
        <v>66</v>
      </c>
      <c r="H12" s="63" t="s">
        <v>67</v>
      </c>
      <c r="J12" s="71"/>
      <c r="K12" s="71"/>
      <c r="L12" s="71"/>
      <c r="M12" s="71"/>
    </row>
    <row r="13" spans="1:13" s="62" customFormat="1" ht="11.25" customHeight="1">
      <c r="C13" s="61" t="s">
        <v>61</v>
      </c>
      <c r="D13" s="163" t="str">
        <f t="shared" ref="D13:F13" si="0">IF(LEN(E13)&gt;4,CONCATENATE(LEFT(E13,4)-1&amp;"–"&amp;IF(RIGHT(E13,2)="00","99",IF(RIGHT(E13,2)-1&lt;10,"0","")&amp;RIGHT(E13,2)-1)),E13-1)</f>
        <v>2018–19</v>
      </c>
      <c r="E13" s="163" t="str">
        <f t="shared" si="0"/>
        <v>2019–20</v>
      </c>
      <c r="F13" s="163" t="str">
        <f t="shared" si="0"/>
        <v>2020–21</v>
      </c>
      <c r="G13" s="163" t="str">
        <f>IF(LEN(H13)&gt;4,CONCATENATE(LEFT(H13,4)-1&amp;"–"&amp;IF(RIGHT(H13,2)="00","99",IF(RIGHT(H13,2)-1&lt;10,"0","")&amp;RIGHT(H13,2)-1)),H13-1)</f>
        <v>2021–22</v>
      </c>
      <c r="H13" s="163" t="str">
        <f>IF(LEN(D9)&gt;4,CONCATENATE(LEFT(D9,4)-1&amp;"–"&amp;IF(RIGHT(D9,2)="00","99",IF(RIGHT(D9,2)-1&lt;10,"0","")&amp;RIGHT(D9,2)-1)),D9-1)</f>
        <v>2022–23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212" t="s">
        <v>7</v>
      </c>
      <c r="H15" s="137" t="s">
        <v>29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63</v>
      </c>
      <c r="E17" s="63" t="s">
        <v>64</v>
      </c>
      <c r="F17" s="63" t="s">
        <v>65</v>
      </c>
      <c r="G17" s="63" t="s">
        <v>66</v>
      </c>
      <c r="H17" s="63" t="s">
        <v>67</v>
      </c>
      <c r="J17" s="71"/>
      <c r="K17" s="71"/>
      <c r="L17" s="71"/>
      <c r="M17" s="71"/>
    </row>
    <row r="18" spans="1:13" s="62" customFormat="1" ht="11.25" customHeight="1">
      <c r="C18" s="61" t="s">
        <v>62</v>
      </c>
      <c r="D18" s="163" t="str">
        <f>D9</f>
        <v>2023-24</v>
      </c>
      <c r="E18" s="163" t="str">
        <f>IF(LEN(D18)&gt;4,CONCATENATE(LEFT(D18,4)+1&amp;"–"&amp;IF(RIGHT(D18,2)+1&gt;9,"","0")&amp;RIGHT(D18,2)+1),D18+1)</f>
        <v>2024–25</v>
      </c>
      <c r="F18" s="163" t="str">
        <f t="shared" ref="F18:H18" si="1">IF(LEN(E18)&gt;4,CONCATENATE(LEFT(E18,4)+1&amp;"–"&amp;IF(RIGHT(E18,2)+1&gt;9,"","0")&amp;RIGHT(E18,2)+1),E18+1)</f>
        <v>2025–26</v>
      </c>
      <c r="G18" s="163" t="str">
        <f t="shared" si="1"/>
        <v>2026–27</v>
      </c>
      <c r="H18" s="163" t="str">
        <f t="shared" si="1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54" customFormat="1" ht="12.75" customHeight="1">
      <c r="A20" s="8"/>
      <c r="B20" s="23" t="s">
        <v>34</v>
      </c>
    </row>
    <row r="21" spans="1:13" ht="18" hidden="1" customHeight="1"/>
  </sheetData>
  <dataValidations disablePrompts="1"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zoomScaleNormal="100" workbookViewId="0"/>
  </sheetViews>
  <sheetFormatPr defaultColWidth="0" defaultRowHeight="18" customHeight="1" zeroHeight="1"/>
  <cols>
    <col min="1" max="2" width="1.21875" style="19" customWidth="1"/>
    <col min="3" max="3" width="36.77734375" style="19" customWidth="1"/>
    <col min="4" max="5" width="22.77734375" style="19" customWidth="1"/>
    <col min="6" max="6" width="12.77734375" style="19" customWidth="1"/>
    <col min="7" max="12" width="12.77734375" style="2" customWidth="1"/>
    <col min="13" max="13" width="12.5546875" style="17" customWidth="1"/>
    <col min="14" max="16" width="12.77734375" style="19" customWidth="1"/>
    <col min="17" max="18" width="2.77734375" style="19" customWidth="1"/>
    <col min="19" max="32" width="12.77734375" style="19" hidden="1" customWidth="1"/>
    <col min="33" max="16384" width="9.21875" style="19" hidden="1"/>
  </cols>
  <sheetData>
    <row r="1" spans="1:20" s="2" customFormat="1" ht="19.2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D1" s="3"/>
      <c r="E1" s="3"/>
      <c r="F1" s="3"/>
      <c r="G1" s="93"/>
      <c r="I1" s="94" t="s">
        <v>47</v>
      </c>
      <c r="J1" s="136" t="s">
        <v>48</v>
      </c>
      <c r="K1" s="139" t="s">
        <v>36</v>
      </c>
      <c r="L1" s="200" t="s">
        <v>127</v>
      </c>
      <c r="M1" s="228" t="s">
        <v>147</v>
      </c>
      <c r="N1" s="228"/>
      <c r="O1" s="228"/>
      <c r="P1" s="216" t="s">
        <v>148</v>
      </c>
      <c r="Q1" s="71"/>
      <c r="R1" s="71"/>
      <c r="S1" s="71"/>
      <c r="T1" s="71"/>
    </row>
    <row r="2" spans="1:20" s="2" customFormat="1" ht="18" customHeight="1">
      <c r="C2" s="10" t="s">
        <v>91</v>
      </c>
      <c r="D2" s="10"/>
      <c r="E2" s="10"/>
      <c r="F2" s="10"/>
      <c r="O2" s="92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43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6</v>
      </c>
      <c r="E6" s="67" t="s">
        <v>52</v>
      </c>
      <c r="F6" s="67"/>
      <c r="N6" s="2"/>
    </row>
    <row r="7" spans="1:20" ht="11.25" customHeight="1">
      <c r="A7" s="2"/>
      <c r="B7" s="2"/>
      <c r="C7" s="13"/>
      <c r="D7" s="71"/>
      <c r="E7" s="71"/>
      <c r="F7" s="151" t="str">
        <f>IF(LEN(G7)&gt;4,CONCATENATE(LEFT(G7,4)-1&amp;"–"&amp;IF(RIGHT(G7,2)="00","99",IF(RIGHT(G7,2)-1&lt;10,"0","")&amp;RIGHT(G7,2)-1)),G7-1)</f>
        <v>2017–18</v>
      </c>
      <c r="G7" s="150" t="str">
        <f>'Input | General'!D13</f>
        <v>2018–19</v>
      </c>
      <c r="H7" s="150" t="str">
        <f>'Input | General'!E13</f>
        <v>2019–20</v>
      </c>
      <c r="I7" s="150" t="str">
        <f>'Input | General'!F13</f>
        <v>2020–21</v>
      </c>
      <c r="J7" s="150" t="str">
        <f>'Input | General'!G13</f>
        <v>2021–22</v>
      </c>
      <c r="K7" s="150" t="str">
        <f>'Input | General'!H13</f>
        <v>2022–23</v>
      </c>
      <c r="L7" s="150" t="str">
        <f>'Input | General'!D18</f>
        <v>2023-24</v>
      </c>
      <c r="M7" s="150" t="str">
        <f>'Input | General'!E18</f>
        <v>2024–25</v>
      </c>
      <c r="N7" s="150" t="str">
        <f>'Input | General'!F18</f>
        <v>2025–26</v>
      </c>
      <c r="O7" s="150" t="str">
        <f>'Input | General'!G18</f>
        <v>2026–27</v>
      </c>
      <c r="P7" s="150" t="str">
        <f>'Input | General'!H18</f>
        <v>2027–28</v>
      </c>
    </row>
    <row r="8" spans="1:20" ht="11.25" customHeight="1">
      <c r="A8" s="2"/>
      <c r="B8" s="2"/>
      <c r="C8" s="72" t="s">
        <v>81</v>
      </c>
      <c r="D8" s="70" t="s">
        <v>86</v>
      </c>
      <c r="E8" s="70" t="s">
        <v>51</v>
      </c>
      <c r="F8" s="166"/>
      <c r="G8" s="210">
        <v>1.7841213202497874E-2</v>
      </c>
      <c r="H8" s="210">
        <v>1.8404907975460238E-2</v>
      </c>
      <c r="I8" s="210">
        <v>8.6058519793459354E-3</v>
      </c>
      <c r="J8" s="210">
        <v>3.4982935153583528E-2</v>
      </c>
      <c r="K8" s="210">
        <v>7.8E-2</v>
      </c>
      <c r="L8" s="167"/>
      <c r="M8" s="78"/>
      <c r="N8" s="78"/>
      <c r="O8" s="78"/>
      <c r="P8" s="78"/>
      <c r="Q8" s="219"/>
    </row>
    <row r="9" spans="1:20" ht="11.25" customHeight="1">
      <c r="A9" s="2"/>
      <c r="B9" s="2"/>
      <c r="C9" s="72" t="s">
        <v>82</v>
      </c>
      <c r="D9" s="70" t="s">
        <v>86</v>
      </c>
      <c r="E9" s="70" t="s">
        <v>51</v>
      </c>
      <c r="F9" s="70"/>
      <c r="G9" s="115"/>
      <c r="H9" s="115"/>
      <c r="I9" s="115"/>
      <c r="J9" s="115"/>
      <c r="K9" s="115"/>
      <c r="L9" s="210">
        <v>2.9993931995937029E-2</v>
      </c>
      <c r="M9" s="124">
        <f t="shared" ref="M9:P9" si="0">L9</f>
        <v>2.9993931995937029E-2</v>
      </c>
      <c r="N9" s="124">
        <f t="shared" si="0"/>
        <v>2.9993931995937029E-2</v>
      </c>
      <c r="O9" s="124">
        <f t="shared" si="0"/>
        <v>2.9993931995937029E-2</v>
      </c>
      <c r="P9" s="124">
        <f t="shared" si="0"/>
        <v>2.9993931995937029E-2</v>
      </c>
      <c r="Q9" s="219"/>
    </row>
    <row r="10" spans="1:20" ht="11.25" customHeight="1">
      <c r="A10" s="2"/>
      <c r="B10" s="2"/>
      <c r="C10" s="122" t="str">
        <f>"CPI Index (base year "&amp;F7&amp;")"</f>
        <v>CPI Index (base year 2017–18)</v>
      </c>
      <c r="D10" s="70" t="s">
        <v>86</v>
      </c>
      <c r="E10" s="70" t="s">
        <v>30</v>
      </c>
      <c r="F10" s="121">
        <v>1</v>
      </c>
      <c r="G10" s="110">
        <f>IF(G7&lt;&gt;"",(F10*(1+G8)),"")</f>
        <v>1.0178412132024979</v>
      </c>
      <c r="H10" s="110">
        <f>IF(H7&lt;&gt;"",(G10*(1+H8)),"")</f>
        <v>1.0365744870651206</v>
      </c>
      <c r="I10" s="110">
        <f>IF(I7&lt;&gt;"",(H10*(1+I8)),"")</f>
        <v>1.0454950936663694</v>
      </c>
      <c r="J10" s="110">
        <f>IF(J7&lt;&gt;"",(I10*(1+J8)),"")</f>
        <v>1.0820695807314897</v>
      </c>
      <c r="K10" s="110">
        <f>IF(K7&lt;&gt;"",(J10*(1+K8)),"")</f>
        <v>1.1664710080285461</v>
      </c>
      <c r="L10" s="79">
        <f t="shared" ref="L10:P10" si="1">IF(L7&lt;&gt;"",(K10*(1+L9)),"")</f>
        <v>1.2014580601185865</v>
      </c>
      <c r="M10" s="79">
        <f t="shared" si="1"/>
        <v>1.2374945114697538</v>
      </c>
      <c r="N10" s="79">
        <f t="shared" si="1"/>
        <v>1.2746118376921229</v>
      </c>
      <c r="O10" s="79">
        <f t="shared" si="1"/>
        <v>1.3128424584730769</v>
      </c>
      <c r="P10" s="79">
        <f t="shared" si="1"/>
        <v>1.3522197658938973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81</v>
      </c>
      <c r="D13" s="70" t="s">
        <v>49</v>
      </c>
      <c r="E13" s="70" t="s">
        <v>51</v>
      </c>
      <c r="F13" s="166"/>
      <c r="G13" s="209">
        <v>1.7841213202497874E-2</v>
      </c>
      <c r="H13" s="209">
        <v>1.8404907975460238E-2</v>
      </c>
      <c r="I13" s="209">
        <v>8.6058519793459354E-3</v>
      </c>
      <c r="J13" s="209">
        <v>3.4982935153583528E-2</v>
      </c>
      <c r="K13" s="217">
        <v>7.8318219291014124E-2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82</v>
      </c>
      <c r="D14" s="70" t="s">
        <v>49</v>
      </c>
      <c r="E14" s="70" t="s">
        <v>51</v>
      </c>
      <c r="F14" s="70"/>
      <c r="G14" s="78"/>
      <c r="H14" s="78"/>
      <c r="I14" s="78"/>
      <c r="J14" s="78"/>
      <c r="K14" s="78"/>
      <c r="L14" s="217">
        <v>2.9193048507912156E-2</v>
      </c>
      <c r="M14" s="124">
        <f t="shared" ref="M14:P14" si="2">L14</f>
        <v>2.9193048507912156E-2</v>
      </c>
      <c r="N14" s="124">
        <f t="shared" si="2"/>
        <v>2.9193048507912156E-2</v>
      </c>
      <c r="O14" s="124">
        <f t="shared" si="2"/>
        <v>2.9193048507912156E-2</v>
      </c>
      <c r="P14" s="124">
        <f t="shared" si="2"/>
        <v>2.9193048507912156E-2</v>
      </c>
    </row>
    <row r="15" spans="1:20" ht="11.25" customHeight="1">
      <c r="A15" s="2"/>
      <c r="B15" s="2"/>
      <c r="C15" s="122" t="str">
        <f>"CPI Index (base year "&amp;F7&amp;")"</f>
        <v>CPI Index (base year 2017–18)</v>
      </c>
      <c r="D15" s="70" t="s">
        <v>49</v>
      </c>
      <c r="E15" s="70" t="s">
        <v>30</v>
      </c>
      <c r="F15" s="121">
        <v>1</v>
      </c>
      <c r="G15" s="110">
        <f>IF(G7&lt;&gt;"",(F15*(1+G13)),"")</f>
        <v>1.0178412132024979</v>
      </c>
      <c r="H15" s="110">
        <f>IF(H7&lt;&gt;"",(G15*(1+H13)),"")</f>
        <v>1.0365744870651206</v>
      </c>
      <c r="I15" s="110">
        <f>IF(I7&lt;&gt;"",(H15*(1+I13)),"")</f>
        <v>1.0454950936663694</v>
      </c>
      <c r="J15" s="110">
        <f>IF(J7&lt;&gt;"",(I15*(1+J13)),"")</f>
        <v>1.0820695807314897</v>
      </c>
      <c r="K15" s="79">
        <f>IF(K7&lt;&gt;"",(J15*(1+K13)),"")</f>
        <v>1.1668153434433544</v>
      </c>
      <c r="L15" s="79">
        <f t="shared" ref="L15:P15" si="3">IF(L7&lt;&gt;"",(K15*(1+L14)),"")</f>
        <v>1.2008782403642724</v>
      </c>
      <c r="M15" s="79">
        <f t="shared" si="3"/>
        <v>1.2359355370873228</v>
      </c>
      <c r="N15" s="79">
        <f t="shared" si="3"/>
        <v>1.2720162631741656</v>
      </c>
      <c r="O15" s="79">
        <f t="shared" si="3"/>
        <v>1.3091502956478622</v>
      </c>
      <c r="P15" s="79">
        <f t="shared" si="3"/>
        <v>1.3473683837328578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79"/>
      <c r="L16" s="117"/>
      <c r="M16" s="117"/>
      <c r="N16" s="117"/>
      <c r="O16" s="117"/>
      <c r="P16" s="117"/>
    </row>
    <row r="17" spans="1:17" s="73" customFormat="1" ht="12.75" customHeight="1">
      <c r="C17" s="23" t="s">
        <v>68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6</v>
      </c>
      <c r="E19" s="67" t="s">
        <v>52</v>
      </c>
      <c r="F19" s="71"/>
      <c r="G19" s="150" t="str">
        <f>G7</f>
        <v>2018–19</v>
      </c>
      <c r="H19" s="150" t="str">
        <f t="shared" ref="H19:P19" si="4">H7</f>
        <v>2019–20</v>
      </c>
      <c r="I19" s="150" t="str">
        <f t="shared" si="4"/>
        <v>2020–21</v>
      </c>
      <c r="J19" s="150" t="str">
        <f t="shared" si="4"/>
        <v>2021–22</v>
      </c>
      <c r="K19" s="150" t="str">
        <f t="shared" si="4"/>
        <v>2022–23</v>
      </c>
      <c r="L19" s="150" t="str">
        <f t="shared" si="4"/>
        <v>2023-24</v>
      </c>
      <c r="M19" s="150" t="str">
        <f t="shared" si="4"/>
        <v>2024–25</v>
      </c>
      <c r="N19" s="150" t="str">
        <f t="shared" si="4"/>
        <v>2025–26</v>
      </c>
      <c r="O19" s="150" t="str">
        <f t="shared" si="4"/>
        <v>2026–27</v>
      </c>
      <c r="P19" s="150" t="str">
        <f t="shared" si="4"/>
        <v>2027–28</v>
      </c>
    </row>
    <row r="20" spans="1:17" ht="11.25" customHeight="1">
      <c r="C20" s="72" t="s">
        <v>10</v>
      </c>
      <c r="D20" s="70" t="s">
        <v>49</v>
      </c>
      <c r="E20" s="70" t="s">
        <v>51</v>
      </c>
      <c r="F20" s="71"/>
      <c r="G20" s="199">
        <v>3.993698958963017E-2</v>
      </c>
      <c r="H20" s="199">
        <v>3.8768911813005374E-2</v>
      </c>
      <c r="I20" s="199">
        <v>3.6676965385035398E-2</v>
      </c>
      <c r="J20" s="199">
        <v>3.4025171303287666E-2</v>
      </c>
      <c r="K20" s="209">
        <v>3.2257784777955135E-2</v>
      </c>
      <c r="L20" s="78"/>
      <c r="M20" s="78"/>
      <c r="N20" s="78"/>
      <c r="O20" s="78"/>
      <c r="P20" s="78"/>
    </row>
    <row r="21" spans="1:17" ht="11.25" customHeight="1">
      <c r="C21" s="132" t="s">
        <v>96</v>
      </c>
      <c r="D21" s="70" t="s">
        <v>49</v>
      </c>
      <c r="E21" s="70" t="s">
        <v>51</v>
      </c>
      <c r="F21" s="71"/>
      <c r="G21" s="71"/>
      <c r="H21" s="71"/>
      <c r="I21" s="71"/>
      <c r="J21" s="71"/>
      <c r="K21" s="71"/>
      <c r="L21" s="217">
        <v>2.7675195554631892E-2</v>
      </c>
      <c r="M21" s="217">
        <v>2.7486928494034623E-2</v>
      </c>
      <c r="N21" s="217">
        <v>2.8208168836400559E-2</v>
      </c>
      <c r="O21" s="217">
        <v>2.8813756344174955E-2</v>
      </c>
      <c r="P21" s="217">
        <v>2.9666640345895702E-2</v>
      </c>
      <c r="Q21" s="219"/>
    </row>
    <row r="22" spans="1:17" ht="11.25" customHeight="1">
      <c r="C22" s="72" t="s">
        <v>69</v>
      </c>
      <c r="D22" s="70" t="s">
        <v>60</v>
      </c>
      <c r="E22" s="70" t="s">
        <v>51</v>
      </c>
      <c r="F22" s="71"/>
      <c r="G22" s="125">
        <f>IF(AND(G13&lt;&gt;"",G20&lt;&gt;""),((1+G20)*(1+G13)-1),"")</f>
        <v>5.8490727138062582E-2</v>
      </c>
      <c r="H22" s="125">
        <f>IF(AND(H13&lt;&gt;"",H20&lt;&gt;""),((1+H20)*(1+H13)-1),"")</f>
        <v>5.7887358042692849E-2</v>
      </c>
      <c r="I22" s="125">
        <f>IF(AND(I13&lt;&gt;"",I20&lt;&gt;""),((1+I20)*(1+I13)-1),"")</f>
        <v>4.5598453899536651E-2</v>
      </c>
      <c r="J22" s="125">
        <f>IF(AND(J13&lt;&gt;"",J20&lt;&gt;""),((1+J20)*(1+J13)-1),"")</f>
        <v>7.0198406818163805E-2</v>
      </c>
      <c r="K22" s="125">
        <f>IF(AND(K13&lt;&gt;"",K20&lt;&gt;""),((1+K20)*(1+K13)-1),"")</f>
        <v>0.11310237633105147</v>
      </c>
      <c r="L22" s="125">
        <f>IF(AND(L14&lt;&gt;"",L21&lt;&gt;""),((1+L21)*(1+L14)-1),"")</f>
        <v>5.7676167388836408E-2</v>
      </c>
      <c r="M22" s="125">
        <f>IF(AND(M14&lt;&gt;"",M21&lt;&gt;""),((1+M21)*(1+M14)-1),"")</f>
        <v>5.7482404238806684E-2</v>
      </c>
      <c r="N22" s="125">
        <f>IF(AND(N14&lt;&gt;"",N21&lt;&gt;""),((1+N21)*(1+N14)-1),"")</f>
        <v>5.8224699785473177E-2</v>
      </c>
      <c r="O22" s="125">
        <f>IF(AND(O14&lt;&gt;"",O21&lt;&gt;""),((1+O21)*(1+O14)-1),"")</f>
        <v>5.8847966238737781E-2</v>
      </c>
      <c r="P22" s="125">
        <f>IF(AND(P14&lt;&gt;"",P21&lt;&gt;""),((1+P21)*(1+P14)-1),"")</f>
        <v>5.9725748524492195E-2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7" s="54" customFormat="1" ht="12.75" customHeight="1">
      <c r="A24" s="8"/>
      <c r="B24" s="23" t="s">
        <v>34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</sheetData>
  <mergeCells count="1">
    <mergeCell ref="M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2"/>
  <sheetViews>
    <sheetView zoomScaleNormal="100" workbookViewId="0"/>
  </sheetViews>
  <sheetFormatPr defaultColWidth="0" defaultRowHeight="18" customHeight="1" zeroHeight="1"/>
  <cols>
    <col min="1" max="2" width="1.21875" style="2" customWidth="1"/>
    <col min="3" max="3" width="49.77734375" style="13" customWidth="1"/>
    <col min="4" max="4" width="23.77734375" style="13" customWidth="1"/>
    <col min="5" max="5" width="13.44140625" style="13" customWidth="1"/>
    <col min="6" max="6" width="9.21875" style="13" customWidth="1"/>
    <col min="7" max="7" width="2.77734375" style="13" customWidth="1"/>
    <col min="8" max="12" width="13.77734375" style="2" bestFit="1" customWidth="1"/>
    <col min="13" max="13" width="25.77734375" style="2" customWidth="1"/>
    <col min="14" max="14" width="12.77734375" style="2" customWidth="1"/>
    <col min="15" max="23" width="0" style="2" hidden="1" customWidth="1"/>
    <col min="24" max="16383" width="12.77734375" style="2" hidden="1"/>
    <col min="16384" max="16384" width="17.5546875" style="2" hidden="1" customWidth="1"/>
  </cols>
  <sheetData>
    <row r="1" spans="2:14" ht="18" customHeigh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D1" s="3"/>
      <c r="E1" s="3"/>
      <c r="F1" s="3"/>
      <c r="G1" s="3"/>
      <c r="H1" s="93"/>
      <c r="I1" s="94" t="s">
        <v>47</v>
      </c>
      <c r="J1" s="136" t="s">
        <v>48</v>
      </c>
      <c r="K1" s="139" t="s">
        <v>36</v>
      </c>
      <c r="L1" s="200" t="s">
        <v>127</v>
      </c>
      <c r="M1" s="204" t="s">
        <v>147</v>
      </c>
      <c r="N1" s="216" t="s">
        <v>148</v>
      </c>
    </row>
    <row r="2" spans="2:14" ht="18.45" customHeight="1">
      <c r="B2" s="10" t="s">
        <v>37</v>
      </c>
      <c r="D2" s="10"/>
      <c r="E2" s="10"/>
      <c r="F2" s="10"/>
      <c r="G2" s="10"/>
      <c r="J2" s="229" t="s">
        <v>150</v>
      </c>
      <c r="K2" s="229"/>
      <c r="L2" s="229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52</v>
      </c>
      <c r="F6" s="67" t="s">
        <v>4</v>
      </c>
      <c r="G6" s="56"/>
      <c r="H6" s="152" t="str">
        <f>IF('Input | General'!D14="Yes",'Input | General'!D13,"n/a")</f>
        <v>2018–19</v>
      </c>
      <c r="I6" s="152" t="str">
        <f>IF('Input | General'!E14="Yes",'Input | General'!E13,"n/a")</f>
        <v>2019–20</v>
      </c>
      <c r="J6" s="152" t="str">
        <f>IF('Input | General'!F14="Yes",'Input | General'!F13,"n/a")</f>
        <v>2020–21</v>
      </c>
      <c r="K6" s="152" t="str">
        <f>IF('Input | General'!G14="Yes",'Input | General'!G13,"n/a")</f>
        <v>2021–22</v>
      </c>
      <c r="L6" s="152" t="str">
        <f>IF('Input | General'!H14="Yes",'Input | General'!H13,"n/a")</f>
        <v>2022–23</v>
      </c>
      <c r="M6" s="168"/>
    </row>
    <row r="7" spans="2:14" s="60" customFormat="1" ht="10.5" customHeight="1"/>
    <row r="8" spans="2:14" ht="10.5" customHeight="1">
      <c r="C8" s="72" t="s">
        <v>3</v>
      </c>
      <c r="D8" s="70" t="s">
        <v>49</v>
      </c>
      <c r="E8" s="70" t="s">
        <v>50</v>
      </c>
      <c r="F8" s="70" t="str">
        <f>'Input | Inflation and Disc Rate'!$F$7</f>
        <v>2017–18</v>
      </c>
      <c r="G8" s="60"/>
      <c r="H8" s="226">
        <v>222.49462567856665</v>
      </c>
      <c r="I8" s="226">
        <v>367.51629629674301</v>
      </c>
      <c r="J8" s="226">
        <v>616.00024695803882</v>
      </c>
      <c r="K8" s="226">
        <v>1285.3394171856346</v>
      </c>
      <c r="L8" s="226">
        <v>1096.6787298801958</v>
      </c>
    </row>
    <row r="9" spans="2:14" ht="10.5" customHeight="1">
      <c r="C9" s="72" t="s">
        <v>92</v>
      </c>
      <c r="D9" s="70" t="s">
        <v>49</v>
      </c>
      <c r="E9" s="70" t="s">
        <v>50</v>
      </c>
      <c r="F9" s="70" t="str">
        <f>'Input | Inflation and Disc Rate'!$F$7</f>
        <v>2017–18</v>
      </c>
      <c r="G9" s="60"/>
      <c r="H9" s="138">
        <v>2.5648828446675327</v>
      </c>
      <c r="I9" s="138">
        <v>2.5648828446675327</v>
      </c>
      <c r="J9" s="138">
        <v>2.5648828446675327</v>
      </c>
      <c r="K9" s="138">
        <v>2.8999624131099253</v>
      </c>
      <c r="L9" s="138">
        <v>2.5648828446675327</v>
      </c>
    </row>
    <row r="10" spans="2:14" s="60" customFormat="1" ht="10.5" customHeight="1">
      <c r="H10" s="59"/>
      <c r="I10" s="59"/>
      <c r="J10" s="59"/>
      <c r="K10" s="59"/>
      <c r="L10" s="59"/>
    </row>
    <row r="11" spans="2:14" ht="10.5" customHeight="1">
      <c r="C11" s="69" t="s">
        <v>5</v>
      </c>
      <c r="D11" s="68" t="s">
        <v>60</v>
      </c>
      <c r="E11" s="153" t="s">
        <v>50</v>
      </c>
      <c r="F11" s="154" t="str">
        <f>'Input | Inflation and Disc Rate'!$F$7</f>
        <v>2017–18</v>
      </c>
      <c r="G11" s="60"/>
      <c r="H11" s="58">
        <f>IF(H6="", "", H8-H9)</f>
        <v>219.92974283389913</v>
      </c>
      <c r="I11" s="58">
        <f t="shared" ref="I11:L11" si="0">IF(I6="", "", I8-I9)</f>
        <v>364.95141345207549</v>
      </c>
      <c r="J11" s="58">
        <f t="shared" si="0"/>
        <v>613.43536411337129</v>
      </c>
      <c r="K11" s="58">
        <f t="shared" si="0"/>
        <v>1282.4394547725246</v>
      </c>
      <c r="L11" s="58">
        <f t="shared" si="0"/>
        <v>1094.1138470355281</v>
      </c>
    </row>
    <row r="12" spans="2:14" ht="10.5" customHeight="1">
      <c r="D12" s="60"/>
      <c r="E12" s="60"/>
      <c r="F12" s="60"/>
      <c r="G12" s="60"/>
      <c r="M12" s="64"/>
      <c r="N12" s="64"/>
    </row>
    <row r="13" spans="2:14" s="8" customFormat="1" ht="12.75" customHeight="1">
      <c r="B13" s="66" t="s">
        <v>41</v>
      </c>
      <c r="D13" s="15"/>
      <c r="E13" s="15"/>
      <c r="F13" s="15"/>
      <c r="G13" s="15"/>
    </row>
    <row r="14" spans="2:14" ht="10.5" customHeight="1">
      <c r="B14" s="65"/>
      <c r="C14" s="2"/>
    </row>
    <row r="15" spans="2:14" ht="10.5" customHeight="1">
      <c r="B15" s="65"/>
      <c r="C15" s="60"/>
      <c r="D15" s="67" t="s">
        <v>6</v>
      </c>
      <c r="E15" s="67" t="s">
        <v>52</v>
      </c>
      <c r="F15" s="67" t="s">
        <v>4</v>
      </c>
      <c r="G15" s="56"/>
      <c r="H15" s="152" t="str">
        <f>H6</f>
        <v>2018–19</v>
      </c>
      <c r="I15" s="152" t="str">
        <f>I6</f>
        <v>2019–20</v>
      </c>
      <c r="J15" s="152" t="str">
        <f>J6</f>
        <v>2020–21</v>
      </c>
      <c r="K15" s="152" t="str">
        <f>K6</f>
        <v>2021–22</v>
      </c>
      <c r="L15" s="152" t="str">
        <f>L6</f>
        <v>2022–23</v>
      </c>
      <c r="M15" s="169"/>
      <c r="N15" s="60"/>
    </row>
    <row r="16" spans="2:14" ht="10.5" customHeight="1">
      <c r="B16" s="65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0.5" customHeight="1">
      <c r="B17" s="65"/>
      <c r="C17" s="72" t="s">
        <v>77</v>
      </c>
      <c r="D17" s="70" t="s">
        <v>49</v>
      </c>
      <c r="E17" s="70" t="s">
        <v>50</v>
      </c>
      <c r="F17" s="70" t="s">
        <v>53</v>
      </c>
      <c r="G17" s="60"/>
      <c r="H17" s="226">
        <v>217.16991316849692</v>
      </c>
      <c r="I17" s="226">
        <v>332.62050666958299</v>
      </c>
      <c r="J17" s="226">
        <v>797.86907531757743</v>
      </c>
      <c r="K17" s="226">
        <v>511.10634766595689</v>
      </c>
      <c r="L17" s="226">
        <v>1054.1405900821617</v>
      </c>
      <c r="N17" s="224"/>
    </row>
    <row r="18" spans="1:14" ht="10.5" customHeight="1">
      <c r="B18" s="65"/>
      <c r="C18" s="72" t="s">
        <v>92</v>
      </c>
      <c r="D18" s="70" t="s">
        <v>49</v>
      </c>
      <c r="E18" s="70" t="s">
        <v>50</v>
      </c>
      <c r="F18" s="70" t="s">
        <v>53</v>
      </c>
      <c r="G18" s="123"/>
      <c r="H18" s="138">
        <v>4.1814481327272723</v>
      </c>
      <c r="I18" s="138">
        <v>2.1650702372727273</v>
      </c>
      <c r="J18" s="138">
        <v>3.82439741</v>
      </c>
      <c r="K18" s="206">
        <v>9.4386077299999993</v>
      </c>
      <c r="L18" s="220">
        <v>5.2837324675350397</v>
      </c>
      <c r="N18" s="224"/>
    </row>
    <row r="19" spans="1:14" ht="10.5" customHeight="1">
      <c r="B19" s="65"/>
      <c r="C19" s="133" t="s">
        <v>97</v>
      </c>
      <c r="D19" s="70" t="s">
        <v>49</v>
      </c>
      <c r="E19" s="70" t="s">
        <v>50</v>
      </c>
      <c r="F19" s="70" t="s">
        <v>53</v>
      </c>
      <c r="G19" s="123"/>
      <c r="H19" s="138">
        <v>6.3319466300000009</v>
      </c>
      <c r="I19" s="138">
        <v>7.4530974299999997</v>
      </c>
      <c r="J19" s="138">
        <v>1.4042736300000001</v>
      </c>
      <c r="K19" s="206">
        <v>5.9941228799999999</v>
      </c>
      <c r="L19" s="138">
        <v>0</v>
      </c>
      <c r="M19" s="218"/>
    </row>
    <row r="20" spans="1:14" ht="10.5" customHeight="1">
      <c r="B20" s="65"/>
      <c r="C20" s="60"/>
      <c r="D20" s="60"/>
      <c r="E20" s="60"/>
      <c r="F20" s="60"/>
      <c r="G20" s="60"/>
      <c r="H20" s="59"/>
      <c r="I20" s="59"/>
      <c r="J20" s="59"/>
      <c r="K20" s="59"/>
      <c r="L20" s="59"/>
      <c r="M20" s="60"/>
      <c r="N20" s="60"/>
    </row>
    <row r="21" spans="1:14" ht="10.5" customHeight="1">
      <c r="B21" s="65"/>
      <c r="C21" s="69" t="s">
        <v>76</v>
      </c>
      <c r="D21" s="68" t="s">
        <v>60</v>
      </c>
      <c r="E21" s="155" t="s">
        <v>50</v>
      </c>
      <c r="F21" s="155" t="s">
        <v>53</v>
      </c>
      <c r="G21" s="60"/>
      <c r="H21" s="58">
        <f>IF(H15="", "", H17-H18-H19)</f>
        <v>206.65651840576965</v>
      </c>
      <c r="I21" s="58">
        <f t="shared" ref="I21:L21" si="1">IF(I15="", "", I17-I18-I19)</f>
        <v>323.00233900231024</v>
      </c>
      <c r="J21" s="58">
        <f t="shared" si="1"/>
        <v>792.64040427757743</v>
      </c>
      <c r="K21" s="58">
        <f t="shared" si="1"/>
        <v>495.67361705595687</v>
      </c>
      <c r="L21" s="58">
        <f t="shared" si="1"/>
        <v>1048.8568576146267</v>
      </c>
    </row>
    <row r="22" spans="1:14" ht="10.5" customHeight="1">
      <c r="B22" s="65"/>
      <c r="C22" s="2"/>
      <c r="H22" s="13"/>
      <c r="I22" s="13"/>
      <c r="J22" s="13"/>
      <c r="K22" s="13"/>
      <c r="M22" s="64"/>
      <c r="N22" s="64"/>
    </row>
    <row r="23" spans="1:14" s="8" customFormat="1" ht="12.75" customHeight="1">
      <c r="B23" s="66" t="s">
        <v>42</v>
      </c>
      <c r="D23" s="15"/>
      <c r="E23" s="15"/>
      <c r="F23" s="15"/>
      <c r="G23" s="15"/>
    </row>
    <row r="24" spans="1:14" ht="10.5" customHeight="1">
      <c r="D24" s="60"/>
      <c r="E24" s="60"/>
      <c r="F24" s="60"/>
      <c r="G24" s="60"/>
    </row>
    <row r="25" spans="1:14" ht="10.5" customHeight="1">
      <c r="D25" s="60"/>
      <c r="E25" s="60"/>
      <c r="F25" s="60"/>
      <c r="G25" s="60"/>
      <c r="H25" s="152" t="str">
        <f>'Input | General'!D18</f>
        <v>2023-24</v>
      </c>
      <c r="I25" s="152" t="str">
        <f>'Input | General'!E18</f>
        <v>2024–25</v>
      </c>
      <c r="J25" s="152" t="str">
        <f>'Input | General'!F18</f>
        <v>2025–26</v>
      </c>
      <c r="K25" s="152" t="str">
        <f>'Input | General'!G18</f>
        <v>2026–27</v>
      </c>
      <c r="L25" s="152" t="str">
        <f>'Input | General'!H18</f>
        <v>2027–28</v>
      </c>
    </row>
    <row r="26" spans="1:14" s="14" customFormat="1" ht="10.5" customHeight="1">
      <c r="C26" s="13"/>
      <c r="D26" s="60"/>
      <c r="E26" s="60"/>
      <c r="F26" s="60"/>
      <c r="G26" s="60"/>
      <c r="M26" s="170"/>
    </row>
    <row r="27" spans="1:14" ht="11.25" customHeight="1">
      <c r="C27" s="76" t="s">
        <v>85</v>
      </c>
      <c r="D27" s="57" t="s">
        <v>86</v>
      </c>
      <c r="E27" s="70" t="s">
        <v>50</v>
      </c>
      <c r="F27" s="70" t="s">
        <v>53</v>
      </c>
      <c r="G27" s="60"/>
      <c r="H27" s="205">
        <f>'Input | Deferred + re-proposed'!H28</f>
        <v>893.8749559075452</v>
      </c>
      <c r="I27" s="205">
        <f>'Input | Deferred + re-proposed'!I28</f>
        <v>237.06491597136599</v>
      </c>
      <c r="J27" s="205">
        <f>'Input | Deferred + re-proposed'!J28</f>
        <v>4.4585846548891439</v>
      </c>
      <c r="K27" s="205">
        <f>'Input | Deferred + re-proposed'!K28</f>
        <v>14.944337339427056</v>
      </c>
      <c r="L27" s="205">
        <f>'Input | Deferred + re-proposed'!L28</f>
        <v>4.8795590597499761</v>
      </c>
      <c r="M27" s="168"/>
    </row>
    <row r="28" spans="1:14" ht="11.25" customHeight="1">
      <c r="C28" s="76" t="s">
        <v>85</v>
      </c>
      <c r="D28" s="57" t="s">
        <v>60</v>
      </c>
      <c r="E28" s="70" t="s">
        <v>50</v>
      </c>
      <c r="F28" s="70" t="str">
        <f>'Input | Inflation and Disc Rate'!$F$7</f>
        <v>2017–18</v>
      </c>
      <c r="G28" s="60"/>
      <c r="H28" s="129">
        <f>IF(H27&lt;&gt;"",H27/('Input | Inflation and Disc Rate'!K10*(1+'Input | Inflation and Disc Rate'!L9)^0.5),"")</f>
        <v>755.06699559790366</v>
      </c>
      <c r="I28" s="129">
        <f>IF(I27&lt;&gt;"",I27/('Input | Inflation and Disc Rate'!L10*(1+'Input | Inflation and Disc Rate'!M9)^0.5),"")</f>
        <v>194.4201785734592</v>
      </c>
      <c r="J28" s="129">
        <f>IF(J27&lt;&gt;"",J27/('Input | Inflation and Disc Rate'!M10*(1+'Input | Inflation and Disc Rate'!N9)^0.5),"")</f>
        <v>3.5500657979923114</v>
      </c>
      <c r="K28" s="129">
        <f>IF(K27&lt;&gt;"",K27/('Input | Inflation and Disc Rate'!N10*(1+'Input | Inflation and Disc Rate'!O9)^0.5),"")</f>
        <v>11.552643763983793</v>
      </c>
      <c r="L28" s="129">
        <f>IF(L27&lt;&gt;"",L27/('Input | Inflation and Disc Rate'!O10*(1+'Input | Inflation and Disc Rate'!P9)^0.5),"")</f>
        <v>3.6622722990544059</v>
      </c>
      <c r="M28" s="168"/>
    </row>
    <row r="29" spans="1:14" ht="11.25" customHeight="1">
      <c r="C29" s="76" t="s">
        <v>85</v>
      </c>
      <c r="D29" s="57" t="s">
        <v>49</v>
      </c>
      <c r="E29" s="70" t="s">
        <v>50</v>
      </c>
      <c r="F29" s="70" t="s">
        <v>53</v>
      </c>
      <c r="G29" s="60"/>
      <c r="H29" s="129">
        <f>IF(H27&lt;&gt;"",H28*'Input | Inflation and Disc Rate'!K15*(1+'Input | Inflation and Disc Rate'!L14)^0.5,"")</f>
        <v>893.79113106029479</v>
      </c>
      <c r="I29" s="129">
        <f>IF(I27&lt;&gt;"",I28*'Input | Inflation and Disc Rate'!L15*(1+'Input | Inflation and Disc Rate'!M14)^0.5,"")</f>
        <v>236.85836951825166</v>
      </c>
      <c r="J29" s="129">
        <f>IF(J27&lt;&gt;"",J28*'Input | Inflation and Disc Rate'!M15*(1+'Input | Inflation and Disc Rate'!N14)^0.5,"")</f>
        <v>4.4512362418054323</v>
      </c>
      <c r="K29" s="129">
        <f>IF(K27&lt;&gt;"",K28*'Input | Inflation and Disc Rate'!N15*(1+'Input | Inflation and Disc Rate'!O14)^0.5,"")</f>
        <v>14.90810585299694</v>
      </c>
      <c r="L29" s="129">
        <f>IF(L27&lt;&gt;"",L28*'Input | Inflation and Disc Rate'!O15*(1+'Input | Inflation and Disc Rate'!P14)^0.5,"")</f>
        <v>4.8639439567954232</v>
      </c>
    </row>
    <row r="30" spans="1:14" ht="10.5" customHeight="1">
      <c r="D30" s="60"/>
      <c r="E30" s="60"/>
      <c r="F30" s="60"/>
      <c r="G30" s="60"/>
      <c r="M30" s="64"/>
      <c r="N30" s="64"/>
    </row>
    <row r="31" spans="1:14" s="54" customFormat="1" ht="12.75" customHeight="1">
      <c r="A31" s="8"/>
      <c r="B31" s="23" t="s">
        <v>34</v>
      </c>
      <c r="D31" s="55"/>
      <c r="E31" s="55"/>
      <c r="F31" s="55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mergeCells count="1">
    <mergeCell ref="J2:L2"/>
  </mergeCells>
  <conditionalFormatting sqref="H8:L9">
    <cfRule type="expression" dxfId="5" priority="2">
      <formula>IF($H$6&lt;&gt;"","FALSE","TRUE")</formula>
    </cfRule>
  </conditionalFormatting>
  <conditionalFormatting sqref="H17:L19">
    <cfRule type="expression" dxfId="4" priority="1">
      <formula>IF($H$6&lt;&gt;"","FALSE","TRUE")</formula>
    </cfRule>
  </conditionalFormatting>
  <conditionalFormatting sqref="H27:L27">
    <cfRule type="expression" dxfId="3" priority="7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B6C6-FCBF-4231-990D-ADABFE380AB1}">
  <sheetPr>
    <tabColor rgb="FFFFFF00"/>
  </sheetPr>
  <dimension ref="A1:XFC87"/>
  <sheetViews>
    <sheetView zoomScaleNormal="100" workbookViewId="0"/>
  </sheetViews>
  <sheetFormatPr defaultColWidth="0" defaultRowHeight="18" customHeight="1" zeroHeight="1"/>
  <cols>
    <col min="1" max="2" width="1.21875" style="2" customWidth="1"/>
    <col min="3" max="3" width="49.77734375" style="13" customWidth="1"/>
    <col min="4" max="4" width="23.77734375" style="13" customWidth="1"/>
    <col min="5" max="5" width="13.44140625" style="13" customWidth="1"/>
    <col min="6" max="6" width="9.21875" style="13" customWidth="1"/>
    <col min="7" max="7" width="2.77734375" style="13" customWidth="1"/>
    <col min="8" max="12" width="13.77734375" style="2" bestFit="1" customWidth="1"/>
    <col min="13" max="13" width="12.77734375" style="2" customWidth="1"/>
    <col min="14" max="14" width="2.77734375" style="2" customWidth="1"/>
    <col min="15" max="23" width="0" style="2" hidden="1" customWidth="1"/>
    <col min="24" max="16383" width="12.77734375" style="2" hidden="1"/>
    <col min="16384" max="16384" width="17.5546875" style="2" hidden="1" customWidth="1"/>
  </cols>
  <sheetData>
    <row r="1" spans="2:14" ht="18" customHeigh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D1" s="3"/>
      <c r="E1" s="3"/>
      <c r="F1" s="3"/>
      <c r="G1" s="3"/>
      <c r="H1" s="93"/>
      <c r="I1" s="94" t="s">
        <v>47</v>
      </c>
      <c r="J1" s="136" t="s">
        <v>48</v>
      </c>
      <c r="K1" s="139" t="s">
        <v>36</v>
      </c>
      <c r="L1" s="228" t="s">
        <v>147</v>
      </c>
      <c r="M1" s="228"/>
    </row>
    <row r="2" spans="2:14" ht="18" customHeight="1">
      <c r="B2" s="10" t="s">
        <v>136</v>
      </c>
      <c r="D2" s="10"/>
      <c r="E2" s="10"/>
      <c r="F2" s="10"/>
      <c r="G2" s="10"/>
      <c r="J2" s="214" t="s">
        <v>144</v>
      </c>
      <c r="K2" s="214"/>
      <c r="L2" s="216" t="s">
        <v>148</v>
      </c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66" t="s">
        <v>134</v>
      </c>
      <c r="D4" s="15"/>
      <c r="E4" s="15"/>
      <c r="F4" s="15"/>
      <c r="G4" s="15"/>
    </row>
    <row r="5" spans="2:14" ht="10.5" customHeight="1">
      <c r="B5" s="65"/>
      <c r="C5" s="2"/>
    </row>
    <row r="6" spans="2:14" ht="10.5" customHeight="1">
      <c r="B6" s="65"/>
      <c r="C6" s="60"/>
      <c r="D6" s="67" t="s">
        <v>6</v>
      </c>
      <c r="E6" s="67" t="s">
        <v>52</v>
      </c>
      <c r="F6" s="67" t="s">
        <v>4</v>
      </c>
      <c r="G6" s="56"/>
      <c r="H6" s="152" t="str">
        <f>H14</f>
        <v>2023-24</v>
      </c>
      <c r="I6" s="152" t="str">
        <f>I14</f>
        <v>2024–25</v>
      </c>
      <c r="J6" s="152" t="str">
        <f>J14</f>
        <v>2025–26</v>
      </c>
      <c r="K6" s="152" t="str">
        <f>K14</f>
        <v>2026–27</v>
      </c>
      <c r="L6" s="152" t="str">
        <f>L14</f>
        <v>2027–28</v>
      </c>
      <c r="M6" s="169"/>
      <c r="N6" s="60"/>
    </row>
    <row r="7" spans="2:14" ht="10.5" customHeight="1"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4" ht="10.5" customHeight="1">
      <c r="B8" s="65"/>
      <c r="C8" s="72" t="s">
        <v>135</v>
      </c>
      <c r="D8" s="70" t="s">
        <v>86</v>
      </c>
      <c r="E8" s="70" t="s">
        <v>50</v>
      </c>
      <c r="F8" s="70" t="s">
        <v>53</v>
      </c>
      <c r="G8" s="60"/>
      <c r="H8" s="124">
        <f>'Input | Inflation and Disc Rate'!L9</f>
        <v>2.9993931995937029E-2</v>
      </c>
      <c r="I8" s="124">
        <f>'Input | Inflation and Disc Rate'!M9</f>
        <v>2.9993931995937029E-2</v>
      </c>
      <c r="J8" s="124">
        <f>'Input | Inflation and Disc Rate'!N9</f>
        <v>2.9993931995937029E-2</v>
      </c>
      <c r="K8" s="124">
        <f>'Input | Inflation and Disc Rate'!O9</f>
        <v>2.9993931995937029E-2</v>
      </c>
      <c r="L8" s="124">
        <f>'Input | Inflation and Disc Rate'!P9</f>
        <v>2.9993931995937029E-2</v>
      </c>
    </row>
    <row r="9" spans="2:14" ht="10.5" customHeight="1">
      <c r="B9" s="65"/>
      <c r="C9" s="72" t="str">
        <f>"Index | Real $"&amp;'Output | Models'!$F$8&amp;" to nominal (mid-year)"</f>
        <v>Index | Real $2022–23 to nominal (mid-year)</v>
      </c>
      <c r="D9" s="70" t="s">
        <v>49</v>
      </c>
      <c r="E9" s="70" t="s">
        <v>60</v>
      </c>
      <c r="F9" s="70" t="s">
        <v>53</v>
      </c>
      <c r="G9" s="123"/>
      <c r="H9" s="110">
        <f>(1+H8)^0.5</f>
        <v>1.0148861670137874</v>
      </c>
      <c r="I9" s="110">
        <f>H9*(1+H8)^0.5*(1+I8)^0.5</f>
        <v>1.0453265936908165</v>
      </c>
      <c r="J9" s="110">
        <f t="shared" ref="J9:L9" si="0">I9*(1+I8)^0.5*(1+J8)^0.5</f>
        <v>1.0766800484555235</v>
      </c>
      <c r="K9" s="110">
        <f t="shared" si="0"/>
        <v>1.1089739166102808</v>
      </c>
      <c r="L9" s="110">
        <f t="shared" si="0"/>
        <v>1.1422364048503575</v>
      </c>
    </row>
    <row r="10" spans="2:14" ht="10.5" customHeight="1">
      <c r="B10" s="65"/>
      <c r="C10" s="211" t="str">
        <f>"Index | Real $2021-22"&amp;" to nominal (mid-year)"</f>
        <v>Index | Real $2021-22 to nominal (mid-year)</v>
      </c>
      <c r="D10" s="70" t="s">
        <v>49</v>
      </c>
      <c r="E10" s="70" t="s">
        <v>60</v>
      </c>
      <c r="F10" s="70" t="s">
        <v>53</v>
      </c>
      <c r="G10" s="123"/>
      <c r="H10" s="110">
        <f>(1+'Input | Inflation and Disc Rate'!K8)*(1+H$8)^0.5</f>
        <v>1.0940472880408629</v>
      </c>
      <c r="I10" s="110">
        <f>H10*(1+H8)^0.5*(1+I8)^0.5</f>
        <v>1.1268620679987003</v>
      </c>
      <c r="J10" s="110">
        <f t="shared" ref="J10:L10" si="1">I10*(1+I8)^0.5*(1+J8)^0.5</f>
        <v>1.1606610922350544</v>
      </c>
      <c r="K10" s="110">
        <f t="shared" si="1"/>
        <v>1.1954738821058828</v>
      </c>
      <c r="L10" s="110">
        <f t="shared" si="1"/>
        <v>1.2313308444286857</v>
      </c>
    </row>
    <row r="11" spans="2:14" ht="10.5" customHeight="1">
      <c r="B11" s="65"/>
      <c r="C11" s="2"/>
      <c r="M11" s="64"/>
      <c r="N11" s="64"/>
    </row>
    <row r="12" spans="2:14" s="8" customFormat="1" ht="12.75" customHeight="1">
      <c r="B12" s="23" t="s">
        <v>129</v>
      </c>
      <c r="D12" s="6"/>
      <c r="E12" s="6"/>
      <c r="F12" s="6"/>
      <c r="G12" s="6"/>
    </row>
    <row r="13" spans="2:14" ht="10.5" customHeight="1">
      <c r="D13" s="60"/>
      <c r="E13" s="60"/>
      <c r="F13" s="60"/>
      <c r="G13" s="60"/>
    </row>
    <row r="14" spans="2:14" s="60" customFormat="1" ht="10.5" customHeight="1">
      <c r="D14" s="67" t="s">
        <v>6</v>
      </c>
      <c r="E14" s="67" t="s">
        <v>52</v>
      </c>
      <c r="F14" s="67" t="s">
        <v>4</v>
      </c>
      <c r="G14" s="56"/>
      <c r="H14" s="152" t="str">
        <f>'Input | General'!D18</f>
        <v>2023-24</v>
      </c>
      <c r="I14" s="152" t="str">
        <f>'Input | General'!E18</f>
        <v>2024–25</v>
      </c>
      <c r="J14" s="152" t="str">
        <f>'Input | General'!F18</f>
        <v>2025–26</v>
      </c>
      <c r="K14" s="152" t="str">
        <f>'Input | General'!G18</f>
        <v>2026–27</v>
      </c>
      <c r="L14" s="152" t="str">
        <f>'Input | General'!H18</f>
        <v>2027–28</v>
      </c>
      <c r="M14" s="168"/>
    </row>
    <row r="15" spans="2:14" s="60" customFormat="1" ht="10.5" customHeight="1"/>
    <row r="16" spans="2:14" s="60" customFormat="1" ht="10.5" customHeight="1">
      <c r="C16" s="201" t="s">
        <v>131</v>
      </c>
    </row>
    <row r="17" spans="1:13" ht="10.5" customHeight="1">
      <c r="C17" s="202" t="s">
        <v>132</v>
      </c>
      <c r="D17" s="57" t="s">
        <v>86</v>
      </c>
      <c r="E17" s="70" t="s">
        <v>50</v>
      </c>
      <c r="F17" s="70" t="s">
        <v>53</v>
      </c>
      <c r="G17" s="60"/>
      <c r="H17" s="221">
        <v>891.82908747890883</v>
      </c>
      <c r="I17" s="221">
        <v>234.95768390420841</v>
      </c>
      <c r="J17" s="205">
        <v>0</v>
      </c>
      <c r="K17" s="205">
        <v>0</v>
      </c>
      <c r="L17" s="205">
        <v>0</v>
      </c>
    </row>
    <row r="18" spans="1:13" ht="11.25" customHeight="1">
      <c r="C18" s="203" t="s">
        <v>87</v>
      </c>
      <c r="D18" s="57" t="s">
        <v>60</v>
      </c>
      <c r="E18" s="70" t="s">
        <v>50</v>
      </c>
      <c r="F18" s="70" t="s">
        <v>53</v>
      </c>
      <c r="G18" s="60"/>
      <c r="H18" s="129">
        <f>SUM(H17:H17)</f>
        <v>891.82908747890883</v>
      </c>
      <c r="I18" s="129">
        <f t="shared" ref="I18:L18" si="2">SUM(I17:I17)</f>
        <v>234.95768390420841</v>
      </c>
      <c r="J18" s="129">
        <f t="shared" si="2"/>
        <v>0</v>
      </c>
      <c r="K18" s="129">
        <f t="shared" si="2"/>
        <v>0</v>
      </c>
      <c r="L18" s="129">
        <f t="shared" si="2"/>
        <v>0</v>
      </c>
      <c r="M18" s="168"/>
    </row>
    <row r="19" spans="1:13" s="60" customFormat="1" ht="10.5" customHeight="1"/>
    <row r="20" spans="1:13" ht="10.5" customHeight="1">
      <c r="C20" s="201" t="s">
        <v>133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1:13" ht="10.5" customHeight="1">
      <c r="C21" s="215" t="s">
        <v>140</v>
      </c>
      <c r="D21" s="57" t="s">
        <v>86</v>
      </c>
      <c r="E21" s="70" t="s">
        <v>50</v>
      </c>
      <c r="F21" s="70" t="s">
        <v>143</v>
      </c>
      <c r="G21" s="60"/>
      <c r="H21" s="213" t="s">
        <v>149</v>
      </c>
      <c r="I21" s="213" t="s">
        <v>149</v>
      </c>
      <c r="J21" s="213" t="s">
        <v>149</v>
      </c>
      <c r="K21" s="213" t="s">
        <v>149</v>
      </c>
      <c r="L21" s="213" t="s">
        <v>149</v>
      </c>
    </row>
    <row r="22" spans="1:13" ht="10.5" customHeight="1">
      <c r="C22" s="215" t="s">
        <v>139</v>
      </c>
      <c r="D22" s="57" t="s">
        <v>86</v>
      </c>
      <c r="E22" s="70" t="s">
        <v>50</v>
      </c>
      <c r="F22" s="70" t="s">
        <v>143</v>
      </c>
      <c r="G22" s="60"/>
      <c r="H22" s="213" t="s">
        <v>149</v>
      </c>
      <c r="I22" s="213" t="s">
        <v>149</v>
      </c>
      <c r="J22" s="213" t="s">
        <v>149</v>
      </c>
      <c r="K22" s="213" t="s">
        <v>149</v>
      </c>
      <c r="L22" s="213" t="s">
        <v>149</v>
      </c>
    </row>
    <row r="23" spans="1:13" ht="10.5" customHeight="1">
      <c r="C23" s="202" t="s">
        <v>128</v>
      </c>
      <c r="D23" s="57" t="s">
        <v>86</v>
      </c>
      <c r="E23" s="70" t="s">
        <v>50</v>
      </c>
      <c r="F23" s="70" t="s">
        <v>143</v>
      </c>
      <c r="G23" s="60"/>
      <c r="H23" s="205">
        <v>1.87</v>
      </c>
      <c r="I23" s="205">
        <v>1.87</v>
      </c>
      <c r="J23" s="205">
        <v>0</v>
      </c>
      <c r="K23" s="205">
        <v>0</v>
      </c>
      <c r="L23" s="205">
        <v>0</v>
      </c>
    </row>
    <row r="24" spans="1:13" ht="10.5" customHeight="1">
      <c r="C24" s="202" t="s">
        <v>141</v>
      </c>
      <c r="D24" s="57" t="s">
        <v>86</v>
      </c>
      <c r="E24" s="70" t="s">
        <v>50</v>
      </c>
      <c r="F24" s="70" t="s">
        <v>143</v>
      </c>
      <c r="G24" s="60"/>
      <c r="H24" s="205">
        <v>0</v>
      </c>
      <c r="I24" s="205">
        <v>0</v>
      </c>
      <c r="J24" s="205">
        <v>2.3470102434684477</v>
      </c>
      <c r="K24" s="205">
        <v>6.9145559831205032</v>
      </c>
      <c r="L24" s="205">
        <v>0.27422940868453105</v>
      </c>
    </row>
    <row r="25" spans="1:13" ht="10.5" customHeight="1">
      <c r="C25" s="202" t="s">
        <v>142</v>
      </c>
      <c r="D25" s="57" t="s">
        <v>86</v>
      </c>
      <c r="E25" s="70" t="s">
        <v>50</v>
      </c>
      <c r="F25" s="70" t="s">
        <v>143</v>
      </c>
      <c r="G25" s="60"/>
      <c r="H25" s="205">
        <v>0</v>
      </c>
      <c r="I25" s="205">
        <v>0</v>
      </c>
      <c r="J25" s="205">
        <v>1.4944079661342924</v>
      </c>
      <c r="K25" s="205">
        <v>4.9793661277561165</v>
      </c>
      <c r="L25" s="205">
        <v>1.3113808751884197</v>
      </c>
    </row>
    <row r="26" spans="1:13" ht="10.5" customHeight="1">
      <c r="C26" s="203" t="s">
        <v>87</v>
      </c>
      <c r="D26" s="57" t="s">
        <v>60</v>
      </c>
      <c r="E26" s="70" t="s">
        <v>50</v>
      </c>
      <c r="F26" s="70" t="s">
        <v>143</v>
      </c>
      <c r="G26" s="60"/>
      <c r="H26" s="129">
        <v>1.87</v>
      </c>
      <c r="I26" s="129">
        <v>1.87</v>
      </c>
      <c r="J26" s="129">
        <v>3.8414182096027401</v>
      </c>
      <c r="K26" s="129">
        <v>12.500764394034197</v>
      </c>
      <c r="L26" s="129">
        <v>3.9628334511623473</v>
      </c>
    </row>
    <row r="27" spans="1:13" ht="10.5" customHeight="1">
      <c r="C27" s="60"/>
      <c r="D27" s="60"/>
      <c r="E27" s="60"/>
      <c r="F27" s="60"/>
      <c r="G27" s="60"/>
      <c r="H27" s="59"/>
      <c r="I27" s="59"/>
      <c r="J27" s="59"/>
      <c r="K27" s="59"/>
      <c r="L27" s="59"/>
    </row>
    <row r="28" spans="1:13" ht="10.5" customHeight="1">
      <c r="C28" s="69" t="s">
        <v>130</v>
      </c>
      <c r="D28" s="68" t="s">
        <v>60</v>
      </c>
      <c r="E28" s="153" t="s">
        <v>50</v>
      </c>
      <c r="F28" s="155" t="s">
        <v>53</v>
      </c>
      <c r="G28" s="60"/>
      <c r="H28" s="58">
        <f>H26*H$10
+H18</f>
        <v>893.8749559075452</v>
      </c>
      <c r="I28" s="58">
        <f>I26*I$10
+I18</f>
        <v>237.06491597136599</v>
      </c>
      <c r="J28" s="58">
        <f>J26*J$10
+J18</f>
        <v>4.4585846548891439</v>
      </c>
      <c r="K28" s="58">
        <f>K26*K$10
+K18</f>
        <v>14.944337339427056</v>
      </c>
      <c r="L28" s="58">
        <f>L26*L$10
+L18</f>
        <v>4.8795590597499761</v>
      </c>
    </row>
    <row r="29" spans="1:13" ht="10.5" customHeight="1">
      <c r="D29" s="60"/>
      <c r="E29" s="60"/>
      <c r="F29" s="60"/>
      <c r="G29" s="60"/>
    </row>
    <row r="30" spans="1:13" s="54" customFormat="1" ht="12.75" customHeight="1">
      <c r="A30" s="8"/>
      <c r="B30" s="23" t="s">
        <v>34</v>
      </c>
      <c r="D30" s="55"/>
      <c r="E30" s="55"/>
      <c r="F30" s="55"/>
    </row>
    <row r="31" spans="1:13" ht="10.5" hidden="1" customHeight="1"/>
    <row r="32" spans="1:13" ht="18" hidden="1" customHeight="1">
      <c r="H32" s="13"/>
      <c r="I32" s="13"/>
      <c r="J32" s="13"/>
      <c r="K32" s="13"/>
      <c r="L32" s="13"/>
    </row>
    <row r="33" spans="3:7" ht="18" hidden="1" customHeight="1">
      <c r="C33" s="2"/>
      <c r="D33" s="2"/>
      <c r="E33" s="2"/>
      <c r="F33" s="2"/>
      <c r="G33" s="2"/>
    </row>
    <row r="34" spans="3:7" ht="18" customHeight="1"/>
    <row r="35" spans="3:7" ht="18" customHeight="1"/>
    <row r="36" spans="3:7" s="14" customFormat="1" ht="18" hidden="1" customHeight="1"/>
    <row r="37" spans="3:7" ht="18" customHeight="1"/>
    <row r="38" spans="3:7" ht="18" customHeight="1"/>
    <row r="39" spans="3:7" ht="18" customHeight="1"/>
    <row r="40" spans="3:7" ht="18" customHeight="1"/>
    <row r="41" spans="3:7" s="14" customFormat="1" ht="18" customHeight="1"/>
    <row r="48" spans="3:7" ht="18" hidden="1" customHeight="1">
      <c r="C48" s="2"/>
      <c r="D48" s="2"/>
      <c r="E48" s="2"/>
      <c r="F48" s="2"/>
      <c r="G48" s="2"/>
    </row>
    <row r="52" spans="8:14" s="14" customFormat="1" ht="18" hidden="1" customHeight="1"/>
    <row r="61" spans="8:14" ht="18" hidden="1" customHeight="1">
      <c r="H61" s="14"/>
      <c r="I61" s="14"/>
      <c r="J61" s="14"/>
      <c r="K61" s="14"/>
      <c r="L61" s="14"/>
      <c r="M61" s="14"/>
      <c r="N61" s="14"/>
    </row>
    <row r="62" spans="8:14" ht="18" customHeight="1"/>
    <row r="63" spans="8:14" ht="18" customHeight="1"/>
    <row r="64" spans="8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</sheetData>
  <mergeCells count="1">
    <mergeCell ref="L1:M1"/>
  </mergeCells>
  <conditionalFormatting sqref="H8:L10">
    <cfRule type="expression" dxfId="2" priority="3">
      <formula>IF($H$14&lt;&gt;"","FALSE","TRUE")</formula>
    </cfRule>
  </conditionalFormatting>
  <conditionalFormatting sqref="H17:L17">
    <cfRule type="expression" dxfId="1" priority="4">
      <formula>IF($H$14&lt;&gt;"","FALSE","TRUE")</formula>
    </cfRule>
  </conditionalFormatting>
  <conditionalFormatting sqref="H21:L25">
    <cfRule type="expression" dxfId="0" priority="1">
      <formula>IF($H$14&lt;&gt;"","FALSE","TRUE")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G35" sqref="G35"/>
    </sheetView>
  </sheetViews>
  <sheetFormatPr defaultColWidth="0" defaultRowHeight="0" customHeight="1" zeroHeight="1"/>
  <cols>
    <col min="1" max="2" width="1.21875" style="2" customWidth="1"/>
    <col min="3" max="3" width="46.77734375" style="9" customWidth="1"/>
    <col min="4" max="8" width="12.77734375" style="2" customWidth="1"/>
    <col min="9" max="9" width="8.21875" style="2" customWidth="1"/>
    <col min="10" max="10" width="12.77734375" style="1" customWidth="1"/>
    <col min="11" max="14" width="12.77734375" style="2" customWidth="1"/>
    <col min="15" max="15" width="9.77734375" style="2" customWidth="1"/>
    <col min="16" max="16" width="10.77734375" style="2" customWidth="1"/>
    <col min="17" max="16382" width="0" style="2" hidden="1"/>
    <col min="16383" max="16384" width="12.77734375" style="2" hidden="1"/>
  </cols>
  <sheetData>
    <row r="1" spans="2:23" ht="18" customHeigh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C1" s="2"/>
      <c r="J1" s="109"/>
      <c r="K1" s="94" t="s">
        <v>47</v>
      </c>
      <c r="L1" s="136" t="s">
        <v>48</v>
      </c>
      <c r="M1" s="139" t="s">
        <v>36</v>
      </c>
      <c r="Q1" s="95"/>
      <c r="R1" s="71"/>
      <c r="S1" s="71"/>
      <c r="T1" s="71"/>
      <c r="U1" s="71"/>
      <c r="V1" s="71"/>
      <c r="W1" s="71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3"/>
      <c r="D5" s="83"/>
      <c r="E5" s="83"/>
      <c r="F5" s="83"/>
      <c r="G5" s="83"/>
      <c r="H5" s="83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5"/>
    </row>
    <row r="7" spans="2:23" ht="11.25" customHeight="1">
      <c r="C7" s="104" t="s">
        <v>9</v>
      </c>
      <c r="D7" s="152" t="str">
        <f>IF('Input | General'!D14="Yes",'Input | General'!D13,"n/a")</f>
        <v>2018–19</v>
      </c>
      <c r="E7" s="152" t="str">
        <f>IF('Input | General'!E14="Yes",'Input | General'!E13,"n/a")</f>
        <v>2019–20</v>
      </c>
      <c r="F7" s="152" t="str">
        <f>IF('Input | General'!F14="Yes",'Input | General'!F13,"n/a")</f>
        <v>2020–21</v>
      </c>
      <c r="G7" s="152" t="str">
        <f>IF('Input | General'!G14="Yes",'Input | General'!G13,"n/a")</f>
        <v>2021–22</v>
      </c>
      <c r="H7" s="156" t="str">
        <f>IF('Input | General'!H14="Yes",'Input | General'!H13,"n/a")</f>
        <v>2022–23</v>
      </c>
      <c r="I7" s="85"/>
    </row>
    <row r="8" spans="2:23" ht="11.25" customHeight="1">
      <c r="C8" s="102" t="s">
        <v>94</v>
      </c>
      <c r="D8" s="140">
        <f>'Input | Inflation and Disc Rate'!G20</f>
        <v>3.993698958963017E-2</v>
      </c>
      <c r="E8" s="141">
        <f>'Input | Inflation and Disc Rate'!H20</f>
        <v>3.8768911813005374E-2</v>
      </c>
      <c r="F8" s="141">
        <f>'Input | Inflation and Disc Rate'!I20</f>
        <v>3.6676965385035398E-2</v>
      </c>
      <c r="G8" s="141">
        <f>'Input | Inflation and Disc Rate'!J20</f>
        <v>3.4025171303287666E-2</v>
      </c>
      <c r="H8" s="142">
        <f>'Input | Inflation and Disc Rate'!K20</f>
        <v>3.2257784777955135E-2</v>
      </c>
      <c r="I8" s="85"/>
      <c r="J8" s="71"/>
      <c r="K8" s="71"/>
    </row>
    <row r="9" spans="2:23" ht="11.25" customHeight="1">
      <c r="C9" s="102" t="s">
        <v>95</v>
      </c>
      <c r="D9" s="140">
        <f>'Input | Inflation and Disc Rate'!G22</f>
        <v>5.8490727138062582E-2</v>
      </c>
      <c r="E9" s="141">
        <f>'Input | Inflation and Disc Rate'!H22</f>
        <v>5.7887358042692849E-2</v>
      </c>
      <c r="F9" s="141">
        <f>'Input | Inflation and Disc Rate'!I22</f>
        <v>4.5598453899536651E-2</v>
      </c>
      <c r="G9" s="141">
        <f>'Input | Inflation and Disc Rate'!J22</f>
        <v>7.0198406818163805E-2</v>
      </c>
      <c r="H9" s="142">
        <f>'Input | Inflation and Disc Rate'!K22</f>
        <v>0.11310237633105147</v>
      </c>
      <c r="I9" s="85"/>
      <c r="J9" s="71"/>
      <c r="K9" s="71"/>
    </row>
    <row r="10" spans="2:23" ht="11.25" customHeight="1">
      <c r="C10" s="100" t="s">
        <v>13</v>
      </c>
      <c r="D10" s="145">
        <f>'Input | Reported Capex'!H$11*'Input | Inflation and Disc Rate'!G$15*(1+'Input | Inflation and Disc Rate'!G$20)^0.5</f>
        <v>228.27981461567708</v>
      </c>
      <c r="E10" s="143">
        <f>'Input | Reported Capex'!I$11*'Input | Inflation and Disc Rate'!H$15*(1+'Input | Inflation and Disc Rate'!H$20)^0.5</f>
        <v>385.56272167226393</v>
      </c>
      <c r="F10" s="143">
        <f>'Input | Reported Capex'!J$11*'Input | Inflation and Disc Rate'!I$15*(1+'Input | Inflation and Disc Rate'!I$20)^0.5</f>
        <v>652.99902467008803</v>
      </c>
      <c r="G10" s="143">
        <f>'Input | Reported Capex'!K$11*'Input | Inflation and Disc Rate'!J$15*(1+'Input | Inflation and Disc Rate'!J$20)^0.5</f>
        <v>1411.099423833077</v>
      </c>
      <c r="H10" s="144">
        <f>'Input | Reported Capex'!L$11*'Input | Inflation and Disc Rate'!K$15*(1+'Input | Inflation and Disc Rate'!K$20)^0.5</f>
        <v>1297.0560066900771</v>
      </c>
      <c r="I10" s="222"/>
      <c r="J10" s="190"/>
      <c r="K10" s="171"/>
      <c r="L10" s="84"/>
      <c r="M10" s="84"/>
      <c r="N10" s="84"/>
      <c r="O10" s="223"/>
      <c r="P10" s="223"/>
    </row>
    <row r="11" spans="2:23" ht="11.25" customHeight="1">
      <c r="C11" s="100" t="s">
        <v>15</v>
      </c>
      <c r="D11" s="145">
        <f>'Input | Reported Capex'!H21*(1+D$9)^0.5</f>
        <v>212.61438146402296</v>
      </c>
      <c r="E11" s="143">
        <f>'Input | Reported Capex'!I21*(1+E$9)^0.5</f>
        <v>332.21969936482276</v>
      </c>
      <c r="F11" s="143">
        <f>'Input | Reported Capex'!J21*(1+F$9)^0.5</f>
        <v>810.51055074542785</v>
      </c>
      <c r="G11" s="143">
        <f>'Input | Reported Capex'!K21*(1+G$9)^0.5</f>
        <v>512.77631098255017</v>
      </c>
      <c r="H11" s="144">
        <f>'Input | Reported Capex'!L21*(1+H$9)^0.5</f>
        <v>1106.5824470038137</v>
      </c>
      <c r="I11" s="222"/>
      <c r="J11" s="190"/>
      <c r="K11" s="171"/>
      <c r="L11" s="84"/>
      <c r="M11" s="84"/>
      <c r="N11" s="84"/>
      <c r="O11" s="223"/>
      <c r="P11" s="223"/>
    </row>
    <row r="12" spans="2:23" s="14" customFormat="1" ht="11.25" customHeight="1">
      <c r="C12" s="100" t="s">
        <v>17</v>
      </c>
      <c r="D12" s="135">
        <f>(D10-D11)</f>
        <v>15.665433151654128</v>
      </c>
      <c r="E12" s="126">
        <f>(E10-E11)</f>
        <v>53.343022307441174</v>
      </c>
      <c r="F12" s="126">
        <f t="shared" ref="F12:H12" si="0">(F10-F11)</f>
        <v>-157.51152607533982</v>
      </c>
      <c r="G12" s="126">
        <f t="shared" si="0"/>
        <v>898.32311285052685</v>
      </c>
      <c r="H12" s="130">
        <f t="shared" si="0"/>
        <v>190.47355968626334</v>
      </c>
      <c r="I12" s="85"/>
      <c r="J12" s="190"/>
      <c r="K12" s="171"/>
      <c r="L12" s="84"/>
      <c r="M12" s="84"/>
      <c r="N12" s="84"/>
    </row>
    <row r="13" spans="2:23" ht="11.25" customHeight="1">
      <c r="C13" s="100" t="s">
        <v>71</v>
      </c>
      <c r="D13" s="135"/>
      <c r="E13" s="126">
        <f>$D$12*$E$8</f>
        <v>0.60733179636900969</v>
      </c>
      <c r="F13" s="126">
        <f>$D$12*$F$8*(1+'Input | Inflation and Disc Rate'!H13)</f>
        <v>0.58513528348366584</v>
      </c>
      <c r="G13" s="126">
        <f>$D$12*$G$8*(1+'Input | Inflation and Disc Rate'!H13)*(1+'Input | Inflation and Disc Rate'!I13)</f>
        <v>0.54750072088306179</v>
      </c>
      <c r="H13" s="130">
        <f>$D$12*$H$8*(1+'Input | Inflation and Disc Rate'!H13)*(1+'Input | Inflation and Disc Rate'!I13)*(1+'Input | Inflation and Disc Rate'!J13)</f>
        <v>0.53721991542083802</v>
      </c>
      <c r="I13" s="85"/>
      <c r="J13" s="190"/>
      <c r="K13" s="71"/>
      <c r="L13" s="84"/>
      <c r="M13" s="84"/>
      <c r="N13" s="84"/>
      <c r="O13" s="84"/>
    </row>
    <row r="14" spans="2:23" ht="11.25" customHeight="1">
      <c r="C14" s="100" t="s">
        <v>72</v>
      </c>
      <c r="D14" s="135"/>
      <c r="E14" s="127"/>
      <c r="F14" s="126">
        <f>$E$12*F$8</f>
        <v>1.9564601827031911</v>
      </c>
      <c r="G14" s="126">
        <f>$E$12*G$8*(1+'Input | Inflation and Disc Rate'!I13)</f>
        <v>1.830625140278189</v>
      </c>
      <c r="H14" s="130">
        <f>$E$12*H$8*(1+'Input | Inflation and Disc Rate'!I13)*(1+'Input | Inflation and Disc Rate'!J13)</f>
        <v>1.7962502066505204</v>
      </c>
      <c r="I14" s="85"/>
      <c r="J14" s="190"/>
      <c r="K14" s="71"/>
      <c r="L14" s="84"/>
      <c r="M14" s="84"/>
      <c r="N14" s="85"/>
      <c r="O14" s="85"/>
    </row>
    <row r="15" spans="2:23" ht="11.25" customHeight="1">
      <c r="C15" s="100" t="s">
        <v>73</v>
      </c>
      <c r="D15" s="135"/>
      <c r="E15" s="126"/>
      <c r="F15" s="126"/>
      <c r="G15" s="126">
        <f>$F$12*G$8</f>
        <v>-5.3593566569556996</v>
      </c>
      <c r="H15" s="130">
        <f>$F$12*$H$8*(1+'Input | Inflation and Disc Rate'!J13)</f>
        <v>-5.2587202539497513</v>
      </c>
      <c r="I15" s="85"/>
      <c r="J15" s="190"/>
      <c r="K15" s="71"/>
      <c r="L15" s="84"/>
      <c r="M15" s="84"/>
      <c r="N15" s="84"/>
      <c r="O15" s="84"/>
    </row>
    <row r="16" spans="2:23" ht="11.25" customHeight="1">
      <c r="C16" s="100" t="s">
        <v>74</v>
      </c>
      <c r="D16" s="135"/>
      <c r="E16" s="126"/>
      <c r="F16" s="126"/>
      <c r="G16" s="126"/>
      <c r="H16" s="130">
        <f>$G$12*$H$8</f>
        <v>28.977913635394998</v>
      </c>
      <c r="I16" s="85"/>
      <c r="J16" s="190"/>
      <c r="K16" s="171"/>
      <c r="L16" s="84"/>
      <c r="M16" s="84"/>
      <c r="N16" s="84"/>
      <c r="O16" s="84"/>
    </row>
    <row r="17" spans="3:15" ht="11.25" customHeight="1">
      <c r="C17" s="100" t="s">
        <v>75</v>
      </c>
      <c r="D17" s="135"/>
      <c r="E17" s="126"/>
      <c r="F17" s="126"/>
      <c r="G17" s="126"/>
      <c r="H17" s="130"/>
      <c r="I17" s="85"/>
      <c r="J17" s="190"/>
      <c r="K17" s="171"/>
      <c r="L17" s="84"/>
      <c r="M17" s="84"/>
      <c r="N17" s="84"/>
      <c r="O17" s="84"/>
    </row>
    <row r="18" spans="3:15" s="14" customFormat="1" ht="11.25" customHeight="1">
      <c r="C18" s="101" t="s">
        <v>19</v>
      </c>
      <c r="D18" s="113">
        <f>SUM(D13:D17)</f>
        <v>0</v>
      </c>
      <c r="E18" s="80">
        <f>SUM(E13:E17)</f>
        <v>0.60733179636900969</v>
      </c>
      <c r="F18" s="80">
        <f t="shared" ref="F18:H18" si="1">SUM(F13:F17)</f>
        <v>2.5415954661868572</v>
      </c>
      <c r="G18" s="80">
        <f t="shared" si="1"/>
        <v>-2.9812307957944491</v>
      </c>
      <c r="H18" s="81">
        <f t="shared" si="1"/>
        <v>26.052663503516605</v>
      </c>
      <c r="I18" s="85"/>
      <c r="J18" s="171"/>
      <c r="K18" s="71"/>
      <c r="L18" s="84"/>
      <c r="M18" s="84"/>
      <c r="N18" s="84"/>
      <c r="O18" s="84"/>
    </row>
    <row r="19" spans="3:15" ht="11.25" customHeight="1">
      <c r="C19" s="102" t="s">
        <v>93</v>
      </c>
      <c r="D19" s="113">
        <f t="shared" ref="D19:E19" si="2">E19*(1+E$9)</f>
        <v>1.3176612359221012</v>
      </c>
      <c r="E19" s="80">
        <f t="shared" si="2"/>
        <v>1.2455591097714249</v>
      </c>
      <c r="F19" s="80">
        <f>G19*(1+G$9)</f>
        <v>1.1912403897750035</v>
      </c>
      <c r="G19" s="80">
        <f>H19*(1+H$9)</f>
        <v>1.1131023763310515</v>
      </c>
      <c r="H19" s="131">
        <v>1</v>
      </c>
      <c r="I19" s="85"/>
      <c r="J19" s="171"/>
      <c r="K19" s="71"/>
      <c r="L19" s="85"/>
      <c r="M19" s="85"/>
      <c r="N19" s="85"/>
      <c r="O19" s="85"/>
    </row>
    <row r="20" spans="3:15" s="14" customFormat="1" ht="11.25" customHeight="1">
      <c r="C20" s="100" t="s">
        <v>20</v>
      </c>
      <c r="D20" s="135">
        <f>D12*D19</f>
        <v>20.641734007863633</v>
      </c>
      <c r="E20" s="126">
        <f>E12*E19</f>
        <v>66.441887377773696</v>
      </c>
      <c r="F20" s="126">
        <f t="shared" ref="F20:H20" si="3">F12*F19</f>
        <v>-187.63409171604343</v>
      </c>
      <c r="G20" s="126">
        <f t="shared" si="3"/>
        <v>999.92559162702878</v>
      </c>
      <c r="H20" s="130">
        <f t="shared" si="3"/>
        <v>190.47355968626334</v>
      </c>
      <c r="I20" s="85"/>
      <c r="J20" s="171"/>
      <c r="K20" s="71"/>
      <c r="L20" s="85"/>
      <c r="M20" s="85"/>
      <c r="N20" s="85"/>
      <c r="O20" s="85"/>
    </row>
    <row r="21" spans="3:15" s="14" customFormat="1" ht="11.25" customHeight="1">
      <c r="C21" s="101" t="s">
        <v>21</v>
      </c>
      <c r="D21" s="113">
        <f>D18*D19</f>
        <v>0</v>
      </c>
      <c r="E21" s="80">
        <f>E18*E19</f>
        <v>0.75646765162126406</v>
      </c>
      <c r="F21" s="80">
        <f t="shared" ref="F21:H21" si="4">F18*F19</f>
        <v>3.0276511737908134</v>
      </c>
      <c r="G21" s="80">
        <f t="shared" si="4"/>
        <v>-3.3184150831901129</v>
      </c>
      <c r="H21" s="81">
        <f t="shared" si="4"/>
        <v>26.052663503516605</v>
      </c>
      <c r="I21" s="85"/>
      <c r="J21" s="171"/>
      <c r="K21" s="71"/>
      <c r="L21" s="85"/>
      <c r="M21" s="85"/>
      <c r="N21" s="85"/>
      <c r="O21" s="85"/>
    </row>
    <row r="22" spans="3:15" s="71" customFormat="1" ht="11.25" customHeight="1">
      <c r="J22" s="171"/>
    </row>
    <row r="23" spans="3:15" ht="11.25" customHeight="1">
      <c r="C23" s="105" t="s">
        <v>12</v>
      </c>
      <c r="D23" s="106"/>
      <c r="E23" s="107"/>
      <c r="F23" s="107"/>
      <c r="G23" s="107"/>
      <c r="H23" s="107"/>
      <c r="I23" s="85"/>
      <c r="J23" s="71"/>
      <c r="K23" s="71"/>
      <c r="L23" s="85"/>
      <c r="M23" s="85"/>
      <c r="N23" s="85"/>
      <c r="O23" s="85"/>
    </row>
    <row r="24" spans="3:15" ht="11.25" customHeight="1">
      <c r="C24" s="99" t="s">
        <v>9</v>
      </c>
      <c r="D24" s="157" t="str">
        <f>'Input | General'!$D$18</f>
        <v>2023-24</v>
      </c>
      <c r="E24" s="157" t="str">
        <f>'Input | General'!$E$18</f>
        <v>2024–25</v>
      </c>
      <c r="F24" s="157" t="str">
        <f>'Input | General'!$F$18</f>
        <v>2025–26</v>
      </c>
      <c r="G24" s="157" t="str">
        <f>'Input | General'!$G$18</f>
        <v>2026–27</v>
      </c>
      <c r="H24" s="158" t="str">
        <f>'Input | General'!$H$18</f>
        <v>2027–28</v>
      </c>
      <c r="I24" s="85"/>
      <c r="J24" s="71"/>
      <c r="K24" s="71"/>
      <c r="L24" s="85"/>
      <c r="M24" s="85"/>
      <c r="N24" s="85"/>
      <c r="O24" s="85"/>
    </row>
    <row r="25" spans="3:15" ht="11.25" customHeight="1">
      <c r="C25" s="103" t="s">
        <v>70</v>
      </c>
      <c r="D25" s="146">
        <f>'Input | Inflation and Disc Rate'!L$22</f>
        <v>5.7676167388836408E-2</v>
      </c>
      <c r="E25" s="146">
        <f>'Input | Inflation and Disc Rate'!M$22</f>
        <v>5.7482404238806684E-2</v>
      </c>
      <c r="F25" s="146">
        <f>'Input | Inflation and Disc Rate'!N$22</f>
        <v>5.8224699785473177E-2</v>
      </c>
      <c r="G25" s="146">
        <f>'Input | Inflation and Disc Rate'!O$22</f>
        <v>5.8847966238737781E-2</v>
      </c>
      <c r="H25" s="147">
        <f>'Input | Inflation and Disc Rate'!P$22</f>
        <v>5.9725748524492195E-2</v>
      </c>
      <c r="I25" s="85"/>
      <c r="J25" s="71"/>
      <c r="K25" s="71"/>
      <c r="L25" s="85"/>
      <c r="M25" s="85"/>
      <c r="N25" s="85"/>
      <c r="O25" s="85"/>
    </row>
    <row r="26" spans="3:15" ht="11.25" customHeight="1">
      <c r="C26" s="104" t="s">
        <v>14</v>
      </c>
      <c r="D26" s="143">
        <f>'Input | Reported Capex'!H29</f>
        <v>893.79113106029479</v>
      </c>
      <c r="E26" s="143">
        <f>'Input | Reported Capex'!I29</f>
        <v>236.85836951825166</v>
      </c>
      <c r="F26" s="143">
        <f>'Input | Reported Capex'!J29</f>
        <v>4.4512362418054323</v>
      </c>
      <c r="G26" s="143">
        <f>'Input | Reported Capex'!K29</f>
        <v>14.90810585299694</v>
      </c>
      <c r="H26" s="144">
        <f>'Input | Reported Capex'!L29</f>
        <v>4.8639439567954232</v>
      </c>
      <c r="I26" s="85"/>
      <c r="J26" s="71"/>
      <c r="K26" s="71"/>
      <c r="L26" s="85"/>
      <c r="M26" s="85"/>
      <c r="N26" s="85"/>
      <c r="O26" s="85"/>
    </row>
    <row r="27" spans="3:15" ht="11.25" customHeight="1">
      <c r="C27" s="104" t="s">
        <v>16</v>
      </c>
      <c r="D27" s="111">
        <f>1/(1+D25)^(0.5)</f>
        <v>0.97235228864776291</v>
      </c>
      <c r="E27" s="111">
        <f>1/((1+E25)^(0.5)*(1+D25))</f>
        <v>0.91941314071732294</v>
      </c>
      <c r="F27" s="111">
        <f>1/((1+F25)^(0.5)*(1+E25)*(1+D25))</f>
        <v>0.86913088825611362</v>
      </c>
      <c r="G27" s="111">
        <f>1/((1+G25)^(0.5)*(1+F25)*(1+E25)*(1+D25))</f>
        <v>0.82106858197996901</v>
      </c>
      <c r="H27" s="112">
        <f>1/((1+H25)^(0.5)*(1+G25)*(1+F25)*(1+E25)*(1+D25))</f>
        <v>0.77511454686095071</v>
      </c>
      <c r="I27" s="85"/>
      <c r="J27" s="71"/>
      <c r="K27" s="71"/>
      <c r="L27" s="85"/>
      <c r="M27" s="85"/>
      <c r="N27" s="85"/>
      <c r="O27" s="85"/>
    </row>
    <row r="28" spans="3:15" ht="11.25" customHeight="1">
      <c r="C28" s="99" t="s">
        <v>18</v>
      </c>
      <c r="D28" s="80">
        <f>D26*D27</f>
        <v>869.07985185955022</v>
      </c>
      <c r="E28" s="80">
        <f t="shared" ref="E28:G28" si="5">E26*E27</f>
        <v>217.77069742396</v>
      </c>
      <c r="F28" s="80">
        <f t="shared" si="5"/>
        <v>3.8687069086781603</v>
      </c>
      <c r="G28" s="80">
        <f t="shared" si="5"/>
        <v>12.240577332727474</v>
      </c>
      <c r="H28" s="81">
        <f>H26*H27</f>
        <v>3.7701137160285443</v>
      </c>
      <c r="I28" s="85"/>
      <c r="J28" s="71"/>
      <c r="K28" s="71"/>
      <c r="L28" s="85"/>
      <c r="M28" s="85"/>
      <c r="N28" s="85"/>
      <c r="O28" s="85"/>
    </row>
    <row r="29" spans="3:15" ht="11.25" customHeight="1">
      <c r="C29" s="84"/>
      <c r="D29" s="86"/>
      <c r="E29" s="86"/>
      <c r="F29" s="86"/>
      <c r="G29" s="86"/>
      <c r="H29" s="86"/>
      <c r="I29" s="85"/>
      <c r="J29" s="71"/>
      <c r="K29" s="71"/>
      <c r="L29" s="85"/>
      <c r="M29" s="85"/>
      <c r="N29" s="85"/>
      <c r="O29" s="85"/>
    </row>
    <row r="30" spans="3:15" ht="11.25" customHeight="1">
      <c r="C30" s="98" t="s">
        <v>22</v>
      </c>
      <c r="D30" s="108"/>
      <c r="E30" s="84"/>
      <c r="F30" s="84"/>
      <c r="G30" s="84"/>
      <c r="H30" s="84"/>
      <c r="I30" s="85"/>
      <c r="J30" s="71"/>
      <c r="K30" s="71"/>
      <c r="L30" s="85"/>
      <c r="M30" s="85"/>
      <c r="N30" s="85"/>
      <c r="O30" s="85"/>
    </row>
    <row r="31" spans="3:15" ht="11.25" customHeight="1">
      <c r="C31" s="100" t="s">
        <v>23</v>
      </c>
      <c r="D31" s="90">
        <f>SUM(D20:H20)-SUM(D28:H28)</f>
        <v>-16.881266258058531</v>
      </c>
      <c r="E31" s="84"/>
      <c r="F31" s="84"/>
      <c r="G31" s="84"/>
      <c r="H31" s="84"/>
      <c r="I31" s="85"/>
      <c r="J31" s="71"/>
      <c r="K31" s="71"/>
      <c r="L31" s="85"/>
      <c r="M31" s="85"/>
      <c r="N31" s="85"/>
      <c r="O31" s="85"/>
    </row>
    <row r="32" spans="3:15" ht="11.25" customHeight="1">
      <c r="C32" s="100" t="s">
        <v>24</v>
      </c>
      <c r="D32" s="89">
        <v>0.3</v>
      </c>
      <c r="E32" s="84"/>
      <c r="F32" s="84"/>
      <c r="G32" s="84"/>
      <c r="H32" s="84"/>
      <c r="I32" s="85"/>
      <c r="J32" s="71"/>
      <c r="K32" s="71"/>
      <c r="L32" s="85"/>
      <c r="M32" s="85"/>
      <c r="N32" s="85"/>
      <c r="O32" s="85"/>
    </row>
    <row r="33" spans="1:16382" ht="11.25" customHeight="1">
      <c r="C33" s="100" t="s">
        <v>25</v>
      </c>
      <c r="D33" s="90">
        <f>(1-D32)*D31</f>
        <v>-11.816886380640971</v>
      </c>
      <c r="E33" s="84"/>
      <c r="F33" s="84"/>
      <c r="G33" s="84"/>
      <c r="H33" s="84"/>
      <c r="I33" s="85"/>
      <c r="J33" s="71"/>
      <c r="K33" s="71"/>
      <c r="L33" s="85"/>
      <c r="M33" s="85"/>
      <c r="N33" s="85"/>
      <c r="O33" s="85"/>
    </row>
    <row r="34" spans="1:16382" ht="11.25" customHeight="1">
      <c r="C34" s="100" t="s">
        <v>26</v>
      </c>
      <c r="D34" s="90">
        <f>D32*D31</f>
        <v>-5.0643798774175588</v>
      </c>
      <c r="E34" s="84"/>
      <c r="F34" s="84"/>
      <c r="G34" s="84"/>
      <c r="H34" s="84"/>
      <c r="I34" s="85"/>
      <c r="J34" s="71"/>
      <c r="K34" s="71"/>
      <c r="L34" s="85"/>
      <c r="M34" s="85"/>
      <c r="N34" s="85"/>
      <c r="O34" s="85"/>
    </row>
    <row r="35" spans="1:16382" ht="11.25" customHeight="1">
      <c r="C35" s="100" t="s">
        <v>27</v>
      </c>
      <c r="D35" s="90">
        <f>SUM(D21:H21)</f>
        <v>26.51836724573857</v>
      </c>
      <c r="E35" s="84"/>
      <c r="F35" s="84"/>
      <c r="G35" s="84"/>
      <c r="H35" s="84"/>
      <c r="I35" s="85"/>
      <c r="J35" s="71"/>
      <c r="K35" s="71"/>
      <c r="L35" s="85"/>
      <c r="M35" s="85"/>
      <c r="N35" s="85"/>
      <c r="O35" s="85"/>
    </row>
    <row r="36" spans="1:16382" ht="11.25" customHeight="1">
      <c r="C36" s="101" t="s">
        <v>28</v>
      </c>
      <c r="D36" s="91">
        <f>D34-D35</f>
        <v>-31.582747123156128</v>
      </c>
      <c r="E36" s="84"/>
      <c r="F36" s="84"/>
      <c r="G36" s="84"/>
      <c r="H36" s="84"/>
      <c r="I36" s="85"/>
      <c r="J36" s="71"/>
      <c r="K36" s="71"/>
      <c r="L36" s="85"/>
      <c r="M36" s="85"/>
      <c r="N36" s="85"/>
      <c r="O36" s="85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2"/>
      <c r="D40" s="159" t="str">
        <f>'Input | General'!D18</f>
        <v>2023-24</v>
      </c>
      <c r="E40" s="159" t="str">
        <f>'Input | General'!E18</f>
        <v>2024–25</v>
      </c>
      <c r="F40" s="159" t="str">
        <f>'Input | General'!F18</f>
        <v>2025–26</v>
      </c>
      <c r="G40" s="159" t="str">
        <f>'Input | General'!G18</f>
        <v>2026–27</v>
      </c>
      <c r="H40" s="159" t="str">
        <f>'Input | General'!H18</f>
        <v>2027–28</v>
      </c>
    </row>
    <row r="41" spans="1:16382" s="24" customFormat="1" ht="11.25" customHeight="1">
      <c r="C41" s="88" t="s">
        <v>98</v>
      </c>
      <c r="D41" s="148">
        <f>1/(1+'Input | Inflation and Disc Rate'!L21)</f>
        <v>0.97307009483702123</v>
      </c>
      <c r="E41" s="148">
        <f>D41/(1+'Input | Inflation and Disc Rate'!M21)</f>
        <v>0.94703890419630832</v>
      </c>
      <c r="F41" s="148">
        <f>E41/(1+'Input | Inflation and Disc Rate'!N21)</f>
        <v>0.92105755711710624</v>
      </c>
      <c r="G41" s="148">
        <f>F41/(1+'Input | Inflation and Disc Rate'!O21)</f>
        <v>0.89526170449939002</v>
      </c>
      <c r="H41" s="149">
        <f>G41/(1+'Input | Inflation and Disc Rate'!P21)</f>
        <v>0.86946752416747719</v>
      </c>
    </row>
    <row r="42" spans="1:16382" s="24" customFormat="1" ht="11.25" customHeight="1">
      <c r="C42" s="165" t="str">
        <f>CONCATENATE("CESS Payment Per Year ($", 'Output | Models'!$F$8," million)")</f>
        <v>CESS Payment Per Year ($2022–23 million)</v>
      </c>
      <c r="D42" s="97">
        <f>D36/(SUM(D41:H41))</f>
        <v>-6.8570259942190344</v>
      </c>
      <c r="E42" s="97">
        <f>D42</f>
        <v>-6.8570259942190344</v>
      </c>
      <c r="F42" s="97">
        <f t="shared" ref="F42:H42" si="6">E42</f>
        <v>-6.8570259942190344</v>
      </c>
      <c r="G42" s="97">
        <f t="shared" si="6"/>
        <v>-6.8570259942190344</v>
      </c>
      <c r="H42" s="128">
        <f t="shared" si="6"/>
        <v>-6.8570259942190344</v>
      </c>
    </row>
    <row r="43" spans="1:16382" s="71" customFormat="1" ht="11.25" customHeight="1"/>
    <row r="44" spans="1:16382" s="24" customFormat="1" ht="11.25" customHeight="1">
      <c r="C44" s="165" t="str">
        <f>CONCATENATE("Total CESS Payment ($", 'Output | Models'!$F$8," million)")</f>
        <v>Total CESS Payment ($2022–23 million)</v>
      </c>
      <c r="D44" s="134">
        <f>SUM(D42:H42)</f>
        <v>-34.285129971095174</v>
      </c>
      <c r="E44" s="62"/>
      <c r="F44" s="62"/>
      <c r="G44" s="62"/>
      <c r="H44" s="62"/>
    </row>
    <row r="45" spans="1:16382" s="24" customFormat="1" ht="11.25" customHeight="1">
      <c r="C45" s="61"/>
      <c r="D45" s="87"/>
      <c r="E45" s="62"/>
      <c r="F45" s="62"/>
      <c r="G45" s="62"/>
      <c r="H45" s="62"/>
    </row>
    <row r="46" spans="1:16382" s="24" customFormat="1" ht="11.25" customHeight="1"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382" ht="12" customHeight="1">
      <c r="A47" s="23"/>
      <c r="B47" s="23" t="s">
        <v>34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Normal="100" workbookViewId="0">
      <selection activeCell="K8" sqref="K8"/>
    </sheetView>
  </sheetViews>
  <sheetFormatPr defaultColWidth="0" defaultRowHeight="11.25" customHeight="1" zeroHeight="1"/>
  <cols>
    <col min="1" max="2" width="1.21875" style="44" customWidth="1"/>
    <col min="3" max="3" width="36" style="44" customWidth="1"/>
    <col min="4" max="4" width="23.5546875" style="45" bestFit="1" customWidth="1"/>
    <col min="5" max="5" width="13.5546875" style="45" customWidth="1"/>
    <col min="6" max="6" width="9.21875" style="45" customWidth="1"/>
    <col min="7" max="9" width="2.77734375" style="45" customWidth="1"/>
    <col min="10" max="15" width="9.21875" style="44" customWidth="1"/>
    <col min="16" max="16" width="7.21875" style="44" customWidth="1"/>
    <col min="17" max="17" width="3" style="44" customWidth="1"/>
    <col min="18" max="24" width="9.21875" style="44" hidden="1" customWidth="1"/>
    <col min="25" max="48" width="0" style="44" hidden="1" customWidth="1"/>
    <col min="49" max="16384" width="0" style="44" hidden="1"/>
  </cols>
  <sheetData>
    <row r="1" spans="1:27" s="28" customFormat="1" ht="28.8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C1" s="29"/>
      <c r="D1" s="29"/>
      <c r="E1" s="29"/>
      <c r="F1" s="30"/>
      <c r="G1" s="30"/>
      <c r="H1" s="30"/>
      <c r="I1" s="30"/>
      <c r="J1" s="93"/>
      <c r="K1" s="94" t="s">
        <v>47</v>
      </c>
      <c r="L1" s="136" t="s">
        <v>48</v>
      </c>
      <c r="M1" s="139" t="s">
        <v>36</v>
      </c>
      <c r="N1" s="200" t="s">
        <v>127</v>
      </c>
      <c r="R1" s="95"/>
      <c r="S1" s="71"/>
      <c r="T1" s="71"/>
      <c r="U1" s="71"/>
      <c r="V1" s="71"/>
      <c r="W1" s="71"/>
    </row>
    <row r="2" spans="1:27" s="31" customFormat="1" ht="13.8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 ht="10.199999999999999">
      <c r="D3" s="35"/>
      <c r="E3" s="35"/>
      <c r="F3" s="35"/>
      <c r="G3" s="35"/>
      <c r="H3" s="35"/>
      <c r="I3" s="35"/>
      <c r="J3" s="230"/>
      <c r="K3" s="230"/>
      <c r="L3" s="230"/>
      <c r="M3" s="35"/>
      <c r="N3" s="230"/>
      <c r="O3" s="230"/>
      <c r="P3" s="230"/>
      <c r="Q3" s="230"/>
      <c r="R3" s="230"/>
      <c r="S3" s="230"/>
      <c r="T3" s="230"/>
      <c r="U3" s="36"/>
      <c r="V3" s="36"/>
      <c r="W3" s="36"/>
      <c r="X3" s="36"/>
      <c r="Y3" s="36"/>
      <c r="Z3" s="36"/>
      <c r="AA3" s="36"/>
    </row>
    <row r="4" spans="1:27" s="43" customFormat="1" ht="13.2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60" t="str">
        <f>'Calc | CESS Revenue Increments'!D40</f>
        <v>2023-24</v>
      </c>
      <c r="K6" s="160" t="str">
        <f>'Calc | CESS Revenue Increments'!E40</f>
        <v>2024–25</v>
      </c>
      <c r="L6" s="160" t="str">
        <f>'Calc | CESS Revenue Increments'!F40</f>
        <v>2025–26</v>
      </c>
      <c r="M6" s="160" t="str">
        <f>'Calc | CESS Revenue Increments'!G40</f>
        <v>2026–27</v>
      </c>
      <c r="N6" s="160" t="str">
        <f>'Calc | CESS Revenue Increments'!H40</f>
        <v>2027–28</v>
      </c>
      <c r="O6" s="49" t="s">
        <v>87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83</v>
      </c>
      <c r="D8" s="162" t="s">
        <v>58</v>
      </c>
      <c r="E8" s="45" t="s">
        <v>50</v>
      </c>
      <c r="F8" s="161" t="str">
        <f>IF(LEN(J6)&gt;4,CONCATENATE(LEFT(J6,4)-1&amp;"–"&amp;IF(RIGHT(J6,2)="00","99",IF(RIGHT(J6,2)-1&lt;10,"0","")&amp;RIGHT(J6,2)-1)),J6-1)</f>
        <v>2022–23</v>
      </c>
      <c r="H8" s="48"/>
      <c r="I8" s="48"/>
      <c r="J8" s="118">
        <f>'Calc | CESS Revenue Increments'!D42</f>
        <v>-6.8570259942190344</v>
      </c>
      <c r="K8" s="118">
        <f>'Calc | CESS Revenue Increments'!E42</f>
        <v>-6.8570259942190344</v>
      </c>
      <c r="L8" s="118">
        <f>'Calc | CESS Revenue Increments'!F42</f>
        <v>-6.8570259942190344</v>
      </c>
      <c r="M8" s="118">
        <f>'Calc | CESS Revenue Increments'!G42</f>
        <v>-6.8570259942190344</v>
      </c>
      <c r="N8" s="118">
        <f>'Calc | CESS Revenue Increments'!H42</f>
        <v>-6.8570259942190344</v>
      </c>
      <c r="O8" s="52">
        <f>SUM(J8:N8)</f>
        <v>-34.285129971095174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192"/>
      <c r="I9" s="193"/>
      <c r="J9" s="194"/>
      <c r="K9" s="194"/>
      <c r="L9" s="194"/>
      <c r="M9" s="194"/>
      <c r="N9" s="195"/>
      <c r="O9" s="194"/>
      <c r="P9" s="191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196"/>
      <c r="I10" s="196"/>
      <c r="J10" s="194"/>
      <c r="K10" s="194"/>
      <c r="L10" s="194"/>
      <c r="M10" s="194"/>
      <c r="N10" s="194"/>
      <c r="O10" s="194"/>
      <c r="P10" s="191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.2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.199999999999999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59DF-CB06-4092-8D86-3CB1E2489489}">
  <sheetPr>
    <tabColor rgb="FFFFC000"/>
  </sheetPr>
  <dimension ref="A1:Q35"/>
  <sheetViews>
    <sheetView showGridLines="0" zoomScaleNormal="100" workbookViewId="0">
      <selection activeCell="K21" sqref="K21"/>
    </sheetView>
  </sheetViews>
  <sheetFormatPr defaultColWidth="0" defaultRowHeight="14.4" zeroHeight="1"/>
  <cols>
    <col min="1" max="2" width="2.21875" customWidth="1"/>
    <col min="3" max="3" width="57.21875" bestFit="1" customWidth="1"/>
    <col min="4" max="4" width="10.44140625" customWidth="1"/>
    <col min="5" max="5" width="9.21875" customWidth="1"/>
    <col min="6" max="6" width="3.77734375" customWidth="1"/>
    <col min="7" max="17" width="9.21875" customWidth="1"/>
    <col min="18" max="16384" width="9.21875" hidden="1"/>
  </cols>
  <sheetData>
    <row r="1" spans="1:17" ht="15.6">
      <c r="B1" s="3" t="s">
        <v>121</v>
      </c>
      <c r="N1" s="94" t="s">
        <v>47</v>
      </c>
      <c r="O1" s="136" t="s">
        <v>48</v>
      </c>
      <c r="P1" s="139" t="s">
        <v>36</v>
      </c>
    </row>
    <row r="2" spans="1:17" ht="15.6">
      <c r="C2" s="3"/>
      <c r="D2" s="3"/>
    </row>
    <row r="3" spans="1:17">
      <c r="A3" s="8"/>
      <c r="B3" s="23" t="s">
        <v>122</v>
      </c>
      <c r="C3" s="8"/>
      <c r="D3" s="8"/>
      <c r="E3" s="8"/>
      <c r="F3" s="8"/>
      <c r="G3" s="8"/>
      <c r="H3" s="8"/>
      <c r="I3" s="8"/>
      <c r="J3" s="8"/>
      <c r="K3" s="8"/>
      <c r="L3" s="18"/>
      <c r="M3" s="18"/>
      <c r="N3" s="18"/>
      <c r="O3" s="18"/>
      <c r="P3" s="18"/>
      <c r="Q3" s="18"/>
    </row>
    <row r="4" spans="1:17">
      <c r="C4" s="172"/>
      <c r="D4" s="67" t="s">
        <v>52</v>
      </c>
      <c r="E4" s="67" t="s">
        <v>4</v>
      </c>
      <c r="F4" s="67"/>
      <c r="G4" s="47" t="s">
        <v>103</v>
      </c>
      <c r="H4" s="47" t="s">
        <v>104</v>
      </c>
      <c r="I4" s="47" t="s">
        <v>105</v>
      </c>
      <c r="J4" s="47" t="s">
        <v>106</v>
      </c>
      <c r="K4" s="47" t="s">
        <v>107</v>
      </c>
      <c r="L4" s="47" t="s">
        <v>102</v>
      </c>
      <c r="M4" s="47" t="s">
        <v>108</v>
      </c>
      <c r="N4" s="47" t="s">
        <v>109</v>
      </c>
      <c r="O4" s="47" t="s">
        <v>110</v>
      </c>
      <c r="P4" s="47" t="s">
        <v>111</v>
      </c>
    </row>
    <row r="5" spans="1:17">
      <c r="C5" s="50" t="s">
        <v>112</v>
      </c>
      <c r="D5" s="70" t="s">
        <v>51</v>
      </c>
      <c r="G5" s="198">
        <f>'Input | Inflation and Disc Rate'!G20</f>
        <v>3.993698958963017E-2</v>
      </c>
      <c r="H5" s="198">
        <f>'Input | Inflation and Disc Rate'!H20</f>
        <v>3.8768911813005374E-2</v>
      </c>
      <c r="I5" s="198">
        <f>'Input | Inflation and Disc Rate'!I20</f>
        <v>3.6676965385035398E-2</v>
      </c>
      <c r="J5" s="198">
        <f>'Input | Inflation and Disc Rate'!J20</f>
        <v>3.4025171303287666E-2</v>
      </c>
      <c r="K5" s="198">
        <f>'Input | Inflation and Disc Rate'!K20</f>
        <v>3.2257784777955135E-2</v>
      </c>
      <c r="L5" s="181"/>
      <c r="M5" s="181"/>
      <c r="N5" s="181"/>
      <c r="O5" s="181"/>
      <c r="P5" s="181"/>
    </row>
    <row r="6" spans="1:17">
      <c r="C6" s="50" t="s">
        <v>113</v>
      </c>
      <c r="D6" s="70" t="s">
        <v>51</v>
      </c>
      <c r="G6" s="181"/>
      <c r="H6" s="181"/>
      <c r="I6" s="181"/>
      <c r="J6" s="181"/>
      <c r="K6" s="181"/>
      <c r="L6" s="198">
        <f>'Input | Inflation and Disc Rate'!L21</f>
        <v>2.7675195554631892E-2</v>
      </c>
      <c r="M6" s="198">
        <f>'Input | Inflation and Disc Rate'!M21</f>
        <v>2.7486928494034623E-2</v>
      </c>
      <c r="N6" s="198">
        <f>'Input | Inflation and Disc Rate'!N21</f>
        <v>2.8208168836400559E-2</v>
      </c>
      <c r="O6" s="198">
        <f>'Input | Inflation and Disc Rate'!O21</f>
        <v>2.8813756344174955E-2</v>
      </c>
      <c r="P6" s="198">
        <f>'Input | Inflation and Disc Rate'!P21</f>
        <v>2.9666640345895702E-2</v>
      </c>
    </row>
    <row r="7" spans="1:17">
      <c r="C7" s="50" t="s">
        <v>114</v>
      </c>
      <c r="D7" s="70" t="s">
        <v>51</v>
      </c>
      <c r="G7" s="198">
        <f>'Input | Inflation and Disc Rate'!G13</f>
        <v>1.7841213202497874E-2</v>
      </c>
      <c r="H7" s="198">
        <f>'Input | Inflation and Disc Rate'!H13</f>
        <v>1.8404907975460238E-2</v>
      </c>
      <c r="I7" s="198">
        <f>'Input | Inflation and Disc Rate'!I13</f>
        <v>8.6058519793459354E-3</v>
      </c>
      <c r="J7" s="198">
        <f>'Input | Inflation and Disc Rate'!J13</f>
        <v>3.4982935153583528E-2</v>
      </c>
      <c r="K7" s="198">
        <f>'Input | Inflation and Disc Rate'!K13</f>
        <v>7.8318219291014124E-2</v>
      </c>
      <c r="L7" s="197"/>
      <c r="M7" s="197"/>
      <c r="N7" s="197"/>
      <c r="O7" s="197"/>
      <c r="P7" s="197"/>
    </row>
    <row r="8" spans="1:17">
      <c r="C8" s="50" t="s">
        <v>115</v>
      </c>
      <c r="D8" s="70" t="s">
        <v>30</v>
      </c>
      <c r="G8" s="183">
        <f>(1+G7)</f>
        <v>1.0178412132024979</v>
      </c>
      <c r="H8" s="183">
        <f>G8*(1+H7)</f>
        <v>1.0365744870651206</v>
      </c>
      <c r="I8" s="183">
        <f t="shared" ref="I8:K8" si="0">H8*(1+I7)</f>
        <v>1.0454950936663694</v>
      </c>
      <c r="J8" s="183">
        <f t="shared" si="0"/>
        <v>1.0820695807314897</v>
      </c>
      <c r="K8" s="183">
        <f t="shared" si="0"/>
        <v>1.1668153434433544</v>
      </c>
      <c r="L8" s="181"/>
      <c r="M8" s="181"/>
      <c r="N8" s="181"/>
      <c r="O8" s="181"/>
      <c r="P8" s="181"/>
    </row>
    <row r="9" spans="1:17">
      <c r="C9" s="50" t="s">
        <v>116</v>
      </c>
      <c r="D9" s="70" t="s">
        <v>51</v>
      </c>
      <c r="G9" s="182">
        <f>(1+G5)*(1+G7)-1</f>
        <v>5.8490727138062582E-2</v>
      </c>
      <c r="H9" s="182">
        <f t="shared" ref="H9:K9" si="1">(1+H5)*(1+H7)-1</f>
        <v>5.7887358042692849E-2</v>
      </c>
      <c r="I9" s="182">
        <f t="shared" si="1"/>
        <v>4.5598453899536651E-2</v>
      </c>
      <c r="J9" s="182">
        <f t="shared" si="1"/>
        <v>7.0198406818163805E-2</v>
      </c>
      <c r="K9" s="182">
        <f t="shared" si="1"/>
        <v>0.11310237633105147</v>
      </c>
      <c r="L9" s="181"/>
      <c r="M9" s="181"/>
      <c r="N9" s="181"/>
      <c r="O9" s="181"/>
      <c r="P9" s="181"/>
    </row>
    <row r="10" spans="1:17">
      <c r="C10" s="50"/>
      <c r="D10" s="50"/>
      <c r="G10" s="173"/>
      <c r="H10" s="173"/>
      <c r="I10" s="173"/>
      <c r="J10" s="173"/>
      <c r="K10" s="173"/>
      <c r="L10" s="173"/>
    </row>
    <row r="11" spans="1:17">
      <c r="C11" s="50" t="s">
        <v>123</v>
      </c>
      <c r="D11" s="70" t="s">
        <v>50</v>
      </c>
      <c r="E11" s="70" t="str">
        <f>'Input | Inflation and Disc Rate'!$F$7</f>
        <v>2017–18</v>
      </c>
      <c r="F11" s="70"/>
      <c r="G11" s="184">
        <v>6.7255642007890835</v>
      </c>
      <c r="H11" s="184">
        <v>6.7255642007890835</v>
      </c>
      <c r="I11" s="184">
        <v>6.7255642007890835</v>
      </c>
      <c r="J11" s="184">
        <v>6.7255642007890835</v>
      </c>
      <c r="K11" s="184">
        <v>6.7255642007890835</v>
      </c>
    </row>
    <row r="12" spans="1:17">
      <c r="C12" s="50" t="s">
        <v>124</v>
      </c>
      <c r="D12" s="70" t="s">
        <v>50</v>
      </c>
      <c r="E12" s="70" t="str">
        <f>'Input | Inflation and Disc Rate'!$F$7</f>
        <v>2017–18</v>
      </c>
      <c r="F12" s="70"/>
      <c r="G12" s="184">
        <v>6.8733894906294184</v>
      </c>
      <c r="H12" s="184">
        <v>6.8733894906294184</v>
      </c>
      <c r="I12" s="184">
        <v>6.8733894906294184</v>
      </c>
      <c r="J12" s="184">
        <v>6.8733894906294184</v>
      </c>
      <c r="K12" s="184">
        <v>6.8733894906294184</v>
      </c>
    </row>
    <row r="13" spans="1:17">
      <c r="C13" s="50"/>
      <c r="D13" s="50"/>
    </row>
    <row r="14" spans="1:17">
      <c r="C14" s="50" t="s">
        <v>117</v>
      </c>
      <c r="D14" s="70" t="s">
        <v>50</v>
      </c>
      <c r="E14" s="70" t="str">
        <f>'Input | Inflation and Disc Rate'!$F$7</f>
        <v>2017–18</v>
      </c>
      <c r="F14" s="70"/>
      <c r="G14" s="185">
        <f>G12-G11</f>
        <v>0.14782528984033494</v>
      </c>
      <c r="H14" s="185">
        <f t="shared" ref="H14:K14" si="2">H12-H11</f>
        <v>0.14782528984033494</v>
      </c>
      <c r="I14" s="185">
        <f t="shared" si="2"/>
        <v>0.14782528984033494</v>
      </c>
      <c r="J14" s="185">
        <f t="shared" si="2"/>
        <v>0.14782528984033494</v>
      </c>
      <c r="K14" s="185">
        <f t="shared" si="2"/>
        <v>0.14782528984033494</v>
      </c>
    </row>
    <row r="15" spans="1:17">
      <c r="C15" s="50" t="s">
        <v>117</v>
      </c>
      <c r="D15" s="70" t="s">
        <v>50</v>
      </c>
      <c r="E15" s="45" t="s">
        <v>53</v>
      </c>
      <c r="F15" s="45"/>
      <c r="G15" s="185">
        <f>G14*G8</f>
        <v>0.1504626723530974</v>
      </c>
      <c r="H15" s="185">
        <f>H14*H8</f>
        <v>0.15323192399149796</v>
      </c>
      <c r="I15" s="185">
        <f>I14*I8</f>
        <v>0.15455061524787919</v>
      </c>
      <c r="J15" s="185">
        <f>J14*J8</f>
        <v>0.15995724939904218</v>
      </c>
      <c r="K15" s="185">
        <f>K14*K8</f>
        <v>0.17248481633466381</v>
      </c>
    </row>
    <row r="16" spans="1:17">
      <c r="C16" s="50" t="s">
        <v>71</v>
      </c>
      <c r="D16" s="50"/>
      <c r="E16" s="45"/>
      <c r="F16" s="45"/>
      <c r="G16" s="181"/>
      <c r="H16" s="185">
        <f>$G$15*H$5</f>
        <v>5.8332740756063548E-3</v>
      </c>
      <c r="I16" s="185">
        <f>$G$15*H$8/$G$8*I$5</f>
        <v>5.620081972118547E-3</v>
      </c>
      <c r="J16" s="185">
        <f>$G$15*I$8/$G$8*J$5</f>
        <v>5.2586111588375922E-3</v>
      </c>
      <c r="K16" s="185">
        <f>$G$15*J$7/$G$7*K$5</f>
        <v>9.5168927038824982E-3</v>
      </c>
    </row>
    <row r="17" spans="1:17">
      <c r="C17" s="50" t="s">
        <v>72</v>
      </c>
      <c r="D17" s="50"/>
      <c r="E17" s="45"/>
      <c r="F17" s="45"/>
      <c r="G17" s="181"/>
      <c r="H17" s="185"/>
      <c r="I17" s="185">
        <f>$H$15*I$5</f>
        <v>5.6200819721185461E-3</v>
      </c>
      <c r="J17" s="185">
        <f>$H$15*I$7/$H$7*J$5</f>
        <v>2.4378658102688286E-3</v>
      </c>
      <c r="K17" s="185">
        <f>$G$15*J$8/$G$8*K$5</f>
        <v>5.159866524787996E-3</v>
      </c>
    </row>
    <row r="18" spans="1:17">
      <c r="C18" s="50" t="s">
        <v>73</v>
      </c>
      <c r="D18" s="50"/>
      <c r="E18" s="45"/>
      <c r="F18" s="45"/>
      <c r="G18" s="181"/>
      <c r="H18" s="185"/>
      <c r="I18" s="185"/>
      <c r="J18" s="185">
        <f>$I$15*J$5</f>
        <v>5.2586111588375922E-3</v>
      </c>
      <c r="K18" s="185">
        <f>$I$15*J$7/$I$7*K$5</f>
        <v>2.0265981943441855E-2</v>
      </c>
    </row>
    <row r="19" spans="1:17">
      <c r="C19" s="50" t="s">
        <v>74</v>
      </c>
      <c r="D19" s="50"/>
      <c r="E19" s="45"/>
      <c r="F19" s="45"/>
      <c r="G19" s="181"/>
      <c r="H19" s="185"/>
      <c r="I19" s="185"/>
      <c r="J19" s="185"/>
      <c r="K19" s="185">
        <f>$J$15*K$5</f>
        <v>5.159866524787996E-3</v>
      </c>
    </row>
    <row r="20" spans="1:17">
      <c r="C20" s="50" t="s">
        <v>75</v>
      </c>
      <c r="D20" s="50"/>
      <c r="E20" s="45"/>
      <c r="F20" s="45"/>
      <c r="G20" s="181"/>
      <c r="H20" s="181"/>
      <c r="I20" s="181"/>
      <c r="J20" s="181"/>
      <c r="K20" s="181"/>
    </row>
    <row r="21" spans="1:17">
      <c r="C21" s="50" t="s">
        <v>19</v>
      </c>
      <c r="D21" s="50"/>
      <c r="E21" s="45"/>
      <c r="F21" s="45"/>
      <c r="G21" s="185">
        <f>SUM(G16:G20)</f>
        <v>0</v>
      </c>
      <c r="H21" s="185">
        <f>SUM(H16:H20)</f>
        <v>5.8332740756063548E-3</v>
      </c>
      <c r="I21" s="185">
        <f t="shared" ref="I21:K21" si="3">SUM(I16:I20)</f>
        <v>1.1240163944237092E-2</v>
      </c>
      <c r="J21" s="185">
        <f t="shared" si="3"/>
        <v>1.2955088127944013E-2</v>
      </c>
      <c r="K21" s="185">
        <f t="shared" si="3"/>
        <v>4.0102607696900348E-2</v>
      </c>
    </row>
    <row r="22" spans="1:17">
      <c r="C22" s="50"/>
      <c r="D22" s="50"/>
      <c r="E22" s="45"/>
      <c r="F22" s="45"/>
      <c r="G22" s="181"/>
      <c r="H22" s="181"/>
      <c r="I22" s="181"/>
      <c r="J22" s="181"/>
      <c r="K22" s="181"/>
    </row>
    <row r="23" spans="1:17">
      <c r="C23" s="50" t="s">
        <v>93</v>
      </c>
      <c r="D23" s="50"/>
      <c r="E23" s="45"/>
      <c r="F23" s="45"/>
      <c r="G23" s="185">
        <f>H23*(1+H9)</f>
        <v>1.3176612359221012</v>
      </c>
      <c r="H23" s="185">
        <f>I23*(1+I9)</f>
        <v>1.2455591097714249</v>
      </c>
      <c r="I23" s="185">
        <f>J23*(1+J9)</f>
        <v>1.1912403897750035</v>
      </c>
      <c r="J23" s="185">
        <f>K23*(1+K9)</f>
        <v>1.1131023763310515</v>
      </c>
      <c r="K23" s="186">
        <v>1</v>
      </c>
    </row>
    <row r="24" spans="1:17">
      <c r="C24" s="50" t="s">
        <v>118</v>
      </c>
      <c r="D24" s="50"/>
      <c r="E24" s="45"/>
      <c r="F24" s="45"/>
      <c r="G24" s="185">
        <f>G15*G23</f>
        <v>0.19825883081292447</v>
      </c>
      <c r="H24" s="185">
        <f t="shared" ref="H24:K24" si="4">H15*H23</f>
        <v>0.19085941883541285</v>
      </c>
      <c r="I24" s="185">
        <f t="shared" si="4"/>
        <v>0.1841069351478502</v>
      </c>
      <c r="J24" s="185">
        <f t="shared" si="4"/>
        <v>0.1780487944174525</v>
      </c>
      <c r="K24" s="185">
        <f t="shared" si="4"/>
        <v>0.17248481633466381</v>
      </c>
    </row>
    <row r="25" spans="1:17">
      <c r="C25" s="50" t="s">
        <v>21</v>
      </c>
      <c r="D25" s="50"/>
      <c r="E25" s="45"/>
      <c r="F25" s="45"/>
      <c r="G25" s="187">
        <f>G21*G23</f>
        <v>0</v>
      </c>
      <c r="H25" s="187">
        <f t="shared" ref="H25:K25" si="5">H21*H23</f>
        <v>7.2656876646649826E-3</v>
      </c>
      <c r="I25" s="187">
        <f t="shared" si="5"/>
        <v>1.3389737278067934E-2</v>
      </c>
      <c r="J25" s="187">
        <f t="shared" si="5"/>
        <v>1.4420339380792674E-2</v>
      </c>
      <c r="K25" s="187">
        <f t="shared" si="5"/>
        <v>4.0102607696900348E-2</v>
      </c>
    </row>
    <row r="26" spans="1:17">
      <c r="C26" s="69" t="s">
        <v>119</v>
      </c>
      <c r="D26" s="153"/>
      <c r="E26" s="154"/>
      <c r="F26" s="179"/>
      <c r="G26" s="69"/>
      <c r="H26" s="69"/>
      <c r="I26" s="69"/>
      <c r="J26" s="69"/>
      <c r="K26" s="180">
        <f>SUM(G24:K25)</f>
        <v>0.99893716756872974</v>
      </c>
    </row>
    <row r="27" spans="1:17"/>
    <row r="28" spans="1:17">
      <c r="A28" s="37"/>
      <c r="B28" s="38" t="s">
        <v>56</v>
      </c>
      <c r="C28" s="41"/>
      <c r="D28" s="41"/>
      <c r="E28" s="40" t="s">
        <v>57</v>
      </c>
      <c r="F28" s="40"/>
      <c r="G28" s="37"/>
      <c r="H28" s="37"/>
      <c r="I28" s="37"/>
      <c r="J28" s="39"/>
      <c r="K28" s="39"/>
      <c r="L28" s="39"/>
      <c r="M28" s="41"/>
      <c r="N28" s="42"/>
      <c r="O28" s="41"/>
      <c r="P28" s="41"/>
      <c r="Q28" s="41"/>
    </row>
    <row r="29" spans="1:17">
      <c r="A29" s="43"/>
      <c r="B29" s="174"/>
      <c r="C29" s="175"/>
      <c r="D29" s="175"/>
      <c r="E29" s="176"/>
      <c r="F29" s="176"/>
      <c r="G29" s="43"/>
      <c r="H29" s="43"/>
      <c r="I29" s="43"/>
      <c r="J29" s="177"/>
      <c r="K29" s="177"/>
      <c r="L29" s="177"/>
      <c r="M29" s="175"/>
      <c r="N29" s="178"/>
      <c r="O29" s="175"/>
      <c r="P29" s="175"/>
    </row>
    <row r="30" spans="1:17">
      <c r="C30" s="47" t="s">
        <v>120</v>
      </c>
      <c r="D30" s="67" t="s">
        <v>52</v>
      </c>
      <c r="E30" s="67" t="s">
        <v>4</v>
      </c>
      <c r="F30" s="67"/>
      <c r="G30" s="47" t="s">
        <v>102</v>
      </c>
      <c r="H30" s="47" t="s">
        <v>108</v>
      </c>
      <c r="I30" s="47" t="s">
        <v>109</v>
      </c>
      <c r="J30" s="47" t="s">
        <v>110</v>
      </c>
      <c r="K30" s="47" t="s">
        <v>111</v>
      </c>
      <c r="L30" s="47" t="s">
        <v>87</v>
      </c>
    </row>
    <row r="31" spans="1:17">
      <c r="C31" s="50" t="s">
        <v>98</v>
      </c>
      <c r="D31" s="70" t="s">
        <v>50</v>
      </c>
      <c r="E31" s="70" t="s">
        <v>126</v>
      </c>
      <c r="F31" s="70"/>
      <c r="G31" s="185">
        <f>1/(1+L6)</f>
        <v>0.97307009483702123</v>
      </c>
      <c r="H31" s="185">
        <f>G31/(1+M6)</f>
        <v>0.94703890419630832</v>
      </c>
      <c r="I31" s="185">
        <f>H31/(1+N6)</f>
        <v>0.92105755711710624</v>
      </c>
      <c r="J31" s="185">
        <f>I31/(1+O6)</f>
        <v>0.89526170449939002</v>
      </c>
      <c r="K31" s="185">
        <f>J31/(1+P6)</f>
        <v>0.86946752416747719</v>
      </c>
      <c r="L31" s="181"/>
    </row>
    <row r="32" spans="1:17">
      <c r="C32" s="50"/>
      <c r="D32" s="70"/>
      <c r="E32" s="70"/>
      <c r="F32" s="70"/>
      <c r="G32" s="188"/>
      <c r="H32" s="188"/>
      <c r="I32" s="188"/>
      <c r="J32" s="188"/>
      <c r="K32" s="188"/>
      <c r="L32" s="189"/>
    </row>
    <row r="33" spans="1:17">
      <c r="C33" s="69" t="s">
        <v>125</v>
      </c>
      <c r="D33" s="153"/>
      <c r="E33" s="154"/>
      <c r="F33" s="179"/>
      <c r="G33" s="180">
        <f>$K$26/SUM($G$31:$K$31)</f>
        <v>0.21688227746306976</v>
      </c>
      <c r="H33" s="180">
        <f>$K$26/SUM($G$31:$K$31)</f>
        <v>0.21688227746306976</v>
      </c>
      <c r="I33" s="180">
        <f>$K$26/SUM($G$31:$K$31)</f>
        <v>0.21688227746306976</v>
      </c>
      <c r="J33" s="180">
        <f>$K$26/SUM($G$31:$K$31)</f>
        <v>0.21688227746306976</v>
      </c>
      <c r="K33" s="180">
        <f>$K$26/SUM($G$31:$K$31)</f>
        <v>0.21688227746306976</v>
      </c>
      <c r="L33" s="180">
        <f>SUM(G33:K33)</f>
        <v>1.0844113873153489</v>
      </c>
    </row>
    <row r="34" spans="1:17"/>
    <row r="35" spans="1:17">
      <c r="A35" s="23"/>
      <c r="B35" s="23" t="s">
        <v>34</v>
      </c>
      <c r="C35" s="55"/>
      <c r="D35" s="55"/>
      <c r="E35" s="55"/>
      <c r="F35" s="55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cd38f44-6e6c-458d-be22-2c2e27e18a50">
      <Terms xmlns="http://schemas.microsoft.com/office/infopath/2007/PartnerControls"/>
    </lcf76f155ced4ddcb4097134ff3c332f>
    <TaxCatchAll xmlns="cfc415a7-a3f4-4a35-be7c-3b967dd1d3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D30A26-EBBC-48BA-8801-497814D73E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d38f44-6e6c-458d-be22-2c2e27e18a50"/>
    <ds:schemaRef ds:uri="cfc415a7-a3f4-4a35-be7c-3b967dd1d336"/>
  </ds:schemaRefs>
</ds:datastoreItem>
</file>

<file path=customXml/itemProps2.xml><?xml version="1.0" encoding="utf-8"?>
<ds:datastoreItem xmlns:ds="http://schemas.openxmlformats.org/officeDocument/2006/customXml" ds:itemID="{3EF0B4CD-D366-4828-91ED-E9C486848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D4683-7B30-41F5-A01B-AB4CDD776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fbb8737-76c2-46a2-9d9b-f1a14753db75}" enabled="1" method="Privileged" siteId="{59ee855e-7930-433f-a581-82f192afe1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Deferred + re-proposed</vt:lpstr>
      <vt:lpstr>Calc | CESS Revenue Increments</vt:lpstr>
      <vt:lpstr>Output | Models</vt:lpstr>
      <vt:lpstr>Output | Prior Period True-up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2022-09-14T05:41:17Z</dcterms:created>
  <dcterms:modified xsi:type="dcterms:W3CDTF">2025-07-31T05:07:46Z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0x010100ECB50F176244EA43864D57E2FD450C59</vt:lpwstr>
  </property>
  <property fmtid="{D5CDD505-2E9C-101B-9397-08002B2CF9AE}" pid="3" name="MediaServiceImageTags">
    <vt:lpwstr/>
  </property>
</Properties>
</file>