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A31AE895-BAAF-46FC-B7D9-F626B900FA44}" xr6:coauthVersionLast="47" xr6:coauthVersionMax="47" xr10:uidLastSave="{00000000-0000-0000-0000-000000000000}"/>
  <bookViews>
    <workbookView xWindow="28680" yWindow="-120" windowWidth="29040" windowHeight="15840" xr2:uid="{82C0CB2E-38E0-497D-A5FD-8CBFA6A62665}"/>
  </bookViews>
  <sheets>
    <sheet name="AER alt est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L51" i="1"/>
  <c r="L50" i="1"/>
  <c r="L49" i="1"/>
  <c r="L48" i="1"/>
  <c r="L47" i="1"/>
  <c r="L46" i="1"/>
  <c r="L44" i="1"/>
  <c r="B24" i="1"/>
  <c r="L43" i="1"/>
  <c r="L28" i="1"/>
  <c r="C43" i="1"/>
  <c r="C28" i="1"/>
  <c r="C38" i="1" l="1"/>
  <c r="U54" i="1"/>
  <c r="M43" i="1"/>
  <c r="N43" i="1"/>
  <c r="N28" i="1"/>
  <c r="M28" i="1"/>
  <c r="I16" i="1" l="1"/>
  <c r="J16" i="1"/>
  <c r="E38" i="1"/>
  <c r="K16" i="1"/>
  <c r="F16" i="1"/>
  <c r="D16" i="1"/>
  <c r="L16" i="1"/>
  <c r="E16" i="1"/>
  <c r="G16" i="1"/>
  <c r="H53" i="1"/>
  <c r="F53" i="1"/>
  <c r="C53" i="1"/>
  <c r="H16" i="1"/>
  <c r="G53" i="1"/>
  <c r="E53" i="1"/>
  <c r="D38" i="1"/>
  <c r="D53" i="1"/>
  <c r="F38" i="1" l="1"/>
  <c r="H38" i="1" l="1"/>
  <c r="I38" i="1"/>
  <c r="G38" i="1"/>
  <c r="J38" i="1"/>
  <c r="M16" i="1" l="1"/>
  <c r="N16" i="1" l="1"/>
  <c r="M17" i="1" l="1"/>
  <c r="I53" i="1" l="1"/>
  <c r="R46" i="1"/>
  <c r="R50" i="1"/>
  <c r="L17" i="1"/>
  <c r="R48" i="1"/>
  <c r="R52" i="1"/>
  <c r="R47" i="1"/>
  <c r="R44" i="1"/>
  <c r="R51" i="1"/>
  <c r="R49" i="1"/>
  <c r="Q52" i="1" l="1"/>
  <c r="Q48" i="1"/>
  <c r="Q51" i="1"/>
  <c r="Q50" i="1"/>
  <c r="Q44" i="1"/>
  <c r="K17" i="1"/>
  <c r="Q49" i="1"/>
  <c r="Q46" i="1"/>
  <c r="Q47" i="1"/>
  <c r="R53" i="1"/>
  <c r="P44" i="1" l="1"/>
  <c r="P51" i="1"/>
  <c r="J17" i="1"/>
  <c r="P46" i="1"/>
  <c r="P52" i="1"/>
  <c r="P48" i="1"/>
  <c r="P49" i="1"/>
  <c r="P47" i="1"/>
  <c r="P50" i="1"/>
  <c r="Q53" i="1"/>
  <c r="O46" i="1" l="1"/>
  <c r="O48" i="1"/>
  <c r="O52" i="1"/>
  <c r="O51" i="1"/>
  <c r="O50" i="1"/>
  <c r="O44" i="1"/>
  <c r="O47" i="1"/>
  <c r="O49" i="1"/>
  <c r="I17" i="1"/>
  <c r="P53" i="1"/>
  <c r="O53" i="1" l="1"/>
  <c r="O35" i="1"/>
  <c r="O34" i="1"/>
  <c r="O32" i="1"/>
  <c r="R29" i="1"/>
  <c r="Q29" i="1"/>
  <c r="S31" i="1"/>
  <c r="S29" i="1"/>
  <c r="O37" i="1"/>
  <c r="N52" i="1"/>
  <c r="R37" i="1"/>
  <c r="Q34" i="1"/>
  <c r="N48" i="1"/>
  <c r="S32" i="1"/>
  <c r="N49" i="1"/>
  <c r="S37" i="1"/>
  <c r="H17" i="1"/>
  <c r="Q33" i="1"/>
  <c r="Q36" i="1"/>
  <c r="O33" i="1"/>
  <c r="Q31" i="1"/>
  <c r="P37" i="1"/>
  <c r="R31" i="1"/>
  <c r="R33" i="1"/>
  <c r="P33" i="1"/>
  <c r="R36" i="1"/>
  <c r="R32" i="1"/>
  <c r="P36" i="1"/>
  <c r="N47" i="1"/>
  <c r="R35" i="1"/>
  <c r="N44" i="1"/>
  <c r="P31" i="1"/>
  <c r="Q32" i="1"/>
  <c r="P29" i="1"/>
  <c r="R34" i="1"/>
  <c r="N51" i="1"/>
  <c r="S33" i="1"/>
  <c r="S34" i="1"/>
  <c r="S36" i="1"/>
  <c r="O31" i="1"/>
  <c r="N46" i="1"/>
  <c r="O29" i="1"/>
  <c r="P35" i="1"/>
  <c r="P34" i="1"/>
  <c r="Q35" i="1"/>
  <c r="Q37" i="1"/>
  <c r="S35" i="1"/>
  <c r="O36" i="1"/>
  <c r="N50" i="1"/>
  <c r="P32" i="1"/>
  <c r="Q38" i="1" l="1"/>
  <c r="R38" i="1"/>
  <c r="O38" i="1"/>
  <c r="P38" i="1"/>
  <c r="N29" i="1"/>
  <c r="M50" i="1"/>
  <c r="N36" i="1"/>
  <c r="N37" i="1"/>
  <c r="M48" i="1"/>
  <c r="M47" i="1"/>
  <c r="M52" i="1"/>
  <c r="M51" i="1"/>
  <c r="N34" i="1"/>
  <c r="N32" i="1"/>
  <c r="N35" i="1"/>
  <c r="N31" i="1"/>
  <c r="M46" i="1"/>
  <c r="G17" i="1"/>
  <c r="M44" i="1"/>
  <c r="M49" i="1"/>
  <c r="N33" i="1"/>
  <c r="N53" i="1"/>
  <c r="S38" i="1"/>
  <c r="R56" i="1" l="1"/>
  <c r="F17" i="1"/>
  <c r="S53" i="1"/>
  <c r="S56" i="1" s="1"/>
  <c r="Q56" i="1"/>
  <c r="N38" i="1"/>
  <c r="M53" i="1"/>
  <c r="P56" i="1"/>
  <c r="E17" i="1" l="1"/>
  <c r="V66" i="1"/>
  <c r="S66" i="1"/>
  <c r="U66" i="1"/>
  <c r="R66" i="1"/>
  <c r="T66" i="1"/>
  <c r="T67" i="1"/>
  <c r="U67" i="1"/>
  <c r="V67" i="1"/>
  <c r="S67" i="1"/>
  <c r="W67" i="1"/>
  <c r="U68" i="1"/>
  <c r="V68" i="1"/>
  <c r="W68" i="1"/>
  <c r="T68" i="1"/>
  <c r="X68" i="1"/>
  <c r="S65" i="1"/>
  <c r="Q65" i="1"/>
  <c r="R65" i="1"/>
  <c r="U65" i="1"/>
  <c r="T65" i="1"/>
  <c r="X69" i="1" l="1"/>
  <c r="V69" i="1"/>
  <c r="L53" i="1"/>
  <c r="W69" i="1"/>
  <c r="U69" i="1"/>
  <c r="D17" i="1"/>
  <c r="C17" i="1" l="1"/>
  <c r="W73" i="1"/>
  <c r="V73" i="1"/>
  <c r="U73" i="1"/>
  <c r="X73" i="1"/>
  <c r="M32" i="1" l="1"/>
  <c r="L31" i="1"/>
  <c r="L35" i="1"/>
  <c r="L32" i="1"/>
  <c r="M29" i="1"/>
  <c r="L34" i="1"/>
  <c r="L37" i="1"/>
  <c r="M36" i="1"/>
  <c r="M33" i="1"/>
  <c r="L29" i="1"/>
  <c r="M31" i="1"/>
  <c r="L36" i="1"/>
  <c r="M35" i="1"/>
  <c r="L33" i="1"/>
  <c r="M34" i="1"/>
  <c r="M37" i="1"/>
  <c r="M38" i="1" l="1"/>
  <c r="L38" i="1"/>
  <c r="O56" i="1" l="1"/>
  <c r="M56" i="1"/>
  <c r="N56" i="1"/>
  <c r="T63" i="1" l="1"/>
  <c r="S62" i="1"/>
  <c r="Q64" i="1"/>
  <c r="R64" i="1"/>
  <c r="T64" i="1"/>
  <c r="P64" i="1"/>
  <c r="S64" i="1"/>
  <c r="S69" i="1" l="1"/>
  <c r="T69" i="1"/>
  <c r="T73" i="1" l="1"/>
  <c r="Y69" i="1"/>
  <c r="Y73" i="1" l="1"/>
</calcChain>
</file>

<file path=xl/sharedStrings.xml><?xml version="1.0" encoding="utf-8"?>
<sst xmlns="http://schemas.openxmlformats.org/spreadsheetml/2006/main" count="106" uniqueCount="61">
  <si>
    <t>7.5 EBSS</t>
  </si>
  <si>
    <t>Actual and estimated inflation</t>
  </si>
  <si>
    <t>Actual</t>
  </si>
  <si>
    <t>Estimated</t>
  </si>
  <si>
    <t xml:space="preserve">Inflation rate (per cent) </t>
  </si>
  <si>
    <t>7.5.1 -  The carryover amounts that arise from applying the EBSS during the current regulatory control period</t>
  </si>
  <si>
    <t>Base year used to forecast opex for the current period (drop down menu)</t>
  </si>
  <si>
    <t>7.5.1.1 - Opex allowance applicable to EBSS (EBSS target)</t>
  </si>
  <si>
    <t>Previous period</t>
  </si>
  <si>
    <t>Current regulatory control period</t>
  </si>
  <si>
    <t>Total opex allowance</t>
  </si>
  <si>
    <t xml:space="preserve">Approved excludable costs - allowance </t>
  </si>
  <si>
    <t xml:space="preserve">Other adjustments or exclusions required by the EBSS </t>
  </si>
  <si>
    <t>Forecast opex for EBSS purposes</t>
  </si>
  <si>
    <t>7.5.1.2 - Actual and estimated opex applicable to EBSS</t>
  </si>
  <si>
    <t xml:space="preserve">Total opex </t>
  </si>
  <si>
    <t>Approved excludable costs</t>
  </si>
  <si>
    <t>Movements in provisions related to opex</t>
  </si>
  <si>
    <t>Actual opex for EBSS purposes</t>
  </si>
  <si>
    <t>Carryover</t>
  </si>
  <si>
    <t>Forthcoming regulatory control period</t>
  </si>
  <si>
    <t>Total</t>
  </si>
  <si>
    <t>HY2021</t>
  </si>
  <si>
    <t>ABS CPI index - December/June</t>
  </si>
  <si>
    <t>$m, real December 2015</t>
  </si>
  <si>
    <t>$m, real June 2021</t>
  </si>
  <si>
    <t>WACC</t>
  </si>
  <si>
    <t>2020 true-up</t>
  </si>
  <si>
    <t>HY2021 true-up</t>
  </si>
  <si>
    <t>2023-24</t>
  </si>
  <si>
    <t>Australian Distribution Co. (Victoria)</t>
  </si>
  <si>
    <t>REGULATORY REPORTING STATEMENT</t>
  </si>
  <si>
    <t>2021-22</t>
  </si>
  <si>
    <t>2022-23</t>
  </si>
  <si>
    <t>2024-25</t>
  </si>
  <si>
    <t>2025-26</t>
  </si>
  <si>
    <t>2027-28</t>
  </si>
  <si>
    <t>2028-29</t>
  </si>
  <si>
    <t>2029-30</t>
  </si>
  <si>
    <t>2030-31</t>
  </si>
  <si>
    <t>$m, real June 2026</t>
  </si>
  <si>
    <t>$m, real Dec 2020</t>
  </si>
  <si>
    <t>Reconstructed cumulative index (2025-26=1)</t>
  </si>
  <si>
    <t>Incremental gain $m, real June 2026</t>
  </si>
  <si>
    <t>PTRM inputs ($m, June 2026)</t>
  </si>
  <si>
    <t>Total Carryover Amount ($m, June 2026)</t>
  </si>
  <si>
    <t xml:space="preserve">$m, nominal </t>
  </si>
  <si>
    <r>
      <t xml:space="preserve">
Efficiency gains are calculated using the formulae outlined on page 6 and 7 of version 2 of the AER's </t>
    </r>
    <r>
      <rPr>
        <i/>
        <sz val="12"/>
        <color theme="1"/>
        <rFont val="Arial"/>
        <family val="2"/>
      </rPr>
      <t>Efficiency benefit sharing scheme</t>
    </r>
    <r>
      <rPr>
        <sz val="12"/>
        <color theme="1"/>
        <rFont val="Arial"/>
        <family val="2"/>
      </rPr>
      <t xml:space="preserve">.  All terms and definitions are as set out in the AER's  </t>
    </r>
    <r>
      <rPr>
        <i/>
        <sz val="12"/>
        <color theme="1"/>
        <rFont val="Arial"/>
        <family val="2"/>
      </rPr>
      <t>Efficiency benefit sharing scheme.</t>
    </r>
  </si>
  <si>
    <t>Innovation</t>
  </si>
  <si>
    <t>debt raising costs</t>
  </si>
  <si>
    <t>SaaS costs</t>
  </si>
  <si>
    <t>GSL payments (Feb 2024 storms)</t>
  </si>
  <si>
    <t>GSL payments (Jun 2021 storms)</t>
  </si>
  <si>
    <t>GSL payments (Sep 2024 storms)</t>
  </si>
  <si>
    <t>DMIA</t>
  </si>
  <si>
    <t>GSL payments</t>
  </si>
  <si>
    <t>GSL payments (storms)</t>
  </si>
  <si>
    <t>REGULATORY PERIOD FROM 2026-27 TO 2030-31</t>
  </si>
  <si>
    <t>Australian Distribution Co. (Vic) is required to populate all input cells (yellow) in this worksheet.</t>
  </si>
  <si>
    <t>instructions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</si>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</sst>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_-* #,##0_-;\-* #,##0_-;_-* &quot;-&quot;??_-;_-@_-"/>
    <numFmt numFmtId="167" formatCode="0.0;\–0.0;&quot;–&quot;"/>
    <numFmt numFmtId="168" formatCode="_-* #,##0.0_-;\-* #,##0.0_-;_-* &quot;-&quot;??_-;_-@_-"/>
    <numFmt numFmtId="169" formatCode="#,##0_ ;\(#,##0\)_ "/>
    <numFmt numFmtId="170" formatCode="#,##0;\(#,##0\)"/>
    <numFmt numFmtId="171" formatCode="#,##0.0_ ;\-#,##0.0\ "/>
    <numFmt numFmtId="172" formatCode="0.0%"/>
    <numFmt numFmtId="173" formatCode="_(&quot;$&quot;#,##0.0_);\(&quot;$&quot;#,##0.0\);_(&quot;-&quot;_);_)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vertAlign val="superscript"/>
      <sz val="5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color theme="1" tint="0.2499465926084170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BFBFBF"/>
        <bgColor rgb="FF000000"/>
      </patternFill>
    </fill>
  </fills>
  <borders count="1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auto="1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49" fontId="7" fillId="4" borderId="0">
      <alignment vertical="center"/>
    </xf>
    <xf numFmtId="0" fontId="6" fillId="5" borderId="0">
      <alignment horizontal="left" vertical="center"/>
      <protection locked="0"/>
    </xf>
    <xf numFmtId="0" fontId="18" fillId="4" borderId="0">
      <alignment vertical="center"/>
      <protection locked="0"/>
    </xf>
    <xf numFmtId="0" fontId="1" fillId="0" borderId="0"/>
    <xf numFmtId="0" fontId="7" fillId="5" borderId="0">
      <alignment vertical="center"/>
    </xf>
    <xf numFmtId="173" fontId="34" fillId="0" borderId="0" applyFill="0" applyBorder="0">
      <alignment vertical="center"/>
    </xf>
  </cellStyleXfs>
  <cellXfs count="280">
    <xf numFmtId="0" fontId="0" fillId="0" borderId="0" xfId="0"/>
    <xf numFmtId="0" fontId="5" fillId="2" borderId="0" xfId="2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0" fillId="2" borderId="0" xfId="0" applyFill="1"/>
    <xf numFmtId="49" fontId="8" fillId="4" borderId="0" xfId="3" applyFont="1">
      <alignment vertical="center"/>
    </xf>
    <xf numFmtId="0" fontId="6" fillId="3" borderId="0" xfId="0" applyFont="1" applyFill="1" applyAlignment="1">
      <alignment horizontal="left" vertical="center"/>
    </xf>
    <xf numFmtId="0" fontId="9" fillId="4" borderId="0" xfId="3" applyNumberFormat="1" applyFont="1" applyAlignment="1">
      <alignment horizontal="left" vertical="center"/>
    </xf>
    <xf numFmtId="0" fontId="6" fillId="5" borderId="0" xfId="4" applyProtection="1">
      <alignment horizontal="left" vertical="center"/>
    </xf>
    <xf numFmtId="0" fontId="10" fillId="0" borderId="0" xfId="0" applyFont="1" applyAlignment="1">
      <alignment horizontal="left" wrapText="1"/>
    </xf>
    <xf numFmtId="0" fontId="11" fillId="2" borderId="0" xfId="0" applyFont="1" applyFill="1"/>
    <xf numFmtId="0" fontId="12" fillId="6" borderId="1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left" wrapText="1"/>
    </xf>
    <xf numFmtId="0" fontId="13" fillId="6" borderId="3" xfId="0" applyFont="1" applyFill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13" fillId="6" borderId="7" xfId="0" applyFont="1" applyFill="1" applyBorder="1" applyAlignment="1">
      <alignment horizontal="left" vertical="center"/>
    </xf>
    <xf numFmtId="0" fontId="13" fillId="6" borderId="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4" fillId="0" borderId="17" xfId="0" applyFont="1" applyBorder="1" applyAlignment="1">
      <alignment horizontal="left" vertical="center" wrapText="1" indent="1"/>
    </xf>
    <xf numFmtId="0" fontId="17" fillId="2" borderId="17" xfId="0" applyFont="1" applyFill="1" applyBorder="1" applyAlignment="1">
      <alignment horizontal="left" vertical="center" wrapText="1" indent="1"/>
    </xf>
    <xf numFmtId="164" fontId="10" fillId="6" borderId="21" xfId="0" applyNumberFormat="1" applyFont="1" applyFill="1" applyBorder="1" applyAlignment="1">
      <alignment vertical="center"/>
    </xf>
    <xf numFmtId="0" fontId="17" fillId="2" borderId="25" xfId="0" applyFont="1" applyFill="1" applyBorder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wrapText="1" indent="1"/>
    </xf>
    <xf numFmtId="0" fontId="5" fillId="0" borderId="0" xfId="0" applyFont="1"/>
    <xf numFmtId="164" fontId="4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/>
    <xf numFmtId="0" fontId="19" fillId="4" borderId="0" xfId="5" applyFont="1" applyProtection="1">
      <alignment vertical="center"/>
    </xf>
    <xf numFmtId="0" fontId="20" fillId="4" borderId="0" xfId="5" applyFont="1" applyProtection="1">
      <alignment vertical="center"/>
    </xf>
    <xf numFmtId="0" fontId="21" fillId="2" borderId="0" xfId="0" applyFont="1" applyFill="1"/>
    <xf numFmtId="0" fontId="3" fillId="8" borderId="30" xfId="0" applyFont="1" applyFill="1" applyBorder="1" applyAlignment="1" applyProtection="1">
      <alignment horizontal="right"/>
      <protection locked="0"/>
    </xf>
    <xf numFmtId="0" fontId="22" fillId="6" borderId="7" xfId="0" applyFont="1" applyFill="1" applyBorder="1" applyAlignment="1">
      <alignment horizontal="left" vertical="center"/>
    </xf>
    <xf numFmtId="0" fontId="22" fillId="6" borderId="31" xfId="0" applyFont="1" applyFill="1" applyBorder="1" applyAlignment="1">
      <alignment horizontal="left" vertical="center"/>
    </xf>
    <xf numFmtId="0" fontId="22" fillId="6" borderId="8" xfId="0" applyFont="1" applyFill="1" applyBorder="1" applyAlignment="1">
      <alignment horizontal="left" vertical="center"/>
    </xf>
    <xf numFmtId="0" fontId="22" fillId="6" borderId="9" xfId="0" applyFont="1" applyFill="1" applyBorder="1" applyAlignment="1">
      <alignment horizontal="left" vertical="center"/>
    </xf>
    <xf numFmtId="0" fontId="23" fillId="2" borderId="0" xfId="0" applyFont="1" applyFill="1"/>
    <xf numFmtId="0" fontId="10" fillId="6" borderId="33" xfId="0" applyFont="1" applyFill="1" applyBorder="1" applyAlignment="1">
      <alignment horizontal="right" vertical="center"/>
    </xf>
    <xf numFmtId="0" fontId="10" fillId="6" borderId="34" xfId="0" applyFont="1" applyFill="1" applyBorder="1" applyAlignment="1">
      <alignment horizontal="right" vertical="center"/>
    </xf>
    <xf numFmtId="0" fontId="10" fillId="10" borderId="35" xfId="0" applyFont="1" applyFill="1" applyBorder="1" applyAlignment="1">
      <alignment horizontal="right" vertical="center"/>
    </xf>
    <xf numFmtId="0" fontId="10" fillId="10" borderId="36" xfId="0" applyFont="1" applyFill="1" applyBorder="1" applyAlignment="1">
      <alignment horizontal="right" vertical="center"/>
    </xf>
    <xf numFmtId="0" fontId="10" fillId="10" borderId="37" xfId="0" applyFont="1" applyFill="1" applyBorder="1" applyAlignment="1">
      <alignment horizontal="right" vertical="center"/>
    </xf>
    <xf numFmtId="164" fontId="4" fillId="8" borderId="38" xfId="0" applyNumberFormat="1" applyFont="1" applyFill="1" applyBorder="1" applyAlignment="1" applyProtection="1">
      <alignment vertical="center" wrapText="1"/>
      <protection locked="0"/>
    </xf>
    <xf numFmtId="164" fontId="4" fillId="9" borderId="18" xfId="1" applyNumberFormat="1" applyFont="1" applyFill="1" applyBorder="1" applyAlignment="1" applyProtection="1">
      <alignment horizontal="right" vertical="center" wrapText="1"/>
    </xf>
    <xf numFmtId="164" fontId="4" fillId="9" borderId="39" xfId="1" applyNumberFormat="1" applyFont="1" applyFill="1" applyBorder="1" applyAlignment="1" applyProtection="1">
      <alignment horizontal="right" vertical="center" wrapText="1"/>
    </xf>
    <xf numFmtId="164" fontId="4" fillId="2" borderId="40" xfId="1" applyNumberFormat="1" applyFont="1" applyFill="1" applyBorder="1" applyAlignment="1" applyProtection="1">
      <alignment horizontal="right" vertical="center" wrapText="1"/>
    </xf>
    <xf numFmtId="164" fontId="4" fillId="2" borderId="19" xfId="1" applyNumberFormat="1" applyFont="1" applyFill="1" applyBorder="1" applyAlignment="1" applyProtection="1">
      <alignment horizontal="right" vertical="center" wrapText="1"/>
    </xf>
    <xf numFmtId="164" fontId="4" fillId="2" borderId="20" xfId="1" applyNumberFormat="1" applyFont="1" applyFill="1" applyBorder="1" applyAlignment="1" applyProtection="1">
      <alignment horizontal="right" vertical="center" wrapText="1"/>
    </xf>
    <xf numFmtId="164" fontId="4" fillId="9" borderId="45" xfId="1" applyNumberFormat="1" applyFont="1" applyFill="1" applyBorder="1" applyAlignment="1" applyProtection="1">
      <alignment horizontal="right" wrapText="1"/>
    </xf>
    <xf numFmtId="164" fontId="4" fillId="9" borderId="46" xfId="1" applyNumberFormat="1" applyFont="1" applyFill="1" applyBorder="1" applyAlignment="1" applyProtection="1">
      <alignment horizontal="right" wrapText="1"/>
    </xf>
    <xf numFmtId="164" fontId="4" fillId="2" borderId="47" xfId="1" applyNumberFormat="1" applyFont="1" applyFill="1" applyBorder="1" applyAlignment="1" applyProtection="1">
      <alignment horizontal="right" wrapText="1"/>
    </xf>
    <xf numFmtId="164" fontId="4" fillId="2" borderId="50" xfId="1" applyNumberFormat="1" applyFont="1" applyFill="1" applyBorder="1" applyAlignment="1" applyProtection="1">
      <alignment horizontal="right" wrapText="1"/>
    </xf>
    <xf numFmtId="0" fontId="4" fillId="0" borderId="51" xfId="0" applyFont="1" applyBorder="1" applyAlignment="1">
      <alignment horizontal="left" vertical="center" wrapText="1" indent="1"/>
    </xf>
    <xf numFmtId="164" fontId="4" fillId="8" borderId="52" xfId="0" applyNumberFormat="1" applyFont="1" applyFill="1" applyBorder="1" applyAlignment="1" applyProtection="1">
      <alignment vertical="center" wrapText="1"/>
      <protection locked="0"/>
    </xf>
    <xf numFmtId="164" fontId="4" fillId="9" borderId="33" xfId="1" applyNumberFormat="1" applyFont="1" applyFill="1" applyBorder="1" applyAlignment="1" applyProtection="1">
      <alignment horizontal="right" wrapText="1"/>
    </xf>
    <xf numFmtId="164" fontId="4" fillId="9" borderId="34" xfId="1" applyNumberFormat="1" applyFont="1" applyFill="1" applyBorder="1" applyAlignment="1" applyProtection="1">
      <alignment horizontal="right" wrapText="1"/>
    </xf>
    <xf numFmtId="164" fontId="4" fillId="2" borderId="27" xfId="1" applyNumberFormat="1" applyFont="1" applyFill="1" applyBorder="1" applyAlignment="1" applyProtection="1">
      <alignment horizontal="right" wrapText="1"/>
    </xf>
    <xf numFmtId="164" fontId="4" fillId="2" borderId="53" xfId="1" applyNumberFormat="1" applyFont="1" applyFill="1" applyBorder="1" applyAlignment="1" applyProtection="1">
      <alignment horizontal="right" wrapText="1"/>
    </xf>
    <xf numFmtId="0" fontId="26" fillId="2" borderId="58" xfId="0" applyFont="1" applyFill="1" applyBorder="1" applyAlignment="1">
      <alignment vertical="center" wrapText="1"/>
    </xf>
    <xf numFmtId="0" fontId="4" fillId="0" borderId="59" xfId="0" applyFont="1" applyBorder="1" applyAlignment="1">
      <alignment horizontal="left" vertical="center" wrapText="1" indent="1"/>
    </xf>
    <xf numFmtId="164" fontId="4" fillId="8" borderId="40" xfId="0" applyNumberFormat="1" applyFont="1" applyFill="1" applyBorder="1" applyAlignment="1" applyProtection="1">
      <alignment vertical="center" wrapText="1"/>
      <protection locked="0"/>
    </xf>
    <xf numFmtId="164" fontId="4" fillId="8" borderId="19" xfId="0" applyNumberFormat="1" applyFont="1" applyFill="1" applyBorder="1" applyAlignment="1" applyProtection="1">
      <alignment vertical="center" wrapText="1"/>
      <protection locked="0"/>
    </xf>
    <xf numFmtId="2" fontId="10" fillId="6" borderId="61" xfId="0" applyNumberFormat="1" applyFont="1" applyFill="1" applyBorder="1" applyProtection="1">
      <protection locked="0"/>
    </xf>
    <xf numFmtId="168" fontId="4" fillId="2" borderId="18" xfId="0" applyNumberFormat="1" applyFont="1" applyFill="1" applyBorder="1" applyAlignment="1">
      <alignment horizontal="right" vertical="center"/>
    </xf>
    <xf numFmtId="168" fontId="4" fillId="2" borderId="39" xfId="0" applyNumberFormat="1" applyFont="1" applyFill="1" applyBorder="1" applyAlignment="1">
      <alignment horizontal="right" vertical="center"/>
    </xf>
    <xf numFmtId="168" fontId="4" fillId="2" borderId="40" xfId="0" applyNumberFormat="1" applyFont="1" applyFill="1" applyBorder="1" applyAlignment="1">
      <alignment horizontal="right" vertical="center"/>
    </xf>
    <xf numFmtId="168" fontId="4" fillId="2" borderId="19" xfId="0" applyNumberFormat="1" applyFont="1" applyFill="1" applyBorder="1" applyAlignment="1">
      <alignment horizontal="right" vertical="center"/>
    </xf>
    <xf numFmtId="166" fontId="10" fillId="6" borderId="62" xfId="0" applyNumberFormat="1" applyFont="1" applyFill="1" applyBorder="1" applyAlignment="1">
      <alignment horizontal="left"/>
    </xf>
    <xf numFmtId="164" fontId="10" fillId="6" borderId="47" xfId="0" applyNumberFormat="1" applyFont="1" applyFill="1" applyBorder="1" applyProtection="1">
      <protection locked="0"/>
    </xf>
    <xf numFmtId="164" fontId="10" fillId="6" borderId="48" xfId="0" applyNumberFormat="1" applyFont="1" applyFill="1" applyBorder="1" applyProtection="1">
      <protection locked="0"/>
    </xf>
    <xf numFmtId="164" fontId="10" fillId="6" borderId="46" xfId="0" applyNumberFormat="1" applyFont="1" applyFill="1" applyBorder="1" applyProtection="1">
      <protection locked="0"/>
    </xf>
    <xf numFmtId="2" fontId="10" fillId="6" borderId="64" xfId="0" applyNumberFormat="1" applyFont="1" applyFill="1" applyBorder="1" applyProtection="1">
      <protection locked="0"/>
    </xf>
    <xf numFmtId="168" fontId="10" fillId="6" borderId="45" xfId="0" applyNumberFormat="1" applyFont="1" applyFill="1" applyBorder="1" applyAlignment="1">
      <alignment horizontal="left"/>
    </xf>
    <xf numFmtId="168" fontId="10" fillId="6" borderId="46" xfId="0" applyNumberFormat="1" applyFont="1" applyFill="1" applyBorder="1" applyAlignment="1">
      <alignment horizontal="left"/>
    </xf>
    <xf numFmtId="168" fontId="10" fillId="6" borderId="47" xfId="0" applyNumberFormat="1" applyFont="1" applyFill="1" applyBorder="1" applyAlignment="1">
      <alignment horizontal="left"/>
    </xf>
    <xf numFmtId="168" fontId="10" fillId="6" borderId="48" xfId="0" applyNumberFormat="1" applyFont="1" applyFill="1" applyBorder="1" applyAlignment="1">
      <alignment horizontal="left"/>
    </xf>
    <xf numFmtId="169" fontId="10" fillId="6" borderId="58" xfId="0" applyNumberFormat="1" applyFont="1" applyFill="1" applyBorder="1" applyAlignment="1">
      <alignment horizontal="right"/>
    </xf>
    <xf numFmtId="164" fontId="4" fillId="8" borderId="48" xfId="0" applyNumberFormat="1" applyFont="1" applyFill="1" applyBorder="1" applyAlignment="1" applyProtection="1">
      <alignment vertical="center" wrapText="1"/>
      <protection locked="0"/>
    </xf>
    <xf numFmtId="164" fontId="4" fillId="8" borderId="47" xfId="0" applyNumberFormat="1" applyFont="1" applyFill="1" applyBorder="1" applyAlignment="1" applyProtection="1">
      <alignment vertical="center" wrapText="1"/>
      <protection locked="0"/>
    </xf>
    <xf numFmtId="168" fontId="4" fillId="2" borderId="45" xfId="0" applyNumberFormat="1" applyFont="1" applyFill="1" applyBorder="1" applyAlignment="1">
      <alignment horizontal="right" vertical="center"/>
    </xf>
    <xf numFmtId="168" fontId="4" fillId="2" borderId="46" xfId="0" applyNumberFormat="1" applyFont="1" applyFill="1" applyBorder="1" applyAlignment="1">
      <alignment horizontal="right" vertical="center"/>
    </xf>
    <xf numFmtId="168" fontId="4" fillId="2" borderId="47" xfId="0" applyNumberFormat="1" applyFont="1" applyFill="1" applyBorder="1" applyAlignment="1">
      <alignment horizontal="right" vertical="center"/>
    </xf>
    <xf numFmtId="4" fontId="10" fillId="6" borderId="58" xfId="0" applyNumberFormat="1" applyFont="1" applyFill="1" applyBorder="1" applyAlignment="1">
      <alignment horizontal="right"/>
    </xf>
    <xf numFmtId="0" fontId="4" fillId="0" borderId="41" xfId="0" applyFont="1" applyBorder="1" applyAlignment="1">
      <alignment horizontal="left" vertical="center" wrapText="1" indent="1"/>
    </xf>
    <xf numFmtId="0" fontId="5" fillId="6" borderId="58" xfId="0" applyFont="1" applyFill="1" applyBorder="1"/>
    <xf numFmtId="164" fontId="4" fillId="8" borderId="28" xfId="0" applyNumberFormat="1" applyFont="1" applyFill="1" applyBorder="1" applyAlignment="1" applyProtection="1">
      <alignment vertical="center" wrapText="1"/>
      <protection locked="0"/>
    </xf>
    <xf numFmtId="164" fontId="4" fillId="8" borderId="27" xfId="0" applyNumberFormat="1" applyFont="1" applyFill="1" applyBorder="1" applyAlignment="1" applyProtection="1">
      <alignment vertical="center" wrapText="1"/>
      <protection locked="0"/>
    </xf>
    <xf numFmtId="2" fontId="10" fillId="6" borderId="65" xfId="0" applyNumberFormat="1" applyFont="1" applyFill="1" applyBorder="1" applyProtection="1">
      <protection locked="0"/>
    </xf>
    <xf numFmtId="168" fontId="4" fillId="2" borderId="33" xfId="0" applyNumberFormat="1" applyFont="1" applyFill="1" applyBorder="1" applyAlignment="1">
      <alignment horizontal="right" vertical="center"/>
    </xf>
    <xf numFmtId="168" fontId="4" fillId="2" borderId="34" xfId="0" applyNumberFormat="1" applyFont="1" applyFill="1" applyBorder="1" applyAlignment="1">
      <alignment horizontal="right" vertical="center"/>
    </xf>
    <xf numFmtId="168" fontId="4" fillId="2" borderId="27" xfId="0" applyNumberFormat="1" applyFont="1" applyFill="1" applyBorder="1" applyAlignment="1">
      <alignment horizontal="right" vertical="center"/>
    </xf>
    <xf numFmtId="0" fontId="5" fillId="6" borderId="59" xfId="0" applyFont="1" applyFill="1" applyBorder="1"/>
    <xf numFmtId="167" fontId="27" fillId="14" borderId="66" xfId="0" applyNumberFormat="1" applyFont="1" applyFill="1" applyBorder="1" applyProtection="1">
      <protection locked="0"/>
    </xf>
    <xf numFmtId="0" fontId="28" fillId="6" borderId="67" xfId="0" applyFont="1" applyFill="1" applyBorder="1" applyAlignment="1">
      <alignment horizontal="left" vertical="center"/>
    </xf>
    <xf numFmtId="0" fontId="10" fillId="6" borderId="31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6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6" borderId="68" xfId="0" applyFill="1" applyBorder="1"/>
    <xf numFmtId="167" fontId="4" fillId="11" borderId="56" xfId="0" applyNumberFormat="1" applyFont="1" applyFill="1" applyBorder="1" applyAlignment="1">
      <alignment horizontal="right" vertical="center"/>
    </xf>
    <xf numFmtId="167" fontId="4" fillId="11" borderId="54" xfId="0" applyNumberFormat="1" applyFont="1" applyFill="1" applyBorder="1" applyAlignment="1">
      <alignment horizontal="right" vertical="center"/>
    </xf>
    <xf numFmtId="167" fontId="4" fillId="11" borderId="55" xfId="0" applyNumberFormat="1" applyFont="1" applyFill="1" applyBorder="1" applyAlignment="1">
      <alignment horizontal="right" vertical="center"/>
    </xf>
    <xf numFmtId="0" fontId="28" fillId="6" borderId="31" xfId="0" applyFont="1" applyFill="1" applyBorder="1" applyAlignment="1">
      <alignment horizontal="left" vertical="center"/>
    </xf>
    <xf numFmtId="0" fontId="28" fillId="6" borderId="62" xfId="0" applyFont="1" applyFill="1" applyBorder="1" applyAlignment="1">
      <alignment horizontal="left" vertical="center"/>
    </xf>
    <xf numFmtId="0" fontId="16" fillId="11" borderId="71" xfId="0" applyFont="1" applyFill="1" applyBorder="1"/>
    <xf numFmtId="0" fontId="10" fillId="10" borderId="72" xfId="0" applyFont="1" applyFill="1" applyBorder="1" applyAlignment="1">
      <alignment horizontal="right" vertical="center"/>
    </xf>
    <xf numFmtId="0" fontId="10" fillId="15" borderId="72" xfId="0" applyFont="1" applyFill="1" applyBorder="1" applyAlignment="1">
      <alignment horizontal="right" vertical="center"/>
    </xf>
    <xf numFmtId="0" fontId="3" fillId="11" borderId="73" xfId="0" applyFont="1" applyFill="1" applyBorder="1"/>
    <xf numFmtId="171" fontId="4" fillId="17" borderId="0" xfId="0" applyNumberFormat="1" applyFont="1" applyFill="1" applyAlignment="1">
      <alignment horizontal="left" vertical="center"/>
    </xf>
    <xf numFmtId="171" fontId="4" fillId="2" borderId="56" xfId="0" applyNumberFormat="1" applyFont="1" applyFill="1" applyBorder="1" applyAlignment="1">
      <alignment horizontal="right" vertical="center"/>
    </xf>
    <xf numFmtId="171" fontId="4" fillId="2" borderId="23" xfId="0" applyNumberFormat="1" applyFont="1" applyFill="1" applyBorder="1" applyAlignment="1">
      <alignment horizontal="right" vertical="center"/>
    </xf>
    <xf numFmtId="171" fontId="4" fillId="2" borderId="74" xfId="0" applyNumberFormat="1" applyFont="1" applyFill="1" applyBorder="1" applyAlignment="1">
      <alignment horizontal="right" vertical="center"/>
    </xf>
    <xf numFmtId="171" fontId="4" fillId="2" borderId="20" xfId="0" applyNumberFormat="1" applyFont="1" applyFill="1" applyBorder="1" applyAlignment="1">
      <alignment horizontal="right" vertical="center"/>
    </xf>
    <xf numFmtId="171" fontId="4" fillId="17" borderId="0" xfId="0" applyNumberFormat="1" applyFont="1" applyFill="1" applyAlignment="1">
      <alignment horizontal="right" vertical="center"/>
    </xf>
    <xf numFmtId="0" fontId="0" fillId="11" borderId="58" xfId="0" applyFill="1" applyBorder="1"/>
    <xf numFmtId="171" fontId="4" fillId="2" borderId="33" xfId="0" applyNumberFormat="1" applyFont="1" applyFill="1" applyBorder="1" applyAlignment="1">
      <alignment horizontal="right" vertical="center"/>
    </xf>
    <xf numFmtId="171" fontId="4" fillId="2" borderId="75" xfId="0" applyNumberFormat="1" applyFont="1" applyFill="1" applyBorder="1" applyAlignment="1">
      <alignment horizontal="right" vertical="center"/>
    </xf>
    <xf numFmtId="171" fontId="4" fillId="2" borderId="48" xfId="0" applyNumberFormat="1" applyFont="1" applyFill="1" applyBorder="1" applyAlignment="1">
      <alignment horizontal="right" vertical="center"/>
    </xf>
    <xf numFmtId="171" fontId="4" fillId="2" borderId="25" xfId="0" applyNumberFormat="1" applyFont="1" applyFill="1" applyBorder="1" applyAlignment="1">
      <alignment horizontal="right" vertical="center"/>
    </xf>
    <xf numFmtId="171" fontId="4" fillId="2" borderId="76" xfId="0" applyNumberFormat="1" applyFont="1" applyFill="1" applyBorder="1" applyAlignment="1">
      <alignment horizontal="right" vertical="center"/>
    </xf>
    <xf numFmtId="171" fontId="4" fillId="17" borderId="68" xfId="0" applyNumberFormat="1" applyFont="1" applyFill="1" applyBorder="1" applyAlignment="1">
      <alignment horizontal="right" vertical="center"/>
    </xf>
    <xf numFmtId="171" fontId="4" fillId="2" borderId="77" xfId="0" applyNumberFormat="1" applyFont="1" applyFill="1" applyBorder="1" applyAlignment="1">
      <alignment horizontal="right" vertical="center"/>
    </xf>
    <xf numFmtId="171" fontId="4" fillId="2" borderId="78" xfId="0" applyNumberFormat="1" applyFont="1" applyFill="1" applyBorder="1" applyAlignment="1">
      <alignment horizontal="right" vertical="center"/>
    </xf>
    <xf numFmtId="171" fontId="4" fillId="2" borderId="79" xfId="0" applyNumberFormat="1" applyFont="1" applyFill="1" applyBorder="1" applyAlignment="1">
      <alignment horizontal="right" vertical="center"/>
    </xf>
    <xf numFmtId="171" fontId="4" fillId="2" borderId="80" xfId="0" applyNumberFormat="1" applyFont="1" applyFill="1" applyBorder="1" applyAlignment="1">
      <alignment horizontal="right" vertical="center"/>
    </xf>
    <xf numFmtId="171" fontId="4" fillId="2" borderId="81" xfId="0" applyNumberFormat="1" applyFont="1" applyFill="1" applyBorder="1" applyAlignment="1">
      <alignment horizontal="right" vertical="center"/>
    </xf>
    <xf numFmtId="171" fontId="4" fillId="2" borderId="82" xfId="0" applyNumberFormat="1" applyFont="1" applyFill="1" applyBorder="1" applyAlignment="1">
      <alignment horizontal="right" vertical="center"/>
    </xf>
    <xf numFmtId="0" fontId="29" fillId="18" borderId="7" xfId="0" applyFont="1" applyFill="1" applyBorder="1"/>
    <xf numFmtId="0" fontId="29" fillId="18" borderId="8" xfId="0" applyFont="1" applyFill="1" applyBorder="1" applyAlignment="1">
      <alignment wrapText="1"/>
    </xf>
    <xf numFmtId="171" fontId="29" fillId="18" borderId="8" xfId="0" applyNumberFormat="1" applyFont="1" applyFill="1" applyBorder="1" applyAlignment="1">
      <alignment horizontal="right"/>
    </xf>
    <xf numFmtId="171" fontId="10" fillId="2" borderId="0" xfId="0" applyNumberFormat="1" applyFont="1" applyFill="1" applyAlignment="1">
      <alignment horizontal="right" vertical="center"/>
    </xf>
    <xf numFmtId="0" fontId="29" fillId="18" borderId="7" xfId="0" applyFont="1" applyFill="1" applyBorder="1" applyAlignment="1">
      <alignment vertical="center"/>
    </xf>
    <xf numFmtId="0" fontId="29" fillId="18" borderId="8" xfId="0" applyFont="1" applyFill="1" applyBorder="1" applyAlignment="1">
      <alignment vertical="center"/>
    </xf>
    <xf numFmtId="2" fontId="10" fillId="18" borderId="8" xfId="0" applyNumberFormat="1" applyFont="1" applyFill="1" applyBorder="1" applyAlignment="1">
      <alignment horizontal="right"/>
    </xf>
    <xf numFmtId="0" fontId="10" fillId="6" borderId="84" xfId="0" applyFont="1" applyFill="1" applyBorder="1" applyAlignment="1">
      <alignment horizontal="right" vertical="center"/>
    </xf>
    <xf numFmtId="0" fontId="26" fillId="19" borderId="31" xfId="0" applyFont="1" applyFill="1" applyBorder="1" applyAlignment="1">
      <alignment horizontal="left" vertical="center"/>
    </xf>
    <xf numFmtId="168" fontId="4" fillId="2" borderId="60" xfId="0" applyNumberFormat="1" applyFont="1" applyFill="1" applyBorder="1" applyAlignment="1">
      <alignment horizontal="right" vertical="center"/>
    </xf>
    <xf numFmtId="168" fontId="10" fillId="6" borderId="63" xfId="0" applyNumberFormat="1" applyFont="1" applyFill="1" applyBorder="1" applyAlignment="1">
      <alignment horizontal="left"/>
    </xf>
    <xf numFmtId="168" fontId="4" fillId="2" borderId="63" xfId="0" applyNumberFormat="1" applyFont="1" applyFill="1" applyBorder="1" applyAlignment="1">
      <alignment horizontal="right" vertical="center"/>
    </xf>
    <xf numFmtId="168" fontId="4" fillId="2" borderId="85" xfId="0" applyNumberFormat="1" applyFont="1" applyFill="1" applyBorder="1" applyAlignment="1">
      <alignment horizontal="right" vertical="center"/>
    </xf>
    <xf numFmtId="167" fontId="29" fillId="18" borderId="92" xfId="0" applyNumberFormat="1" applyFont="1" applyFill="1" applyBorder="1" applyAlignment="1">
      <alignment horizontal="right"/>
    </xf>
    <xf numFmtId="167" fontId="29" fillId="18" borderId="93" xfId="0" applyNumberFormat="1" applyFont="1" applyFill="1" applyBorder="1" applyAlignment="1">
      <alignment horizontal="right"/>
    </xf>
    <xf numFmtId="167" fontId="32" fillId="11" borderId="56" xfId="0" applyNumberFormat="1" applyFont="1" applyFill="1" applyBorder="1" applyAlignment="1">
      <alignment horizontal="right" vertical="center"/>
    </xf>
    <xf numFmtId="0" fontId="3" fillId="11" borderId="58" xfId="0" applyFont="1" applyFill="1" applyBorder="1"/>
    <xf numFmtId="171" fontId="4" fillId="2" borderId="30" xfId="0" applyNumberFormat="1" applyFont="1" applyFill="1" applyBorder="1" applyAlignment="1">
      <alignment horizontal="right" vertical="center"/>
    </xf>
    <xf numFmtId="171" fontId="4" fillId="17" borderId="57" xfId="0" applyNumberFormat="1" applyFont="1" applyFill="1" applyBorder="1" applyAlignment="1">
      <alignment horizontal="left" vertical="center"/>
    </xf>
    <xf numFmtId="171" fontId="4" fillId="2" borderId="96" xfId="0" applyNumberFormat="1" applyFont="1" applyFill="1" applyBorder="1" applyAlignment="1">
      <alignment horizontal="right" vertical="center"/>
    </xf>
    <xf numFmtId="171" fontId="4" fillId="2" borderId="97" xfId="0" applyNumberFormat="1" applyFont="1" applyFill="1" applyBorder="1" applyAlignment="1">
      <alignment horizontal="right" vertical="center"/>
    </xf>
    <xf numFmtId="164" fontId="10" fillId="6" borderId="98" xfId="0" applyNumberFormat="1" applyFont="1" applyFill="1" applyBorder="1" applyProtection="1">
      <protection locked="0"/>
    </xf>
    <xf numFmtId="164" fontId="10" fillId="6" borderId="8" xfId="0" applyNumberFormat="1" applyFont="1" applyFill="1" applyBorder="1" applyProtection="1">
      <protection locked="0"/>
    </xf>
    <xf numFmtId="164" fontId="10" fillId="6" borderId="99" xfId="0" applyNumberFormat="1" applyFont="1" applyFill="1" applyBorder="1" applyProtection="1">
      <protection locked="0"/>
    </xf>
    <xf numFmtId="164" fontId="10" fillId="6" borderId="9" xfId="0" applyNumberFormat="1" applyFont="1" applyFill="1" applyBorder="1" applyProtection="1">
      <protection locked="0"/>
    </xf>
    <xf numFmtId="171" fontId="4" fillId="17" borderId="0" xfId="0" applyNumberFormat="1" applyFont="1" applyFill="1" applyBorder="1" applyAlignment="1">
      <alignment horizontal="right" vertical="center"/>
    </xf>
    <xf numFmtId="172" fontId="4" fillId="8" borderId="54" xfId="1" applyNumberFormat="1" applyFont="1" applyFill="1" applyBorder="1" applyAlignment="1" applyProtection="1">
      <alignment vertical="center" wrapText="1"/>
      <protection locked="0"/>
    </xf>
    <xf numFmtId="164" fontId="4" fillId="6" borderId="18" xfId="1" applyNumberFormat="1" applyFont="1" applyFill="1" applyBorder="1" applyAlignment="1" applyProtection="1">
      <alignment horizontal="right" vertical="center" wrapText="1"/>
      <protection locked="0"/>
    </xf>
    <xf numFmtId="164" fontId="4" fillId="6" borderId="19" xfId="1" applyNumberFormat="1" applyFont="1" applyFill="1" applyBorder="1" applyAlignment="1" applyProtection="1">
      <alignment horizontal="right" vertical="center" wrapText="1"/>
      <protection locked="0"/>
    </xf>
    <xf numFmtId="164" fontId="4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4" fillId="6" borderId="23" xfId="1" applyNumberFormat="1" applyFont="1" applyFill="1" applyBorder="1" applyAlignment="1" applyProtection="1">
      <alignment horizontal="right" vertical="center" wrapText="1"/>
    </xf>
    <xf numFmtId="10" fontId="4" fillId="6" borderId="24" xfId="1" applyNumberFormat="1" applyFont="1" applyFill="1" applyBorder="1" applyAlignment="1" applyProtection="1">
      <alignment horizontal="right" vertical="center" wrapText="1"/>
    </xf>
    <xf numFmtId="2" fontId="4" fillId="6" borderId="33" xfId="1" applyNumberFormat="1" applyFont="1" applyFill="1" applyBorder="1" applyAlignment="1" applyProtection="1">
      <alignment horizontal="right" vertical="center" wrapText="1"/>
    </xf>
    <xf numFmtId="2" fontId="4" fillId="6" borderId="27" xfId="1" applyNumberFormat="1" applyFont="1" applyFill="1" applyBorder="1" applyAlignment="1" applyProtection="1">
      <alignment horizontal="right" vertical="center" wrapText="1"/>
    </xf>
    <xf numFmtId="2" fontId="4" fillId="6" borderId="28" xfId="1" applyNumberFormat="1" applyFont="1" applyFill="1" applyBorder="1" applyAlignment="1" applyProtection="1">
      <alignment horizontal="right" vertical="center" wrapText="1"/>
    </xf>
    <xf numFmtId="2" fontId="4" fillId="6" borderId="29" xfId="1" applyNumberFormat="1" applyFont="1" applyFill="1" applyBorder="1" applyAlignment="1" applyProtection="1">
      <alignment horizontal="right" vertical="center" wrapText="1"/>
    </xf>
    <xf numFmtId="0" fontId="16" fillId="10" borderId="14" xfId="0" quotePrefix="1" applyFont="1" applyFill="1" applyBorder="1" applyAlignment="1">
      <alignment horizontal="right" vertical="center"/>
    </xf>
    <xf numFmtId="0" fontId="16" fillId="10" borderId="15" xfId="0" quotePrefix="1" applyFont="1" applyFill="1" applyBorder="1" applyAlignment="1">
      <alignment horizontal="right" vertical="center"/>
    </xf>
    <xf numFmtId="0" fontId="16" fillId="10" borderId="15" xfId="0" applyFont="1" applyFill="1" applyBorder="1" applyAlignment="1">
      <alignment horizontal="right" vertical="center"/>
    </xf>
    <xf numFmtId="0" fontId="16" fillId="10" borderId="16" xfId="0" applyFont="1" applyFill="1" applyBorder="1" applyAlignment="1">
      <alignment horizontal="right" vertical="center"/>
    </xf>
    <xf numFmtId="164" fontId="10" fillId="10" borderId="11" xfId="0" applyNumberFormat="1" applyFont="1" applyFill="1" applyBorder="1" applyAlignment="1">
      <alignment horizontal="centerContinuous" vertical="center"/>
    </xf>
    <xf numFmtId="164" fontId="10" fillId="10" borderId="12" xfId="0" applyNumberFormat="1" applyFont="1" applyFill="1" applyBorder="1" applyAlignment="1">
      <alignment horizontal="centerContinuous" vertical="center"/>
    </xf>
    <xf numFmtId="164" fontId="10" fillId="10" borderId="13" xfId="0" applyNumberFormat="1" applyFont="1" applyFill="1" applyBorder="1" applyAlignment="1">
      <alignment horizontal="centerContinuous" vertical="center"/>
    </xf>
    <xf numFmtId="0" fontId="5" fillId="2" borderId="57" xfId="0" applyFont="1" applyFill="1" applyBorder="1"/>
    <xf numFmtId="0" fontId="10" fillId="9" borderId="83" xfId="0" applyFont="1" applyFill="1" applyBorder="1" applyAlignment="1">
      <alignment horizontal="center" vertical="center" wrapText="1"/>
    </xf>
    <xf numFmtId="0" fontId="2" fillId="0" borderId="30" xfId="0" applyFont="1" applyBorder="1"/>
    <xf numFmtId="164" fontId="0" fillId="12" borderId="42" xfId="0" applyNumberFormat="1" applyFont="1" applyFill="1" applyBorder="1" applyAlignment="1" applyProtection="1">
      <alignment vertical="center" wrapText="1"/>
      <protection locked="0"/>
    </xf>
    <xf numFmtId="2" fontId="5" fillId="2" borderId="0" xfId="2" applyNumberFormat="1" applyFont="1" applyFill="1"/>
    <xf numFmtId="2" fontId="10" fillId="6" borderId="42" xfId="0" applyNumberFormat="1" applyFont="1" applyFill="1" applyBorder="1" applyAlignment="1" applyProtection="1">
      <alignment vertical="center"/>
      <protection locked="0"/>
    </xf>
    <xf numFmtId="2" fontId="10" fillId="6" borderId="43" xfId="0" applyNumberFormat="1" applyFont="1" applyFill="1" applyBorder="1" applyAlignment="1" applyProtection="1">
      <alignment vertical="center"/>
      <protection locked="0"/>
    </xf>
    <xf numFmtId="2" fontId="10" fillId="6" borderId="44" xfId="0" applyNumberFormat="1" applyFont="1" applyFill="1" applyBorder="1" applyAlignment="1" applyProtection="1">
      <alignment vertical="center"/>
      <protection locked="0"/>
    </xf>
    <xf numFmtId="2" fontId="10" fillId="6" borderId="45" xfId="0" applyNumberFormat="1" applyFont="1" applyFill="1" applyBorder="1" applyAlignment="1">
      <alignment horizontal="left"/>
    </xf>
    <xf numFmtId="2" fontId="10" fillId="6" borderId="46" xfId="0" applyNumberFormat="1" applyFont="1" applyFill="1" applyBorder="1" applyAlignment="1">
      <alignment horizontal="left"/>
    </xf>
    <xf numFmtId="2" fontId="10" fillId="6" borderId="47" xfId="0" applyNumberFormat="1" applyFont="1" applyFill="1" applyBorder="1" applyAlignment="1">
      <alignment horizontal="left"/>
    </xf>
    <xf numFmtId="2" fontId="10" fillId="6" borderId="48" xfId="0" applyNumberFormat="1" applyFont="1" applyFill="1" applyBorder="1" applyAlignment="1">
      <alignment horizontal="left"/>
    </xf>
    <xf numFmtId="2" fontId="10" fillId="6" borderId="49" xfId="0" applyNumberFormat="1" applyFont="1" applyFill="1" applyBorder="1" applyAlignment="1">
      <alignment horizontal="left"/>
    </xf>
    <xf numFmtId="2" fontId="0" fillId="0" borderId="0" xfId="0" applyNumberFormat="1"/>
    <xf numFmtId="2" fontId="0" fillId="2" borderId="0" xfId="0" applyNumberFormat="1" applyFill="1"/>
    <xf numFmtId="164" fontId="32" fillId="11" borderId="104" xfId="0" applyNumberFormat="1" applyFont="1" applyFill="1" applyBorder="1" applyAlignment="1" applyProtection="1">
      <alignment vertical="center" wrapText="1"/>
      <protection locked="0"/>
    </xf>
    <xf numFmtId="164" fontId="32" fillId="11" borderId="105" xfId="0" applyNumberFormat="1" applyFont="1" applyFill="1" applyBorder="1" applyAlignment="1" applyProtection="1">
      <alignment vertical="center" wrapText="1"/>
      <protection locked="0"/>
    </xf>
    <xf numFmtId="164" fontId="26" fillId="13" borderId="36" xfId="1" applyNumberFormat="1" applyFont="1" applyFill="1" applyBorder="1" applyAlignment="1" applyProtection="1">
      <alignment horizontal="right" wrapText="1"/>
    </xf>
    <xf numFmtId="0" fontId="32" fillId="0" borderId="106" xfId="0" applyFont="1" applyBorder="1" applyAlignment="1">
      <alignment horizontal="left" vertical="center" wrapText="1" indent="1"/>
    </xf>
    <xf numFmtId="0" fontId="33" fillId="11" borderId="17" xfId="0" applyFont="1" applyFill="1" applyBorder="1" applyAlignment="1">
      <alignment horizontal="left" vertical="center" wrapText="1" indent="1"/>
    </xf>
    <xf numFmtId="164" fontId="32" fillId="11" borderId="107" xfId="0" applyNumberFormat="1" applyFont="1" applyFill="1" applyBorder="1" applyAlignment="1" applyProtection="1">
      <alignment vertical="center" wrapText="1"/>
      <protection locked="0"/>
    </xf>
    <xf numFmtId="164" fontId="3" fillId="8" borderId="30" xfId="0" applyNumberFormat="1" applyFont="1" applyFill="1" applyBorder="1" applyProtection="1">
      <protection locked="0"/>
    </xf>
    <xf numFmtId="0" fontId="10" fillId="10" borderId="109" xfId="0" applyFont="1" applyFill="1" applyBorder="1" applyAlignment="1">
      <alignment horizontal="right" vertical="center"/>
    </xf>
    <xf numFmtId="171" fontId="4" fillId="17" borderId="31" xfId="0" applyNumberFormat="1" applyFont="1" applyFill="1" applyBorder="1" applyAlignment="1">
      <alignment horizontal="right" vertical="center"/>
    </xf>
    <xf numFmtId="171" fontId="4" fillId="17" borderId="0" xfId="0" applyNumberFormat="1" applyFont="1" applyFill="1" applyBorder="1" applyAlignment="1">
      <alignment horizontal="left" vertical="center"/>
    </xf>
    <xf numFmtId="0" fontId="0" fillId="0" borderId="0" xfId="0"/>
    <xf numFmtId="164" fontId="35" fillId="11" borderId="102" xfId="0" applyNumberFormat="1" applyFont="1" applyFill="1" applyBorder="1" applyAlignment="1" applyProtection="1">
      <alignment vertical="center" wrapText="1"/>
      <protection locked="0"/>
    </xf>
    <xf numFmtId="164" fontId="35" fillId="11" borderId="100" xfId="0" applyNumberFormat="1" applyFont="1" applyFill="1" applyBorder="1" applyAlignment="1" applyProtection="1">
      <alignment vertical="center" wrapText="1"/>
      <protection locked="0"/>
    </xf>
    <xf numFmtId="164" fontId="36" fillId="6" borderId="103" xfId="0" applyNumberFormat="1" applyFont="1" applyFill="1" applyBorder="1"/>
    <xf numFmtId="164" fontId="36" fillId="6" borderId="43" xfId="0" applyNumberFormat="1" applyFont="1" applyFill="1" applyBorder="1"/>
    <xf numFmtId="164" fontId="35" fillId="11" borderId="103" xfId="0" applyNumberFormat="1" applyFont="1" applyFill="1" applyBorder="1" applyAlignment="1" applyProtection="1">
      <alignment vertical="center" wrapText="1"/>
      <protection locked="0"/>
    </xf>
    <xf numFmtId="164" fontId="35" fillId="11" borderId="43" xfId="0" applyNumberFormat="1" applyFont="1" applyFill="1" applyBorder="1" applyAlignment="1" applyProtection="1">
      <alignment vertical="center" wrapText="1"/>
      <protection locked="0"/>
    </xf>
    <xf numFmtId="164" fontId="35" fillId="11" borderId="104" xfId="0" applyNumberFormat="1" applyFont="1" applyFill="1" applyBorder="1" applyAlignment="1" applyProtection="1">
      <alignment vertical="center" wrapText="1"/>
      <protection locked="0"/>
    </xf>
    <xf numFmtId="164" fontId="35" fillId="11" borderId="105" xfId="0" applyNumberFormat="1" applyFont="1" applyFill="1" applyBorder="1" applyAlignment="1" applyProtection="1">
      <alignment vertical="center" wrapText="1"/>
      <protection locked="0"/>
    </xf>
    <xf numFmtId="167" fontId="37" fillId="13" borderId="54" xfId="1" applyNumberFormat="1" applyFont="1" applyFill="1" applyBorder="1" applyAlignment="1" applyProtection="1">
      <alignment horizontal="right" wrapText="1"/>
      <protection locked="0"/>
    </xf>
    <xf numFmtId="167" fontId="37" fillId="13" borderId="55" xfId="1" applyNumberFormat="1" applyFont="1" applyFill="1" applyBorder="1" applyAlignment="1" applyProtection="1">
      <alignment horizontal="right" wrapText="1"/>
      <protection locked="0"/>
    </xf>
    <xf numFmtId="0" fontId="37" fillId="13" borderId="7" xfId="0" applyFont="1" applyFill="1" applyBorder="1" applyAlignment="1">
      <alignment horizontal="right" vertical="center" wrapText="1" indent="1"/>
    </xf>
    <xf numFmtId="0" fontId="36" fillId="13" borderId="26" xfId="0" applyFont="1" applyFill="1" applyBorder="1" applyAlignment="1">
      <alignment horizontal="right" wrapText="1"/>
    </xf>
    <xf numFmtId="170" fontId="16" fillId="8" borderId="30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3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2" fillId="2" borderId="0" xfId="0" applyFont="1" applyFill="1"/>
    <xf numFmtId="0" fontId="0" fillId="2" borderId="10" xfId="0" applyFill="1" applyBorder="1"/>
    <xf numFmtId="0" fontId="0" fillId="2" borderId="0" xfId="0" applyFill="1" applyBorder="1"/>
    <xf numFmtId="0" fontId="10" fillId="2" borderId="0" xfId="0" applyFont="1" applyFill="1" applyAlignment="1">
      <alignment horizontal="left"/>
    </xf>
    <xf numFmtId="165" fontId="5" fillId="2" borderId="0" xfId="0" applyNumberFormat="1" applyFont="1" applyFill="1"/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horizontal="right"/>
    </xf>
    <xf numFmtId="166" fontId="10" fillId="2" borderId="0" xfId="0" applyNumberFormat="1" applyFont="1" applyFill="1"/>
    <xf numFmtId="166" fontId="5" fillId="2" borderId="0" xfId="0" applyNumberFormat="1" applyFont="1" applyFill="1"/>
    <xf numFmtId="0" fontId="24" fillId="2" borderId="57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164" fontId="25" fillId="2" borderId="0" xfId="0" applyNumberFormat="1" applyFont="1" applyFill="1"/>
    <xf numFmtId="2" fontId="5" fillId="2" borderId="0" xfId="0" applyNumberFormat="1" applyFont="1" applyFill="1"/>
    <xf numFmtId="0" fontId="14" fillId="7" borderId="4" xfId="0" applyFont="1" applyFill="1" applyBorder="1" applyAlignment="1">
      <alignment horizontal="left" vertical="top" wrapText="1"/>
    </xf>
    <xf numFmtId="0" fontId="14" fillId="7" borderId="5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0" fillId="9" borderId="11" xfId="0" applyFont="1" applyFill="1" applyBorder="1" applyAlignment="1">
      <alignment horizontal="center" vertical="center"/>
    </xf>
    <xf numFmtId="0" fontId="10" fillId="9" borderId="32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6" fillId="6" borderId="89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10" borderId="94" xfId="0" applyFont="1" applyFill="1" applyBorder="1" applyAlignment="1">
      <alignment horizontal="center"/>
    </xf>
    <xf numFmtId="0" fontId="16" fillId="10" borderId="87" xfId="0" applyFont="1" applyFill="1" applyBorder="1" applyAlignment="1">
      <alignment horizontal="center"/>
    </xf>
    <xf numFmtId="0" fontId="16" fillId="10" borderId="95" xfId="0" applyFont="1" applyFill="1" applyBorder="1" applyAlignment="1">
      <alignment horizontal="center"/>
    </xf>
    <xf numFmtId="0" fontId="16" fillId="6" borderId="86" xfId="0" applyFont="1" applyFill="1" applyBorder="1" applyAlignment="1">
      <alignment horizontal="center"/>
    </xf>
    <xf numFmtId="0" fontId="16" fillId="6" borderId="87" xfId="0" applyFont="1" applyFill="1" applyBorder="1" applyAlignment="1">
      <alignment horizontal="center"/>
    </xf>
    <xf numFmtId="0" fontId="16" fillId="6" borderId="88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4" fillId="2" borderId="112" xfId="0" applyFont="1" applyFill="1" applyBorder="1" applyAlignment="1">
      <alignment horizontal="center"/>
    </xf>
    <xf numFmtId="0" fontId="4" fillId="2" borderId="108" xfId="0" applyFont="1" applyFill="1" applyBorder="1" applyAlignment="1">
      <alignment horizontal="center"/>
    </xf>
    <xf numFmtId="0" fontId="4" fillId="2" borderId="113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16" fillId="10" borderId="70" xfId="0" applyFont="1" applyFill="1" applyBorder="1" applyAlignment="1">
      <alignment horizontal="center" vertical="center"/>
    </xf>
    <xf numFmtId="0" fontId="16" fillId="10" borderId="38" xfId="0" applyFont="1" applyFill="1" applyBorder="1" applyAlignment="1">
      <alignment horizontal="center" vertical="center"/>
    </xf>
    <xf numFmtId="0" fontId="16" fillId="15" borderId="69" xfId="0" applyFont="1" applyFill="1" applyBorder="1" applyAlignment="1">
      <alignment horizontal="center" vertical="center" wrapText="1"/>
    </xf>
    <xf numFmtId="0" fontId="16" fillId="15" borderId="70" xfId="0" applyFont="1" applyFill="1" applyBorder="1" applyAlignment="1">
      <alignment horizontal="center" vertical="center" wrapText="1"/>
    </xf>
    <xf numFmtId="0" fontId="10" fillId="16" borderId="90" xfId="0" applyFont="1" applyFill="1" applyBorder="1" applyAlignment="1">
      <alignment horizontal="center" vertical="center"/>
    </xf>
    <xf numFmtId="0" fontId="10" fillId="16" borderId="91" xfId="0" applyFont="1" applyFill="1" applyBorder="1" applyAlignment="1">
      <alignment horizontal="center" vertical="center"/>
    </xf>
    <xf numFmtId="0" fontId="4" fillId="2" borderId="110" xfId="0" applyFont="1" applyFill="1" applyBorder="1" applyAlignment="1">
      <alignment horizontal="center"/>
    </xf>
    <xf numFmtId="0" fontId="4" fillId="2" borderId="83" xfId="0" applyFont="1" applyFill="1" applyBorder="1" applyAlignment="1">
      <alignment horizontal="center"/>
    </xf>
    <xf numFmtId="0" fontId="4" fillId="2" borderId="111" xfId="0" applyFont="1" applyFill="1" applyBorder="1" applyAlignment="1">
      <alignment horizontal="center"/>
    </xf>
    <xf numFmtId="0" fontId="10" fillId="2" borderId="110" xfId="0" applyFont="1" applyFill="1" applyBorder="1" applyAlignment="1">
      <alignment horizontal="center"/>
    </xf>
    <xf numFmtId="0" fontId="10" fillId="2" borderId="83" xfId="0" applyFont="1" applyFill="1" applyBorder="1" applyAlignment="1">
      <alignment horizontal="center"/>
    </xf>
    <xf numFmtId="0" fontId="10" fillId="2" borderId="111" xfId="0" applyFont="1" applyFill="1" applyBorder="1" applyAlignment="1">
      <alignment horizontal="center"/>
    </xf>
    <xf numFmtId="0" fontId="10" fillId="2" borderId="112" xfId="0" applyFont="1" applyFill="1" applyBorder="1" applyAlignment="1">
      <alignment horizontal="center"/>
    </xf>
    <xf numFmtId="0" fontId="10" fillId="2" borderId="108" xfId="0" applyFont="1" applyFill="1" applyBorder="1" applyAlignment="1">
      <alignment horizontal="center"/>
    </xf>
    <xf numFmtId="0" fontId="10" fillId="2" borderId="113" xfId="0" applyFont="1" applyFill="1" applyBorder="1" applyAlignment="1">
      <alignment horizontal="center"/>
    </xf>
    <xf numFmtId="0" fontId="10" fillId="2" borderId="114" xfId="0" applyFont="1" applyFill="1" applyBorder="1" applyAlignment="1">
      <alignment horizontal="center"/>
    </xf>
    <xf numFmtId="0" fontId="10" fillId="2" borderId="101" xfId="0" applyFont="1" applyFill="1" applyBorder="1" applyAlignment="1">
      <alignment horizontal="center"/>
    </xf>
    <xf numFmtId="0" fontId="10" fillId="2" borderId="115" xfId="0" applyFont="1" applyFill="1" applyBorder="1" applyAlignment="1">
      <alignment horizontal="center"/>
    </xf>
  </cellXfs>
  <cellStyles count="9">
    <cellStyle name="Currency." xfId="8" xr:uid="{A9246CD1-F3BD-49FE-AE04-1729F0FE2D03}"/>
    <cellStyle name="dms_H" xfId="7" xr:uid="{C4811625-8B09-48C1-8BBE-67B9BD012F4F}"/>
    <cellStyle name="dms_TopHeader" xfId="3" xr:uid="{DE58EDC7-9EB7-4F1B-AA56-BD3833F97789}"/>
    <cellStyle name="Normal" xfId="0" builtinId="0"/>
    <cellStyle name="Normal 10" xfId="2" xr:uid="{C3DC604B-49CB-48EC-8314-021037A8C9F1}"/>
    <cellStyle name="Normal 3 5" xfId="6" xr:uid="{4D242B7D-F5D1-4CEA-903B-983F2BC8F879}"/>
    <cellStyle name="Percent" xfId="1" builtinId="5"/>
    <cellStyle name="TableLvl2" xfId="4" xr:uid="{1B3E62C2-FB1B-4A22-B43F-BC65E9C21888}"/>
    <cellStyle name="TableLvl3" xfId="5" xr:uid="{48E70C19-5D08-42C3-9145-3F3BD79BB632}"/>
  </cellStyles>
  <dxfs count="8"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149833</xdr:colOff>
      <xdr:row>0</xdr:row>
      <xdr:rowOff>53511</xdr:rowOff>
    </xdr:from>
    <xdr:to>
      <xdr:col>17</xdr:col>
      <xdr:colOff>2984</xdr:colOff>
      <xdr:row>3</xdr:row>
      <xdr:rowOff>418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4DAB502-3F7E-4ED1-B97E-0CF3FA78C78D}"/>
            </a:ext>
          </a:extLst>
        </xdr:cNvPr>
        <xdr:cNvGrpSpPr/>
      </xdr:nvGrpSpPr>
      <xdr:grpSpPr>
        <a:xfrm>
          <a:off x="13368416" y="50336"/>
          <a:ext cx="7568401" cy="1093082"/>
          <a:chOff x="7089189" y="43183"/>
          <a:chExt cx="7879238" cy="994086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62CC2FBF-15EF-CA8A-F8DC-8ECE02D30715}"/>
              </a:ext>
            </a:extLst>
          </xdr:cNvPr>
          <xdr:cNvGrpSpPr/>
        </xdr:nvGrpSpPr>
        <xdr:grpSpPr>
          <a:xfrm>
            <a:off x="9496850" y="43183"/>
            <a:ext cx="5471577" cy="994086"/>
            <a:chOff x="9496850" y="97658"/>
            <a:chExt cx="5471577" cy="994086"/>
          </a:xfrm>
        </xdr:grpSpPr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4C409B4A-5489-9BB1-22BC-0798997C545C}"/>
                </a:ext>
              </a:extLst>
            </xdr:cNvPr>
            <xdr:cNvGrpSpPr/>
          </xdr:nvGrpSpPr>
          <xdr:grpSpPr>
            <a:xfrm>
              <a:off x="9496850" y="146409"/>
              <a:ext cx="1957971" cy="935763"/>
              <a:chOff x="11601990" y="2518552"/>
              <a:chExt cx="1875794" cy="501191"/>
            </a:xfrm>
          </xdr:grpSpPr>
          <xdr:sp macro="" textlink="">
            <xdr:nvSpPr>
              <xdr:cNvPr id="21" name="Rounded Rectangle 16">
                <a:extLst>
                  <a:ext uri="{FF2B5EF4-FFF2-40B4-BE49-F238E27FC236}">
                    <a16:creationId xmlns:a16="http://schemas.microsoft.com/office/drawing/2014/main" id="{DC1290D5-75AB-74EF-59BC-9E7968CBBECE}"/>
                  </a:ext>
                </a:extLst>
              </xdr:cNvPr>
              <xdr:cNvSpPr/>
            </xdr:nvSpPr>
            <xdr:spPr>
              <a:xfrm>
                <a:off x="11601990" y="2518552"/>
                <a:ext cx="1865789" cy="218371"/>
              </a:xfrm>
              <a:prstGeom prst="roundRect">
                <a:avLst/>
              </a:prstGeom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1">
                <a:schemeClr val="accent2"/>
              </a:lnRef>
              <a:fillRef idx="2">
                <a:schemeClr val="accent2"/>
              </a:fillRef>
              <a:effectRef idx="1">
                <a:schemeClr val="accent2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AU" sz="1800" b="1" baseline="0">
                    <a:solidFill>
                      <a:srgbClr val="FF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CONFIDENTIAL</a:t>
                </a:r>
                <a:endParaRPr lang="en-AU" sz="1800" b="1">
                  <a:solidFill>
                    <a:srgbClr val="FF0000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xdr:txBody>
          </xdr:sp>
          <xdr:sp macro="" textlink="">
            <xdr:nvSpPr>
              <xdr:cNvPr id="22" name="Rounded Rectangle 17">
                <a:extLst>
                  <a:ext uri="{FF2B5EF4-FFF2-40B4-BE49-F238E27FC236}">
                    <a16:creationId xmlns:a16="http://schemas.microsoft.com/office/drawing/2014/main" id="{9C4807E5-35AD-5187-9CB1-D6C0BA42BF9F}"/>
                  </a:ext>
                </a:extLst>
              </xdr:cNvPr>
              <xdr:cNvSpPr/>
            </xdr:nvSpPr>
            <xdr:spPr>
              <a:xfrm>
                <a:off x="11601993" y="2759326"/>
                <a:ext cx="1875791" cy="260417"/>
              </a:xfrm>
              <a:prstGeom prst="roundRect">
                <a:avLst/>
              </a:prstGeom>
              <a:solidFill>
                <a:srgbClr val="FFFFCC"/>
              </a:solidFill>
              <a:ln>
                <a:solidFill>
                  <a:schemeClr val="accent6">
                    <a:lumMod val="75000"/>
                  </a:schemeClr>
                </a:solidFill>
              </a:ln>
            </xdr:spPr>
            <xdr:style>
              <a:lnRef idx="1">
                <a:schemeClr val="accent6"/>
              </a:lnRef>
              <a:fillRef idx="2">
                <a:schemeClr val="accent6"/>
              </a:fillRef>
              <a:effectRef idx="1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AU" sz="1400" b="1" baseline="0">
                    <a:solidFill>
                      <a:sysClr val="windowText" lastClr="000000"/>
                    </a:solidFill>
                  </a:rPr>
                  <a:t>NON-CONFIDENTIAL</a:t>
                </a:r>
                <a:endParaRPr lang="en-AU" sz="1200" b="1"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6E6F45F0-7A17-67EF-6FE8-B9391F5D442B}"/>
                </a:ext>
              </a:extLst>
            </xdr:cNvPr>
            <xdr:cNvGrpSpPr/>
          </xdr:nvGrpSpPr>
          <xdr:grpSpPr>
            <a:xfrm>
              <a:off x="11650369" y="97658"/>
              <a:ext cx="3318058" cy="994086"/>
              <a:chOff x="8387713" y="106967"/>
              <a:chExt cx="3191911" cy="1002967"/>
            </a:xfrm>
          </xdr:grpSpPr>
          <xdr:sp macro="" textlink="">
            <xdr:nvSpPr>
              <xdr:cNvPr id="16" name="Rounded Rectangle 11">
                <a:extLst>
                  <a:ext uri="{FF2B5EF4-FFF2-40B4-BE49-F238E27FC236}">
                    <a16:creationId xmlns:a16="http://schemas.microsoft.com/office/drawing/2014/main" id="{E9E41AFD-8C67-C6CD-15A9-DC6534C801B2}"/>
                  </a:ext>
                </a:extLst>
              </xdr:cNvPr>
              <xdr:cNvSpPr/>
            </xdr:nvSpPr>
            <xdr:spPr>
              <a:xfrm>
                <a:off x="8387713" y="106967"/>
                <a:ext cx="3191911" cy="1002967"/>
              </a:xfrm>
              <a:prstGeom prst="roundRect">
                <a:avLst/>
              </a:prstGeom>
              <a:ln w="3175">
                <a:solidFill>
                  <a:schemeClr val="bg1"/>
                </a:solidFill>
              </a:ln>
            </xdr:spPr>
            <xdr:style>
              <a:lnRef idx="2">
                <a:schemeClr val="dk1">
                  <a:shade val="50000"/>
                </a:schemeClr>
              </a:lnRef>
              <a:fillRef idx="1">
                <a:schemeClr val="dk1"/>
              </a:fillRef>
              <a:effectRef idx="0">
                <a:schemeClr val="dk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endParaRPr lang="en-AU" sz="1100" b="1">
                  <a:solidFill>
                    <a:schemeClr val="bg1"/>
                  </a:solidFill>
                </a:endParaRPr>
              </a:p>
            </xdr:txBody>
          </xdr:sp>
          <xdr:grpSp>
            <xdr:nvGrpSpPr>
              <xdr:cNvPr id="17" name="Group 16">
                <a:extLst>
                  <a:ext uri="{FF2B5EF4-FFF2-40B4-BE49-F238E27FC236}">
                    <a16:creationId xmlns:a16="http://schemas.microsoft.com/office/drawing/2014/main" id="{DC03EF8E-FBF2-0FA1-1D3C-756C26BDBF88}"/>
                  </a:ext>
                </a:extLst>
              </xdr:cNvPr>
              <xdr:cNvGrpSpPr/>
            </xdr:nvGrpSpPr>
            <xdr:grpSpPr>
              <a:xfrm>
                <a:off x="9803443" y="156152"/>
                <a:ext cx="1685197" cy="886495"/>
                <a:chOff x="23590870" y="476314"/>
                <a:chExt cx="2068513" cy="648072"/>
              </a:xfrm>
            </xdr:grpSpPr>
            <xdr:sp macro="" textlink="">
              <xdr:nvSpPr>
                <xdr:cNvPr id="19" name="Rounded Rectangle 14">
                  <a:extLst>
                    <a:ext uri="{FF2B5EF4-FFF2-40B4-BE49-F238E27FC236}">
                      <a16:creationId xmlns:a16="http://schemas.microsoft.com/office/drawing/2014/main" id="{489674D7-7D92-C227-C2CC-0F92DF4A9A86}"/>
                    </a:ext>
                  </a:extLst>
                </xdr:cNvPr>
                <xdr:cNvSpPr/>
              </xdr:nvSpPr>
              <xdr:spPr>
                <a:xfrm>
                  <a:off x="23590870" y="769466"/>
                  <a:ext cx="2068513" cy="354920"/>
                </a:xfrm>
                <a:prstGeom prst="roundRect">
                  <a:avLst/>
                </a:prstGeom>
                <a:solidFill>
                  <a:srgbClr val="FFFFCC"/>
                </a:solidFill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6"/>
                </a:lnRef>
                <a:fillRef idx="2">
                  <a:schemeClr val="accent6"/>
                </a:fillRef>
                <a:effectRef idx="1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en-AU" sz="1400" b="1" baseline="0">
                      <a:solidFill>
                        <a:sysClr val="windowText" lastClr="000000"/>
                      </a:solidFill>
                      <a:latin typeface="+mn-lt"/>
                    </a:rPr>
                    <a:t>NON-AMENDED</a:t>
                  </a:r>
                  <a:endParaRPr lang="en-AU" sz="1400" b="1">
                    <a:solidFill>
                      <a:sysClr val="windowText" lastClr="000000"/>
                    </a:solidFill>
                    <a:latin typeface="+mn-lt"/>
                  </a:endParaRPr>
                </a:p>
              </xdr:txBody>
            </xdr:sp>
            <xdr:sp macro="" textlink="">
              <xdr:nvSpPr>
                <xdr:cNvPr id="20" name="Rounded Rectangle 15">
                  <a:extLst>
                    <a:ext uri="{FF2B5EF4-FFF2-40B4-BE49-F238E27FC236}">
                      <a16:creationId xmlns:a16="http://schemas.microsoft.com/office/drawing/2014/main" id="{22B8052C-B7F8-6201-3423-BAC2A2FA8FE4}"/>
                    </a:ext>
                  </a:extLst>
                </xdr:cNvPr>
                <xdr:cNvSpPr/>
              </xdr:nvSpPr>
              <xdr:spPr>
                <a:xfrm>
                  <a:off x="23629721" y="476314"/>
                  <a:ext cx="2025335" cy="274435"/>
                </a:xfrm>
                <a:prstGeom prst="roundRect">
                  <a:avLst/>
                </a:prstGeom>
                <a:pattFill prst="pct30">
                  <a:fgClr>
                    <a:schemeClr val="tx2">
                      <a:lumMod val="60000"/>
                      <a:lumOff val="40000"/>
                    </a:schemeClr>
                  </a:fgClr>
                  <a:bgClr>
                    <a:schemeClr val="bg1"/>
                  </a:bgClr>
                </a:pattFill>
                <a:ln>
                  <a:solidFill>
                    <a:schemeClr val="accent4">
                      <a:lumMod val="50000"/>
                    </a:schemeClr>
                  </a:solidFill>
                </a:ln>
              </xdr:spPr>
              <xdr:style>
                <a:lnRef idx="1">
                  <a:schemeClr val="accent6"/>
                </a:lnRef>
                <a:fillRef idx="2">
                  <a:schemeClr val="accent6"/>
                </a:fillRef>
                <a:effectRef idx="1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en-AU" sz="1800" b="1">
                      <a:solidFill>
                        <a:sysClr val="windowText" lastClr="000000"/>
                      </a:solidFill>
                      <a:latin typeface="+mn-lt"/>
                    </a:rPr>
                    <a:t>AMENDED</a:t>
                  </a:r>
                  <a:endParaRPr lang="en-AU" sz="950" b="1">
                    <a:solidFill>
                      <a:sysClr val="windowText" lastClr="000000"/>
                    </a:solidFill>
                    <a:latin typeface="+mn-lt"/>
                  </a:endParaRPr>
                </a:p>
              </xdr:txBody>
            </xdr:sp>
          </xdr:grpSp>
          <xdr:sp macro="" textlink="">
            <xdr:nvSpPr>
              <xdr:cNvPr id="18" name="Rounded Rectangle 13">
                <a:extLst>
                  <a:ext uri="{FF2B5EF4-FFF2-40B4-BE49-F238E27FC236}">
                    <a16:creationId xmlns:a16="http://schemas.microsoft.com/office/drawing/2014/main" id="{3B5793E6-4010-A20C-B3EA-50F7466E7BDE}"/>
                  </a:ext>
                </a:extLst>
              </xdr:cNvPr>
              <xdr:cNvSpPr/>
            </xdr:nvSpPr>
            <xdr:spPr>
              <a:xfrm>
                <a:off x="8481017" y="161070"/>
                <a:ext cx="1209279" cy="848172"/>
              </a:xfrm>
              <a:prstGeom prst="roundRect">
                <a:avLst/>
              </a:prstGeom>
            </xdr:spPr>
            <xdr:style>
              <a:lnRef idx="2">
                <a:schemeClr val="dk1">
                  <a:shade val="50000"/>
                </a:schemeClr>
              </a:lnRef>
              <a:fillRef idx="1">
                <a:schemeClr val="dk1"/>
              </a:fillRef>
              <a:effectRef idx="0">
                <a:schemeClr val="dk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r"/>
                <a:r>
                  <a:rPr lang="en-AU" sz="1100" b="1">
                    <a:solidFill>
                      <a:schemeClr val="bg1"/>
                    </a:solidFill>
                  </a:rPr>
                  <a:t>FOR AMENDED SUBMISSIONS</a:t>
                </a:r>
                <a:r>
                  <a:rPr lang="en-AU" sz="1100" b="1" baseline="0">
                    <a:solidFill>
                      <a:schemeClr val="bg1"/>
                    </a:solidFill>
                  </a:rPr>
                  <a:t> ONLY</a:t>
                </a:r>
                <a:endParaRPr lang="en-AU" sz="1100" b="1">
                  <a:solidFill>
                    <a:schemeClr val="bg1"/>
                  </a:solidFill>
                </a:endParaRPr>
              </a:p>
            </xdr:txBody>
          </xdr:sp>
        </xdr:grpSp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4FF818C8-4E70-3CE2-C37C-1043241003F4}"/>
              </a:ext>
            </a:extLst>
          </xdr:cNvPr>
          <xdr:cNvGrpSpPr/>
        </xdr:nvGrpSpPr>
        <xdr:grpSpPr>
          <a:xfrm>
            <a:off x="7089189" y="91934"/>
            <a:ext cx="2309198" cy="943957"/>
            <a:chOff x="11231900" y="3144708"/>
            <a:chExt cx="2428804" cy="966829"/>
          </a:xfrm>
        </xdr:grpSpPr>
        <xdr:sp macro="" textlink="">
          <xdr:nvSpPr>
            <xdr:cNvPr id="12" name="Rounded Rectangle 16">
              <a:extLst>
                <a:ext uri="{FF2B5EF4-FFF2-40B4-BE49-F238E27FC236}">
                  <a16:creationId xmlns:a16="http://schemas.microsoft.com/office/drawing/2014/main" id="{9CEF993F-C7C8-1E6B-4D66-AD54AE2A5829}"/>
                </a:ext>
              </a:extLst>
            </xdr:cNvPr>
            <xdr:cNvSpPr/>
          </xdr:nvSpPr>
          <xdr:spPr>
            <a:xfrm>
              <a:off x="11231902" y="3144708"/>
              <a:ext cx="2428802" cy="411003"/>
            </a:xfrm>
            <a:prstGeom prst="roundRect">
              <a:avLst/>
            </a:prstGeom>
            <a:solidFill>
              <a:srgbClr val="00B0F0"/>
            </a:solidFill>
            <a:ln>
              <a:solidFill>
                <a:sysClr val="windowText" lastClr="000000"/>
              </a:solidFill>
            </a:ln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AU" sz="1600" b="1">
                  <a:solidFill>
                    <a:schemeClr val="bg1"/>
                  </a:solidFill>
                  <a:latin typeface="Calibri" panose="020F0502020204030204" pitchFamily="34" charset="0"/>
                  <a:cs typeface="Calibri" panose="020F0502020204030204" pitchFamily="34" charset="0"/>
                </a:rPr>
                <a:t>Protected (SOCI)</a:t>
              </a:r>
            </a:p>
          </xdr:txBody>
        </xdr:sp>
        <xdr:sp macro="" textlink="">
          <xdr:nvSpPr>
            <xdr:cNvPr id="13" name="Rounded Rectangle 16">
              <a:extLst>
                <a:ext uri="{FF2B5EF4-FFF2-40B4-BE49-F238E27FC236}">
                  <a16:creationId xmlns:a16="http://schemas.microsoft.com/office/drawing/2014/main" id="{728AC788-D822-70ED-EEA3-59FEF4D9BBC2}"/>
                </a:ext>
              </a:extLst>
            </xdr:cNvPr>
            <xdr:cNvSpPr/>
          </xdr:nvSpPr>
          <xdr:spPr>
            <a:xfrm>
              <a:off x="11231900" y="3611478"/>
              <a:ext cx="2428801" cy="500059"/>
            </a:xfrm>
            <a:prstGeom prst="roundRect">
              <a:avLst/>
            </a:prstGeom>
            <a:solidFill>
              <a:srgbClr val="FFFFCC"/>
            </a:solidFill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AU" sz="1400" b="1">
                  <a:solidFill>
                    <a:sysClr val="windowText" lastClr="000000"/>
                  </a:solidFill>
                  <a:latin typeface="Calibri" panose="020F0502020204030204" pitchFamily="34" charset="0"/>
                  <a:cs typeface="Calibri" panose="020F0502020204030204" pitchFamily="34" charset="0"/>
                </a:rPr>
                <a:t>NON-Protected</a:t>
              </a:r>
              <a:endParaRPr lang="en-AU" sz="1600" b="1">
                <a:solidFill>
                  <a:sysClr val="windowText" lastClr="000000"/>
                </a:solidFill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39DA-9ADB-4524-9E07-124A157566E7}">
  <sheetPr codeName="Sheet1"/>
  <dimension ref="A1:KA78"/>
  <sheetViews>
    <sheetView tabSelected="1" zoomScale="90" zoomScaleNormal="90" workbookViewId="0">
      <selection activeCell="A24" sqref="A24"/>
    </sheetView>
  </sheetViews>
  <sheetFormatPr defaultColWidth="0" defaultRowHeight="0" customHeight="1" zeroHeight="1"/>
  <cols>
    <col min="1" max="1" width="45.26953125" style="1" customWidth="1"/>
    <col min="2" max="2" width="70.1796875" style="4" customWidth="1"/>
    <col min="3" max="25" width="12.26953125" style="4" customWidth="1"/>
    <col min="26" max="26" width="12.1796875" customWidth="1"/>
    <col min="27" max="27" width="12.26953125" customWidth="1"/>
    <col min="28" max="30" width="12.26953125" hidden="1" customWidth="1"/>
    <col min="31" max="31" width="0" hidden="1" customWidth="1"/>
    <col min="32" max="287" width="0" style="4" hidden="1" customWidth="1"/>
    <col min="288" max="16384" width="9.1796875" style="4" hidden="1"/>
  </cols>
  <sheetData>
    <row r="1" spans="1:35" ht="30.25" customHeight="1">
      <c r="B1" s="2" t="s">
        <v>31</v>
      </c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4"/>
    </row>
    <row r="2" spans="1:35" ht="30.25" customHeight="1">
      <c r="B2" s="5" t="s">
        <v>30</v>
      </c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4"/>
    </row>
    <row r="3" spans="1:35" ht="30.25" customHeight="1">
      <c r="B3" s="7" t="s">
        <v>57</v>
      </c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5" ht="30.25" customHeight="1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4"/>
      <c r="AA4" s="4"/>
    </row>
    <row r="5" spans="1:35" ht="14.5">
      <c r="Z5" s="4"/>
      <c r="AA5" s="4"/>
    </row>
    <row r="6" spans="1:35" ht="25.5" customHeight="1">
      <c r="B6" s="9" t="s">
        <v>59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4"/>
      <c r="AA6" s="4"/>
    </row>
    <row r="7" spans="1:35" ht="21.75" customHeight="1">
      <c r="A7" s="10"/>
      <c r="B7" s="11" t="s">
        <v>58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S7" s="220"/>
      <c r="T7" s="220"/>
      <c r="U7" s="220"/>
      <c r="V7" s="220"/>
      <c r="W7" s="220"/>
      <c r="X7" s="220"/>
      <c r="Y7" s="220"/>
      <c r="Z7" s="220"/>
      <c r="AA7" s="220"/>
      <c r="AB7" s="9"/>
      <c r="AC7" s="4"/>
      <c r="AD7" s="4"/>
      <c r="AE7" s="4"/>
    </row>
    <row r="8" spans="1:35" ht="45.65" customHeight="1">
      <c r="A8" s="10"/>
      <c r="B8" s="229" t="s">
        <v>47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1"/>
      <c r="T8" s="221"/>
      <c r="Z8" s="4"/>
      <c r="AA8" s="4"/>
      <c r="AC8" s="4"/>
      <c r="AD8" s="4"/>
      <c r="AE8" s="4"/>
    </row>
    <row r="9" spans="1:35" ht="14.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4"/>
      <c r="AA9" s="4"/>
    </row>
    <row r="10" spans="1:35" ht="14.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4"/>
      <c r="AA10" s="4"/>
    </row>
    <row r="11" spans="1:35" customFormat="1" ht="15" thickBot="1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5" customFormat="1" ht="16" thickBot="1">
      <c r="A12" s="1"/>
      <c r="B12" s="15" t="s">
        <v>1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5" s="19" customFormat="1" ht="15.5">
      <c r="A13" s="1"/>
      <c r="B13" s="18"/>
      <c r="C13" s="167" t="s">
        <v>2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 t="s">
        <v>3</v>
      </c>
      <c r="N13" s="16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/>
      <c r="AC13"/>
      <c r="AD13"/>
      <c r="AE13"/>
    </row>
    <row r="14" spans="1:35" ht="16" thickBot="1">
      <c r="B14" s="18"/>
      <c r="C14" s="163">
        <v>2015</v>
      </c>
      <c r="D14" s="164">
        <v>2016</v>
      </c>
      <c r="E14" s="165">
        <v>2017</v>
      </c>
      <c r="F14" s="165">
        <v>2018</v>
      </c>
      <c r="G14" s="165">
        <v>2019</v>
      </c>
      <c r="H14" s="165">
        <v>2020</v>
      </c>
      <c r="I14" s="165" t="s">
        <v>22</v>
      </c>
      <c r="J14" s="165" t="s">
        <v>32</v>
      </c>
      <c r="K14" s="165" t="s">
        <v>33</v>
      </c>
      <c r="L14" s="165" t="s">
        <v>29</v>
      </c>
      <c r="M14" s="165" t="s">
        <v>34</v>
      </c>
      <c r="N14" s="166" t="s">
        <v>35</v>
      </c>
      <c r="Z14" s="4"/>
      <c r="AA14" s="4"/>
      <c r="AH14"/>
    </row>
    <row r="15" spans="1:35" ht="14.5">
      <c r="B15" s="20" t="s">
        <v>23</v>
      </c>
      <c r="C15" s="154">
        <v>108.4</v>
      </c>
      <c r="D15" s="155">
        <v>110</v>
      </c>
      <c r="E15" s="155">
        <v>112.1</v>
      </c>
      <c r="F15" s="155">
        <v>114.1</v>
      </c>
      <c r="G15" s="155">
        <v>116.2</v>
      </c>
      <c r="H15" s="155">
        <v>117.2</v>
      </c>
      <c r="I15" s="155">
        <v>118.8</v>
      </c>
      <c r="J15" s="155">
        <v>126.1</v>
      </c>
      <c r="K15" s="155">
        <v>133.69999999999999</v>
      </c>
      <c r="L15" s="155">
        <v>138.80000000000001</v>
      </c>
      <c r="M15" s="155">
        <v>141.69999999999999</v>
      </c>
      <c r="N15" s="156">
        <v>146.09269999999998</v>
      </c>
      <c r="Z15" s="4"/>
      <c r="AA15" s="4"/>
      <c r="AH15"/>
      <c r="AI15"/>
    </row>
    <row r="16" spans="1:35" ht="14.5">
      <c r="B16" s="21" t="s">
        <v>4</v>
      </c>
      <c r="C16" s="22"/>
      <c r="D16" s="157">
        <f>+D15/C15-1</f>
        <v>1.4760147601476037E-2</v>
      </c>
      <c r="E16" s="157">
        <f>+E15/D15-1</f>
        <v>1.9090909090909047E-2</v>
      </c>
      <c r="F16" s="157">
        <f t="shared" ref="F16:I16" si="0">+F15/E15-1</f>
        <v>1.7841213202497874E-2</v>
      </c>
      <c r="G16" s="157">
        <f t="shared" si="0"/>
        <v>1.8404907975460238E-2</v>
      </c>
      <c r="H16" s="157">
        <f t="shared" si="0"/>
        <v>8.6058519793459354E-3</v>
      </c>
      <c r="I16" s="157">
        <f t="shared" si="0"/>
        <v>1.3651877133105783E-2</v>
      </c>
      <c r="J16" s="157">
        <f>+J15/I15-1</f>
        <v>6.1447811447811418E-2</v>
      </c>
      <c r="K16" s="157">
        <f>+K15/J15-1</f>
        <v>6.0269627279936566E-2</v>
      </c>
      <c r="L16" s="157">
        <f>+L15/K15-1</f>
        <v>3.8145100972326373E-2</v>
      </c>
      <c r="M16" s="157">
        <f>+M15/L15-1</f>
        <v>2.0893371757924939E-2</v>
      </c>
      <c r="N16" s="158">
        <f>+N15/M15-1</f>
        <v>3.0999999999999917E-2</v>
      </c>
      <c r="Z16" s="4"/>
      <c r="AA16" s="4"/>
    </row>
    <row r="17" spans="1:287" ht="15" thickBot="1">
      <c r="B17" s="23" t="s">
        <v>42</v>
      </c>
      <c r="C17" s="159">
        <f>D17/(1+D16)</f>
        <v>0.74199463765129947</v>
      </c>
      <c r="D17" s="160">
        <f>E17/(1+E16)</f>
        <v>0.75294658802253633</v>
      </c>
      <c r="E17" s="161">
        <f t="shared" ref="E17:H17" si="1">F17/(1+F16)</f>
        <v>0.76732102288478476</v>
      </c>
      <c r="F17" s="161">
        <f t="shared" si="1"/>
        <v>0.78101096084883093</v>
      </c>
      <c r="G17" s="161">
        <f t="shared" si="1"/>
        <v>0.79538539571107947</v>
      </c>
      <c r="H17" s="161">
        <f t="shared" si="1"/>
        <v>0.80223036469310249</v>
      </c>
      <c r="I17" s="161">
        <f>J17/(1+J16)</f>
        <v>0.81318231506433936</v>
      </c>
      <c r="J17" s="161">
        <f>K17/(1+K16)</f>
        <v>0.86315058863310767</v>
      </c>
      <c r="K17" s="161">
        <f>L17/(1+L16)</f>
        <v>0.91517235289648291</v>
      </c>
      <c r="L17" s="161">
        <f>M17/(1+M16)</f>
        <v>0.95008169470480075</v>
      </c>
      <c r="M17" s="161">
        <f>N17/(1+N16)</f>
        <v>0.96993210475266745</v>
      </c>
      <c r="N17" s="162">
        <v>1</v>
      </c>
      <c r="Z17" s="4"/>
      <c r="AA17" s="4"/>
    </row>
    <row r="18" spans="1:287" ht="14.5">
      <c r="B18" s="24"/>
      <c r="C18" s="27"/>
      <c r="D18" s="27"/>
      <c r="E18" s="27"/>
      <c r="F18" s="218"/>
      <c r="G18" s="218"/>
      <c r="H18" s="218"/>
      <c r="I18" s="218"/>
      <c r="J18" s="218"/>
      <c r="K18" s="26"/>
      <c r="L18" s="219"/>
      <c r="M18" s="26"/>
      <c r="N18" s="27"/>
      <c r="O18" s="219"/>
      <c r="P18" s="26"/>
      <c r="Q18" s="26"/>
      <c r="R18" s="26"/>
      <c r="S18" s="26"/>
      <c r="T18" s="219"/>
      <c r="U18" s="219"/>
      <c r="V18" s="219"/>
      <c r="W18" s="219"/>
      <c r="X18" s="219"/>
      <c r="Z18" s="4"/>
      <c r="AA18" s="4"/>
    </row>
    <row r="19" spans="1:287" ht="14.5">
      <c r="B19" s="24"/>
      <c r="C19" s="27"/>
      <c r="D19" s="27"/>
      <c r="E19" s="27"/>
      <c r="F19" s="27"/>
      <c r="G19" s="27"/>
      <c r="H19" s="27"/>
      <c r="I19" s="27"/>
      <c r="J19" s="27"/>
      <c r="K19" s="26"/>
      <c r="S19" s="26"/>
      <c r="T19" s="219"/>
      <c r="U19" s="219"/>
      <c r="V19" s="219"/>
      <c r="W19" s="219"/>
      <c r="X19" s="219"/>
      <c r="Z19" s="4"/>
      <c r="AA19" s="4"/>
    </row>
    <row r="20" spans="1:287" ht="14.5">
      <c r="B20" s="24"/>
      <c r="C20" s="27"/>
      <c r="D20" s="27"/>
      <c r="E20" s="27"/>
      <c r="F20" s="27"/>
      <c r="G20" s="27"/>
      <c r="H20" s="27"/>
      <c r="I20" s="27"/>
      <c r="J20" s="27"/>
      <c r="K20" s="26"/>
      <c r="L20" s="219"/>
      <c r="M20" s="26"/>
      <c r="N20" s="27"/>
      <c r="O20" s="219"/>
      <c r="P20" s="26"/>
      <c r="Q20" s="26"/>
      <c r="R20" s="26"/>
      <c r="S20" s="26"/>
      <c r="T20" s="219"/>
      <c r="U20" s="219"/>
      <c r="V20" s="219"/>
      <c r="W20" s="219"/>
      <c r="X20" s="219"/>
      <c r="Z20" s="4"/>
      <c r="AA20" s="4"/>
    </row>
    <row r="21" spans="1:287" s="30" customFormat="1" ht="18.5">
      <c r="A21" s="1"/>
      <c r="B21" s="28" t="s">
        <v>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4"/>
      <c r="AA21" s="4"/>
      <c r="AB21"/>
      <c r="AC21"/>
      <c r="AD21"/>
      <c r="AE21"/>
    </row>
    <row r="22" spans="1:287" ht="15" thickBot="1">
      <c r="Z22" s="4"/>
      <c r="AA22" s="4"/>
      <c r="AB22" s="4"/>
      <c r="AC22" s="4"/>
      <c r="AD22" s="4"/>
      <c r="AE22" s="4"/>
    </row>
    <row r="23" spans="1:287" customFormat="1" ht="15" thickBot="1">
      <c r="A23" s="1"/>
      <c r="B23" s="172" t="s">
        <v>6</v>
      </c>
      <c r="C23" s="31">
        <v>2018</v>
      </c>
      <c r="D23" s="4"/>
      <c r="E23" s="4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</row>
    <row r="24" spans="1:287" customFormat="1" ht="15" thickBot="1">
      <c r="A24" s="1"/>
      <c r="B24" s="172" t="str">
        <f>"Non-recurrent efficiency adjustment made to "&amp;C23&amp;" opex, "&amp;"$m, real June 2021"</f>
        <v>Non-recurrent efficiency adjustment made to 2018 opex, $m, real June 2021</v>
      </c>
      <c r="C24" s="191">
        <v>-4.3578307413102673</v>
      </c>
      <c r="D24" s="4"/>
      <c r="E24" s="4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</row>
    <row r="25" spans="1:287" s="36" customFormat="1" ht="21" customHeight="1" thickBot="1">
      <c r="A25" s="1"/>
      <c r="B25" s="32" t="s">
        <v>7</v>
      </c>
      <c r="C25" s="33"/>
      <c r="D25" s="33"/>
      <c r="E25" s="33"/>
      <c r="F25" s="33"/>
      <c r="G25" s="33"/>
      <c r="H25" s="33"/>
      <c r="I25" s="33"/>
      <c r="J25" s="33"/>
      <c r="K25" s="34"/>
      <c r="L25" s="34"/>
      <c r="M25" s="34"/>
      <c r="N25" s="34"/>
      <c r="O25" s="34"/>
      <c r="P25" s="34"/>
      <c r="Q25" s="34"/>
      <c r="R25" s="34"/>
      <c r="S25" s="35"/>
      <c r="T25" s="4"/>
      <c r="U25" s="4"/>
      <c r="V25" s="4"/>
      <c r="W25" s="4"/>
      <c r="X25" s="4"/>
      <c r="Z25" s="4"/>
      <c r="AA25" s="4"/>
      <c r="AB25"/>
      <c r="AC25"/>
      <c r="AD25"/>
      <c r="AE25"/>
    </row>
    <row r="26" spans="1:287" ht="30" customHeight="1">
      <c r="C26" s="232" t="s">
        <v>24</v>
      </c>
      <c r="D26" s="233"/>
      <c r="E26" s="171" t="s">
        <v>41</v>
      </c>
      <c r="F26" s="234" t="s">
        <v>25</v>
      </c>
      <c r="G26" s="234"/>
      <c r="H26" s="234"/>
      <c r="I26" s="234"/>
      <c r="J26" s="235"/>
      <c r="K26" s="27"/>
      <c r="L26" s="239" t="s">
        <v>40</v>
      </c>
      <c r="M26" s="240"/>
      <c r="N26" s="240"/>
      <c r="O26" s="240"/>
      <c r="P26" s="240"/>
      <c r="Q26" s="240"/>
      <c r="R26" s="240"/>
      <c r="S26" s="241"/>
      <c r="Z26" s="4"/>
      <c r="AA26" s="4"/>
    </row>
    <row r="27" spans="1:287" ht="21.75" customHeight="1">
      <c r="C27" s="248" t="s">
        <v>8</v>
      </c>
      <c r="D27" s="249"/>
      <c r="E27" s="250"/>
      <c r="F27" s="236" t="s">
        <v>9</v>
      </c>
      <c r="G27" s="237"/>
      <c r="H27" s="237"/>
      <c r="I27" s="237"/>
      <c r="J27" s="238"/>
      <c r="K27" s="27"/>
      <c r="L27" s="242" t="s">
        <v>8</v>
      </c>
      <c r="M27" s="243"/>
      <c r="N27" s="244"/>
      <c r="O27" s="245" t="s">
        <v>9</v>
      </c>
      <c r="P27" s="246"/>
      <c r="Q27" s="246"/>
      <c r="R27" s="246"/>
      <c r="S27" s="247"/>
      <c r="Z27" s="4"/>
      <c r="AA27" s="4"/>
    </row>
    <row r="28" spans="1:287" ht="21.75" customHeight="1" thickBot="1">
      <c r="C28" s="37">
        <f>C23</f>
        <v>2018</v>
      </c>
      <c r="D28" s="38">
        <v>2020</v>
      </c>
      <c r="E28" s="134" t="s">
        <v>22</v>
      </c>
      <c r="F28" s="39" t="s">
        <v>32</v>
      </c>
      <c r="G28" s="40" t="s">
        <v>33</v>
      </c>
      <c r="H28" s="40" t="s">
        <v>29</v>
      </c>
      <c r="I28" s="40" t="s">
        <v>34</v>
      </c>
      <c r="J28" s="41" t="s">
        <v>35</v>
      </c>
      <c r="K28" s="27"/>
      <c r="L28" s="37">
        <f>C23</f>
        <v>2018</v>
      </c>
      <c r="M28" s="38">
        <f>D28</f>
        <v>2020</v>
      </c>
      <c r="N28" s="38" t="str">
        <f>E28</f>
        <v>HY2021</v>
      </c>
      <c r="O28" s="39" t="s">
        <v>32</v>
      </c>
      <c r="P28" s="40" t="s">
        <v>33</v>
      </c>
      <c r="Q28" s="40" t="s">
        <v>29</v>
      </c>
      <c r="R28" s="40" t="s">
        <v>34</v>
      </c>
      <c r="S28" s="41" t="s">
        <v>35</v>
      </c>
      <c r="Z28" s="4"/>
      <c r="AA28" s="4"/>
    </row>
    <row r="29" spans="1:287" ht="14.5">
      <c r="B29" s="188" t="s">
        <v>10</v>
      </c>
      <c r="C29" s="196">
        <v>234.81195077678754</v>
      </c>
      <c r="D29" s="197">
        <v>244.94778584328824</v>
      </c>
      <c r="E29" s="197">
        <v>142.01569340710057</v>
      </c>
      <c r="F29" s="42">
        <v>267.17792874348316</v>
      </c>
      <c r="G29" s="42">
        <v>243.40406829574664</v>
      </c>
      <c r="H29" s="42">
        <v>272.84233487501456</v>
      </c>
      <c r="I29" s="42">
        <v>264.78212137502663</v>
      </c>
      <c r="J29" s="42">
        <v>259.25932563670483</v>
      </c>
      <c r="K29" s="27"/>
      <c r="L29" s="43">
        <f>+C29/$C$17</f>
        <v>316.46044170892981</v>
      </c>
      <c r="M29" s="44">
        <f>+D29/$C$17</f>
        <v>330.12069550616013</v>
      </c>
      <c r="N29" s="44">
        <f>+E29/$H$17</f>
        <v>177.02607587214607</v>
      </c>
      <c r="O29" s="45">
        <f>+F29/$I$17</f>
        <v>328.5584595163557</v>
      </c>
      <c r="P29" s="46">
        <f>+G29/$I$17</f>
        <v>299.32287481742441</v>
      </c>
      <c r="Q29" s="46">
        <f>+H29/$I$17</f>
        <v>335.5241866683084</v>
      </c>
      <c r="R29" s="46">
        <f>+I29/$I$17</f>
        <v>325.61224767176219</v>
      </c>
      <c r="S29" s="47">
        <f>+J29/$I$17</f>
        <v>318.82066399364834</v>
      </c>
      <c r="Z29" s="4"/>
      <c r="AA29" s="4"/>
    </row>
    <row r="30" spans="1:287" s="184" customFormat="1" ht="14.5">
      <c r="A30" s="174"/>
      <c r="B30" s="189" t="s">
        <v>11</v>
      </c>
      <c r="C30" s="198"/>
      <c r="D30" s="199"/>
      <c r="E30" s="199"/>
      <c r="F30" s="175"/>
      <c r="G30" s="176"/>
      <c r="H30" s="176"/>
      <c r="I30" s="176"/>
      <c r="J30" s="177"/>
      <c r="K30" s="228"/>
      <c r="L30" s="178"/>
      <c r="M30" s="179"/>
      <c r="N30" s="179"/>
      <c r="O30" s="180"/>
      <c r="P30" s="181"/>
      <c r="Q30" s="181"/>
      <c r="R30" s="181"/>
      <c r="S30" s="182"/>
      <c r="AB30" s="183"/>
      <c r="AC30" s="183"/>
      <c r="AD30" s="183"/>
      <c r="AE30" s="183"/>
    </row>
    <row r="31" spans="1:287" ht="14.5">
      <c r="B31" s="83" t="s">
        <v>55</v>
      </c>
      <c r="C31" s="200">
        <v>-8.3000000000000007</v>
      </c>
      <c r="D31" s="201">
        <v>-8.3000000000000007</v>
      </c>
      <c r="E31" s="201">
        <v>-4.5042239391143921</v>
      </c>
      <c r="F31" s="173">
        <v>-9.4571084152270224</v>
      </c>
      <c r="G31" s="173">
        <v>-9.3124077378556809</v>
      </c>
      <c r="H31" s="173">
        <v>-9.1710630203785755</v>
      </c>
      <c r="I31" s="173">
        <v>-9.0329964299409085</v>
      </c>
      <c r="J31" s="173">
        <v>-8.8981319388206828</v>
      </c>
      <c r="K31" s="27"/>
      <c r="L31" s="48">
        <f t="shared" ref="L31:M37" si="2">+C31/$C$17</f>
        <v>-11.18606466789668</v>
      </c>
      <c r="M31" s="49">
        <f>+D31/$C$17</f>
        <v>-11.18606466789668</v>
      </c>
      <c r="N31" s="49">
        <f t="shared" ref="N31:N37" si="3">+E31/$H$17</f>
        <v>-5.6146265927462204</v>
      </c>
      <c r="O31" s="50">
        <f t="shared" ref="O31:S37" si="4">F31/$I$17</f>
        <v>-11.629751705161926</v>
      </c>
      <c r="P31" s="50">
        <f t="shared" si="4"/>
        <v>-11.451807995995189</v>
      </c>
      <c r="Q31" s="50">
        <f t="shared" si="4"/>
        <v>-11.277991233310278</v>
      </c>
      <c r="R31" s="50">
        <f t="shared" si="4"/>
        <v>-11.108205703202255</v>
      </c>
      <c r="S31" s="51">
        <f t="shared" si="4"/>
        <v>-10.942357911603942</v>
      </c>
      <c r="Z31" s="4"/>
      <c r="AA31" s="4"/>
    </row>
    <row r="32" spans="1:287" ht="14.5">
      <c r="B32" s="83" t="s">
        <v>48</v>
      </c>
      <c r="C32" s="200"/>
      <c r="D32" s="201"/>
      <c r="E32" s="201"/>
      <c r="F32" s="173">
        <v>-0.24036616306495823</v>
      </c>
      <c r="G32" s="173">
        <v>-0.24036616306495823</v>
      </c>
      <c r="H32" s="173">
        <v>-0.24036616306495823</v>
      </c>
      <c r="I32" s="173">
        <v>-0.24036616306495823</v>
      </c>
      <c r="J32" s="173">
        <v>-0.24036616306495823</v>
      </c>
      <c r="K32" s="27"/>
      <c r="L32" s="48">
        <f>+C32/$C$17</f>
        <v>0</v>
      </c>
      <c r="M32" s="49">
        <f>+D32/$C$17</f>
        <v>0</v>
      </c>
      <c r="N32" s="49">
        <f t="shared" si="3"/>
        <v>0</v>
      </c>
      <c r="O32" s="50">
        <f>F32/$I$17</f>
        <v>-0.29558705177441091</v>
      </c>
      <c r="P32" s="50">
        <f t="shared" si="4"/>
        <v>-0.29558705177441091</v>
      </c>
      <c r="Q32" s="50">
        <f t="shared" si="4"/>
        <v>-0.29558705177441091</v>
      </c>
      <c r="R32" s="50">
        <f t="shared" si="4"/>
        <v>-0.29558705177441091</v>
      </c>
      <c r="S32" s="51">
        <f t="shared" si="4"/>
        <v>-0.29558705177441091</v>
      </c>
      <c r="Z32" s="4"/>
      <c r="AA32" s="4"/>
    </row>
    <row r="33" spans="1:31" ht="14.5">
      <c r="B33" s="83" t="s">
        <v>49</v>
      </c>
      <c r="C33" s="202">
        <v>-1.9490531118816772</v>
      </c>
      <c r="D33" s="203">
        <v>-2.1657077988960394</v>
      </c>
      <c r="E33" s="203">
        <v>-1.1510319909904236</v>
      </c>
      <c r="F33" s="173">
        <v>-2.2142462152097226</v>
      </c>
      <c r="G33" s="173">
        <v>-2.2449315556494076</v>
      </c>
      <c r="H33" s="173">
        <v>-2.2853821071100904</v>
      </c>
      <c r="I33" s="173">
        <v>-2.3002560327302484</v>
      </c>
      <c r="J33" s="173">
        <v>-2.300015824969448</v>
      </c>
      <c r="K33" s="27"/>
      <c r="L33" s="48">
        <f>+C33/$C$17</f>
        <v>-2.6267751988763495</v>
      </c>
      <c r="M33" s="49">
        <f t="shared" si="2"/>
        <v>-2.9187647578577436</v>
      </c>
      <c r="N33" s="49">
        <f t="shared" si="3"/>
        <v>-1.4347898579365754</v>
      </c>
      <c r="O33" s="50">
        <f>F33/$I$17</f>
        <v>-2.7229394616563081</v>
      </c>
      <c r="P33" s="50">
        <f t="shared" si="4"/>
        <v>-2.7606743457914327</v>
      </c>
      <c r="Q33" s="50">
        <f t="shared" si="4"/>
        <v>-2.8104178666616351</v>
      </c>
      <c r="R33" s="50">
        <f t="shared" si="4"/>
        <v>-2.8287088763707939</v>
      </c>
      <c r="S33" s="51">
        <f t="shared" si="4"/>
        <v>-2.8284134841120712</v>
      </c>
      <c r="Z33" s="4"/>
      <c r="AA33" s="4"/>
    </row>
    <row r="34" spans="1:31" ht="14.5">
      <c r="B34" s="83" t="s">
        <v>52</v>
      </c>
      <c r="C34" s="200"/>
      <c r="D34" s="201"/>
      <c r="E34" s="201"/>
      <c r="F34" s="173">
        <v>-22.5197</v>
      </c>
      <c r="G34" s="173">
        <v>0</v>
      </c>
      <c r="H34" s="173">
        <v>0</v>
      </c>
      <c r="I34" s="173">
        <v>0</v>
      </c>
      <c r="J34" s="173">
        <v>0</v>
      </c>
      <c r="K34" s="223"/>
      <c r="L34" s="48">
        <f t="shared" ref="L34:L35" si="5">+C34/$C$17</f>
        <v>0</v>
      </c>
      <c r="M34" s="49">
        <f t="shared" ref="M34:M35" si="6">+D34/$C$17</f>
        <v>0</v>
      </c>
      <c r="N34" s="49">
        <f t="shared" ref="N34:N35" si="7">+E34/$H$17</f>
        <v>0</v>
      </c>
      <c r="O34" s="50">
        <f>F34/$I$17</f>
        <v>-27.693297779377101</v>
      </c>
      <c r="P34" s="50">
        <f t="shared" ref="P34:P35" si="8">G34/$I$17</f>
        <v>0</v>
      </c>
      <c r="Q34" s="50">
        <f t="shared" ref="Q34:Q35" si="9">H34/$I$17</f>
        <v>0</v>
      </c>
      <c r="R34" s="50">
        <f t="shared" ref="R34:R35" si="10">I34/$I$17</f>
        <v>0</v>
      </c>
      <c r="S34" s="51">
        <f t="shared" ref="S34:S35" si="11">J34/$I$17</f>
        <v>0</v>
      </c>
      <c r="Z34" s="4"/>
      <c r="AA34" s="4"/>
      <c r="AB34" s="195"/>
      <c r="AC34" s="195"/>
      <c r="AD34" s="195"/>
      <c r="AE34" s="195"/>
    </row>
    <row r="35" spans="1:31" ht="14.5">
      <c r="B35" s="83" t="s">
        <v>51</v>
      </c>
      <c r="C35" s="200"/>
      <c r="D35" s="201"/>
      <c r="E35" s="201"/>
      <c r="F35" s="173">
        <v>0</v>
      </c>
      <c r="G35" s="173">
        <v>0</v>
      </c>
      <c r="H35" s="173">
        <v>-16.755878192221939</v>
      </c>
      <c r="I35" s="173">
        <v>0</v>
      </c>
      <c r="J35" s="173">
        <v>0</v>
      </c>
      <c r="K35" s="223"/>
      <c r="L35" s="48">
        <f t="shared" si="5"/>
        <v>0</v>
      </c>
      <c r="M35" s="49">
        <f t="shared" si="6"/>
        <v>0</v>
      </c>
      <c r="N35" s="49">
        <f t="shared" si="7"/>
        <v>0</v>
      </c>
      <c r="O35" s="50">
        <f>F35/$I$17</f>
        <v>0</v>
      </c>
      <c r="P35" s="50">
        <f t="shared" si="8"/>
        <v>0</v>
      </c>
      <c r="Q35" s="50">
        <f t="shared" si="9"/>
        <v>-20.605315538491766</v>
      </c>
      <c r="R35" s="50">
        <f t="shared" si="10"/>
        <v>0</v>
      </c>
      <c r="S35" s="51">
        <f t="shared" si="11"/>
        <v>0</v>
      </c>
      <c r="Z35" s="4"/>
      <c r="AA35" s="4"/>
      <c r="AB35" s="195"/>
      <c r="AC35" s="195"/>
      <c r="AD35" s="195"/>
      <c r="AE35" s="195"/>
    </row>
    <row r="36" spans="1:31" ht="14.5">
      <c r="B36" s="83" t="s">
        <v>53</v>
      </c>
      <c r="C36" s="200"/>
      <c r="D36" s="201"/>
      <c r="E36" s="201"/>
      <c r="F36" s="173">
        <v>0</v>
      </c>
      <c r="G36" s="173">
        <v>0</v>
      </c>
      <c r="H36" s="173">
        <v>0</v>
      </c>
      <c r="I36" s="173">
        <v>-6.025066066784273</v>
      </c>
      <c r="J36" s="173">
        <v>0</v>
      </c>
      <c r="K36" s="223"/>
      <c r="L36" s="48">
        <f t="shared" si="2"/>
        <v>0</v>
      </c>
      <c r="M36" s="49">
        <f t="shared" si="2"/>
        <v>0</v>
      </c>
      <c r="N36" s="49">
        <f t="shared" si="3"/>
        <v>0</v>
      </c>
      <c r="O36" s="50">
        <f t="shared" si="4"/>
        <v>0</v>
      </c>
      <c r="P36" s="50">
        <f t="shared" si="4"/>
        <v>0</v>
      </c>
      <c r="Q36" s="50">
        <f t="shared" si="4"/>
        <v>0</v>
      </c>
      <c r="R36" s="50">
        <f t="shared" si="4"/>
        <v>-7.4092438499570257</v>
      </c>
      <c r="S36" s="51">
        <f t="shared" si="4"/>
        <v>0</v>
      </c>
      <c r="Z36" s="4"/>
      <c r="AA36" s="4"/>
    </row>
    <row r="37" spans="1:31" ht="15" thickBot="1">
      <c r="B37" s="83" t="s">
        <v>12</v>
      </c>
      <c r="C37" s="185"/>
      <c r="D37" s="186"/>
      <c r="E37" s="186"/>
      <c r="F37" s="53"/>
      <c r="G37" s="53"/>
      <c r="H37" s="53"/>
      <c r="I37" s="53"/>
      <c r="J37" s="53"/>
      <c r="K37" s="27"/>
      <c r="L37" s="54">
        <f t="shared" si="2"/>
        <v>0</v>
      </c>
      <c r="M37" s="55">
        <f t="shared" si="2"/>
        <v>0</v>
      </c>
      <c r="N37" s="55">
        <f t="shared" si="3"/>
        <v>0</v>
      </c>
      <c r="O37" s="56">
        <f t="shared" si="4"/>
        <v>0</v>
      </c>
      <c r="P37" s="56">
        <f t="shared" si="4"/>
        <v>0</v>
      </c>
      <c r="Q37" s="56">
        <f t="shared" si="4"/>
        <v>0</v>
      </c>
      <c r="R37" s="56">
        <f t="shared" si="4"/>
        <v>0</v>
      </c>
      <c r="S37" s="57">
        <f t="shared" si="4"/>
        <v>0</v>
      </c>
      <c r="Z37" s="4"/>
      <c r="AA37" s="4"/>
    </row>
    <row r="38" spans="1:31" ht="22.5" customHeight="1" thickBot="1">
      <c r="B38" s="206" t="s">
        <v>13</v>
      </c>
      <c r="C38" s="204">
        <f t="shared" ref="C38:J38" si="12">SUM(C29:C37)</f>
        <v>224.56289766490585</v>
      </c>
      <c r="D38" s="204">
        <f t="shared" si="12"/>
        <v>234.48207804439218</v>
      </c>
      <c r="E38" s="204">
        <f t="shared" si="12"/>
        <v>136.36043747699577</v>
      </c>
      <c r="F38" s="204">
        <f t="shared" si="12"/>
        <v>232.74650794998146</v>
      </c>
      <c r="G38" s="204">
        <f t="shared" si="12"/>
        <v>231.6063628391766</v>
      </c>
      <c r="H38" s="204">
        <f t="shared" si="12"/>
        <v>244.389645392239</v>
      </c>
      <c r="I38" s="204">
        <f t="shared" si="12"/>
        <v>247.18343668250625</v>
      </c>
      <c r="J38" s="205">
        <f t="shared" si="12"/>
        <v>247.82081170984975</v>
      </c>
      <c r="K38" s="25"/>
      <c r="L38" s="204">
        <f t="shared" ref="L38:S38" si="13">+SUM(L29:L37)</f>
        <v>302.64760184215675</v>
      </c>
      <c r="M38" s="204">
        <f t="shared" si="13"/>
        <v>316.01586608040571</v>
      </c>
      <c r="N38" s="204">
        <f t="shared" si="13"/>
        <v>169.97665942146327</v>
      </c>
      <c r="O38" s="204">
        <f t="shared" si="13"/>
        <v>286.21688351838594</v>
      </c>
      <c r="P38" s="204">
        <f t="shared" si="13"/>
        <v>284.81480542386339</v>
      </c>
      <c r="Q38" s="204">
        <f t="shared" si="13"/>
        <v>300.53487497807032</v>
      </c>
      <c r="R38" s="204">
        <f t="shared" si="13"/>
        <v>303.97050219045769</v>
      </c>
      <c r="S38" s="204">
        <f t="shared" si="13"/>
        <v>304.75430554615792</v>
      </c>
      <c r="Z38" s="4"/>
      <c r="AA38" s="4"/>
    </row>
    <row r="39" spans="1:31" ht="15" thickBot="1">
      <c r="B39" s="225"/>
      <c r="C39" s="226"/>
      <c r="D39" s="227"/>
      <c r="E39" s="227"/>
      <c r="F39" s="227"/>
      <c r="G39" s="227"/>
      <c r="H39" s="227"/>
      <c r="I39" s="227"/>
      <c r="J39" s="227"/>
      <c r="K39" s="170"/>
      <c r="L39" s="226"/>
      <c r="N39" s="226"/>
      <c r="O39" s="226"/>
      <c r="P39" s="226"/>
      <c r="Q39" s="226"/>
      <c r="R39" s="226"/>
      <c r="S39" s="226"/>
      <c r="Z39" s="4"/>
      <c r="AA39" s="4"/>
      <c r="AB39" s="4"/>
      <c r="AC39" s="4"/>
      <c r="AD39" s="4"/>
      <c r="AE39" s="4"/>
    </row>
    <row r="40" spans="1:31" s="36" customFormat="1" ht="16" thickBot="1">
      <c r="A40" s="1"/>
      <c r="B40" s="32" t="s">
        <v>14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5"/>
      <c r="T40" s="4"/>
      <c r="U40" s="4"/>
      <c r="V40" s="4"/>
      <c r="W40" s="4"/>
      <c r="X40" s="4"/>
      <c r="Y40" s="4"/>
      <c r="Z40" s="4"/>
      <c r="AA40" s="4"/>
      <c r="AB40"/>
      <c r="AC40"/>
      <c r="AD40"/>
      <c r="AE40"/>
    </row>
    <row r="41" spans="1:31" ht="14.5">
      <c r="B41" s="58"/>
      <c r="C41" s="251" t="s">
        <v>46</v>
      </c>
      <c r="D41" s="252"/>
      <c r="E41" s="252"/>
      <c r="F41" s="252"/>
      <c r="G41" s="252"/>
      <c r="H41" s="252"/>
      <c r="I41" s="252"/>
      <c r="J41" s="253"/>
      <c r="K41" s="222"/>
      <c r="L41" s="239" t="s">
        <v>40</v>
      </c>
      <c r="M41" s="240"/>
      <c r="N41" s="240"/>
      <c r="O41" s="240"/>
      <c r="P41" s="240"/>
      <c r="Q41" s="240"/>
      <c r="R41" s="240"/>
      <c r="S41" s="241"/>
      <c r="Z41" s="4"/>
      <c r="AA41" s="4"/>
    </row>
    <row r="42" spans="1:31" ht="14.5">
      <c r="B42" s="58"/>
      <c r="C42" s="248" t="s">
        <v>8</v>
      </c>
      <c r="D42" s="249"/>
      <c r="E42" s="250"/>
      <c r="F42" s="236" t="s">
        <v>9</v>
      </c>
      <c r="G42" s="237"/>
      <c r="H42" s="237"/>
      <c r="I42" s="237"/>
      <c r="J42" s="238"/>
      <c r="K42" s="222"/>
      <c r="L42" s="248" t="s">
        <v>8</v>
      </c>
      <c r="M42" s="249"/>
      <c r="N42" s="250"/>
      <c r="O42" s="245" t="s">
        <v>9</v>
      </c>
      <c r="P42" s="246"/>
      <c r="Q42" s="246"/>
      <c r="R42" s="246"/>
      <c r="S42" s="247"/>
      <c r="Z42" s="4"/>
      <c r="AA42" s="4"/>
    </row>
    <row r="43" spans="1:31" ht="15" thickBot="1">
      <c r="B43" s="59"/>
      <c r="C43" s="37">
        <f>C23</f>
        <v>2018</v>
      </c>
      <c r="D43" s="38">
        <v>2020</v>
      </c>
      <c r="E43" s="134" t="s">
        <v>22</v>
      </c>
      <c r="F43" s="39" t="s">
        <v>32</v>
      </c>
      <c r="G43" s="40" t="s">
        <v>33</v>
      </c>
      <c r="H43" s="40" t="s">
        <v>29</v>
      </c>
      <c r="I43" s="40" t="s">
        <v>34</v>
      </c>
      <c r="J43" s="41" t="s">
        <v>35</v>
      </c>
      <c r="K43" s="223"/>
      <c r="L43" s="37">
        <f>C23</f>
        <v>2018</v>
      </c>
      <c r="M43" s="38">
        <f>D43</f>
        <v>2020</v>
      </c>
      <c r="N43" s="38" t="str">
        <f>E43</f>
        <v>HY2021</v>
      </c>
      <c r="O43" s="39" t="s">
        <v>32</v>
      </c>
      <c r="P43" s="40" t="s">
        <v>33</v>
      </c>
      <c r="Q43" s="40" t="s">
        <v>29</v>
      </c>
      <c r="R43" s="40" t="s">
        <v>34</v>
      </c>
      <c r="S43" s="41" t="s">
        <v>35</v>
      </c>
      <c r="Z43" s="4"/>
      <c r="AA43" s="4"/>
    </row>
    <row r="44" spans="1:31" ht="14.5">
      <c r="B44" s="188" t="s">
        <v>15</v>
      </c>
      <c r="C44" s="196">
        <v>205.57865474835606</v>
      </c>
      <c r="D44" s="197">
        <v>218.80187761873361</v>
      </c>
      <c r="E44" s="197">
        <v>114.51718359408571</v>
      </c>
      <c r="F44" s="60">
        <v>250.33996496661439</v>
      </c>
      <c r="G44" s="61">
        <v>223.62600123364601</v>
      </c>
      <c r="H44" s="61">
        <v>277.84185426099845</v>
      </c>
      <c r="I44" s="61">
        <v>317.85006212539241</v>
      </c>
      <c r="J44" s="62"/>
      <c r="K44" s="223"/>
      <c r="L44" s="63">
        <f>+C44/LOOKUP(C23,$D$14:$N$14,$D$17:$N$17)*(1+LOOKUP(C23,$D$14:$N$14,$D$16:$N$16))^0.5</f>
        <v>265.55892801120001</v>
      </c>
      <c r="M44" s="64">
        <f t="shared" ref="M44:R44" si="14">+D44/H$17*(1+H$16)^0.5</f>
        <v>273.91302881023989</v>
      </c>
      <c r="N44" s="136">
        <f>+E44/I$17*(1+I$16)^0.5</f>
        <v>141.78397500838406</v>
      </c>
      <c r="O44" s="65">
        <f t="shared" si="14"/>
        <v>298.80849425167906</v>
      </c>
      <c r="P44" s="66">
        <f t="shared" si="14"/>
        <v>251.6098081814219</v>
      </c>
      <c r="Q44" s="66">
        <f t="shared" si="14"/>
        <v>297.96533907129282</v>
      </c>
      <c r="R44" s="64">
        <f t="shared" si="14"/>
        <v>331.10913141065635</v>
      </c>
      <c r="S44" s="67"/>
      <c r="Z44" s="4"/>
      <c r="AA44" s="4"/>
    </row>
    <row r="45" spans="1:31" ht="14.5">
      <c r="B45" s="189" t="s">
        <v>16</v>
      </c>
      <c r="C45" s="198"/>
      <c r="D45" s="199"/>
      <c r="E45" s="199"/>
      <c r="F45" s="68"/>
      <c r="G45" s="69"/>
      <c r="H45" s="69"/>
      <c r="I45" s="70"/>
      <c r="J45" s="71"/>
      <c r="K45" s="27"/>
      <c r="L45" s="72"/>
      <c r="M45" s="73"/>
      <c r="N45" s="137"/>
      <c r="O45" s="74"/>
      <c r="P45" s="75"/>
      <c r="Q45" s="75"/>
      <c r="R45" s="73"/>
      <c r="S45" s="76"/>
      <c r="Z45" s="4"/>
      <c r="AA45" s="4"/>
    </row>
    <row r="46" spans="1:31" ht="14.5">
      <c r="B46" s="83" t="s">
        <v>55</v>
      </c>
      <c r="C46" s="200">
        <v>-6.5871000000000004</v>
      </c>
      <c r="D46" s="201">
        <v>-10.909330000000001</v>
      </c>
      <c r="E46" s="201">
        <v>-1.0976950000000001</v>
      </c>
      <c r="F46" s="78">
        <v>-13.608285000000002</v>
      </c>
      <c r="G46" s="78">
        <v>-7.0749300000000002</v>
      </c>
      <c r="H46" s="78">
        <v>-7.2848450000000007</v>
      </c>
      <c r="I46" s="78">
        <v>-7.4008709384910807</v>
      </c>
      <c r="J46" s="71"/>
      <c r="K46" s="223"/>
      <c r="L46" s="79">
        <f>+C46/LOOKUP(C23,$D$14:$N$14,$D$17:$N$17)*(1+LOOKUP(C23,$D$14:$N$14,$D$16:$N$16))^0.5</f>
        <v>-8.5089729614380776</v>
      </c>
      <c r="M46" s="80">
        <f>+D46/H$17*(1+H$16)^0.5</f>
        <v>-13.657138846849488</v>
      </c>
      <c r="N46" s="138">
        <f>+E46/I$17*(1+I$16)^0.5</f>
        <v>-1.3590585758595799</v>
      </c>
      <c r="O46" s="81">
        <f t="shared" ref="O46:Q47" si="15">F46/J$17*(1+J$16)^0.5</f>
        <v>-16.242996401872922</v>
      </c>
      <c r="P46" s="81">
        <f t="shared" si="15"/>
        <v>-7.9602629854169038</v>
      </c>
      <c r="Q46" s="81">
        <f t="shared" si="15"/>
        <v>-7.8124705735219058</v>
      </c>
      <c r="R46" s="80">
        <f t="shared" ref="R46" si="16">I46/M$17*(1+M$16)^0.5</f>
        <v>-7.7095971973081632</v>
      </c>
      <c r="S46" s="82"/>
      <c r="Z46" s="4"/>
      <c r="AA46" s="4"/>
      <c r="AB46" s="195"/>
      <c r="AC46" s="195"/>
      <c r="AD46" s="195"/>
      <c r="AE46" s="195"/>
    </row>
    <row r="47" spans="1:31" ht="14.5">
      <c r="B47" s="83" t="s">
        <v>56</v>
      </c>
      <c r="C47" s="200">
        <v>0</v>
      </c>
      <c r="D47" s="201">
        <v>0</v>
      </c>
      <c r="E47" s="201">
        <v>0</v>
      </c>
      <c r="F47" s="78">
        <v>-22.5197</v>
      </c>
      <c r="G47" s="78">
        <v>0</v>
      </c>
      <c r="H47" s="78">
        <v>-20.337389999999999</v>
      </c>
      <c r="I47" s="78">
        <v>0</v>
      </c>
      <c r="J47" s="71"/>
      <c r="K47" s="223"/>
      <c r="L47" s="79">
        <f>+C47/LOOKUP(C23,$D$14:$N$14,$D$17:$N$17)*(1+LOOKUP(C23,$D$14:$N$14,$D$16:$N$16))^0.5</f>
        <v>0</v>
      </c>
      <c r="M47" s="80">
        <f>+D47/H$17*(1+H$16)^0.5</f>
        <v>0</v>
      </c>
      <c r="N47" s="138">
        <f>+E47/I$17*(1+I$16)^0.5</f>
        <v>0</v>
      </c>
      <c r="O47" s="81">
        <f t="shared" si="15"/>
        <v>-26.879757888026127</v>
      </c>
      <c r="P47" s="81">
        <f t="shared" si="15"/>
        <v>0</v>
      </c>
      <c r="Q47" s="81">
        <f t="shared" si="15"/>
        <v>-21.81038318828179</v>
      </c>
      <c r="R47" s="80">
        <f t="shared" ref="O47:R52" si="17">I47/M$17*(1+M$16)^0.5</f>
        <v>0</v>
      </c>
      <c r="S47" s="82"/>
      <c r="Z47" s="4"/>
      <c r="AA47" s="4"/>
    </row>
    <row r="48" spans="1:31" ht="14.5">
      <c r="B48" s="83" t="s">
        <v>48</v>
      </c>
      <c r="C48" s="200"/>
      <c r="D48" s="201"/>
      <c r="E48" s="201"/>
      <c r="F48" s="78">
        <v>0</v>
      </c>
      <c r="G48" s="78">
        <v>0</v>
      </c>
      <c r="H48" s="78">
        <v>-0.25754960999999998</v>
      </c>
      <c r="I48" s="78">
        <v>-1.26745039</v>
      </c>
      <c r="J48" s="71"/>
      <c r="K48" s="27"/>
      <c r="L48" s="79">
        <f>+C48/LOOKUP(C23,$D$14:$N$14,$D$17:$N$17)*(1+LOOKUP(C23,$D$14:$N$14,$D$16:$N$16))^0.5</f>
        <v>0</v>
      </c>
      <c r="M48" s="80">
        <f t="shared" ref="M48:M52" si="18">+D48/H$17*(1+H$16)^0.5</f>
        <v>0</v>
      </c>
      <c r="N48" s="138">
        <f t="shared" ref="N48:N52" si="19">+E48/I$17*(1+I$16)^0.5</f>
        <v>0</v>
      </c>
      <c r="O48" s="81">
        <f>F48/J$17*(1+J$16)^0.5</f>
        <v>0</v>
      </c>
      <c r="P48" s="81">
        <f>G48/K$17*(1+K$16)^0.5</f>
        <v>0</v>
      </c>
      <c r="Q48" s="81">
        <f t="shared" si="17"/>
        <v>-0.27620337143028345</v>
      </c>
      <c r="R48" s="80">
        <f t="shared" si="17"/>
        <v>-1.3203218993659951</v>
      </c>
      <c r="S48" s="82"/>
      <c r="Z48" s="4"/>
      <c r="AA48" s="4"/>
    </row>
    <row r="49" spans="1:31" ht="15" customHeight="1">
      <c r="B49" s="83" t="s">
        <v>50</v>
      </c>
      <c r="C49" s="200"/>
      <c r="D49" s="201"/>
      <c r="E49" s="201"/>
      <c r="F49" s="78">
        <v>-2.5632079034999995</v>
      </c>
      <c r="G49" s="78">
        <v>-1.44162243</v>
      </c>
      <c r="H49" s="78">
        <v>-1.5990176399999998</v>
      </c>
      <c r="I49" s="78">
        <v>-4.5696429799999994</v>
      </c>
      <c r="J49" s="71"/>
      <c r="K49" s="27"/>
      <c r="L49" s="79">
        <f>+C49/LOOKUP(C23,$D$14:$N$14,$D$17:$N$17)*(1+LOOKUP(C23,$D$14:$N$14,$D$16:$N$16))^0.5</f>
        <v>0</v>
      </c>
      <c r="M49" s="80">
        <f>+D49/H$17*(1+H$16)^0.5</f>
        <v>0</v>
      </c>
      <c r="N49" s="138">
        <f>+E49/I$17*(1+I$16)^0.5</f>
        <v>0</v>
      </c>
      <c r="O49" s="81">
        <f>F49/J$17*(1+J$16)^0.5</f>
        <v>-3.0594727222278721</v>
      </c>
      <c r="P49" s="81">
        <f>G49/K$17*(1+K$16)^0.5</f>
        <v>-1.6220222204991104</v>
      </c>
      <c r="Q49" s="81">
        <f>H49/L$17*(1+L$16)^0.5</f>
        <v>-1.7148310305905536</v>
      </c>
      <c r="R49" s="80">
        <f t="shared" si="17"/>
        <v>-4.760264974771979</v>
      </c>
      <c r="S49" s="82"/>
      <c r="Z49" s="4"/>
      <c r="AA49" s="4"/>
    </row>
    <row r="50" spans="1:31" ht="15" customHeight="1">
      <c r="B50" s="83" t="s">
        <v>54</v>
      </c>
      <c r="C50" s="200">
        <v>-0.22754147999999996</v>
      </c>
      <c r="D50" s="201">
        <v>-0.22599288000000001</v>
      </c>
      <c r="E50" s="201">
        <v>0</v>
      </c>
      <c r="F50" s="78">
        <v>0</v>
      </c>
      <c r="G50" s="78">
        <v>-7.7024059999999991E-2</v>
      </c>
      <c r="H50" s="78">
        <v>-3.4041689999999999E-2</v>
      </c>
      <c r="I50" s="78">
        <v>-0.9</v>
      </c>
      <c r="J50" s="71"/>
      <c r="K50" s="224"/>
      <c r="L50" s="79">
        <f>+C50/LOOKUP(C23,$D$14:$N$14,$D$17:$N$17)*(1+LOOKUP(C23,$D$14:$N$14,$D$16:$N$16))^0.5</f>
        <v>-0.2939296960613324</v>
      </c>
      <c r="M50" s="80">
        <f t="shared" si="18"/>
        <v>-0.28291527899141333</v>
      </c>
      <c r="N50" s="138">
        <f t="shared" si="19"/>
        <v>0</v>
      </c>
      <c r="O50" s="81">
        <f t="shared" si="17"/>
        <v>0</v>
      </c>
      <c r="P50" s="81">
        <f t="shared" si="17"/>
        <v>-8.6662592252436513E-2</v>
      </c>
      <c r="Q50" s="81">
        <f t="shared" si="17"/>
        <v>-3.6507256008597978E-2</v>
      </c>
      <c r="R50" s="80">
        <f t="shared" si="17"/>
        <v>-0.93754336959050177</v>
      </c>
      <c r="S50" s="84"/>
      <c r="Z50" s="4"/>
      <c r="AA50" s="4"/>
    </row>
    <row r="51" spans="1:31" ht="15" customHeight="1">
      <c r="B51" s="83" t="s">
        <v>17</v>
      </c>
      <c r="C51" s="200">
        <v>1.9837386090981801</v>
      </c>
      <c r="D51" s="201">
        <v>-4.2738897486568446</v>
      </c>
      <c r="E51" s="201">
        <v>-2.1338097410428665</v>
      </c>
      <c r="F51" s="78">
        <v>19.156059054233204</v>
      </c>
      <c r="G51" s="77">
        <v>16.149072123534506</v>
      </c>
      <c r="H51" s="77">
        <v>2.4158049165679274</v>
      </c>
      <c r="I51" s="77">
        <v>0</v>
      </c>
      <c r="J51" s="71"/>
      <c r="K51" s="224"/>
      <c r="L51" s="79">
        <f>+C51/LOOKUP(C23,$D$14:$N$14,$D$17:$N$17)*(1+LOOKUP(C23,$D$14:$N$14,$D$16:$N$16))^0.5</f>
        <v>2.5625204091902649</v>
      </c>
      <c r="M51" s="80">
        <f t="shared" si="18"/>
        <v>-5.3503840944891374</v>
      </c>
      <c r="N51" s="138">
        <f t="shared" si="19"/>
        <v>-2.6418744986695</v>
      </c>
      <c r="O51" s="81">
        <f t="shared" si="17"/>
        <v>22.864879615026808</v>
      </c>
      <c r="P51" s="81">
        <f t="shared" si="17"/>
        <v>18.169912786953322</v>
      </c>
      <c r="Q51" s="81">
        <f t="shared" si="17"/>
        <v>2.5907764437069662</v>
      </c>
      <c r="R51" s="80">
        <f t="shared" si="17"/>
        <v>0</v>
      </c>
      <c r="S51" s="84"/>
      <c r="Z51" s="4"/>
      <c r="AA51" s="4"/>
    </row>
    <row r="52" spans="1:31" ht="15.75" customHeight="1" thickBot="1">
      <c r="B52" s="52" t="s">
        <v>12</v>
      </c>
      <c r="C52" s="190"/>
      <c r="D52" s="190"/>
      <c r="E52" s="190"/>
      <c r="F52" s="86"/>
      <c r="G52" s="85"/>
      <c r="H52" s="85"/>
      <c r="I52" s="85"/>
      <c r="J52" s="87"/>
      <c r="K52" s="224"/>
      <c r="L52" s="88">
        <f>+C52/LOOKUP(C23,$D$14:$N$14,$D$17:$N$17)*(1+LOOKUP(C23,$D$14:$N$14,$D$16:$N$16))^0.5</f>
        <v>0</v>
      </c>
      <c r="M52" s="139">
        <f t="shared" si="18"/>
        <v>0</v>
      </c>
      <c r="N52" s="139">
        <f t="shared" si="19"/>
        <v>0</v>
      </c>
      <c r="O52" s="90">
        <f t="shared" si="17"/>
        <v>0</v>
      </c>
      <c r="P52" s="90">
        <f t="shared" si="17"/>
        <v>0</v>
      </c>
      <c r="Q52" s="90">
        <f t="shared" si="17"/>
        <v>0</v>
      </c>
      <c r="R52" s="89">
        <f t="shared" si="17"/>
        <v>0</v>
      </c>
      <c r="S52" s="91"/>
      <c r="Z52" s="4"/>
      <c r="AA52" s="4"/>
    </row>
    <row r="53" spans="1:31" ht="20" customHeight="1" thickBot="1">
      <c r="B53" s="207" t="s">
        <v>18</v>
      </c>
      <c r="C53" s="204">
        <f t="shared" ref="C53:E53" si="20">SUM(C44:C52)</f>
        <v>200.74775187745422</v>
      </c>
      <c r="D53" s="204">
        <f t="shared" si="20"/>
        <v>203.39266499007675</v>
      </c>
      <c r="E53" s="204">
        <f t="shared" si="20"/>
        <v>111.28567885304284</v>
      </c>
      <c r="F53" s="204">
        <f>SUM(F44:F52)</f>
        <v>230.80483111734759</v>
      </c>
      <c r="G53" s="204">
        <f>SUM(G44:G52)</f>
        <v>231.1814968671805</v>
      </c>
      <c r="H53" s="204">
        <f>SUM(H44:H52)</f>
        <v>250.74481523756634</v>
      </c>
      <c r="I53" s="204">
        <f>SUM(I44:I52)</f>
        <v>303.71209781690129</v>
      </c>
      <c r="J53" s="187"/>
      <c r="K53" s="27"/>
      <c r="L53" s="204">
        <f>L44+SUM(L46:L52)</f>
        <v>259.31854576289089</v>
      </c>
      <c r="M53" s="204">
        <f t="shared" ref="M53:R53" si="21">M44+SUM(M46:M52)</f>
        <v>254.62259058990986</v>
      </c>
      <c r="N53" s="204">
        <f t="shared" si="21"/>
        <v>137.78304193385497</v>
      </c>
      <c r="O53" s="204">
        <f t="shared" si="21"/>
        <v>275.49114685457897</v>
      </c>
      <c r="P53" s="204">
        <f t="shared" si="21"/>
        <v>260.11077317020676</v>
      </c>
      <c r="Q53" s="204">
        <f t="shared" si="21"/>
        <v>268.90572009516666</v>
      </c>
      <c r="R53" s="204">
        <f t="shared" si="21"/>
        <v>316.38140396961973</v>
      </c>
      <c r="S53" s="204">
        <f>S38-(LOOKUP($T$53,O28:R28,O38:R38)-LOOKUP($T$53,O43:R43,O53:R53))+T54</f>
        <v>284.7362848699039</v>
      </c>
      <c r="T53" s="208" t="s">
        <v>33</v>
      </c>
      <c r="U53" s="215"/>
      <c r="V53" s="216"/>
      <c r="W53" s="216"/>
      <c r="X53" s="216"/>
      <c r="Y53" s="216"/>
      <c r="Z53" s="216"/>
      <c r="AA53" s="4"/>
    </row>
    <row r="54" spans="1:31" customFormat="1" ht="15.65" customHeight="1" thickBo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92">
        <v>4.686011577402617</v>
      </c>
      <c r="U54" s="254" t="str">
        <f>"Base year non-recurrent efficiency gain "&amp;(CONCATENATE("$m, real June 2026 "))</f>
        <v xml:space="preserve">Base year non-recurrent efficiency gain $m, real June 2026 </v>
      </c>
      <c r="V54" s="255"/>
      <c r="W54" s="255"/>
      <c r="X54" s="255"/>
      <c r="Y54" s="255"/>
      <c r="Z54" s="255"/>
      <c r="AA54" s="4"/>
    </row>
    <row r="55" spans="1:31" s="97" customFormat="1" ht="18.5" thickBot="1">
      <c r="A55" s="1"/>
      <c r="B55" s="209"/>
      <c r="C55" s="209"/>
      <c r="D55" s="209"/>
      <c r="E55" s="209"/>
      <c r="F55" s="209"/>
      <c r="G55" s="209"/>
      <c r="H55" s="210"/>
      <c r="I55" s="210"/>
      <c r="J55" s="210"/>
      <c r="K55" s="210"/>
      <c r="L55" s="93" t="s">
        <v>43</v>
      </c>
      <c r="M55" s="135"/>
      <c r="N55" s="94"/>
      <c r="O55" s="95"/>
      <c r="P55" s="94"/>
      <c r="Q55" s="94"/>
      <c r="R55" s="94"/>
      <c r="S55" s="96"/>
      <c r="T55" s="19"/>
      <c r="U55" s="4"/>
      <c r="V55" s="4"/>
      <c r="W55" s="4"/>
      <c r="X55" s="4"/>
      <c r="Y55" s="4"/>
      <c r="Z55" s="4"/>
      <c r="AA55" s="4"/>
      <c r="AB55"/>
      <c r="AC55"/>
      <c r="AD55"/>
      <c r="AE55"/>
    </row>
    <row r="56" spans="1:31" ht="15" thickBot="1">
      <c r="B56" s="209"/>
      <c r="C56" s="209"/>
      <c r="D56" s="209"/>
      <c r="E56" s="209"/>
      <c r="F56" s="209"/>
      <c r="G56" s="209"/>
      <c r="H56" s="210"/>
      <c r="I56" s="210"/>
      <c r="J56" s="210"/>
      <c r="K56" s="210"/>
      <c r="L56" s="98"/>
      <c r="M56" s="142">
        <f>(M38-M53)-(L38-L53)+C24/$I$17</f>
        <v>12.705235748426814</v>
      </c>
      <c r="N56" s="100">
        <f>(N38-N53)-(M38-M53)/2</f>
        <v>1.4969797423603666</v>
      </c>
      <c r="O56" s="99">
        <f>(O38-O53)-(2*(N38-N53)-(L38-L53))-C24/$I$17</f>
        <v>-4.9734585693405773</v>
      </c>
      <c r="P56" s="100">
        <f>(P38-P53)-(O38-O53)</f>
        <v>13.978295589849665</v>
      </c>
      <c r="Q56" s="100">
        <f>(Q38-Q53)-(P38-P53)</f>
        <v>6.9251226292470278</v>
      </c>
      <c r="R56" s="100">
        <f>(R38-R53)-(Q38-Q53)</f>
        <v>-44.040056662065695</v>
      </c>
      <c r="S56" s="101">
        <f>(S38-S53)-(R38-R53)</f>
        <v>32.428922455416057</v>
      </c>
      <c r="Z56" s="4"/>
      <c r="AA56" s="4"/>
    </row>
    <row r="57" spans="1:31" ht="23.25" customHeight="1" thickBot="1">
      <c r="B57" s="209"/>
      <c r="C57" s="209"/>
      <c r="D57" s="209"/>
      <c r="E57" s="209"/>
      <c r="F57" s="209"/>
      <c r="G57" s="209"/>
      <c r="H57" s="210"/>
      <c r="I57" s="210"/>
      <c r="J57" s="210"/>
      <c r="K57" s="210"/>
      <c r="L57" s="217"/>
      <c r="N57" s="217"/>
      <c r="O57" s="217"/>
      <c r="P57" s="217"/>
      <c r="Q57" s="217"/>
      <c r="R57" s="217"/>
      <c r="S57" s="217"/>
      <c r="Z57" s="4"/>
      <c r="AA57" s="4"/>
    </row>
    <row r="58" spans="1:31" s="97" customFormat="1" ht="18.5" thickBot="1">
      <c r="A58" s="1"/>
      <c r="B58" s="209"/>
      <c r="C58" s="209"/>
      <c r="D58" s="209"/>
      <c r="E58" s="209"/>
      <c r="F58" s="209"/>
      <c r="G58" s="209"/>
      <c r="H58" s="210"/>
      <c r="I58" s="210"/>
      <c r="J58" s="210"/>
      <c r="K58" s="210"/>
      <c r="L58" s="93" t="s">
        <v>19</v>
      </c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102"/>
      <c r="Y58" s="103"/>
      <c r="Z58" s="4"/>
      <c r="AA58" s="4"/>
      <c r="AB58"/>
      <c r="AC58"/>
    </row>
    <row r="59" spans="1:31" ht="30.25" customHeight="1">
      <c r="B59" s="209"/>
      <c r="C59" s="209"/>
      <c r="D59" s="209"/>
      <c r="E59" s="209"/>
      <c r="F59" s="209"/>
      <c r="G59" s="209"/>
      <c r="H59" s="210"/>
      <c r="I59" s="210"/>
      <c r="J59" s="210"/>
      <c r="K59" s="210"/>
      <c r="L59" s="271"/>
      <c r="M59" s="272"/>
      <c r="N59" s="273"/>
      <c r="O59" s="262" t="s">
        <v>9</v>
      </c>
      <c r="P59" s="262"/>
      <c r="Q59" s="262"/>
      <c r="R59" s="262"/>
      <c r="S59" s="263"/>
      <c r="T59" s="264" t="s">
        <v>20</v>
      </c>
      <c r="U59" s="265"/>
      <c r="V59" s="265"/>
      <c r="W59" s="265"/>
      <c r="X59" s="265"/>
      <c r="Y59" s="104"/>
      <c r="Z59" s="4"/>
      <c r="AA59" s="4"/>
    </row>
    <row r="60" spans="1:31" ht="14.5">
      <c r="B60" s="209"/>
      <c r="C60" s="209"/>
      <c r="D60" s="209"/>
      <c r="E60" s="209"/>
      <c r="F60" s="209"/>
      <c r="G60" s="209"/>
      <c r="H60" s="210"/>
      <c r="I60" s="210"/>
      <c r="J60" s="210"/>
      <c r="K60" s="210"/>
      <c r="L60" s="274"/>
      <c r="M60" s="275"/>
      <c r="N60" s="276"/>
      <c r="O60" s="266" t="s">
        <v>40</v>
      </c>
      <c r="P60" s="266"/>
      <c r="Q60" s="266"/>
      <c r="R60" s="266"/>
      <c r="S60" s="266"/>
      <c r="T60" s="266"/>
      <c r="U60" s="266"/>
      <c r="V60" s="266"/>
      <c r="W60" s="266"/>
      <c r="X60" s="266"/>
      <c r="Y60" s="267"/>
      <c r="Z60" s="4"/>
      <c r="AA60" s="4"/>
    </row>
    <row r="61" spans="1:31" ht="15" thickBot="1">
      <c r="B61" s="209"/>
      <c r="C61" s="209"/>
      <c r="D61" s="209"/>
      <c r="E61" s="209"/>
      <c r="F61" s="209"/>
      <c r="G61" s="209"/>
      <c r="H61" s="210"/>
      <c r="I61" s="210"/>
      <c r="J61" s="210"/>
      <c r="K61" s="210"/>
      <c r="L61" s="277"/>
      <c r="M61" s="278"/>
      <c r="N61" s="279"/>
      <c r="O61" s="192" t="s">
        <v>32</v>
      </c>
      <c r="P61" s="105" t="s">
        <v>33</v>
      </c>
      <c r="Q61" s="105" t="s">
        <v>29</v>
      </c>
      <c r="R61" s="105" t="s">
        <v>34</v>
      </c>
      <c r="S61" s="105" t="s">
        <v>35</v>
      </c>
      <c r="T61" s="106" t="s">
        <v>60</v>
      </c>
      <c r="U61" s="106" t="s">
        <v>36</v>
      </c>
      <c r="V61" s="106" t="s">
        <v>37</v>
      </c>
      <c r="W61" s="106" t="s">
        <v>38</v>
      </c>
      <c r="X61" s="106" t="s">
        <v>39</v>
      </c>
      <c r="Y61" s="107" t="s">
        <v>21</v>
      </c>
      <c r="Z61" s="4"/>
      <c r="AA61" s="4"/>
    </row>
    <row r="62" spans="1:31" ht="15" thickBot="1">
      <c r="B62" s="209"/>
      <c r="C62" s="209"/>
      <c r="D62" s="209"/>
      <c r="E62" s="209"/>
      <c r="F62" s="209"/>
      <c r="G62" s="209"/>
      <c r="H62" s="210"/>
      <c r="I62" s="210"/>
      <c r="J62" s="210"/>
      <c r="K62" s="210"/>
      <c r="L62" s="268" t="s">
        <v>27</v>
      </c>
      <c r="M62" s="269"/>
      <c r="N62" s="270"/>
      <c r="O62" s="193"/>
      <c r="P62" s="113"/>
      <c r="Q62" s="113"/>
      <c r="R62" s="113"/>
      <c r="S62" s="144">
        <f>-M56/2</f>
        <v>-6.352617874213407</v>
      </c>
      <c r="T62" s="113"/>
      <c r="U62" s="113"/>
      <c r="V62" s="113"/>
      <c r="W62" s="113"/>
      <c r="X62" s="113"/>
      <c r="Y62" s="143"/>
      <c r="Z62" s="4"/>
      <c r="AA62" s="4"/>
    </row>
    <row r="63" spans="1:31" ht="15" thickBot="1">
      <c r="B63" s="209"/>
      <c r="C63" s="209"/>
      <c r="D63" s="209"/>
      <c r="E63" s="209"/>
      <c r="F63" s="209"/>
      <c r="G63" s="209"/>
      <c r="H63" s="210"/>
      <c r="I63" s="210"/>
      <c r="J63" s="210"/>
      <c r="K63" s="210"/>
      <c r="L63" s="256" t="s">
        <v>28</v>
      </c>
      <c r="M63" s="257"/>
      <c r="N63" s="258"/>
      <c r="O63" s="194"/>
      <c r="P63" s="108"/>
      <c r="Q63" s="145"/>
      <c r="R63" s="145"/>
      <c r="S63" s="145"/>
      <c r="T63" s="146">
        <f>N56</f>
        <v>1.4969797423603666</v>
      </c>
      <c r="U63" s="113"/>
      <c r="V63" s="113"/>
      <c r="W63" s="113"/>
      <c r="X63" s="113"/>
      <c r="Y63" s="143"/>
      <c r="Z63" s="4"/>
      <c r="AA63" s="4"/>
    </row>
    <row r="64" spans="1:31" ht="15" thickBot="1">
      <c r="B64" s="209"/>
      <c r="C64" s="209"/>
      <c r="D64" s="209"/>
      <c r="E64" s="209"/>
      <c r="F64" s="209"/>
      <c r="G64" s="209"/>
      <c r="H64" s="210"/>
      <c r="I64" s="210"/>
      <c r="J64" s="210"/>
      <c r="K64" s="210"/>
      <c r="L64" s="256" t="s">
        <v>32</v>
      </c>
      <c r="M64" s="257"/>
      <c r="N64" s="258"/>
      <c r="O64" s="108"/>
      <c r="P64" s="109">
        <f>$O$56</f>
        <v>-4.9734585693405773</v>
      </c>
      <c r="Q64" s="110">
        <f>$O$56</f>
        <v>-4.9734585693405773</v>
      </c>
      <c r="R64" s="111">
        <f>$O$56</f>
        <v>-4.9734585693405773</v>
      </c>
      <c r="S64" s="110">
        <f>$O$56</f>
        <v>-4.9734585693405773</v>
      </c>
      <c r="T64" s="147">
        <f>$O$56</f>
        <v>-4.9734585693405773</v>
      </c>
      <c r="U64" s="120"/>
      <c r="V64" s="113"/>
      <c r="W64" s="113"/>
      <c r="X64" s="113"/>
      <c r="Y64" s="114"/>
      <c r="Z64" s="4"/>
      <c r="AA64" s="4"/>
      <c r="AD64" s="4"/>
      <c r="AE64" s="4"/>
    </row>
    <row r="65" spans="2:31" ht="15" thickBot="1">
      <c r="B65" s="209"/>
      <c r="C65" s="209"/>
      <c r="D65" s="209"/>
      <c r="E65" s="209"/>
      <c r="F65" s="209"/>
      <c r="G65" s="209"/>
      <c r="H65" s="210"/>
      <c r="I65" s="210"/>
      <c r="J65" s="210"/>
      <c r="K65" s="210"/>
      <c r="L65" s="256" t="s">
        <v>33</v>
      </c>
      <c r="M65" s="257"/>
      <c r="N65" s="258"/>
      <c r="O65" s="108"/>
      <c r="P65" s="108"/>
      <c r="Q65" s="115">
        <f>$P$56</f>
        <v>13.978295589849665</v>
      </c>
      <c r="R65" s="116">
        <f>$P$56</f>
        <v>13.978295589849665</v>
      </c>
      <c r="S65" s="117">
        <f>$P$56</f>
        <v>13.978295589849665</v>
      </c>
      <c r="T65" s="116">
        <f>$P$56</f>
        <v>13.978295589849665</v>
      </c>
      <c r="U65" s="112">
        <f>$P$56</f>
        <v>13.978295589849665</v>
      </c>
      <c r="V65" s="113"/>
      <c r="W65" s="113"/>
      <c r="X65" s="113"/>
      <c r="Y65" s="114"/>
      <c r="Z65" s="4"/>
      <c r="AA65" s="4"/>
      <c r="AD65" s="4"/>
      <c r="AE65" s="4"/>
    </row>
    <row r="66" spans="2:31" ht="15" thickBot="1">
      <c r="B66" s="209"/>
      <c r="C66" s="209"/>
      <c r="D66" s="209"/>
      <c r="E66" s="209"/>
      <c r="F66" s="209"/>
      <c r="G66" s="209"/>
      <c r="H66" s="210"/>
      <c r="I66" s="210"/>
      <c r="J66" s="210"/>
      <c r="K66" s="210"/>
      <c r="L66" s="256" t="s">
        <v>29</v>
      </c>
      <c r="M66" s="257"/>
      <c r="N66" s="258"/>
      <c r="O66" s="113"/>
      <c r="P66" s="113"/>
      <c r="Q66" s="108"/>
      <c r="R66" s="118">
        <f>$Q$56</f>
        <v>6.9251226292470278</v>
      </c>
      <c r="S66" s="117">
        <f>$Q$56</f>
        <v>6.9251226292470278</v>
      </c>
      <c r="T66" s="116">
        <f>$Q$56</f>
        <v>6.9251226292470278</v>
      </c>
      <c r="U66" s="117">
        <f>$Q$56</f>
        <v>6.9251226292470278</v>
      </c>
      <c r="V66" s="119">
        <f>$Q$56</f>
        <v>6.9251226292470278</v>
      </c>
      <c r="W66" s="120"/>
      <c r="X66" s="113"/>
      <c r="Y66" s="114"/>
      <c r="Z66" s="4"/>
      <c r="AA66" s="4"/>
      <c r="AD66" s="4"/>
      <c r="AE66" s="4"/>
    </row>
    <row r="67" spans="2:31" ht="15" thickBot="1">
      <c r="B67" s="209"/>
      <c r="C67" s="209"/>
      <c r="D67" s="209"/>
      <c r="E67" s="209"/>
      <c r="F67" s="209"/>
      <c r="G67" s="209"/>
      <c r="H67" s="210"/>
      <c r="I67" s="210"/>
      <c r="J67" s="210"/>
      <c r="K67" s="210"/>
      <c r="L67" s="256" t="s">
        <v>34</v>
      </c>
      <c r="M67" s="257"/>
      <c r="N67" s="258"/>
      <c r="O67" s="113"/>
      <c r="P67" s="113"/>
      <c r="Q67" s="113"/>
      <c r="R67" s="108"/>
      <c r="S67" s="115">
        <f>$R$56</f>
        <v>-44.040056662065695</v>
      </c>
      <c r="T67" s="117">
        <f>$R$56</f>
        <v>-44.040056662065695</v>
      </c>
      <c r="U67" s="121">
        <f>$R$56</f>
        <v>-44.040056662065695</v>
      </c>
      <c r="V67" s="116">
        <f>$R$56</f>
        <v>-44.040056662065695</v>
      </c>
      <c r="W67" s="122">
        <f>$R$56</f>
        <v>-44.040056662065695</v>
      </c>
      <c r="X67" s="120"/>
      <c r="Y67" s="114"/>
      <c r="Z67" s="4"/>
      <c r="AA67" s="4"/>
      <c r="AD67" s="4"/>
      <c r="AE67" s="4"/>
    </row>
    <row r="68" spans="2:31" ht="15" thickBot="1">
      <c r="B68" s="209"/>
      <c r="C68" s="209"/>
      <c r="D68" s="209"/>
      <c r="E68" s="209"/>
      <c r="F68" s="209"/>
      <c r="G68" s="209"/>
      <c r="H68" s="210"/>
      <c r="I68" s="210"/>
      <c r="J68" s="210"/>
      <c r="K68" s="210"/>
      <c r="L68" s="259" t="s">
        <v>35</v>
      </c>
      <c r="M68" s="260"/>
      <c r="N68" s="261"/>
      <c r="O68" s="152"/>
      <c r="P68" s="152"/>
      <c r="Q68" s="113"/>
      <c r="R68" s="152"/>
      <c r="S68" s="108"/>
      <c r="T68" s="123">
        <f>+$S$56</f>
        <v>32.428922455416057</v>
      </c>
      <c r="U68" s="121">
        <f>+$S$56</f>
        <v>32.428922455416057</v>
      </c>
      <c r="V68" s="124">
        <f>+$S$56</f>
        <v>32.428922455416057</v>
      </c>
      <c r="W68" s="125">
        <f>+$S$56</f>
        <v>32.428922455416057</v>
      </c>
      <c r="X68" s="126">
        <f>+$S$56</f>
        <v>32.428922455416057</v>
      </c>
      <c r="Y68" s="114"/>
      <c r="Z68" s="4"/>
      <c r="AA68" s="4"/>
      <c r="AD68" s="4"/>
      <c r="AE68" s="4"/>
    </row>
    <row r="69" spans="2:31" ht="15" thickBot="1">
      <c r="B69" s="209"/>
      <c r="C69" s="209"/>
      <c r="D69" s="209"/>
      <c r="E69" s="209"/>
      <c r="F69" s="209"/>
      <c r="G69" s="209"/>
      <c r="H69" s="210"/>
      <c r="I69" s="210"/>
      <c r="J69" s="210"/>
      <c r="K69" s="210"/>
      <c r="L69" s="127" t="s">
        <v>45</v>
      </c>
      <c r="M69" s="128"/>
      <c r="N69" s="128"/>
      <c r="O69" s="129"/>
      <c r="P69" s="129"/>
      <c r="Q69" s="129"/>
      <c r="R69" s="129"/>
      <c r="S69" s="140">
        <f>S62</f>
        <v>-6.352617874213407</v>
      </c>
      <c r="T69" s="140">
        <f>+SUM(T63:T68)</f>
        <v>5.8158051854668429</v>
      </c>
      <c r="U69" s="140">
        <f>+SUM(U65:U68)</f>
        <v>9.2922840124470554</v>
      </c>
      <c r="V69" s="140">
        <f>+SUM(V66:V68)</f>
        <v>-4.6860115774026099</v>
      </c>
      <c r="W69" s="140">
        <f>+SUM(W67:W68)</f>
        <v>-11.611134206649638</v>
      </c>
      <c r="X69" s="140">
        <f>+SUM(X68)</f>
        <v>32.428922455416057</v>
      </c>
      <c r="Y69" s="141">
        <f>+SUM(T69:X69)</f>
        <v>31.239865869277708</v>
      </c>
      <c r="Z69" s="4"/>
      <c r="AA69" s="4"/>
      <c r="AE69" s="4"/>
    </row>
    <row r="70" spans="2:31" ht="18.5" thickBot="1">
      <c r="B70" s="209"/>
      <c r="C70" s="209"/>
      <c r="D70" s="209"/>
      <c r="E70" s="209"/>
      <c r="F70" s="209"/>
      <c r="G70" s="209"/>
      <c r="H70" s="210"/>
      <c r="I70" s="210"/>
      <c r="J70" s="210"/>
      <c r="K70" s="211"/>
      <c r="L70" s="211"/>
      <c r="M70" s="211"/>
      <c r="N70" s="211"/>
      <c r="O70" s="211"/>
      <c r="P70" s="211"/>
      <c r="Q70" s="211"/>
      <c r="R70" s="211"/>
      <c r="S70" s="211"/>
      <c r="T70" s="130"/>
      <c r="U70" s="130"/>
      <c r="V70" s="130"/>
      <c r="W70" s="130"/>
      <c r="X70" s="130"/>
      <c r="Z70" s="4"/>
      <c r="AA70" s="4"/>
      <c r="AE70" s="4"/>
    </row>
    <row r="71" spans="2:31" ht="18.5" thickBot="1">
      <c r="B71" s="209"/>
      <c r="C71" s="209"/>
      <c r="D71" s="209"/>
      <c r="E71" s="209"/>
      <c r="F71" s="209"/>
      <c r="G71" s="209"/>
      <c r="H71" s="210"/>
      <c r="I71" s="210"/>
      <c r="J71" s="210"/>
      <c r="K71" s="211"/>
      <c r="L71" s="131" t="s">
        <v>26</v>
      </c>
      <c r="M71" s="132"/>
      <c r="N71" s="133"/>
      <c r="O71" s="148"/>
      <c r="P71" s="149"/>
      <c r="Q71" s="149"/>
      <c r="R71" s="150"/>
      <c r="S71" s="153">
        <v>2.8237653085749589E-2</v>
      </c>
      <c r="T71" s="153">
        <v>3.4245195880784562E-2</v>
      </c>
      <c r="U71" s="149"/>
      <c r="V71" s="149"/>
      <c r="W71" s="149"/>
      <c r="X71" s="149"/>
      <c r="Y71" s="151"/>
      <c r="Z71" s="4"/>
      <c r="AA71" s="4"/>
      <c r="AE71" s="4"/>
    </row>
    <row r="72" spans="2:31" ht="18.5" thickBot="1">
      <c r="B72" s="209"/>
      <c r="C72" s="209"/>
      <c r="D72" s="209"/>
      <c r="E72" s="209"/>
      <c r="F72" s="209"/>
      <c r="G72" s="209"/>
      <c r="H72" s="210"/>
      <c r="I72" s="210"/>
      <c r="J72" s="210"/>
      <c r="K72" s="211"/>
      <c r="L72" s="211"/>
      <c r="M72" s="211"/>
      <c r="N72" s="211"/>
      <c r="O72" s="211"/>
      <c r="P72" s="211"/>
      <c r="Q72" s="211"/>
      <c r="R72" s="211"/>
      <c r="S72" s="211"/>
      <c r="T72" s="130"/>
      <c r="U72" s="130"/>
      <c r="V72" s="130"/>
      <c r="W72" s="130"/>
      <c r="X72" s="130"/>
      <c r="Z72" s="4"/>
      <c r="AA72" s="4"/>
      <c r="AE72" s="4"/>
    </row>
    <row r="73" spans="2:31" ht="15" thickBot="1"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131" t="s">
        <v>44</v>
      </c>
      <c r="M73" s="132"/>
      <c r="N73" s="132"/>
      <c r="O73" s="133"/>
      <c r="P73" s="133"/>
      <c r="Q73" s="133"/>
      <c r="R73" s="133"/>
      <c r="S73" s="133"/>
      <c r="T73" s="140">
        <f>T69+S69*(1+S71)^(6/12)*(1+T71)^(6/12)</f>
        <v>-0.73524972978992498</v>
      </c>
      <c r="U73" s="140">
        <f>U69</f>
        <v>9.2922840124470554</v>
      </c>
      <c r="V73" s="140">
        <f>V69</f>
        <v>-4.6860115774026099</v>
      </c>
      <c r="W73" s="140">
        <f>W69</f>
        <v>-11.611134206649638</v>
      </c>
      <c r="X73" s="140">
        <f>X69</f>
        <v>32.428922455416057</v>
      </c>
      <c r="Y73" s="141">
        <f>+SUM(T73:X73)</f>
        <v>24.688810954020941</v>
      </c>
      <c r="Z73" s="4"/>
      <c r="AA73" s="4"/>
      <c r="AE73" s="4"/>
    </row>
    <row r="74" spans="2:31" ht="14.5">
      <c r="J74" s="212"/>
      <c r="K74" s="212"/>
      <c r="L74" s="212"/>
      <c r="M74" s="212"/>
      <c r="N74" s="213"/>
      <c r="O74" s="212"/>
      <c r="P74" s="212"/>
      <c r="Q74" s="212"/>
      <c r="R74" s="213"/>
      <c r="S74" s="213"/>
      <c r="T74" s="213"/>
      <c r="U74" s="214"/>
      <c r="V74" s="214"/>
      <c r="Z74" s="4"/>
      <c r="AA74" s="4"/>
    </row>
    <row r="75" spans="2:31" ht="14.5">
      <c r="Z75" s="4"/>
      <c r="AA75" s="4"/>
    </row>
    <row r="76" spans="2:31" ht="14.5">
      <c r="Z76" s="4"/>
      <c r="AA76" s="4"/>
    </row>
    <row r="77" spans="2:31" ht="14.5">
      <c r="Z77" s="4"/>
      <c r="AA77" s="4"/>
    </row>
    <row r="78" spans="2:31" ht="14.5">
      <c r="Z78" s="4"/>
      <c r="AA78" s="4"/>
    </row>
  </sheetData>
  <sheetProtection formatColumns="0"/>
  <mergeCells count="26">
    <mergeCell ref="O59:S59"/>
    <mergeCell ref="T59:X59"/>
    <mergeCell ref="O60:Y60"/>
    <mergeCell ref="L63:N63"/>
    <mergeCell ref="L62:N62"/>
    <mergeCell ref="L59:N61"/>
    <mergeCell ref="L64:N64"/>
    <mergeCell ref="L65:N65"/>
    <mergeCell ref="L66:N66"/>
    <mergeCell ref="L67:N67"/>
    <mergeCell ref="L68:N68"/>
    <mergeCell ref="C41:J41"/>
    <mergeCell ref="F42:J42"/>
    <mergeCell ref="C42:E42"/>
    <mergeCell ref="U54:Z54"/>
    <mergeCell ref="O42:S42"/>
    <mergeCell ref="L41:S41"/>
    <mergeCell ref="L42:N42"/>
    <mergeCell ref="B8:N8"/>
    <mergeCell ref="C26:D26"/>
    <mergeCell ref="F26:J26"/>
    <mergeCell ref="F27:J27"/>
    <mergeCell ref="L26:S26"/>
    <mergeCell ref="L27:N27"/>
    <mergeCell ref="O27:S27"/>
    <mergeCell ref="C27:E27"/>
  </mergeCells>
  <conditionalFormatting sqref="C46:I52">
    <cfRule type="expression" dxfId="7" priority="1">
      <formula>dms_TradingName = "Endeavour Energy"</formula>
    </cfRule>
    <cfRule type="expression" dxfId="6" priority="2">
      <formula>dms_TradingName = "TasNetworks (T)"</formula>
    </cfRule>
  </conditionalFormatting>
  <conditionalFormatting sqref="C29:J29">
    <cfRule type="expression" dxfId="5" priority="5">
      <formula>dms_TradingName = "Endeavour Energy"</formula>
    </cfRule>
    <cfRule type="expression" dxfId="4" priority="6">
      <formula>dms_TradingName = "TasNetworks (T)"</formula>
    </cfRule>
  </conditionalFormatting>
  <conditionalFormatting sqref="C31:J37 C44:I44">
    <cfRule type="expression" dxfId="3" priority="7">
      <formula>dms_TradingName = "Endeavour Energy"</formula>
    </cfRule>
    <cfRule type="expression" dxfId="2" priority="8">
      <formula>dms_TradingName = "TasNetworks (T)"</formula>
    </cfRule>
  </conditionalFormatting>
  <conditionalFormatting sqref="S71:T71">
    <cfRule type="expression" dxfId="1" priority="3">
      <formula>dms_TradingName = "Endeavour Energy"</formula>
    </cfRule>
    <cfRule type="expression" dxfId="0" priority="4">
      <formula>dms_TradingName = "TasNetworks (T)"</formula>
    </cfRule>
  </conditionalFormatting>
  <dataValidations count="3">
    <dataValidation type="list" allowBlank="1" showInputMessage="1" showErrorMessage="1" sqref="T53" xr:uid="{A50B6EFE-13DC-4C86-AEBA-1A3467A97E38}">
      <formula1>$O$43:$R$43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C29:J29" xr:uid="{D3657B13-850F-4079-846F-18C2E24856E3}">
      <formula1>ISNUMBER(C29)</formula1>
    </dataValidation>
    <dataValidation type="list" allowBlank="1" showInputMessage="1" showErrorMessage="1" sqref="C23" xr:uid="{8E409B76-E854-4800-B34A-E30059B0B8A1}">
      <formula1>$D$14:$H$14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 alt est.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2025-09-24T08:11:27Z</dcterms:created>
  <dcterms:modified xsi:type="dcterms:W3CDTF">2025-09-24T08:11:35Z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