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05AF90B0-58D4-4497-A314-B1216EDEAA4F}" xr6:coauthVersionLast="47" xr6:coauthVersionMax="47" xr10:uidLastSave="{00000000-0000-0000-0000-000000000000}"/>
  <bookViews>
    <workbookView xWindow="28680" yWindow="-120" windowWidth="29040" windowHeight="15840" tabRatio="873" xr2:uid="{E6CD642D-BC2D-47D3-B6AF-E23152C43DE5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59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9" l="1"/>
  <c r="D22" i="59"/>
  <c r="D21" i="59"/>
  <c r="D20" i="59"/>
  <c r="D19" i="59"/>
  <c r="D18" i="59"/>
  <c r="D17" i="59"/>
  <c r="D16" i="59"/>
  <c r="D15" i="59"/>
  <c r="D14" i="59"/>
  <c r="D13" i="59"/>
  <c r="D12" i="59"/>
  <c r="D11" i="59"/>
  <c r="B1" i="59"/>
  <c r="P87" i="42"/>
  <c r="Q87" i="42"/>
  <c r="R87" i="42"/>
  <c r="S87" i="42"/>
  <c r="O87" i="42"/>
  <c r="E86" i="42"/>
  <c r="C86" i="42"/>
  <c r="E22" i="53"/>
  <c r="H78" i="55" l="1"/>
  <c r="H81" i="55"/>
  <c r="H69" i="55"/>
  <c r="H70" i="55"/>
  <c r="H71" i="55"/>
  <c r="H72" i="55"/>
  <c r="H73" i="55"/>
  <c r="H74" i="55"/>
  <c r="H75" i="55"/>
  <c r="H76" i="55"/>
  <c r="H77" i="55"/>
  <c r="H79" i="55"/>
  <c r="H80" i="55"/>
  <c r="K15" i="58"/>
  <c r="L15" i="58"/>
  <c r="M15" i="58"/>
  <c r="N15" i="58"/>
  <c r="C78" i="42"/>
  <c r="C79" i="42"/>
  <c r="C80" i="42"/>
  <c r="C81" i="42"/>
  <c r="C82" i="42"/>
  <c r="C83" i="42"/>
  <c r="C84" i="42"/>
  <c r="C85" i="42"/>
  <c r="C88" i="42"/>
  <c r="E14" i="53"/>
  <c r="E79" i="42"/>
  <c r="E78" i="42"/>
  <c r="E13" i="53"/>
  <c r="U77" i="2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V10" i="55"/>
  <c r="V12" i="55"/>
  <c r="V14" i="55"/>
  <c r="V15" i="55"/>
  <c r="V17" i="55"/>
  <c r="V18" i="55"/>
  <c r="V20" i="55"/>
  <c r="V21" i="55"/>
  <c r="V22" i="55"/>
  <c r="V23" i="55"/>
  <c r="V25" i="55"/>
  <c r="V26" i="55"/>
  <c r="V27" i="55"/>
  <c r="V28" i="55"/>
  <c r="V29" i="55"/>
  <c r="E13" i="55"/>
  <c r="V87" i="55"/>
  <c r="V88" i="55"/>
  <c r="W35" i="53"/>
  <c r="W34" i="53"/>
  <c r="W33" i="53"/>
  <c r="V66" i="58"/>
  <c r="V67" i="58"/>
  <c r="V45" i="58"/>
  <c r="V44" i="58"/>
  <c r="V26" i="58"/>
  <c r="V27" i="58"/>
  <c r="B2" i="55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T115" i="2"/>
  <c r="S67" i="42" s="1"/>
  <c r="S115" i="2"/>
  <c r="R67" i="42" s="1"/>
  <c r="R115" i="2"/>
  <c r="Q67" i="42" s="1"/>
  <c r="Q115" i="2"/>
  <c r="P67" i="42" s="1"/>
  <c r="C7" i="4"/>
  <c r="S15" i="54"/>
  <c r="F43" i="53"/>
  <c r="E35" i="53"/>
  <c r="E34" i="53"/>
  <c r="E33" i="53"/>
  <c r="E32" i="53"/>
  <c r="E31" i="53"/>
  <c r="F35" i="53"/>
  <c r="F34" i="53"/>
  <c r="F33" i="53"/>
  <c r="F31" i="53"/>
  <c r="E23" i="53"/>
  <c r="E21" i="53"/>
  <c r="E20" i="53"/>
  <c r="E19" i="53"/>
  <c r="E18" i="53"/>
  <c r="E17" i="53"/>
  <c r="E16" i="53"/>
  <c r="E15" i="53"/>
  <c r="E12" i="53"/>
  <c r="F13" i="58"/>
  <c r="F24" i="58" s="1"/>
  <c r="F69" i="58"/>
  <c r="F28" i="42" s="1"/>
  <c r="F67" i="58"/>
  <c r="F49" i="42" s="1"/>
  <c r="F66" i="58"/>
  <c r="F46" i="42" s="1"/>
  <c r="F43" i="42"/>
  <c r="F40" i="42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E14" i="42" s="1"/>
  <c r="J4" i="42"/>
  <c r="J49" i="42" s="1"/>
  <c r="K4" i="42"/>
  <c r="K106" i="42" s="1"/>
  <c r="L4" i="42"/>
  <c r="L106" i="42" s="1"/>
  <c r="M4" i="42"/>
  <c r="N4" i="42"/>
  <c r="N106" i="42" s="1"/>
  <c r="O4" i="42"/>
  <c r="O106" i="42" s="1"/>
  <c r="P4" i="42"/>
  <c r="P58" i="42" s="1"/>
  <c r="Q4" i="42"/>
  <c r="Q106" i="42" s="1"/>
  <c r="R4" i="42"/>
  <c r="R106" i="42" s="1"/>
  <c r="S4" i="42"/>
  <c r="S106" i="42" s="1"/>
  <c r="T4" i="42"/>
  <c r="T94" i="42" s="1"/>
  <c r="J4" i="58"/>
  <c r="J10" i="58" s="1"/>
  <c r="F8" i="42"/>
  <c r="E18" i="44"/>
  <c r="C18" i="44"/>
  <c r="C99" i="42"/>
  <c r="E99" i="42"/>
  <c r="C100" i="42"/>
  <c r="E100" i="42"/>
  <c r="E16" i="44"/>
  <c r="C15" i="44"/>
  <c r="C16" i="44"/>
  <c r="C17" i="44"/>
  <c r="C98" i="42"/>
  <c r="C97" i="42"/>
  <c r="T4" i="44"/>
  <c r="T11" i="44" s="1"/>
  <c r="T64" i="42"/>
  <c r="U79" i="2"/>
  <c r="U80" i="2"/>
  <c r="U4" i="2"/>
  <c r="U104" i="2" s="1"/>
  <c r="U106" i="2" s="1"/>
  <c r="H78" i="4"/>
  <c r="G78" i="4" s="1"/>
  <c r="T4" i="53"/>
  <c r="T41" i="53" s="1"/>
  <c r="T45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O47" i="58"/>
  <c r="P47" i="58"/>
  <c r="Q47" i="58"/>
  <c r="R47" i="58"/>
  <c r="S47" i="58"/>
  <c r="C102" i="2"/>
  <c r="C101" i="2"/>
  <c r="C100" i="2"/>
  <c r="C99" i="2"/>
  <c r="C98" i="2"/>
  <c r="C97" i="2"/>
  <c r="F19" i="42"/>
  <c r="F8" i="44"/>
  <c r="F18" i="44" s="1"/>
  <c r="E24" i="42"/>
  <c r="E22" i="42"/>
  <c r="E20" i="42"/>
  <c r="O29" i="58"/>
  <c r="P29" i="58"/>
  <c r="Q29" i="58"/>
  <c r="R29" i="58"/>
  <c r="S29" i="58"/>
  <c r="D15" i="58"/>
  <c r="O15" i="58"/>
  <c r="P15" i="58"/>
  <c r="Q15" i="58"/>
  <c r="R15" i="58"/>
  <c r="S15" i="58"/>
  <c r="J15" i="58"/>
  <c r="E29" i="42"/>
  <c r="C29" i="42"/>
  <c r="E35" i="42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N18" i="44" s="1"/>
  <c r="M4" i="44"/>
  <c r="M11" i="44" s="1"/>
  <c r="L4" i="44"/>
  <c r="L11" i="44" s="1"/>
  <c r="L15" i="44" s="1"/>
  <c r="K4" i="44"/>
  <c r="K11" i="44" s="1"/>
  <c r="J4" i="44"/>
  <c r="J11" i="44" s="1"/>
  <c r="J18" i="44" s="1"/>
  <c r="S4" i="53"/>
  <c r="S10" i="53" s="1"/>
  <c r="R4" i="53"/>
  <c r="Q4" i="53"/>
  <c r="Q41" i="53" s="1"/>
  <c r="P4" i="53"/>
  <c r="P41" i="53" s="1"/>
  <c r="O4" i="53"/>
  <c r="O41" i="53" s="1"/>
  <c r="N4" i="53"/>
  <c r="N10" i="53" s="1"/>
  <c r="N25" i="53" s="1"/>
  <c r="M4" i="53"/>
  <c r="M41" i="53" s="1"/>
  <c r="M45" i="53" s="1"/>
  <c r="L4" i="53"/>
  <c r="L29" i="53" s="1"/>
  <c r="L37" i="53" s="1"/>
  <c r="K4" i="53"/>
  <c r="K41" i="53" s="1"/>
  <c r="K45" i="53" s="1"/>
  <c r="J4" i="53"/>
  <c r="J41" i="53" s="1"/>
  <c r="J45" i="53" s="1"/>
  <c r="J4" i="2"/>
  <c r="J36" i="2" s="1"/>
  <c r="J47" i="2" s="1"/>
  <c r="T4" i="2"/>
  <c r="T24" i="2" s="1"/>
  <c r="S4" i="2"/>
  <c r="S64" i="2" s="1"/>
  <c r="R4" i="2"/>
  <c r="R49" i="2" s="1"/>
  <c r="R60" i="2" s="1"/>
  <c r="Q4" i="2"/>
  <c r="Q49" i="2" s="1"/>
  <c r="Q60" i="2" s="1"/>
  <c r="P4" i="2"/>
  <c r="P10" i="2" s="1"/>
  <c r="P12" i="2" s="1"/>
  <c r="O4" i="2"/>
  <c r="O64" i="2" s="1"/>
  <c r="N4" i="2"/>
  <c r="N64" i="2" s="1"/>
  <c r="N73" i="2" s="1"/>
  <c r="M4" i="2"/>
  <c r="M104" i="2" s="1"/>
  <c r="L4" i="2"/>
  <c r="L113" i="2" s="1"/>
  <c r="L117" i="2" s="1"/>
  <c r="K4" i="2"/>
  <c r="K10" i="2" s="1"/>
  <c r="S4" i="58"/>
  <c r="R4" i="58"/>
  <c r="R61" i="58" s="1"/>
  <c r="Q4" i="58"/>
  <c r="Q10" i="58" s="1"/>
  <c r="P4" i="58"/>
  <c r="P61" i="58" s="1"/>
  <c r="O4" i="58"/>
  <c r="O61" i="58" s="1"/>
  <c r="N4" i="58"/>
  <c r="N34" i="58" s="1"/>
  <c r="M4" i="58"/>
  <c r="M61" i="58" s="1"/>
  <c r="L4" i="58"/>
  <c r="L61" i="58" s="1"/>
  <c r="K4" i="58"/>
  <c r="K34" i="58" s="1"/>
  <c r="J78" i="2"/>
  <c r="K78" i="2"/>
  <c r="L78" i="2"/>
  <c r="M78" i="2"/>
  <c r="N78" i="2"/>
  <c r="O78" i="2"/>
  <c r="J79" i="2"/>
  <c r="K79" i="2"/>
  <c r="L79" i="2"/>
  <c r="M79" i="2"/>
  <c r="N79" i="2"/>
  <c r="O79" i="2"/>
  <c r="Q79" i="2"/>
  <c r="R79" i="2"/>
  <c r="S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S8" i="54"/>
  <c r="C49" i="42"/>
  <c r="C50" i="42" s="1"/>
  <c r="C46" i="42"/>
  <c r="C47" i="42" s="1"/>
  <c r="C43" i="42"/>
  <c r="C44" i="42" s="1"/>
  <c r="C40" i="42"/>
  <c r="C41" i="42" s="1"/>
  <c r="F37" i="42"/>
  <c r="C37" i="42"/>
  <c r="C38" i="42" s="1"/>
  <c r="F12" i="42"/>
  <c r="V75" i="2"/>
  <c r="C2" i="58"/>
  <c r="C1" i="58"/>
  <c r="E17" i="44"/>
  <c r="E15" i="44"/>
  <c r="E14" i="44"/>
  <c r="C13" i="44"/>
  <c r="C14" i="44"/>
  <c r="E108" i="42"/>
  <c r="C31" i="4"/>
  <c r="S9" i="54"/>
  <c r="E50" i="42"/>
  <c r="E47" i="42"/>
  <c r="E44" i="42"/>
  <c r="E41" i="42"/>
  <c r="E38" i="42"/>
  <c r="E90" i="42"/>
  <c r="E110" i="42"/>
  <c r="C96" i="42"/>
  <c r="E54" i="42"/>
  <c r="E52" i="42"/>
  <c r="E13" i="42"/>
  <c r="E15" i="42"/>
  <c r="E13" i="44"/>
  <c r="E109" i="42"/>
  <c r="E17" i="42"/>
  <c r="E77" i="42"/>
  <c r="E80" i="42"/>
  <c r="E81" i="42"/>
  <c r="E82" i="42"/>
  <c r="E83" i="42"/>
  <c r="E84" i="42"/>
  <c r="E85" i="42"/>
  <c r="E87" i="42"/>
  <c r="E88" i="42"/>
  <c r="E96" i="42"/>
  <c r="E97" i="42"/>
  <c r="E98" i="42"/>
  <c r="E102" i="42"/>
  <c r="E33" i="42"/>
  <c r="S11" i="54"/>
  <c r="S14" i="54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K57" i="58"/>
  <c r="S35" i="42"/>
  <c r="L19" i="42"/>
  <c r="F21" i="58"/>
  <c r="T58" i="42"/>
  <c r="T62" i="42" s="1" a="1"/>
  <c r="T62" i="42" s="1"/>
  <c r="V25" i="58"/>
  <c r="J16" i="44"/>
  <c r="L33" i="42"/>
  <c r="P9" i="59" l="1"/>
  <c r="P22" i="59"/>
  <c r="J15" i="59"/>
  <c r="J21" i="59"/>
  <c r="J14" i="59"/>
  <c r="J9" i="59"/>
  <c r="J13" i="59"/>
  <c r="J12" i="59"/>
  <c r="J11" i="59"/>
  <c r="J16" i="59"/>
  <c r="J22" i="59"/>
  <c r="J20" i="59"/>
  <c r="J19" i="59"/>
  <c r="J18" i="59"/>
  <c r="J17" i="59"/>
  <c r="S10" i="42"/>
  <c r="S94" i="42"/>
  <c r="P104" i="2"/>
  <c r="Q9" i="59"/>
  <c r="Q22" i="59"/>
  <c r="K37" i="42"/>
  <c r="S12" i="42"/>
  <c r="N22" i="59"/>
  <c r="N9" i="59"/>
  <c r="R9" i="59"/>
  <c r="R22" i="59"/>
  <c r="S16" i="42"/>
  <c r="S58" i="42"/>
  <c r="E20" i="59"/>
  <c r="E19" i="59"/>
  <c r="E18" i="59"/>
  <c r="E17" i="59"/>
  <c r="E16" i="59"/>
  <c r="E23" i="59"/>
  <c r="E15" i="59"/>
  <c r="E21" i="59"/>
  <c r="E14" i="59"/>
  <c r="E13" i="59"/>
  <c r="E12" i="59"/>
  <c r="E11" i="59"/>
  <c r="E22" i="59"/>
  <c r="M16" i="59"/>
  <c r="M22" i="59"/>
  <c r="M12" i="59"/>
  <c r="M14" i="59"/>
  <c r="M20" i="59"/>
  <c r="M19" i="59"/>
  <c r="M18" i="59"/>
  <c r="M17" i="59"/>
  <c r="M9" i="59"/>
  <c r="M15" i="59"/>
  <c r="M11" i="59"/>
  <c r="M21" i="59"/>
  <c r="M13" i="59"/>
  <c r="R14" i="2"/>
  <c r="L17" i="44"/>
  <c r="K21" i="59"/>
  <c r="K19" i="59"/>
  <c r="K13" i="59"/>
  <c r="K12" i="59"/>
  <c r="K11" i="59"/>
  <c r="K20" i="59"/>
  <c r="K16" i="59"/>
  <c r="K22" i="59"/>
  <c r="K17" i="59"/>
  <c r="K14" i="59"/>
  <c r="K18" i="59"/>
  <c r="K15" i="59"/>
  <c r="K9" i="59"/>
  <c r="J15" i="44"/>
  <c r="J14" i="44"/>
  <c r="J34" i="58"/>
  <c r="P36" i="2"/>
  <c r="P14" i="2"/>
  <c r="P113" i="2"/>
  <c r="P117" i="2" s="1"/>
  <c r="P64" i="2"/>
  <c r="P73" i="2" s="1"/>
  <c r="J13" i="44"/>
  <c r="P24" i="2"/>
  <c r="J61" i="58"/>
  <c r="J28" i="42" s="1"/>
  <c r="J110" i="42"/>
  <c r="J75" i="42"/>
  <c r="J109" i="42"/>
  <c r="J43" i="42"/>
  <c r="S40" i="2"/>
  <c r="S42" i="2" s="1"/>
  <c r="R46" i="42"/>
  <c r="J108" i="42"/>
  <c r="J21" i="42"/>
  <c r="L16" i="44"/>
  <c r="R64" i="2"/>
  <c r="J19" i="42"/>
  <c r="F13" i="42"/>
  <c r="F86" i="42"/>
  <c r="S23" i="42"/>
  <c r="K40" i="42"/>
  <c r="J10" i="42"/>
  <c r="K31" i="42"/>
  <c r="S31" i="42"/>
  <c r="L35" i="42"/>
  <c r="F38" i="42"/>
  <c r="L108" i="42"/>
  <c r="J35" i="42"/>
  <c r="N21" i="42"/>
  <c r="K108" i="42"/>
  <c r="J16" i="42"/>
  <c r="J106" i="42"/>
  <c r="R75" i="42"/>
  <c r="S21" i="42"/>
  <c r="T109" i="42"/>
  <c r="K10" i="42"/>
  <c r="J40" i="42"/>
  <c r="R12" i="42"/>
  <c r="S75" i="42"/>
  <c r="O29" i="53"/>
  <c r="K10" i="53"/>
  <c r="K25" i="53" s="1"/>
  <c r="Q45" i="53"/>
  <c r="Q61" i="58"/>
  <c r="Q28" i="42" s="1"/>
  <c r="P75" i="2"/>
  <c r="S104" i="2"/>
  <c r="F27" i="58"/>
  <c r="J31" i="42"/>
  <c r="P49" i="2"/>
  <c r="P60" i="2" s="1"/>
  <c r="F78" i="42"/>
  <c r="P31" i="42"/>
  <c r="T14" i="2"/>
  <c r="M10" i="58"/>
  <c r="M28" i="42" s="1"/>
  <c r="M34" i="58"/>
  <c r="E17" i="55"/>
  <c r="E16" i="42"/>
  <c r="T10" i="2"/>
  <c r="T12" i="2" s="1"/>
  <c r="R75" i="2"/>
  <c r="K43" i="42"/>
  <c r="S43" i="42"/>
  <c r="S14" i="42"/>
  <c r="L10" i="2"/>
  <c r="L24" i="2"/>
  <c r="T104" i="2"/>
  <c r="L14" i="44"/>
  <c r="R104" i="2"/>
  <c r="S46" i="42"/>
  <c r="S40" i="42"/>
  <c r="F26" i="58"/>
  <c r="F20" i="42"/>
  <c r="F20" i="58"/>
  <c r="F25" i="58"/>
  <c r="F23" i="58"/>
  <c r="F47" i="42"/>
  <c r="F41" i="42"/>
  <c r="V13" i="55"/>
  <c r="S29" i="53"/>
  <c r="F44" i="42"/>
  <c r="F108" i="42"/>
  <c r="O34" i="58"/>
  <c r="Q29" i="53"/>
  <c r="H84" i="55"/>
  <c r="I84" i="55" s="1"/>
  <c r="V84" i="55" s="1"/>
  <c r="F15" i="58"/>
  <c r="F14" i="42" s="1"/>
  <c r="F29" i="58"/>
  <c r="F23" i="42" s="1"/>
  <c r="F31" i="42"/>
  <c r="F17" i="42"/>
  <c r="O37" i="42"/>
  <c r="M29" i="58"/>
  <c r="P49" i="42"/>
  <c r="F50" i="42"/>
  <c r="F100" i="42"/>
  <c r="P19" i="42"/>
  <c r="L23" i="42"/>
  <c r="M109" i="42"/>
  <c r="L31" i="42"/>
  <c r="L75" i="2"/>
  <c r="M21" i="42"/>
  <c r="K33" i="42"/>
  <c r="K75" i="42"/>
  <c r="L14" i="2"/>
  <c r="L46" i="42"/>
  <c r="K49" i="42"/>
  <c r="T110" i="42"/>
  <c r="S23" i="59" s="1"/>
  <c r="M46" i="42"/>
  <c r="K46" i="42"/>
  <c r="L12" i="42"/>
  <c r="M97" i="2"/>
  <c r="K47" i="58"/>
  <c r="K12" i="42" s="1"/>
  <c r="L29" i="58"/>
  <c r="K110" i="42"/>
  <c r="M40" i="42"/>
  <c r="M14" i="42"/>
  <c r="K19" i="42"/>
  <c r="M58" i="42"/>
  <c r="M61" i="42" s="1"/>
  <c r="M70" i="42" s="1"/>
  <c r="M23" i="42"/>
  <c r="L36" i="2"/>
  <c r="L47" i="2" s="1"/>
  <c r="K109" i="42"/>
  <c r="L16" i="42"/>
  <c r="Q10" i="53"/>
  <c r="L110" i="42"/>
  <c r="T106" i="42"/>
  <c r="L40" i="42"/>
  <c r="L109" i="42"/>
  <c r="L104" i="2"/>
  <c r="L109" i="2" s="1"/>
  <c r="K58" i="42"/>
  <c r="K61" i="42" s="1"/>
  <c r="K70" i="42" s="1"/>
  <c r="L58" i="42"/>
  <c r="L62" i="42" s="1" a="1"/>
  <c r="L62" i="42" s="1"/>
  <c r="L10" i="42"/>
  <c r="M108" i="42"/>
  <c r="K16" i="42"/>
  <c r="L64" i="2"/>
  <c r="L73" i="2" s="1"/>
  <c r="K35" i="42"/>
  <c r="L21" i="42"/>
  <c r="K23" i="42"/>
  <c r="L14" i="42"/>
  <c r="L37" i="42"/>
  <c r="P10" i="58"/>
  <c r="P28" i="42" s="1"/>
  <c r="R19" i="42"/>
  <c r="R10" i="42"/>
  <c r="E18" i="55"/>
  <c r="K14" i="2"/>
  <c r="R14" i="42"/>
  <c r="S49" i="2"/>
  <c r="S60" i="2" s="1"/>
  <c r="R34" i="58"/>
  <c r="R16" i="42"/>
  <c r="T75" i="42"/>
  <c r="L18" i="44"/>
  <c r="Q10" i="2"/>
  <c r="Q12" i="2" s="1"/>
  <c r="R58" i="42"/>
  <c r="R68" i="42" s="1" a="1"/>
  <c r="R68" i="42" s="1"/>
  <c r="L13" i="44"/>
  <c r="R40" i="42"/>
  <c r="J75" i="2"/>
  <c r="R33" i="42"/>
  <c r="S41" i="53"/>
  <c r="S45" i="53" s="1"/>
  <c r="Q46" i="42"/>
  <c r="R43" i="42"/>
  <c r="T12" i="42"/>
  <c r="T13" i="42" s="1"/>
  <c r="R113" i="2"/>
  <c r="R117" i="2" s="1"/>
  <c r="T108" i="42"/>
  <c r="R24" i="2"/>
  <c r="S10" i="2"/>
  <c r="S12" i="2" s="1"/>
  <c r="R21" i="42"/>
  <c r="R23" i="42"/>
  <c r="R49" i="42"/>
  <c r="R31" i="42"/>
  <c r="S75" i="2"/>
  <c r="R35" i="42"/>
  <c r="R37" i="42"/>
  <c r="R94" i="42"/>
  <c r="O33" i="42"/>
  <c r="O46" i="42"/>
  <c r="O43" i="42"/>
  <c r="O49" i="42"/>
  <c r="O35" i="42"/>
  <c r="M37" i="42"/>
  <c r="L34" i="58"/>
  <c r="K29" i="53"/>
  <c r="K37" i="53" s="1"/>
  <c r="O19" i="42"/>
  <c r="O21" i="42"/>
  <c r="M12" i="42"/>
  <c r="L47" i="58"/>
  <c r="O10" i="58"/>
  <c r="O28" i="42" s="1"/>
  <c r="O36" i="2"/>
  <c r="O47" i="2" s="1"/>
  <c r="O113" i="2"/>
  <c r="O117" i="2" s="1"/>
  <c r="O10" i="53"/>
  <c r="N10" i="42"/>
  <c r="N19" i="42"/>
  <c r="O31" i="42"/>
  <c r="M16" i="42"/>
  <c r="T71" i="42" a="1"/>
  <c r="T71" i="42" s="1"/>
  <c r="U36" i="2"/>
  <c r="U47" i="2" s="1"/>
  <c r="M75" i="42"/>
  <c r="O10" i="42"/>
  <c r="R40" i="2"/>
  <c r="R42" i="2" s="1"/>
  <c r="U113" i="2"/>
  <c r="U117" i="2" s="1"/>
  <c r="T61" i="42"/>
  <c r="T70" i="42" s="1"/>
  <c r="N14" i="42"/>
  <c r="O40" i="42"/>
  <c r="M31" i="42"/>
  <c r="M106" i="42"/>
  <c r="U108" i="2"/>
  <c r="O58" i="42"/>
  <c r="Q34" i="58"/>
  <c r="O14" i="42"/>
  <c r="E19" i="42"/>
  <c r="M49" i="42"/>
  <c r="K75" i="2"/>
  <c r="O75" i="42"/>
  <c r="Q94" i="42"/>
  <c r="O94" i="42"/>
  <c r="M10" i="42"/>
  <c r="K64" i="2"/>
  <c r="K73" i="2" s="1"/>
  <c r="U109" i="2"/>
  <c r="U107" i="2"/>
  <c r="U75" i="2"/>
  <c r="M33" i="42"/>
  <c r="U64" i="2"/>
  <c r="U73" i="2" s="1"/>
  <c r="N58" i="42"/>
  <c r="N65" i="42" s="1" a="1"/>
  <c r="N65" i="42" s="1"/>
  <c r="N37" i="42"/>
  <c r="O16" i="42"/>
  <c r="M110" i="42"/>
  <c r="M35" i="42"/>
  <c r="U49" i="2"/>
  <c r="U60" i="2" s="1"/>
  <c r="M19" i="42"/>
  <c r="K24" i="2"/>
  <c r="O23" i="42"/>
  <c r="O12" i="42"/>
  <c r="M43" i="42"/>
  <c r="E20" i="55"/>
  <c r="N47" i="58"/>
  <c r="E29" i="55"/>
  <c r="Q40" i="2"/>
  <c r="Q77" i="2"/>
  <c r="Q10" i="42"/>
  <c r="Q12" i="42"/>
  <c r="F14" i="44"/>
  <c r="P12" i="42"/>
  <c r="M102" i="2"/>
  <c r="N13" i="44"/>
  <c r="Q33" i="42"/>
  <c r="P33" i="42"/>
  <c r="E25" i="55"/>
  <c r="R77" i="2"/>
  <c r="Q19" i="42"/>
  <c r="P35" i="42"/>
  <c r="T29" i="53"/>
  <c r="T37" i="53" s="1"/>
  <c r="M36" i="2"/>
  <c r="M47" i="2" s="1"/>
  <c r="M49" i="2"/>
  <c r="M60" i="2" s="1"/>
  <c r="M113" i="2"/>
  <c r="M117" i="2" s="1"/>
  <c r="T10" i="53"/>
  <c r="T25" i="53" s="1"/>
  <c r="P75" i="42"/>
  <c r="E21" i="55"/>
  <c r="K29" i="58"/>
  <c r="K21" i="42" s="1"/>
  <c r="N17" i="44"/>
  <c r="R73" i="2"/>
  <c r="Q36" i="2"/>
  <c r="Q37" i="42"/>
  <c r="M75" i="2"/>
  <c r="F16" i="44"/>
  <c r="P46" i="42"/>
  <c r="K10" i="58"/>
  <c r="M14" i="2"/>
  <c r="N29" i="53"/>
  <c r="N37" i="53" s="1"/>
  <c r="F13" i="44"/>
  <c r="Q40" i="42"/>
  <c r="E14" i="55"/>
  <c r="P78" i="2"/>
  <c r="M98" i="2"/>
  <c r="L57" i="58"/>
  <c r="M10" i="2"/>
  <c r="N14" i="44"/>
  <c r="N15" i="44"/>
  <c r="N16" i="44"/>
  <c r="K61" i="58"/>
  <c r="M29" i="53"/>
  <c r="M37" i="53" s="1"/>
  <c r="P10" i="42"/>
  <c r="P79" i="2"/>
  <c r="Q58" i="42"/>
  <c r="Q68" i="42" s="1" a="1"/>
  <c r="Q68" i="42" s="1"/>
  <c r="Q23" i="42"/>
  <c r="Q43" i="42"/>
  <c r="P23" i="42"/>
  <c r="Q21" i="42"/>
  <c r="F17" i="44"/>
  <c r="P16" i="42"/>
  <c r="P106" i="42"/>
  <c r="Q31" i="42"/>
  <c r="M10" i="53"/>
  <c r="M25" i="53" s="1"/>
  <c r="P21" i="42"/>
  <c r="L10" i="58"/>
  <c r="L28" i="42" s="1"/>
  <c r="M64" i="2"/>
  <c r="M73" i="2" s="1"/>
  <c r="Q35" i="42"/>
  <c r="Q14" i="42"/>
  <c r="Q16" i="42"/>
  <c r="P40" i="42"/>
  <c r="P43" i="42"/>
  <c r="M101" i="2"/>
  <c r="Q49" i="42"/>
  <c r="Q75" i="42"/>
  <c r="P37" i="42"/>
  <c r="P94" i="42"/>
  <c r="P14" i="42"/>
  <c r="S77" i="2"/>
  <c r="V16" i="55"/>
  <c r="M99" i="2"/>
  <c r="Q78" i="2"/>
  <c r="P45" i="53"/>
  <c r="M100" i="2"/>
  <c r="K98" i="2"/>
  <c r="Q14" i="2"/>
  <c r="S36" i="2"/>
  <c r="S47" i="2" s="1"/>
  <c r="N40" i="42"/>
  <c r="Q24" i="2"/>
  <c r="Q64" i="2"/>
  <c r="Q73" i="2" s="1"/>
  <c r="N12" i="42"/>
  <c r="I73" i="55"/>
  <c r="V73" i="55" s="1"/>
  <c r="L93" i="2"/>
  <c r="N43" i="42"/>
  <c r="N110" i="42"/>
  <c r="Q113" i="2"/>
  <c r="Q117" i="2" s="1"/>
  <c r="N109" i="42"/>
  <c r="S14" i="2"/>
  <c r="S113" i="2"/>
  <c r="S117" i="2" s="1"/>
  <c r="N46" i="42"/>
  <c r="N75" i="42"/>
  <c r="P29" i="53"/>
  <c r="N108" i="42"/>
  <c r="Q75" i="2"/>
  <c r="R10" i="2"/>
  <c r="R12" i="2" s="1"/>
  <c r="L49" i="2"/>
  <c r="L60" i="2" s="1"/>
  <c r="S24" i="2"/>
  <c r="N49" i="42"/>
  <c r="M24" i="2"/>
  <c r="E26" i="55"/>
  <c r="E22" i="55"/>
  <c r="V9" i="55"/>
  <c r="M106" i="2"/>
  <c r="M109" i="2"/>
  <c r="M108" i="2"/>
  <c r="M107" i="2"/>
  <c r="K113" i="2"/>
  <c r="K117" i="2" s="1"/>
  <c r="C106" i="2" a="1"/>
  <c r="C109" i="2" s="1"/>
  <c r="N29" i="58"/>
  <c r="N23" i="42" s="1"/>
  <c r="T78" i="2"/>
  <c r="L100" i="2"/>
  <c r="N16" i="42"/>
  <c r="I75" i="55"/>
  <c r="V75" i="55" s="1"/>
  <c r="J10" i="53"/>
  <c r="R78" i="2"/>
  <c r="J100" i="2"/>
  <c r="P34" i="58"/>
  <c r="J29" i="53"/>
  <c r="J37" i="53" s="1"/>
  <c r="M93" i="2"/>
  <c r="K104" i="2"/>
  <c r="K108" i="2" s="1"/>
  <c r="J29" i="58"/>
  <c r="I77" i="55"/>
  <c r="V77" i="55" s="1"/>
  <c r="K36" i="2"/>
  <c r="K47" i="2" s="1"/>
  <c r="K18" i="44"/>
  <c r="K15" i="44"/>
  <c r="K16" i="44"/>
  <c r="K17" i="44"/>
  <c r="K14" i="44"/>
  <c r="K13" i="44"/>
  <c r="T15" i="44"/>
  <c r="T18" i="44"/>
  <c r="T13" i="44"/>
  <c r="I81" i="55"/>
  <c r="V81" i="55" s="1"/>
  <c r="N104" i="2"/>
  <c r="N109" i="2" s="1"/>
  <c r="J24" i="2"/>
  <c r="F52" i="42"/>
  <c r="F87" i="42"/>
  <c r="F84" i="42"/>
  <c r="F82" i="42"/>
  <c r="O45" i="53"/>
  <c r="J104" i="2"/>
  <c r="J109" i="2" s="1"/>
  <c r="J99" i="2"/>
  <c r="L99" i="2"/>
  <c r="P10" i="53"/>
  <c r="F22" i="42"/>
  <c r="F29" i="42"/>
  <c r="F98" i="42"/>
  <c r="F96" i="42"/>
  <c r="F79" i="42"/>
  <c r="L102" i="2"/>
  <c r="L98" i="2"/>
  <c r="K93" i="2"/>
  <c r="J47" i="58"/>
  <c r="K101" i="2"/>
  <c r="N49" i="2"/>
  <c r="N60" i="2" s="1"/>
  <c r="J113" i="2"/>
  <c r="J117" i="2" s="1"/>
  <c r="J10" i="2"/>
  <c r="K49" i="2"/>
  <c r="K60" i="2" s="1"/>
  <c r="N10" i="2"/>
  <c r="J14" i="2"/>
  <c r="F15" i="44"/>
  <c r="F26" i="42"/>
  <c r="F83" i="42"/>
  <c r="F97" i="42"/>
  <c r="F81" i="42"/>
  <c r="F90" i="42"/>
  <c r="L43" i="42"/>
  <c r="F24" i="42"/>
  <c r="S19" i="42"/>
  <c r="S49" i="42"/>
  <c r="L75" i="42"/>
  <c r="T79" i="2"/>
  <c r="N14" i="2"/>
  <c r="J64" i="2"/>
  <c r="J73" i="2" s="1"/>
  <c r="F88" i="42"/>
  <c r="F33" i="42"/>
  <c r="F99" i="42"/>
  <c r="F54" i="42"/>
  <c r="J49" i="2"/>
  <c r="J60" i="2" s="1"/>
  <c r="E21" i="42"/>
  <c r="L101" i="2"/>
  <c r="F77" i="42"/>
  <c r="F109" i="42"/>
  <c r="F15" i="42"/>
  <c r="F80" i="42"/>
  <c r="S1" i="54"/>
  <c r="G10" i="16" s="1"/>
  <c r="L97" i="2"/>
  <c r="P40" i="2"/>
  <c r="N75" i="2"/>
  <c r="R36" i="2"/>
  <c r="F110" i="42"/>
  <c r="F85" i="42"/>
  <c r="F102" i="42"/>
  <c r="F35" i="42"/>
  <c r="L49" i="42"/>
  <c r="S33" i="42"/>
  <c r="S37" i="42"/>
  <c r="I27" i="55"/>
  <c r="P77" i="2"/>
  <c r="J57" i="58"/>
  <c r="I50" i="55"/>
  <c r="V50" i="55" s="1"/>
  <c r="M14" i="44"/>
  <c r="M15" i="44"/>
  <c r="M18" i="44"/>
  <c r="M16" i="44"/>
  <c r="M17" i="44"/>
  <c r="M13" i="44"/>
  <c r="Q64" i="42"/>
  <c r="T16" i="44"/>
  <c r="T113" i="2"/>
  <c r="T117" i="2" s="1"/>
  <c r="O104" i="2"/>
  <c r="O107" i="2" s="1"/>
  <c r="J23" i="42"/>
  <c r="J14" i="42"/>
  <c r="S68" i="42" a="1"/>
  <c r="S68" i="42" s="1"/>
  <c r="J98" i="2"/>
  <c r="E23" i="55"/>
  <c r="E15" i="55"/>
  <c r="I55" i="55"/>
  <c r="V55" i="55" s="1"/>
  <c r="J17" i="44"/>
  <c r="T65" i="42" a="1"/>
  <c r="T65" i="42" s="1"/>
  <c r="T68" i="42" a="1"/>
  <c r="T68" i="42" s="1"/>
  <c r="T49" i="2"/>
  <c r="T60" i="2" s="1"/>
  <c r="R10" i="58"/>
  <c r="R28" i="42" s="1"/>
  <c r="T36" i="2"/>
  <c r="J12" i="42"/>
  <c r="F19" i="58"/>
  <c r="E28" i="55"/>
  <c r="Q104" i="2"/>
  <c r="K100" i="2"/>
  <c r="T14" i="44"/>
  <c r="T17" i="44"/>
  <c r="O49" i="2"/>
  <c r="O60" i="2" s="1"/>
  <c r="F22" i="58"/>
  <c r="N41" i="53"/>
  <c r="N45" i="53" s="1"/>
  <c r="T64" i="2"/>
  <c r="T73" i="2" s="1"/>
  <c r="J58" i="42"/>
  <c r="J71" i="42" s="1" a="1"/>
  <c r="J71" i="42" s="1"/>
  <c r="K97" i="2"/>
  <c r="I54" i="55"/>
  <c r="V54" i="55" s="1"/>
  <c r="I48" i="55"/>
  <c r="V48" i="55" s="1"/>
  <c r="I34" i="55"/>
  <c r="V34" i="55" s="1"/>
  <c r="M47" i="58"/>
  <c r="O10" i="2"/>
  <c r="S78" i="2"/>
  <c r="J97" i="2"/>
  <c r="K102" i="2"/>
  <c r="T77" i="2"/>
  <c r="K14" i="42"/>
  <c r="O14" i="2"/>
  <c r="J102" i="2"/>
  <c r="K99" i="2"/>
  <c r="O75" i="2"/>
  <c r="J37" i="42"/>
  <c r="J46" i="42"/>
  <c r="J33" i="42"/>
  <c r="O24" i="2"/>
  <c r="J101" i="2"/>
  <c r="J93" i="2"/>
  <c r="T75" i="2"/>
  <c r="I66" i="55"/>
  <c r="I79" i="55"/>
  <c r="V79" i="55" s="1"/>
  <c r="I71" i="55"/>
  <c r="V71" i="55" s="1"/>
  <c r="I74" i="55"/>
  <c r="V74" i="55" s="1"/>
  <c r="H82" i="55"/>
  <c r="I59" i="55"/>
  <c r="V59" i="55" s="1"/>
  <c r="I39" i="55"/>
  <c r="V39" i="55" s="1"/>
  <c r="I32" i="55"/>
  <c r="V32" i="55" s="1"/>
  <c r="I70" i="55"/>
  <c r="V70" i="55" s="1"/>
  <c r="I64" i="55"/>
  <c r="V64" i="55" s="1"/>
  <c r="I30" i="55"/>
  <c r="V30" i="55" s="1"/>
  <c r="I26" i="55"/>
  <c r="I42" i="55"/>
  <c r="V42" i="55" s="1"/>
  <c r="I46" i="55"/>
  <c r="V46" i="55" s="1"/>
  <c r="I58" i="55"/>
  <c r="V58" i="55" s="1"/>
  <c r="I62" i="55"/>
  <c r="V62" i="55" s="1"/>
  <c r="I38" i="55"/>
  <c r="V38" i="55" s="1"/>
  <c r="I31" i="55"/>
  <c r="V31" i="55" s="1"/>
  <c r="I35" i="55"/>
  <c r="V35" i="55" s="1"/>
  <c r="I51" i="55"/>
  <c r="V51" i="55" s="1"/>
  <c r="I47" i="55"/>
  <c r="V47" i="55" s="1"/>
  <c r="I63" i="55"/>
  <c r="V63" i="55" s="1"/>
  <c r="I43" i="55"/>
  <c r="V43" i="55" s="1"/>
  <c r="I67" i="55"/>
  <c r="V67" i="55" s="1"/>
  <c r="I57" i="55"/>
  <c r="V57" i="55" s="1"/>
  <c r="I41" i="55"/>
  <c r="V41" i="55" s="1"/>
  <c r="I25" i="55"/>
  <c r="E19" i="55"/>
  <c r="V19" i="55"/>
  <c r="V11" i="55"/>
  <c r="I78" i="55"/>
  <c r="E27" i="55"/>
  <c r="E24" i="55"/>
  <c r="E16" i="55"/>
  <c r="I72" i="55"/>
  <c r="V72" i="55" s="1"/>
  <c r="I76" i="55"/>
  <c r="V76" i="55" s="1"/>
  <c r="I56" i="55"/>
  <c r="V56" i="55" s="1"/>
  <c r="I40" i="55"/>
  <c r="V40" i="55" s="1"/>
  <c r="I61" i="55"/>
  <c r="V61" i="55" s="1"/>
  <c r="I45" i="55"/>
  <c r="V45" i="55" s="1"/>
  <c r="I29" i="55"/>
  <c r="I49" i="55"/>
  <c r="V49" i="55" s="1"/>
  <c r="I33" i="55"/>
  <c r="V33" i="55" s="1"/>
  <c r="O73" i="2"/>
  <c r="S73" i="2"/>
  <c r="I80" i="55"/>
  <c r="V80" i="55" s="1"/>
  <c r="O68" i="42" a="1"/>
  <c r="O68" i="42" s="1"/>
  <c r="N61" i="58"/>
  <c r="N10" i="58"/>
  <c r="N24" i="2"/>
  <c r="N36" i="2"/>
  <c r="N47" i="2" s="1"/>
  <c r="N113" i="2"/>
  <c r="N117" i="2" s="1"/>
  <c r="P68" i="42" a="1"/>
  <c r="P68" i="42" s="1"/>
  <c r="S34" i="58"/>
  <c r="S61" i="58"/>
  <c r="S10" i="58"/>
  <c r="I60" i="55"/>
  <c r="V60" i="55" s="1"/>
  <c r="I44" i="55"/>
  <c r="V44" i="55" s="1"/>
  <c r="I28" i="55"/>
  <c r="I69" i="55"/>
  <c r="V69" i="55" s="1"/>
  <c r="I65" i="55"/>
  <c r="V65" i="55" s="1"/>
  <c r="R64" i="42"/>
  <c r="L41" i="53"/>
  <c r="L45" i="53" s="1"/>
  <c r="L10" i="53"/>
  <c r="R41" i="53"/>
  <c r="R45" i="53" s="1"/>
  <c r="R10" i="53"/>
  <c r="R29" i="53"/>
  <c r="I53" i="55"/>
  <c r="V53" i="55" s="1"/>
  <c r="I37" i="55"/>
  <c r="V37" i="55" s="1"/>
  <c r="I68" i="55"/>
  <c r="V68" i="55" s="1"/>
  <c r="I52" i="55"/>
  <c r="V52" i="55" s="1"/>
  <c r="I36" i="55"/>
  <c r="V36" i="55" s="1"/>
  <c r="T40" i="2"/>
  <c r="V24" i="55"/>
  <c r="L13" i="59" l="1"/>
  <c r="L12" i="59"/>
  <c r="L11" i="59"/>
  <c r="L16" i="59"/>
  <c r="L21" i="59"/>
  <c r="L22" i="59"/>
  <c r="L14" i="59"/>
  <c r="L20" i="59"/>
  <c r="L19" i="59"/>
  <c r="L18" i="59"/>
  <c r="L17" i="59"/>
  <c r="L9" i="59"/>
  <c r="L15" i="59"/>
  <c r="O9" i="59"/>
  <c r="O22" i="59"/>
  <c r="S21" i="59"/>
  <c r="S20" i="59"/>
  <c r="S13" i="59"/>
  <c r="S19" i="59" a="1"/>
  <c r="S19" i="59" s="1"/>
  <c r="S18" i="59" a="1"/>
  <c r="S18" i="59" s="1"/>
  <c r="S17" i="59" a="1"/>
  <c r="S17" i="59" s="1"/>
  <c r="S16" i="59"/>
  <c r="S22" i="59"/>
  <c r="S15" i="59"/>
  <c r="S14" i="59"/>
  <c r="S12" i="59"/>
  <c r="S11" i="59"/>
  <c r="S9" i="59"/>
  <c r="I9" i="59"/>
  <c r="I19" i="59"/>
  <c r="I15" i="59"/>
  <c r="I17" i="59"/>
  <c r="I21" i="59"/>
  <c r="I13" i="59"/>
  <c r="I12" i="59"/>
  <c r="I11" i="59"/>
  <c r="I22" i="59"/>
  <c r="U22" i="59" s="1"/>
  <c r="I20" i="59"/>
  <c r="I16" i="59"/>
  <c r="I18" i="59"/>
  <c r="I14" i="59"/>
  <c r="F21" i="42"/>
  <c r="L107" i="2"/>
  <c r="T20" i="42"/>
  <c r="K62" i="42" a="1"/>
  <c r="K62" i="42" s="1"/>
  <c r="K65" i="42" a="1"/>
  <c r="K65" i="42" s="1"/>
  <c r="N68" i="42" a="1"/>
  <c r="N68" i="42" s="1"/>
  <c r="N62" i="42" a="1"/>
  <c r="N62" i="42" s="1"/>
  <c r="J25" i="53"/>
  <c r="W22" i="53"/>
  <c r="H88" i="55"/>
  <c r="I88" i="55" s="1"/>
  <c r="J12" i="2"/>
  <c r="M65" i="42" a="1"/>
  <c r="M65" i="42" s="1"/>
  <c r="J108" i="2"/>
  <c r="M62" i="42" a="1"/>
  <c r="M62" i="42" s="1"/>
  <c r="F16" i="42"/>
  <c r="J106" i="2"/>
  <c r="K28" i="42"/>
  <c r="L108" i="2"/>
  <c r="L106" i="2"/>
  <c r="M71" i="42" a="1"/>
  <c r="M71" i="42" s="1"/>
  <c r="M68" i="42" a="1"/>
  <c r="M68" i="42" s="1"/>
  <c r="L61" i="42"/>
  <c r="L70" i="42" s="1"/>
  <c r="L65" i="42" a="1"/>
  <c r="L65" i="42" s="1"/>
  <c r="L68" i="42" a="1"/>
  <c r="L68" i="42" s="1"/>
  <c r="L71" i="42" a="1"/>
  <c r="L71" i="42" s="1"/>
  <c r="K71" i="42" a="1"/>
  <c r="K71" i="42" s="1"/>
  <c r="R47" i="2"/>
  <c r="K68" i="42" a="1"/>
  <c r="K68" i="42" s="1"/>
  <c r="N61" i="42"/>
  <c r="N70" i="42" s="1"/>
  <c r="N71" i="42" a="1"/>
  <c r="N71" i="42" s="1"/>
  <c r="J107" i="2"/>
  <c r="Q42" i="2"/>
  <c r="N106" i="2"/>
  <c r="V55" i="58"/>
  <c r="R109" i="2"/>
  <c r="I82" i="55"/>
  <c r="V82" i="55" s="1"/>
  <c r="Q106" i="2"/>
  <c r="Q109" i="2"/>
  <c r="X93" i="2"/>
  <c r="S109" i="2"/>
  <c r="R108" i="2"/>
  <c r="C16" i="2" a="1"/>
  <c r="C22" i="2" s="1"/>
  <c r="C108" i="2"/>
  <c r="C107" i="2"/>
  <c r="C106" i="2"/>
  <c r="P108" i="2"/>
  <c r="K107" i="2"/>
  <c r="K106" i="2"/>
  <c r="K109" i="2"/>
  <c r="Q107" i="2"/>
  <c r="T107" i="2"/>
  <c r="W45" i="53"/>
  <c r="V37" i="58"/>
  <c r="S106" i="2"/>
  <c r="T106" i="2"/>
  <c r="J68" i="42" a="1"/>
  <c r="J68" i="42" s="1"/>
  <c r="V63" i="58"/>
  <c r="R107" i="2"/>
  <c r="T108" i="2"/>
  <c r="X73" i="2"/>
  <c r="S107" i="2"/>
  <c r="T109" i="2"/>
  <c r="Q108" i="2"/>
  <c r="X60" i="2"/>
  <c r="S108" i="2"/>
  <c r="N108" i="2"/>
  <c r="N107" i="2"/>
  <c r="P107" i="2"/>
  <c r="C26" i="2" a="1"/>
  <c r="P109" i="2"/>
  <c r="P106" i="2"/>
  <c r="X117" i="2"/>
  <c r="P42" i="2"/>
  <c r="P47" i="2" s="1"/>
  <c r="K12" i="2"/>
  <c r="R106" i="2"/>
  <c r="H83" i="55"/>
  <c r="I83" i="55" s="1"/>
  <c r="V83" i="55" s="1"/>
  <c r="L12" i="2"/>
  <c r="V66" i="55"/>
  <c r="J61" i="42"/>
  <c r="J70" i="42" s="1"/>
  <c r="J62" i="42" a="1"/>
  <c r="J62" i="42" s="1"/>
  <c r="J65" i="42" a="1"/>
  <c r="J65" i="42" s="1"/>
  <c r="O106" i="2"/>
  <c r="O109" i="2"/>
  <c r="O108" i="2"/>
  <c r="W12" i="53"/>
  <c r="V13" i="58"/>
  <c r="H86" i="55"/>
  <c r="V78" i="55"/>
  <c r="M12" i="2"/>
  <c r="W20" i="53"/>
  <c r="S28" i="42"/>
  <c r="V64" i="58"/>
  <c r="V43" i="58"/>
  <c r="V20" i="58"/>
  <c r="W14" i="53"/>
  <c r="T42" i="2"/>
  <c r="V65" i="58"/>
  <c r="W17" i="53"/>
  <c r="V53" i="58"/>
  <c r="V42" i="58"/>
  <c r="W13" i="53"/>
  <c r="W32" i="53"/>
  <c r="W16" i="53"/>
  <c r="L25" i="53"/>
  <c r="W19" i="53"/>
  <c r="W15" i="53"/>
  <c r="W21" i="53"/>
  <c r="W18" i="53"/>
  <c r="V51" i="58"/>
  <c r="V54" i="58"/>
  <c r="V41" i="58"/>
  <c r="V19" i="58"/>
  <c r="V22" i="58"/>
  <c r="V24" i="58"/>
  <c r="V21" i="58"/>
  <c r="V23" i="58"/>
  <c r="AA22" i="59" l="1"/>
  <c r="Z22" i="59"/>
  <c r="Q47" i="2"/>
  <c r="O61" i="42"/>
  <c r="O62" i="42" s="1" a="1"/>
  <c r="O62" i="42" s="1"/>
  <c r="P64" i="42"/>
  <c r="N12" i="2"/>
  <c r="C20" i="2"/>
  <c r="P20" i="2" s="1"/>
  <c r="H87" i="55"/>
  <c r="I87" i="55" s="1"/>
  <c r="P61" i="42"/>
  <c r="C17" i="2"/>
  <c r="E17" i="2" s="1"/>
  <c r="C18" i="2"/>
  <c r="E18" i="2" s="1"/>
  <c r="C21" i="2"/>
  <c r="C19" i="2"/>
  <c r="M19" i="2" s="1"/>
  <c r="C16" i="2"/>
  <c r="Q61" i="42"/>
  <c r="Q70" i="42" s="1"/>
  <c r="R61" i="42"/>
  <c r="R70" i="42" s="1"/>
  <c r="S61" i="42"/>
  <c r="O64" i="42"/>
  <c r="C32" i="2"/>
  <c r="C31" i="2"/>
  <c r="C27" i="2"/>
  <c r="C30" i="2"/>
  <c r="C29" i="2"/>
  <c r="C28" i="2"/>
  <c r="C26" i="2"/>
  <c r="I86" i="55"/>
  <c r="H85" i="55"/>
  <c r="I85" i="55" s="1"/>
  <c r="V85" i="55" s="1"/>
  <c r="P22" i="2"/>
  <c r="O22" i="2"/>
  <c r="M22" i="2"/>
  <c r="E22" i="2"/>
  <c r="N22" i="2"/>
  <c r="K22" i="2"/>
  <c r="J22" i="2"/>
  <c r="L22" i="2"/>
  <c r="D22" i="2"/>
  <c r="S64" i="42"/>
  <c r="T47" i="2"/>
  <c r="E20" i="2" l="1"/>
  <c r="P16" i="2"/>
  <c r="E19" i="2"/>
  <c r="L18" i="2"/>
  <c r="K18" i="2" s="1"/>
  <c r="J18" i="2" s="1"/>
  <c r="J28" i="2" s="1"/>
  <c r="P18" i="2"/>
  <c r="X47" i="2"/>
  <c r="T1" i="2" s="1"/>
  <c r="G13" i="16" s="1"/>
  <c r="K17" i="2"/>
  <c r="K27" i="2" s="1"/>
  <c r="P17" i="2"/>
  <c r="D17" i="2"/>
  <c r="D19" i="2"/>
  <c r="P19" i="2"/>
  <c r="R65" i="42" a="1"/>
  <c r="R65" i="42" s="1"/>
  <c r="J16" i="2"/>
  <c r="J26" i="2" s="1"/>
  <c r="N20" i="2"/>
  <c r="N30" i="2" s="1"/>
  <c r="D20" i="2"/>
  <c r="D18" i="2"/>
  <c r="E16" i="2"/>
  <c r="D16" i="2"/>
  <c r="P65" i="42" a="1"/>
  <c r="P65" i="42" s="1"/>
  <c r="P62" i="42" a="1"/>
  <c r="P62" i="42" s="1"/>
  <c r="P70" i="42"/>
  <c r="Q65" i="42" a="1"/>
  <c r="Q65" i="42" s="1"/>
  <c r="O65" i="42" a="1"/>
  <c r="O65" i="42" s="1"/>
  <c r="Q62" i="42" a="1"/>
  <c r="Q62" i="42" s="1"/>
  <c r="R62" i="42" a="1"/>
  <c r="R62" i="42" s="1"/>
  <c r="D21" i="2"/>
  <c r="E21" i="2"/>
  <c r="P21" i="2"/>
  <c r="O21" i="2"/>
  <c r="R100" i="42" s="1"/>
  <c r="R18" i="44" s="1"/>
  <c r="O70" i="42"/>
  <c r="S62" i="42" a="1"/>
  <c r="S62" i="42" s="1"/>
  <c r="Q29" i="2"/>
  <c r="S29" i="2"/>
  <c r="E29" i="2"/>
  <c r="T29" i="2"/>
  <c r="P29" i="2"/>
  <c r="R29" i="2"/>
  <c r="D29" i="2"/>
  <c r="R27" i="2"/>
  <c r="E27" i="2"/>
  <c r="S27" i="2"/>
  <c r="Q27" i="2"/>
  <c r="P27" i="2"/>
  <c r="D27" i="2"/>
  <c r="T27" i="2"/>
  <c r="T31" i="2"/>
  <c r="Q31" i="2"/>
  <c r="D31" i="2"/>
  <c r="E31" i="2"/>
  <c r="P31" i="2"/>
  <c r="S31" i="2"/>
  <c r="R31" i="2"/>
  <c r="Q28" i="2"/>
  <c r="S28" i="2"/>
  <c r="R28" i="2"/>
  <c r="T28" i="2"/>
  <c r="D28" i="2"/>
  <c r="P28" i="2"/>
  <c r="E28" i="2"/>
  <c r="M32" i="2"/>
  <c r="J32" i="2"/>
  <c r="P32" i="2"/>
  <c r="E32" i="2"/>
  <c r="S32" i="2"/>
  <c r="K32" i="2"/>
  <c r="R32" i="2"/>
  <c r="Q32" i="2"/>
  <c r="L32" i="2"/>
  <c r="T32" i="2"/>
  <c r="D32" i="2"/>
  <c r="N32" i="2"/>
  <c r="O32" i="2"/>
  <c r="S30" i="2"/>
  <c r="P30" i="2"/>
  <c r="E30" i="2"/>
  <c r="D30" i="2"/>
  <c r="Q30" i="2"/>
  <c r="R30" i="2"/>
  <c r="T30" i="2"/>
  <c r="M29" i="2"/>
  <c r="R26" i="2"/>
  <c r="D26" i="2"/>
  <c r="Q26" i="2"/>
  <c r="S26" i="2"/>
  <c r="E26" i="2"/>
  <c r="T26" i="2"/>
  <c r="P26" i="2"/>
  <c r="O12" i="2"/>
  <c r="V86" i="55"/>
  <c r="V1" i="55" s="1"/>
  <c r="G11" i="16" s="1"/>
  <c r="N19" i="2"/>
  <c r="N29" i="2" s="1"/>
  <c r="S70" i="42"/>
  <c r="S65" i="42" a="1"/>
  <c r="S65" i="42" s="1"/>
  <c r="L19" i="2"/>
  <c r="M20" i="2" l="1"/>
  <c r="M30" i="2" s="1"/>
  <c r="J17" i="2"/>
  <c r="J27" i="2" s="1"/>
  <c r="K28" i="2"/>
  <c r="L17" i="2"/>
  <c r="L27" i="2" s="1"/>
  <c r="N88" i="42"/>
  <c r="O82" i="42"/>
  <c r="P98" i="42"/>
  <c r="P16" i="44" s="1"/>
  <c r="T84" i="42"/>
  <c r="O29" i="42"/>
  <c r="M18" i="2"/>
  <c r="M28" i="2" s="1"/>
  <c r="O47" i="42"/>
  <c r="R83" i="42"/>
  <c r="K84" i="42"/>
  <c r="L84" i="42"/>
  <c r="L28" i="2"/>
  <c r="K16" i="2"/>
  <c r="L16" i="2" s="1"/>
  <c r="J82" i="42"/>
  <c r="L85" i="42"/>
  <c r="S99" i="42"/>
  <c r="S17" i="44" s="1"/>
  <c r="T99" i="42"/>
  <c r="N83" i="42"/>
  <c r="L50" i="42"/>
  <c r="M29" i="42"/>
  <c r="O100" i="42"/>
  <c r="O18" i="44" s="1"/>
  <c r="M80" i="42"/>
  <c r="S98" i="42"/>
  <c r="S16" i="44" s="1"/>
  <c r="P100" i="42"/>
  <c r="P18" i="44" s="1"/>
  <c r="O20" i="2"/>
  <c r="O30" i="2" s="1"/>
  <c r="L20" i="2"/>
  <c r="L30" i="2" s="1"/>
  <c r="M57" i="58"/>
  <c r="L47" i="42"/>
  <c r="Q29" i="42"/>
  <c r="M83" i="42"/>
  <c r="Q99" i="42"/>
  <c r="Q17" i="44" s="1"/>
  <c r="P50" i="42"/>
  <c r="T98" i="42"/>
  <c r="S84" i="42"/>
  <c r="M88" i="42"/>
  <c r="N80" i="42"/>
  <c r="O80" i="42"/>
  <c r="Q50" i="42"/>
  <c r="Q98" i="42"/>
  <c r="Q16" i="44" s="1"/>
  <c r="K80" i="42"/>
  <c r="P99" i="42"/>
  <c r="P17" i="44" s="1"/>
  <c r="J29" i="42"/>
  <c r="L83" i="42"/>
  <c r="T80" i="42"/>
  <c r="K47" i="42"/>
  <c r="S29" i="42"/>
  <c r="P47" i="42"/>
  <c r="K50" i="42"/>
  <c r="T50" i="42"/>
  <c r="O83" i="42"/>
  <c r="T96" i="42"/>
  <c r="Q85" i="42"/>
  <c r="M47" i="42"/>
  <c r="M84" i="42"/>
  <c r="O50" i="42"/>
  <c r="O84" i="42"/>
  <c r="J88" i="42"/>
  <c r="S83" i="42"/>
  <c r="J84" i="42"/>
  <c r="N21" i="2"/>
  <c r="N31" i="2" s="1"/>
  <c r="T29" i="42"/>
  <c r="T82" i="42"/>
  <c r="K83" i="42"/>
  <c r="M82" i="42"/>
  <c r="N84" i="42"/>
  <c r="J50" i="42"/>
  <c r="R29" i="42"/>
  <c r="O98" i="42"/>
  <c r="O16" i="44" s="1"/>
  <c r="R82" i="42"/>
  <c r="P29" i="42"/>
  <c r="P84" i="42"/>
  <c r="R50" i="42"/>
  <c r="J47" i="42"/>
  <c r="P82" i="42"/>
  <c r="R85" i="42"/>
  <c r="K82" i="42"/>
  <c r="T47" i="42"/>
  <c r="K85" i="42"/>
  <c r="S50" i="42"/>
  <c r="M50" i="42"/>
  <c r="L82" i="42"/>
  <c r="R47" i="42"/>
  <c r="R99" i="42"/>
  <c r="R17" i="44" s="1"/>
  <c r="N85" i="42"/>
  <c r="T85" i="42"/>
  <c r="Q84" i="42"/>
  <c r="J83" i="42"/>
  <c r="R84" i="42"/>
  <c r="Q100" i="42"/>
  <c r="Q18" i="44" s="1"/>
  <c r="O85" i="42"/>
  <c r="Q83" i="42"/>
  <c r="L29" i="42"/>
  <c r="Q47" i="42"/>
  <c r="R98" i="42"/>
  <c r="R16" i="44" s="1"/>
  <c r="S80" i="42"/>
  <c r="Q80" i="42"/>
  <c r="K29" i="42"/>
  <c r="M85" i="42"/>
  <c r="P83" i="42"/>
  <c r="N47" i="42"/>
  <c r="R80" i="42"/>
  <c r="J80" i="42"/>
  <c r="P80" i="42"/>
  <c r="N50" i="42"/>
  <c r="J85" i="42"/>
  <c r="S47" i="42"/>
  <c r="T83" i="42"/>
  <c r="T88" i="42"/>
  <c r="L88" i="42"/>
  <c r="K88" i="42"/>
  <c r="P85" i="42"/>
  <c r="O99" i="42"/>
  <c r="O17" i="44" s="1"/>
  <c r="S82" i="42"/>
  <c r="L80" i="42"/>
  <c r="T100" i="42"/>
  <c r="Q82" i="42"/>
  <c r="S100" i="42"/>
  <c r="S18" i="44" s="1"/>
  <c r="S85" i="42"/>
  <c r="P71" i="42" a="1"/>
  <c r="P71" i="42" s="1"/>
  <c r="O71" i="42" a="1"/>
  <c r="O71" i="42" s="1"/>
  <c r="R71" i="42" a="1"/>
  <c r="R71" i="42" s="1"/>
  <c r="Q71" i="42" a="1"/>
  <c r="Q71" i="42" s="1"/>
  <c r="N82" i="42"/>
  <c r="R20" i="42"/>
  <c r="R13" i="42"/>
  <c r="R26" i="42" s="1"/>
  <c r="O13" i="42"/>
  <c r="O26" i="42" s="1"/>
  <c r="O20" i="42"/>
  <c r="P13" i="42"/>
  <c r="P26" i="42" s="1"/>
  <c r="P20" i="42"/>
  <c r="Q13" i="42"/>
  <c r="Q26" i="42" s="1"/>
  <c r="Q20" i="42"/>
  <c r="S13" i="42"/>
  <c r="S26" i="42" s="1"/>
  <c r="S20" i="42"/>
  <c r="O31" i="2"/>
  <c r="M17" i="2"/>
  <c r="M27" i="2" s="1"/>
  <c r="O19" i="2"/>
  <c r="K81" i="42" s="1"/>
  <c r="S71" i="42" a="1"/>
  <c r="S71" i="42" s="1"/>
  <c r="L29" i="2"/>
  <c r="K19" i="2"/>
  <c r="K26" i="2" l="1"/>
  <c r="N18" i="2"/>
  <c r="N28" i="2" s="1"/>
  <c r="K20" i="2"/>
  <c r="J20" i="2" s="1"/>
  <c r="J30" i="2" s="1"/>
  <c r="M21" i="2"/>
  <c r="M31" i="2" s="1"/>
  <c r="M81" i="42"/>
  <c r="L77" i="42"/>
  <c r="S77" i="42"/>
  <c r="T81" i="42"/>
  <c r="J78" i="42"/>
  <c r="R81" i="42"/>
  <c r="P78" i="42"/>
  <c r="N77" i="42"/>
  <c r="R78" i="42"/>
  <c r="L78" i="42"/>
  <c r="N17" i="2"/>
  <c r="N27" i="2" s="1"/>
  <c r="L81" i="42"/>
  <c r="S97" i="42"/>
  <c r="S15" i="44" s="1"/>
  <c r="Q77" i="42"/>
  <c r="N13" i="42"/>
  <c r="N26" i="42" s="1"/>
  <c r="N20" i="42"/>
  <c r="P81" i="42"/>
  <c r="R77" i="42"/>
  <c r="O97" i="42"/>
  <c r="O15" i="44" s="1"/>
  <c r="O81" i="42"/>
  <c r="O77" i="42"/>
  <c r="O78" i="42"/>
  <c r="T78" i="42"/>
  <c r="N78" i="42"/>
  <c r="P97" i="42"/>
  <c r="Q97" i="42"/>
  <c r="M78" i="42"/>
  <c r="N81" i="42"/>
  <c r="Q78" i="42"/>
  <c r="Q81" i="42"/>
  <c r="T97" i="42"/>
  <c r="T102" i="42" s="1"/>
  <c r="J81" i="42"/>
  <c r="O29" i="2"/>
  <c r="S81" i="42"/>
  <c r="S78" i="42"/>
  <c r="R97" i="42"/>
  <c r="R15" i="44" s="1"/>
  <c r="M77" i="42"/>
  <c r="K77" i="42"/>
  <c r="K78" i="42"/>
  <c r="P77" i="42"/>
  <c r="J77" i="42"/>
  <c r="T77" i="42"/>
  <c r="M13" i="42"/>
  <c r="M26" i="42" s="1"/>
  <c r="M20" i="42"/>
  <c r="K29" i="2"/>
  <c r="J19" i="2"/>
  <c r="J29" i="2" s="1"/>
  <c r="L26" i="2"/>
  <c r="M16" i="2"/>
  <c r="K30" i="2"/>
  <c r="O18" i="2" l="1"/>
  <c r="N41" i="42" s="1"/>
  <c r="N57" i="58"/>
  <c r="V52" i="58"/>
  <c r="L21" i="2"/>
  <c r="K21" i="2" s="1"/>
  <c r="O17" i="2"/>
  <c r="O27" i="2" s="1"/>
  <c r="Q15" i="44"/>
  <c r="P15" i="44"/>
  <c r="L13" i="42"/>
  <c r="L26" i="42" s="1"/>
  <c r="L20" i="42"/>
  <c r="M26" i="2"/>
  <c r="N16" i="2"/>
  <c r="S79" i="42" l="1"/>
  <c r="R44" i="42"/>
  <c r="O44" i="42"/>
  <c r="K41" i="42"/>
  <c r="M79" i="42"/>
  <c r="L38" i="42"/>
  <c r="O79" i="42"/>
  <c r="L44" i="42"/>
  <c r="S41" i="42"/>
  <c r="S44" i="42"/>
  <c r="N38" i="42"/>
  <c r="R41" i="42"/>
  <c r="L79" i="42"/>
  <c r="R38" i="42"/>
  <c r="T38" i="42"/>
  <c r="K79" i="42"/>
  <c r="T79" i="42"/>
  <c r="N44" i="42"/>
  <c r="J41" i="42"/>
  <c r="J44" i="42"/>
  <c r="P44" i="42"/>
  <c r="N79" i="42"/>
  <c r="P41" i="42"/>
  <c r="J38" i="42"/>
  <c r="M44" i="42"/>
  <c r="J79" i="42"/>
  <c r="S38" i="42"/>
  <c r="L41" i="42"/>
  <c r="T44" i="42"/>
  <c r="K44" i="42"/>
  <c r="T41" i="42"/>
  <c r="K38" i="42"/>
  <c r="P38" i="42"/>
  <c r="O41" i="42"/>
  <c r="O28" i="2"/>
  <c r="M41" i="42"/>
  <c r="O38" i="42"/>
  <c r="O52" i="42" s="1"/>
  <c r="O54" i="42" s="1"/>
  <c r="Q41" i="42"/>
  <c r="M38" i="42"/>
  <c r="P79" i="42"/>
  <c r="Q79" i="42"/>
  <c r="R79" i="42"/>
  <c r="Q38" i="42"/>
  <c r="Q44" i="42"/>
  <c r="L31" i="2"/>
  <c r="K13" i="42" s="1"/>
  <c r="K26" i="42" s="1"/>
  <c r="K31" i="2"/>
  <c r="J21" i="2"/>
  <c r="J31" i="2" s="1"/>
  <c r="N26" i="2"/>
  <c r="O16" i="2"/>
  <c r="P14" i="59" l="1"/>
  <c r="N14" i="59"/>
  <c r="Q14" i="59"/>
  <c r="R14" i="59"/>
  <c r="O14" i="59"/>
  <c r="U14" i="59" s="1"/>
  <c r="K52" i="42"/>
  <c r="K54" i="42" s="1"/>
  <c r="R52" i="42"/>
  <c r="R54" i="42" s="1"/>
  <c r="R86" i="42"/>
  <c r="J86" i="42"/>
  <c r="P86" i="42"/>
  <c r="L86" i="42"/>
  <c r="Q86" i="42"/>
  <c r="S86" i="42"/>
  <c r="O86" i="42"/>
  <c r="K86" i="42"/>
  <c r="T86" i="42"/>
  <c r="N86" i="42"/>
  <c r="M86" i="42"/>
  <c r="Q52" i="42"/>
  <c r="Q54" i="42" s="1"/>
  <c r="L52" i="42"/>
  <c r="L54" i="42" s="1"/>
  <c r="M52" i="42"/>
  <c r="M54" i="42" s="1"/>
  <c r="P52" i="42"/>
  <c r="P54" i="42" s="1"/>
  <c r="S52" i="42"/>
  <c r="S54" i="42" s="1"/>
  <c r="J52" i="42"/>
  <c r="J54" i="42" s="1"/>
  <c r="K20" i="42"/>
  <c r="J20" i="42"/>
  <c r="J13" i="42"/>
  <c r="J26" i="42" s="1"/>
  <c r="S24" i="42"/>
  <c r="K22" i="42"/>
  <c r="M22" i="42"/>
  <c r="O26" i="2"/>
  <c r="R22" i="42"/>
  <c r="P24" i="42"/>
  <c r="J22" i="42"/>
  <c r="L24" i="42"/>
  <c r="L15" i="42"/>
  <c r="Q15" i="42"/>
  <c r="P15" i="42"/>
  <c r="S22" i="42"/>
  <c r="O17" i="42"/>
  <c r="K87" i="42"/>
  <c r="L17" i="42"/>
  <c r="S17" i="42"/>
  <c r="M87" i="42"/>
  <c r="Q17" i="42"/>
  <c r="O15" i="42"/>
  <c r="M24" i="42"/>
  <c r="S15" i="42"/>
  <c r="T17" i="42"/>
  <c r="K15" i="42"/>
  <c r="J24" i="42"/>
  <c r="N24" i="42"/>
  <c r="P22" i="42"/>
  <c r="O24" i="42"/>
  <c r="T87" i="42"/>
  <c r="J17" i="42"/>
  <c r="N15" i="42"/>
  <c r="M17" i="42"/>
  <c r="R24" i="42"/>
  <c r="Q22" i="42"/>
  <c r="O22" i="42"/>
  <c r="L22" i="42"/>
  <c r="M15" i="42"/>
  <c r="T15" i="42"/>
  <c r="J15" i="42"/>
  <c r="P17" i="42"/>
  <c r="N17" i="42"/>
  <c r="K17" i="42"/>
  <c r="J87" i="42"/>
  <c r="R15" i="42"/>
  <c r="R17" i="42"/>
  <c r="T24" i="42"/>
  <c r="Q24" i="42"/>
  <c r="N87" i="42"/>
  <c r="K24" i="42"/>
  <c r="T22" i="42"/>
  <c r="N22" i="42"/>
  <c r="L87" i="42"/>
  <c r="Z14" i="59" l="1"/>
  <c r="AA14" i="59"/>
  <c r="T90" i="42"/>
  <c r="O11" i="59"/>
  <c r="N11" i="59"/>
  <c r="Q11" i="59"/>
  <c r="P11" i="59"/>
  <c r="R11" i="59"/>
  <c r="N90" i="42"/>
  <c r="M90" i="42"/>
  <c r="L90" i="42"/>
  <c r="K90" i="42"/>
  <c r="N31" i="42"/>
  <c r="J90" i="42"/>
  <c r="N35" i="42"/>
  <c r="N16" i="59" l="1"/>
  <c r="R16" i="59"/>
  <c r="Q16" i="59"/>
  <c r="O16" i="59"/>
  <c r="P16" i="59"/>
  <c r="Q15" i="59"/>
  <c r="O15" i="59"/>
  <c r="R15" i="59"/>
  <c r="N15" i="59"/>
  <c r="P15" i="59"/>
  <c r="P25" i="53"/>
  <c r="P88" i="42"/>
  <c r="P90" i="42" s="1"/>
  <c r="O20" i="59" s="1"/>
  <c r="Q25" i="53"/>
  <c r="Q88" i="42"/>
  <c r="Q90" i="42" s="1"/>
  <c r="P20" i="59" s="1"/>
  <c r="O25" i="53"/>
  <c r="W23" i="53"/>
  <c r="O88" i="42"/>
  <c r="S25" i="53"/>
  <c r="S88" i="42"/>
  <c r="S90" i="42" s="1"/>
  <c r="R20" i="59" s="1"/>
  <c r="R25" i="53"/>
  <c r="R88" i="42"/>
  <c r="R90" i="42" s="1"/>
  <c r="Q20" i="59" s="1"/>
  <c r="U15" i="59" l="1"/>
  <c r="U16" i="59"/>
  <c r="W25" i="53"/>
  <c r="V71" i="58"/>
  <c r="N28" i="42"/>
  <c r="N29" i="42" s="1"/>
  <c r="V69" i="58"/>
  <c r="S1" i="58" s="1"/>
  <c r="G12" i="16" s="1"/>
  <c r="O90" i="42"/>
  <c r="N20" i="59" s="1"/>
  <c r="U20" i="59" s="1"/>
  <c r="Z20" i="59" l="1"/>
  <c r="AA20" i="59"/>
  <c r="N13" i="59"/>
  <c r="R13" i="59"/>
  <c r="Q13" i="59"/>
  <c r="P13" i="59"/>
  <c r="O13" i="59"/>
  <c r="AA16" i="59"/>
  <c r="Z16" i="59"/>
  <c r="Z15" i="59"/>
  <c r="AA15" i="59"/>
  <c r="N33" i="42"/>
  <c r="U13" i="59" l="1"/>
  <c r="N52" i="42"/>
  <c r="AA13" i="59" l="1"/>
  <c r="Z13" i="59"/>
  <c r="N54" i="42"/>
  <c r="Q108" i="42" s="1"/>
  <c r="Q13" i="44" s="1"/>
  <c r="P12" i="59"/>
  <c r="O12" i="59"/>
  <c r="N12" i="59"/>
  <c r="R12" i="59"/>
  <c r="Q12" i="59"/>
  <c r="R108" i="42"/>
  <c r="R13" i="44" s="1"/>
  <c r="S108" i="42" l="1"/>
  <c r="S13" i="44" s="1"/>
  <c r="P108" i="42"/>
  <c r="P13" i="44" s="1"/>
  <c r="O108" i="42"/>
  <c r="O13" i="44" s="1"/>
  <c r="R18" i="59"/>
  <c r="N18" i="59"/>
  <c r="P18" i="59"/>
  <c r="N19" i="59"/>
  <c r="R17" i="59"/>
  <c r="N17" i="59"/>
  <c r="Q19" i="59"/>
  <c r="R19" i="59"/>
  <c r="P19" i="59"/>
  <c r="O17" i="59"/>
  <c r="O18" i="59"/>
  <c r="P17" i="59"/>
  <c r="Q18" i="59"/>
  <c r="Q17" i="59"/>
  <c r="O19" i="59"/>
  <c r="O37" i="53"/>
  <c r="W31" i="53"/>
  <c r="O96" i="42"/>
  <c r="R37" i="53" l="1"/>
  <c r="R96" i="42"/>
  <c r="Q37" i="53"/>
  <c r="Q96" i="42"/>
  <c r="S37" i="53"/>
  <c r="S96" i="42"/>
  <c r="P37" i="53"/>
  <c r="P96" i="42"/>
  <c r="O14" i="44"/>
  <c r="O102" i="42"/>
  <c r="N21" i="59" s="1"/>
  <c r="W37" i="53" l="1"/>
  <c r="S1" i="53" s="1"/>
  <c r="G14" i="16" s="1"/>
  <c r="P14" i="44"/>
  <c r="P102" i="42"/>
  <c r="O21" i="59" s="1"/>
  <c r="U21" i="59" s="1"/>
  <c r="S14" i="44"/>
  <c r="S102" i="42"/>
  <c r="R21" i="59" s="1"/>
  <c r="R14" i="44"/>
  <c r="R102" i="42"/>
  <c r="Q21" i="59" s="1"/>
  <c r="Q14" i="44"/>
  <c r="Q102" i="42"/>
  <c r="P21" i="59" s="1"/>
  <c r="O109" i="42"/>
  <c r="O110" i="42" s="1"/>
  <c r="N23" i="59" s="1"/>
  <c r="AA21" i="59" l="1"/>
  <c r="Z21" i="59"/>
  <c r="R109" i="42"/>
  <c r="R110" i="42" s="1"/>
  <c r="Q23" i="59" s="1"/>
  <c r="S109" i="42"/>
  <c r="S110" i="42" s="1"/>
  <c r="R23" i="59" s="1"/>
  <c r="Q109" i="42"/>
  <c r="Q110" i="42" s="1"/>
  <c r="P23" i="59" s="1"/>
  <c r="P109" i="42"/>
  <c r="P110" i="42" s="1"/>
  <c r="O23" i="59" s="1"/>
  <c r="S1" i="16" l="1"/>
  <c r="W1" i="42" l="1"/>
  <c r="Y1" i="59"/>
  <c r="V1" i="4"/>
  <c r="W1" i="44"/>
  <c r="V1" i="58"/>
  <c r="V1" i="54"/>
  <c r="Y1" i="55"/>
  <c r="V1" i="53"/>
  <c r="X1" i="2"/>
  <c r="U11" i="59" l="1"/>
  <c r="Y11" i="59" l="1"/>
  <c r="U12" i="59" l="1"/>
  <c r="U19" i="59" l="1"/>
  <c r="AA19" i="59" s="1"/>
  <c r="U17" i="59"/>
  <c r="U18" i="59"/>
  <c r="AA12" i="59"/>
  <c r="X12" i="59" s="1"/>
  <c r="Z12" i="59"/>
  <c r="X15" i="59"/>
  <c r="X14" i="59"/>
  <c r="X16" i="59"/>
  <c r="X13" i="59"/>
  <c r="Z19" i="59" l="1"/>
  <c r="X20" i="59"/>
  <c r="X22" i="59"/>
  <c r="X21" i="59"/>
  <c r="X19" i="59"/>
  <c r="Z18" i="59"/>
  <c r="AA18" i="59"/>
  <c r="X18" i="59" s="1"/>
  <c r="Z17" i="59"/>
  <c r="AA17" i="59"/>
  <c r="X17" i="59" s="1"/>
  <c r="U23" i="59" l="1"/>
  <c r="Y23" i="59" s="1"/>
  <c r="V19" i="59" l="1"/>
  <c r="V15" i="59"/>
  <c r="V23" i="59"/>
  <c r="V14" i="59"/>
  <c r="V16" i="59"/>
  <c r="V22" i="59"/>
  <c r="V17" i="59"/>
  <c r="V21" i="59"/>
  <c r="V18" i="59"/>
  <c r="V20" i="59"/>
  <c r="V12" i="59"/>
  <c r="V13" i="59"/>
</calcChain>
</file>

<file path=xl/sharedStrings.xml><?xml version="1.0" encoding="utf-8"?>
<sst xmlns="http://schemas.openxmlformats.org/spreadsheetml/2006/main" count="838" uniqueCount="265">
  <si>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</si>
  <si>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</si>
  <si>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</si>
  <si>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</si>
  <si>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</si>
  <si>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</si>
  <si>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</si>
  <si>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</si>
  <si>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</si>
  <si>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</si>
  <si>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</si>
  <si>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</si>
  <si>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</si>
  <si>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</si>
  <si>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</si>
  <si>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</si>
  <si>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</si>
  <si>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</si>
  <si>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</si>
  <si>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</si>
  <si>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</si>
  <si>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</si>
  <si>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</si>
  <si>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</si>
  <si>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</si>
  <si>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</si>
  <si>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</si>
  <si>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</si>
  <si>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</si>
  <si>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</si>
  <si>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</si>
  <si>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</si>
  <si>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</si>
  <si>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</si>
  <si>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</si>
  <si>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</si>
  <si>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</si>
  <si>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</si>
  <si>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</si>
  <si>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</si>
  <si>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</si>
  <si>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</si>
  <si>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</si>
  <si>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</si>
  <si>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</si>
  <si>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</si>
  <si>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</si>
  <si>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</si>
  <si>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</si>
  <si>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</si>
  <si>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</si>
  <si>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</si>
  <si>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</si>
  <si>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</si>
  <si>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</si>
  <si>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</si>
  <si>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</si>
  <si>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</si>
  <si>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</si>
  <si>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</si>
  <si>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</si>
  <si>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</si>
  <si>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</si>
  <si>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</si>
  <si>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</si>
  <si>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</si>
  <si>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</si>
  <si>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</si>
  <si>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</si>
  <si>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</si>
  <si>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</si>
  <si>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</si>
  <si>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</si>
  <si>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</si>
  <si>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</si>
  <si>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</si>
  <si>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</si>
  <si>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</si>
  <si>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</si>
  <si>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</si>
  <si>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</si>
  <si>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</si>
  <si>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</si>
  <si>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</si>
  <si>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</si>
  <si>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</si>
  <si>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</si>
  <si>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</si>
  <si>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</si>
  <si>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</si>
  <si>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</si>
  <si>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</si>
  <si>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</si>
  <si>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</si>
  <si>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</si>
  <si>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</si>
  <si>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</si>
  <si>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</si>
  <si>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</si>
  <si>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</si>
  <si>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</si>
  <si>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</si>
  <si>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</si>
  <si>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</si>
  <si>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</si>
  <si>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</si>
  <si>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</si>
  <si>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</si>
  <si>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</si>
  <si>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</si>
  <si>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</si>
  <si>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</si>
  <si>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</si>
  <si>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</si>
  <si>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</si>
  <si>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</si>
  <si>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</si>
  <si>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</si>
  <si>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</si>
  <si>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</si>
  <si>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</si>
  <si>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</si>
  <si>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</si>
  <si>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</si>
  <si>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</si>
  <si>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</si>
  <si>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</si>
  <si>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</si>
  <si>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</si>
  <si>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</si>
  <si>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</si>
  <si>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</si>
  <si>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</si>
  <si>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</si>
  <si>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</si>
  <si>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</si>
  <si>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</si>
  <si>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</si>
  <si>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</si>
  <si>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</si>
  <si>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</si>
  <si>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</si>
  <si>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</si>
  <si>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</si>
  <si>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</si>
  <si>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</si>
  <si>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</si>
  <si>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</si>
  <si>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</si>
  <si>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</si>
  <si>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</si>
  <si>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</si>
  <si>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</si>
  <si>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</si>
  <si>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</si>
  <si>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</si>
  <si>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</si>
  <si>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</si>
  <si>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</si>
  <si>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</si>
  <si>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</si>
  <si>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</si>
  <si>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</si>
  <si>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</si>
  <si>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</si>
  <si>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</si>
  <si>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</si>
  <si>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</si>
  <si>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</si>
  <si>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</si>
  <si>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</si>
  <si>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</si>
  <si>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</si>
  <si>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</si>
  <si>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</si>
  <si>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</si>
  <si>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</si>
  <si>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</si>
  <si>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</si>
  <si>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</si>
  <si>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</si>
  <si>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</si>
  <si>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</si>
  <si>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</si>
  <si>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</si>
  <si>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</si>
  <si>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</si>
  <si>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</si>
  <si>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</si>
  <si>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</si>
  <si>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</si>
  <si>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</si>
  <si>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</si>
  <si>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</si>
  <si>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</si>
  <si>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</si>
  <si>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</si>
  <si>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</si>
  <si>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</si>
  <si>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</si>
  <si>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</si>
  <si>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</si>
  <si>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</si>
  <si>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</si>
  <si>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</si>
  <si>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</si>
  <si>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</si>
  <si>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</si>
  <si>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</si>
  <si>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</si>
  <si>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</si>
  <si>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</si>
  <si>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v2.4</t>
  </si>
  <si>
    <t>Note: Include a label for each output specification. Leave unused columns empty.</t>
  </si>
  <si>
    <t>Ausnet</t>
  </si>
  <si>
    <t>GSL payments</t>
  </si>
  <si>
    <t>innovation</t>
  </si>
  <si>
    <t>GSL</t>
  </si>
  <si>
    <t>GSL payments (June 2021 storms)</t>
  </si>
  <si>
    <t>GSL payments (February 2024 storms)</t>
  </si>
  <si>
    <t>GSL payments (June 2021 Storms)</t>
  </si>
  <si>
    <t>GSL payments (February 2024 Storms)</t>
  </si>
  <si>
    <t>Innovation Fund</t>
  </si>
  <si>
    <t>Adjustment - Corporate Overheads</t>
  </si>
  <si>
    <t xml:space="preserve">Adjustment - Property </t>
  </si>
  <si>
    <t>DAE forecast</t>
  </si>
  <si>
    <t>Oxford economics</t>
  </si>
  <si>
    <t xml:space="preserve">WPI - average </t>
  </si>
  <si>
    <t>Saas costs</t>
  </si>
  <si>
    <t>Flexible services and non-network solutions</t>
  </si>
  <si>
    <t xml:space="preserve">ESV more frequent pole inspections </t>
  </si>
  <si>
    <t>Fleet Electrification</t>
  </si>
  <si>
    <t>Digital (SaaS, Licenses, etc.)</t>
  </si>
  <si>
    <t xml:space="preserve">EFD Rollout </t>
  </si>
  <si>
    <t>Digital Efficiencies</t>
  </si>
  <si>
    <t xml:space="preserve">Preparedness and Response </t>
  </si>
  <si>
    <t>Resilience (Hazard tree program)</t>
  </si>
  <si>
    <t>Customer relationship management and broad communications</t>
  </si>
  <si>
    <t>Emergency Backstop Mechanism</t>
  </si>
  <si>
    <t>Insurance</t>
  </si>
  <si>
    <t>Innovation fund</t>
  </si>
  <si>
    <t>GSL payments (September 2024 storms)</t>
  </si>
  <si>
    <t>License fees</t>
  </si>
  <si>
    <t>Negative Insurance</t>
  </si>
  <si>
    <t/>
  </si>
  <si>
    <t>OK</t>
  </si>
  <si>
    <t>Output|Decomposition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</si>
  <si>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</si>
  <si>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</si>
  <si>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</si>
  <si>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</si>
  <si>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</si>
  <si>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</si>
  <si>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</si>
  <si>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</si>
  <si>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</si>
  <si>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</si>
  <si>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</si>
  <si>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</si>
  <si>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</si>
  <si>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</si>
  <si>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 Decomposition</t>
  </si>
  <si>
    <t>Outputs the contribution of the various elements to the total opex forecast generated by this opex model.</t>
  </si>
  <si>
    <t>Based on reported opex in 2022–23</t>
  </si>
  <si>
    <t>2022–23 to 2025–26 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</si>
</sst>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_ ;\-#,##0.0\ "/>
    <numFmt numFmtId="211" formatCode="0.0;\-0.0;_(&quot;-&quot;_)"/>
    <numFmt numFmtId="212" formatCode="_(#\ ##0.0_);\(#\ ##0.0\);_(&quot;-&quot;_)"/>
    <numFmt numFmtId="213" formatCode="_-* ###\ ##0.00_-;\-* ###\ ##0.00_-;_-* &quot;-&quot;??_-;_-@_-"/>
  </numFmts>
  <fonts count="9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7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6" fontId="14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7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4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7">
      <alignment vertical="center"/>
    </xf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4" borderId="0" applyNumberFormat="0" applyFont="0" applyBorder="0" applyAlignment="0">
      <alignment horizontal="right"/>
    </xf>
    <xf numFmtId="164" fontId="23" fillId="4" borderId="0" applyNumberFormat="0" applyFont="0" applyBorder="0" applyAlignment="0">
      <alignment horizontal="right"/>
    </xf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36" borderId="0" applyFont="0" applyBorder="0" applyAlignment="0">
      <alignment horizontal="right"/>
      <protection locked="0"/>
    </xf>
    <xf numFmtId="164" fontId="23" fillId="36" borderId="0" applyFont="0" applyBorder="0" applyAlignment="0">
      <alignment horizontal="right"/>
      <protection locked="0"/>
    </xf>
    <xf numFmtId="164" fontId="23" fillId="10" borderId="0" applyFont="0" applyBorder="0">
      <alignment horizontal="right"/>
      <protection locked="0"/>
    </xf>
    <xf numFmtId="164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0" fontId="3" fillId="0" borderId="0"/>
    <xf numFmtId="166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2" fillId="0" borderId="0"/>
    <xf numFmtId="0" fontId="1" fillId="0" borderId="0"/>
  </cellStyleXfs>
  <cellXfs count="223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6" fontId="13" fillId="0" borderId="6" xfId="0" applyNumberFormat="1" applyFont="1" applyBorder="1" applyAlignment="1">
      <alignment horizontal="center"/>
    </xf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4" fontId="13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4" fillId="38" borderId="0" xfId="0" applyNumberFormat="1" applyFont="1" applyFill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74" fillId="38" borderId="1" xfId="0" applyFont="1" applyFill="1" applyBorder="1" applyAlignment="1">
      <alignment horizontal="left" indent="9"/>
    </xf>
    <xf numFmtId="0" fontId="24" fillId="38" borderId="2" xfId="0" applyFont="1" applyFill="1" applyBorder="1"/>
    <xf numFmtId="0" fontId="75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5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0" fontId="11" fillId="38" borderId="2" xfId="0" applyFont="1" applyFill="1" applyBorder="1"/>
    <xf numFmtId="0" fontId="12" fillId="38" borderId="2" xfId="0" applyFont="1" applyFill="1" applyBorder="1" applyAlignment="1">
      <alignment horizontal="center"/>
    </xf>
    <xf numFmtId="0" fontId="12" fillId="38" borderId="2" xfId="0" applyFont="1" applyFill="1" applyBorder="1"/>
    <xf numFmtId="168" fontId="9" fillId="0" borderId="7" xfId="0" applyNumberFormat="1" applyFont="1" applyBorder="1"/>
    <xf numFmtId="168" fontId="7" fillId="0" borderId="7" xfId="0" applyNumberFormat="1" applyFont="1" applyBorder="1"/>
    <xf numFmtId="10" fontId="7" fillId="0" borderId="0" xfId="2" applyNumberFormat="1" applyFont="1" applyBorder="1" applyAlignment="1" applyProtection="1">
      <alignment horizontal="center"/>
    </xf>
    <xf numFmtId="176" fontId="7" fillId="0" borderId="0" xfId="0" applyNumberFormat="1" applyFont="1"/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2" fillId="38" borderId="2" xfId="0" applyNumberFormat="1" applyFont="1" applyFill="1" applyBorder="1" applyAlignment="1">
      <alignment horizontal="center"/>
    </xf>
    <xf numFmtId="204" fontId="75" fillId="38" borderId="2" xfId="0" applyNumberFormat="1" applyFont="1" applyFill="1" applyBorder="1" applyAlignment="1">
      <alignment horizontal="left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0" fontId="75" fillId="38" borderId="25" xfId="0" applyFont="1" applyFill="1" applyBorder="1"/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75" fillId="38" borderId="2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195" fontId="21" fillId="0" borderId="0" xfId="0" applyNumberFormat="1" applyFont="1" applyProtection="1">
      <protection locked="0"/>
    </xf>
    <xf numFmtId="195" fontId="15" fillId="0" borderId="0" xfId="3" applyNumberFormat="1" applyProtection="1">
      <protection locked="0"/>
    </xf>
    <xf numFmtId="193" fontId="7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9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9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6" fillId="0" borderId="0" xfId="0" applyNumberFormat="1" applyFont="1" applyAlignment="1">
      <alignment horizontal="center"/>
    </xf>
    <xf numFmtId="168" fontId="75" fillId="0" borderId="0" xfId="0" applyNumberFormat="1" applyFont="1" applyAlignment="1">
      <alignment horizontal="center"/>
    </xf>
    <xf numFmtId="168" fontId="24" fillId="0" borderId="0" xfId="0" applyNumberFormat="1" applyFont="1"/>
    <xf numFmtId="204" fontId="24" fillId="0" borderId="7" xfId="0" applyNumberFormat="1" applyFont="1" applyBorder="1" applyAlignment="1">
      <alignment horizontal="center"/>
    </xf>
    <xf numFmtId="168" fontId="24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4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4" fillId="0" borderId="4" xfId="0" applyNumberFormat="1" applyFont="1" applyBorder="1" applyAlignment="1">
      <alignment horizontal="left"/>
    </xf>
    <xf numFmtId="168" fontId="76" fillId="0" borderId="4" xfId="0" applyNumberFormat="1" applyFont="1" applyBorder="1" applyAlignment="1">
      <alignment horizontal="center"/>
    </xf>
    <xf numFmtId="204" fontId="76" fillId="0" borderId="4" xfId="0" applyNumberFormat="1" applyFont="1" applyBorder="1" applyAlignment="1">
      <alignment horizontal="center"/>
    </xf>
    <xf numFmtId="199" fontId="24" fillId="0" borderId="4" xfId="5" applyNumberFormat="1" applyFont="1" applyBorder="1" applyAlignment="1" applyProtection="1">
      <alignment horizontal="center" vertical="center"/>
    </xf>
    <xf numFmtId="204" fontId="76" fillId="0" borderId="0" xfId="0" applyNumberFormat="1" applyFont="1" applyAlignment="1">
      <alignment horizontal="center"/>
    </xf>
    <xf numFmtId="49" fontId="76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4" fillId="0" borderId="4" xfId="5" applyNumberFormat="1" applyFont="1" applyBorder="1" applyAlignment="1" applyProtection="1">
      <alignment horizontal="center" vertical="center"/>
    </xf>
    <xf numFmtId="204" fontId="24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 applyAlignment="1">
      <alignment horizontal="center" vertical="center"/>
    </xf>
    <xf numFmtId="0" fontId="75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6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4" fillId="0" borderId="0" xfId="0" applyNumberFormat="1" applyFont="1" applyAlignment="1">
      <alignment horizontal="center"/>
    </xf>
    <xf numFmtId="168" fontId="76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6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4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4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4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5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5" fillId="0" borderId="0" xfId="3" applyFill="1"/>
    <xf numFmtId="168" fontId="15" fillId="0" borderId="0" xfId="3" applyNumberFormat="1" applyFont="1" applyAlignment="1" applyProtection="1">
      <protection locked="0"/>
    </xf>
    <xf numFmtId="0" fontId="73" fillId="38" borderId="0" xfId="0" applyFont="1" applyFill="1" applyProtection="1">
      <protection locked="0"/>
    </xf>
    <xf numFmtId="0" fontId="15" fillId="38" borderId="0" xfId="3" applyFill="1" applyBorder="1" applyAlignment="1" applyProtection="1">
      <alignment horizontal="right"/>
      <protection locked="0"/>
    </xf>
    <xf numFmtId="168" fontId="15" fillId="0" borderId="0" xfId="3" applyNumberFormat="1" applyFont="1" applyAlignment="1" applyProtection="1">
      <alignment horizontal="center"/>
      <protection locked="0"/>
    </xf>
    <xf numFmtId="0" fontId="15" fillId="0" borderId="0" xfId="3" applyFill="1" applyProtection="1">
      <protection locked="0"/>
    </xf>
    <xf numFmtId="194" fontId="24" fillId="8" borderId="26" xfId="0" applyNumberFormat="1" applyFont="1" applyFill="1" applyBorder="1" applyAlignment="1" applyProtection="1">
      <alignment horizontal="center"/>
    </xf>
    <xf numFmtId="168" fontId="76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0" fontId="7" fillId="0" borderId="0" xfId="0" applyNumberFormat="1" applyFont="1" applyAlignment="1">
      <alignment horizontal="center"/>
    </xf>
    <xf numFmtId="193" fontId="7" fillId="52" borderId="3" xfId="0" applyNumberFormat="1" applyFont="1" applyFill="1" applyBorder="1" applyAlignment="1" applyProtection="1">
      <alignment horizontal="center"/>
      <protection locked="0"/>
    </xf>
    <xf numFmtId="174" fontId="24" fillId="0" borderId="0" xfId="5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0" fillId="0" borderId="0" xfId="3" applyFont="1" applyFill="1" applyProtection="1">
      <protection locked="0"/>
    </xf>
    <xf numFmtId="204" fontId="7" fillId="41" borderId="3" xfId="2" applyNumberFormat="1" applyFont="1" applyFill="1" applyBorder="1" applyAlignment="1" applyProtection="1">
      <alignment horizontal="center"/>
      <protection locked="0"/>
    </xf>
    <xf numFmtId="195" fontId="0" fillId="0" borderId="0" xfId="0" applyNumberFormat="1" applyFont="1"/>
    <xf numFmtId="211" fontId="0" fillId="0" borderId="0" xfId="2" applyNumberFormat="1" applyFont="1" applyFill="1" applyBorder="1" applyAlignment="1" applyProtection="1">
      <alignment horizontal="center"/>
      <protection locked="0"/>
    </xf>
    <xf numFmtId="193" fontId="0" fillId="0" borderId="0" xfId="0" applyNumberFormat="1" applyFont="1" applyAlignment="1" applyProtection="1">
      <alignment horizontal="center"/>
      <protection locked="0"/>
    </xf>
    <xf numFmtId="212" fontId="24" fillId="0" borderId="4" xfId="5" applyNumberFormat="1" applyFont="1" applyBorder="1" applyAlignment="1" applyProtection="1">
      <alignment horizontal="center" vertical="center"/>
    </xf>
    <xf numFmtId="0" fontId="75" fillId="38" borderId="2" xfId="0" applyFont="1" applyFill="1" applyBorder="1" applyAlignment="1">
      <alignment horizontal="center"/>
    </xf>
    <xf numFmtId="0" fontId="1" fillId="0" borderId="0" xfId="306"/>
    <xf numFmtId="0" fontId="96" fillId="0" borderId="0" xfId="306" applyFont="1"/>
    <xf numFmtId="0" fontId="96" fillId="0" borderId="0" xfId="306" applyFont="1" applyAlignment="1">
      <alignment horizontal="right"/>
    </xf>
    <xf numFmtId="0" fontId="13" fillId="0" borderId="0" xfId="306" applyFont="1" applyAlignment="1">
      <alignment horizontal="right"/>
    </xf>
    <xf numFmtId="10" fontId="9" fillId="0" borderId="0" xfId="2" applyNumberFormat="1" applyFont="1" applyAlignment="1" applyProtection="1">
      <alignment horizontal="center"/>
    </xf>
    <xf numFmtId="213" fontId="9" fillId="0" borderId="0" xfId="0" applyNumberFormat="1" applyFont="1" applyAlignment="1">
      <alignment horizontal="center"/>
    </xf>
    <xf numFmtId="0" fontId="97" fillId="0" borderId="0" xfId="306" applyFont="1" applyAlignment="1">
      <alignment horizontal="right"/>
    </xf>
    <xf numFmtId="166" fontId="1" fillId="0" borderId="0" xfId="306" applyNumberFormat="1"/>
    <xf numFmtId="2" fontId="1" fillId="0" borderId="0" xfId="306" applyNumberFormat="1"/>
    <xf numFmtId="43" fontId="96" fillId="0" borderId="0" xfId="306" applyNumberFormat="1" applyFont="1" applyAlignment="1">
      <alignment horizontal="right"/>
    </xf>
    <xf numFmtId="0" fontId="16" fillId="0" borderId="0" xfId="306" applyFont="1"/>
    <xf numFmtId="166" fontId="1" fillId="0" borderId="0" xfId="6" applyFont="1"/>
    <xf numFmtId="43" fontId="1" fillId="0" borderId="0" xfId="306" applyNumberFormat="1"/>
    <xf numFmtId="0" fontId="98" fillId="0" borderId="0" xfId="306" applyFont="1"/>
    <xf numFmtId="168" fontId="15" fillId="0" borderId="0" xfId="3" applyNumberFormat="1" applyAlignment="1" applyProtection="1">
      <protection locked="0"/>
    </xf>
    <xf numFmtId="0" fontId="75" fillId="38" borderId="2" xfId="0" applyFont="1" applyFill="1" applyBorder="1" applyAlignment="1">
      <alignment horizontal="center"/>
    </xf>
  </cellXfs>
  <cellStyles count="30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0 3 2" xfId="306" xr:uid="{53081495-EFD1-46A9-AB50-971CAA8782D4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1340.3551807781182</c:v>
                </c:pt>
                <c:pt idx="2">
                  <c:v>1340.3551807781182</c:v>
                </c:pt>
                <c:pt idx="3">
                  <c:v>1363.7852386651314</c:v>
                </c:pt>
                <c:pt idx="4">
                  <c:v>1376.4440101095051</c:v>
                </c:pt>
                <c:pt idx="5">
                  <c:v>1436.3401957938934</c:v>
                </c:pt>
                <c:pt idx="6">
                  <c:v>1436.3401957938934</c:v>
                </c:pt>
                <c:pt idx="7">
                  <c:v>1478.172387120371</c:v>
                </c:pt>
                <c:pt idx="8">
                  <c:v>1482.8690076267658</c:v>
                </c:pt>
                <c:pt idx="9">
                  <c:v>1442.6619371927375</c:v>
                </c:pt>
                <c:pt idx="10">
                  <c:v>1442.6619371927375</c:v>
                </c:pt>
                <c:pt idx="11">
                  <c:v>1488.5703126019287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C-462F-A3E0-2B6AE57E4F9B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1340.3551807781182</c:v>
                </c:pt>
                <c:pt idx="12">
                  <c:v>1504.2367145188755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C-462F-A3E0-2B6AE57E4F9B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23.430057887013085</c:v>
                </c:pt>
                <c:pt idx="3">
                  <c:v>12.658771444373862</c:v>
                </c:pt>
                <c:pt idx="4">
                  <c:v>97.488945881119662</c:v>
                </c:pt>
                <c:pt idx="5">
                  <c:v>0</c:v>
                </c:pt>
                <c:pt idx="6">
                  <c:v>41.832191326477698</c:v>
                </c:pt>
                <c:pt idx="7">
                  <c:v>26.374728044518783</c:v>
                </c:pt>
                <c:pt idx="8">
                  <c:v>0</c:v>
                </c:pt>
                <c:pt idx="9">
                  <c:v>0</c:v>
                </c:pt>
                <c:pt idx="10">
                  <c:v>45.908375409191159</c:v>
                </c:pt>
                <c:pt idx="11">
                  <c:v>15.666401916946993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3C-462F-A3E0-2B6AE57E4F9B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37.592760196731469</c:v>
                </c:pt>
                <c:pt idx="6">
                  <c:v>0</c:v>
                </c:pt>
                <c:pt idx="7">
                  <c:v>0</c:v>
                </c:pt>
                <c:pt idx="8">
                  <c:v>21.678107538124191</c:v>
                </c:pt>
                <c:pt idx="9">
                  <c:v>40.207070434028211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C-462F-A3E0-2B6AE57E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2021-22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96EEB-BB6F-4ED1-A7F8-B859FC961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4"/>
  <sheetViews>
    <sheetView tabSelected="1" topLeftCell="C1" workbookViewId="0">
      <selection activeCell="A17" sqref="A17:XFD18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212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188" t="s">
        <v>57</v>
      </c>
      <c r="D7" s="8" t="s">
        <v>196</v>
      </c>
    </row>
    <row r="8" spans="1:30">
      <c r="C8" s="188" t="s">
        <v>35</v>
      </c>
      <c r="D8" s="8" t="s">
        <v>91</v>
      </c>
    </row>
    <row r="9" spans="1:30" ht="10.5">
      <c r="C9" s="188" t="s">
        <v>54</v>
      </c>
      <c r="D9" s="8" t="s">
        <v>204</v>
      </c>
    </row>
    <row r="10" spans="1:30">
      <c r="C10" s="188" t="s">
        <v>169</v>
      </c>
      <c r="D10" s="8" t="s">
        <v>197</v>
      </c>
    </row>
    <row r="11" spans="1:30">
      <c r="C11" s="188" t="s">
        <v>56</v>
      </c>
      <c r="D11" s="8" t="s">
        <v>198</v>
      </c>
    </row>
    <row r="12" spans="1:30">
      <c r="C12" s="188" t="s">
        <v>170</v>
      </c>
      <c r="D12" s="8" t="s">
        <v>199</v>
      </c>
    </row>
    <row r="13" spans="1:30">
      <c r="C13" s="188" t="s">
        <v>171</v>
      </c>
      <c r="D13" s="8" t="s">
        <v>200</v>
      </c>
    </row>
    <row r="14" spans="1:30">
      <c r="C14" s="221" t="s">
        <v>261</v>
      </c>
      <c r="D14" s="8" t="s">
        <v>262</v>
      </c>
    </row>
    <row r="15" spans="1:30">
      <c r="C15" s="188" t="s">
        <v>50</v>
      </c>
      <c r="D15" s="8" t="s">
        <v>55</v>
      </c>
    </row>
    <row r="16" spans="1:30">
      <c r="C16" s="188" t="s">
        <v>25</v>
      </c>
      <c r="D16" s="8" t="s">
        <v>201</v>
      </c>
    </row>
    <row r="19" spans="1:30" ht="13">
      <c r="C19" s="10"/>
      <c r="D19" s="7"/>
    </row>
    <row r="20" spans="1:30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6"/>
      <c r="Y20" s="36"/>
      <c r="Z20" s="36"/>
      <c r="AA20" s="36"/>
      <c r="AB20" s="36"/>
      <c r="AC20" s="37"/>
      <c r="AD20" s="37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D24" s="7"/>
      <c r="F24" s="23"/>
    </row>
    <row r="25" spans="1:30" hidden="1">
      <c r="D25" s="7"/>
      <c r="F25" s="23"/>
    </row>
    <row r="26" spans="1:30" hidden="1">
      <c r="C26" s="7"/>
      <c r="D26" s="7"/>
      <c r="F26" s="23"/>
    </row>
    <row r="27" spans="1:30" hidden="1">
      <c r="C27" s="7"/>
      <c r="D27" s="7"/>
      <c r="F27" s="23"/>
    </row>
    <row r="28" spans="1:30" hidden="1">
      <c r="C28" s="7"/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idden="1">
      <c r="D32" s="7"/>
    </row>
    <row r="33" spans="3:4" hidden="1">
      <c r="D33" s="7"/>
    </row>
    <row r="34" spans="3:4" ht="13" hidden="1">
      <c r="C34" s="10"/>
      <c r="D34" s="7"/>
    </row>
  </sheetData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944D5D92-B8A1-4E38-BCB1-E010F34521C4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workbookViewId="0">
      <selection activeCell="A16" sqref="A16:XFD1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190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214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181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194</v>
      </c>
      <c r="D10" s="16" t="s">
        <v>63</v>
      </c>
      <c r="E10" s="8"/>
      <c r="F10" s="8"/>
      <c r="G10" s="93">
        <v>2022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2023</v>
      </c>
      <c r="H11" s="8"/>
      <c r="I11" s="8"/>
      <c r="S11" s="81" t="str">
        <f t="shared" si="0"/>
        <v>Ok</v>
      </c>
    </row>
    <row r="12" spans="1:30" ht="10.5">
      <c r="C12" s="8" t="s">
        <v>195</v>
      </c>
      <c r="D12" s="16" t="s">
        <v>63</v>
      </c>
      <c r="E12" s="8"/>
      <c r="F12" s="8"/>
      <c r="G12" s="93">
        <v>2026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2027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2031</v>
      </c>
      <c r="H14" s="8"/>
      <c r="I14" s="8"/>
      <c r="S14" s="81" t="str">
        <f t="shared" si="0"/>
        <v>Ok</v>
      </c>
    </row>
    <row r="15" spans="1:30" ht="10.5">
      <c r="C15" s="8" t="s">
        <v>172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 hidden="1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 link="1"/>
  <conditionalFormatting sqref="S1">
    <cfRule type="cellIs" dxfId="176" priority="1" operator="equal">
      <formula>"Check"</formula>
    </cfRule>
    <cfRule type="cellIs" dxfId="175" priority="2" operator="equal">
      <formula>"Ok"</formula>
    </cfRule>
  </conditionalFormatting>
  <conditionalFormatting sqref="S7:S15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1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W14:W16">
    <cfRule type="cellIs" dxfId="170" priority="13" operator="equal">
      <formula>"Check"</formula>
    </cfRule>
    <cfRule type="cellIs" dxfId="169" priority="14" operator="equal">
      <formula>"Ok"</formula>
    </cfRule>
  </conditionalFormatting>
  <dataValidations count="3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workbookViewId="0">
      <selection activeCell="C2" sqref="C2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v2.4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189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190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190</v>
      </c>
      <c r="H6" s="47" t="s">
        <v>191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189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196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196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196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196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196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196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196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196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196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196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196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196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197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197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197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197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197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197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197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197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197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197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197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197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197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197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197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197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197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197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197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197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197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197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197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197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197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197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197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197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197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197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197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197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197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197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197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197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197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197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197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197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197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197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197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197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197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197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197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197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197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197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197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197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197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197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187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197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8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197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192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197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197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192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197">
        <v>139.1</v>
      </c>
      <c r="G79" s="110"/>
      <c r="H79" s="117">
        <f>IF(F79="",IF(COUNT(G79:G$88)=0,"",IF(ISBLANK(G79),AVERAGE(H78,H80),(1+G79)*H75)),F79)</f>
        <v>139.1</v>
      </c>
      <c r="I79" s="72">
        <f t="shared" si="2"/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197">
        <v>139.4</v>
      </c>
      <c r="G80" s="110"/>
      <c r="H80" s="117">
        <f>IF(F80="",IF(COUNT(G80:G$88)=0,"",IF(ISBLANK(G80),AVERAGE(H79,H81),(1+G80)*H76)),F80)</f>
        <v>139.4</v>
      </c>
      <c r="I80" s="72">
        <f t="shared" si="2"/>
        <v>2.4246877296105973E-2</v>
      </c>
      <c r="J80" s="192"/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197">
        <v>140.69999999999999</v>
      </c>
      <c r="G81" s="110"/>
      <c r="H81" s="117">
        <f>IF(F81="",IF(COUNT(G81:G$88)=0,"",IF(ISBLANK(G81),AVERAGE(H80,H82),(1+G81)*H77)),F81)</f>
        <v>140.69999999999999</v>
      </c>
      <c r="I81" s="72">
        <f t="shared" si="2"/>
        <v>2.4017467248908186E-2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197">
        <v>141.69999999999999</v>
      </c>
      <c r="G82" s="110"/>
      <c r="H82" s="117">
        <f>IF(F82="",IF(COUNT(G82:G$88)=0,"",IF(ISBLANK(G82),AVERAGE(H81,H83),(1+G82)*H78)),F82)</f>
        <v>141.69999999999999</v>
      </c>
      <c r="I82" s="72">
        <f t="shared" si="2"/>
        <v>2.0893371757924939E-2</v>
      </c>
      <c r="J82" s="192"/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197" t="s">
        <v>244</v>
      </c>
      <c r="G83" s="110"/>
      <c r="H83" s="117">
        <f>IF(F83="",IF(COUNT(G83:G$88)=0,"",IF(ISBLANK(G83),AVERAGE(H82,H84),(1+G83)*H79)),F83)</f>
        <v>142.64100000000002</v>
      </c>
      <c r="I83" s="72">
        <f t="shared" si="2"/>
        <v>2.5456506110711929E-2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197" t="s">
        <v>244</v>
      </c>
      <c r="G84" s="110">
        <v>0.03</v>
      </c>
      <c r="H84" s="117">
        <f>IF(F84="",IF(COUNT(G84:G$88)=0,"",IF(ISBLANK(G84),AVERAGE(H83,H85),(1+G84)*H80)),F84)</f>
        <v>143.58200000000002</v>
      </c>
      <c r="I84" s="72">
        <f t="shared" si="2"/>
        <v>3.0000000000000027E-2</v>
      </c>
      <c r="J84" s="192"/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197" t="s">
        <v>244</v>
      </c>
      <c r="G85" s="110"/>
      <c r="H85" s="117">
        <f>IF(F85="",IF(COUNT(G85:G$88)=0,"",IF(ISBLANK(G85),AVERAGE(H84,H86),(1+G85)*H81)),F85)</f>
        <v>144.83735000000001</v>
      </c>
      <c r="I85" s="72">
        <f t="shared" si="2"/>
        <v>2.9405472636816032E-2</v>
      </c>
      <c r="J85" s="192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197" t="s">
        <v>244</v>
      </c>
      <c r="G86" s="110">
        <v>3.1E-2</v>
      </c>
      <c r="H86" s="117">
        <f>IF(F86="",IF(COUNT(G86:G$88)=0,"",IF(ISBLANK(G86),AVERAGE(H85,H87),(1+G86)*H82)),F86)</f>
        <v>146.09269999999998</v>
      </c>
      <c r="I86" s="72">
        <f t="shared" si="2"/>
        <v>3.0999999999999917E-2</v>
      </c>
      <c r="J86" s="200"/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197" t="s">
        <v>244</v>
      </c>
      <c r="G87" s="110"/>
      <c r="H87" s="117">
        <f>IF(F87="",IF(COUNT(G87:G$88)=0,"",IF(ISBLANK(G87),AVERAGE(H86,H88),(1+G87)*H83)),F87)</f>
        <v>146.91928899999999</v>
      </c>
      <c r="I87" s="72">
        <f t="shared" si="2"/>
        <v>2.9993403018767184E-2</v>
      </c>
      <c r="J87" s="192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197" t="s">
        <v>244</v>
      </c>
      <c r="G88" s="110">
        <v>2.9000000000000001E-2</v>
      </c>
      <c r="H88" s="117">
        <f>IF(F88="",IF(COUNT(G88:G$88)=0,"",IF(ISBLANK(G88),AVERAGE(H87,H89),(1+G88)*H84)),F88)</f>
        <v>147.745878</v>
      </c>
      <c r="I88" s="72">
        <f t="shared" si="2"/>
        <v>2.8999999999999915E-2</v>
      </c>
      <c r="J88" s="200"/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 hidden="1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conditionalFormatting sqref="G21:G88">
    <cfRule type="expression" dxfId="168" priority="1">
      <formula>F21=""</formula>
    </cfRule>
  </conditionalFormatting>
  <conditionalFormatting sqref="V1">
    <cfRule type="cellIs" dxfId="167" priority="6" operator="equal">
      <formula>"Check"</formula>
    </cfRule>
    <cfRule type="cellIs" dxfId="166" priority="7" operator="equal">
      <formula>"Ok"</formula>
    </cfRule>
  </conditionalFormatting>
  <conditionalFormatting sqref="V9:V88">
    <cfRule type="cellIs" dxfId="165" priority="12" operator="equal">
      <formula>"Check"</formula>
    </cfRule>
    <cfRule type="cellIs" dxfId="164" priority="13" operator="equal">
      <formula>"Ok"</formula>
    </cfRule>
  </conditionalFormatting>
  <conditionalFormatting sqref="Y1">
    <cfRule type="cellIs" dxfId="163" priority="8" operator="equal">
      <formula>"Check"</formula>
    </cfRule>
    <cfRule type="cellIs" dxfId="162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zoomScaleNormal="100" workbookViewId="0">
      <selection activeCell="C9" sqref="C9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v2.4</v>
      </c>
      <c r="D1" s="25"/>
      <c r="E1" s="25"/>
      <c r="F1" s="26"/>
      <c r="G1" s="26"/>
      <c r="H1" s="26"/>
      <c r="I1" s="26"/>
      <c r="J1" s="189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IF(COUNTA($V$8:$V$266)=COUNTIF($V$8:$V$266,"OK"),"OK","Check")</f>
        <v>OK</v>
      </c>
      <c r="T1" s="29"/>
      <c r="U1" s="190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8"/>
      <c r="B8" s="38" t="s">
        <v>205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 ht="10.5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44713</v>
      </c>
      <c r="K10" s="126">
        <f t="shared" si="0"/>
        <v>45078</v>
      </c>
      <c r="L10" s="126">
        <f t="shared" si="0"/>
        <v>45444</v>
      </c>
      <c r="M10" s="126">
        <f t="shared" si="0"/>
        <v>45809</v>
      </c>
      <c r="N10" s="126">
        <f t="shared" si="0"/>
        <v>46174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 ht="10.5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 ht="10.5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44348</v>
      </c>
      <c r="G13" s="124"/>
      <c r="H13" s="124"/>
      <c r="I13" s="123"/>
      <c r="J13" s="204">
        <v>267.17792874348316</v>
      </c>
      <c r="K13" s="204">
        <v>243.40406829574664</v>
      </c>
      <c r="L13" s="204">
        <v>272.84233487501456</v>
      </c>
      <c r="M13" s="204">
        <v>264.78212137502663</v>
      </c>
      <c r="N13" s="204">
        <v>259.25932563670483</v>
      </c>
      <c r="O13" s="132"/>
      <c r="P13" s="132"/>
      <c r="Q13" s="132"/>
      <c r="R13" s="132"/>
      <c r="S13" s="132"/>
      <c r="T13" s="132"/>
      <c r="U13" s="122" t="s">
        <v>173</v>
      </c>
      <c r="V13" s="64" t="str">
        <f>IF(COUNT(J13:T13)=COUNT($J$10:$T$10),"Ok","Check")</f>
        <v>Ok</v>
      </c>
    </row>
    <row r="14" spans="1:22" ht="10.5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 ht="10.5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44348</v>
      </c>
      <c r="G15" s="124"/>
      <c r="H15" s="124"/>
      <c r="I15" s="123"/>
      <c r="J15" s="205">
        <f>J13</f>
        <v>267.17792874348316</v>
      </c>
      <c r="K15" s="205">
        <f t="shared" ref="K15:S15" si="1">K13</f>
        <v>243.40406829574664</v>
      </c>
      <c r="L15" s="205">
        <f t="shared" si="1"/>
        <v>272.84233487501456</v>
      </c>
      <c r="M15" s="205">
        <f t="shared" si="1"/>
        <v>264.78212137502663</v>
      </c>
      <c r="N15" s="205">
        <f t="shared" si="1"/>
        <v>259.25932563670483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 ht="10.5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 ht="10.5">
      <c r="A17" s="122"/>
      <c r="B17" s="122"/>
      <c r="C17" s="125" t="s">
        <v>206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 ht="10.5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44348</v>
      </c>
      <c r="G19" s="124"/>
      <c r="H19" s="124"/>
      <c r="I19" s="123"/>
      <c r="J19" s="204">
        <v>2.2142462152097226</v>
      </c>
      <c r="K19" s="204">
        <v>2.2449315556494076</v>
      </c>
      <c r="L19" s="204">
        <v>2.2853821071100904</v>
      </c>
      <c r="M19" s="204">
        <v>2.3002560327302484</v>
      </c>
      <c r="N19" s="204">
        <v>2.300015824969448</v>
      </c>
      <c r="O19" s="132"/>
      <c r="P19" s="132"/>
      <c r="Q19" s="132"/>
      <c r="R19" s="132"/>
      <c r="S19" s="132"/>
      <c r="T19" s="132"/>
      <c r="U19" s="122" t="s">
        <v>207</v>
      </c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 t="s">
        <v>215</v>
      </c>
      <c r="D20" s="123" t="s">
        <v>64</v>
      </c>
      <c r="E20" s="123" t="str">
        <f t="shared" si="2"/>
        <v>$millions</v>
      </c>
      <c r="F20" s="137">
        <f t="shared" ref="F20:F29" si="3">$F$13</f>
        <v>44348</v>
      </c>
      <c r="G20" s="124"/>
      <c r="H20" s="124"/>
      <c r="I20" s="123"/>
      <c r="J20" s="204">
        <v>9.4571084152270224</v>
      </c>
      <c r="K20" s="204">
        <v>9.3124077378556809</v>
      </c>
      <c r="L20" s="204">
        <v>9.1710630203785755</v>
      </c>
      <c r="M20" s="204">
        <v>9.0329964299409085</v>
      </c>
      <c r="N20" s="204">
        <v>8.8981319388206828</v>
      </c>
      <c r="O20" s="132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130" t="s">
        <v>216</v>
      </c>
      <c r="D21" s="123" t="s">
        <v>64</v>
      </c>
      <c r="E21" s="123" t="str">
        <f t="shared" si="2"/>
        <v>$millions</v>
      </c>
      <c r="F21" s="137">
        <f t="shared" si="3"/>
        <v>44348</v>
      </c>
      <c r="G21" s="124"/>
      <c r="H21" s="124"/>
      <c r="I21" s="123"/>
      <c r="J21" s="204">
        <v>0.24036616306495823</v>
      </c>
      <c r="K21" s="204">
        <v>0.24036616306495823</v>
      </c>
      <c r="L21" s="204">
        <v>0.24036616306495823</v>
      </c>
      <c r="M21" s="204">
        <v>0.24036616306495823</v>
      </c>
      <c r="N21" s="204">
        <v>0.24036616306495823</v>
      </c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 t="s">
        <v>219</v>
      </c>
      <c r="D22" s="123" t="s">
        <v>64</v>
      </c>
      <c r="E22" s="123" t="str">
        <f t="shared" si="2"/>
        <v>$millions</v>
      </c>
      <c r="F22" s="137">
        <f t="shared" si="3"/>
        <v>44348</v>
      </c>
      <c r="G22" s="124"/>
      <c r="H22" s="124"/>
      <c r="I22" s="123"/>
      <c r="J22" s="204">
        <v>0</v>
      </c>
      <c r="K22" s="204">
        <v>0</v>
      </c>
      <c r="L22" s="204">
        <v>16.755878192221939</v>
      </c>
      <c r="M22" s="204">
        <v>0</v>
      </c>
      <c r="N22" s="204">
        <v>0</v>
      </c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 t="s">
        <v>218</v>
      </c>
      <c r="D23" s="123" t="s">
        <v>64</v>
      </c>
      <c r="E23" s="123" t="str">
        <f t="shared" si="2"/>
        <v>$millions</v>
      </c>
      <c r="F23" s="137">
        <f t="shared" si="3"/>
        <v>44348</v>
      </c>
      <c r="G23" s="124"/>
      <c r="H23" s="124"/>
      <c r="I23" s="123"/>
      <c r="J23" s="204">
        <v>22.520634711521659</v>
      </c>
      <c r="K23" s="204">
        <v>0</v>
      </c>
      <c r="L23" s="204">
        <v>0</v>
      </c>
      <c r="M23" s="204">
        <v>0</v>
      </c>
      <c r="N23" s="204">
        <v>0</v>
      </c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 t="s">
        <v>241</v>
      </c>
      <c r="D24" s="123" t="s">
        <v>64</v>
      </c>
      <c r="E24" s="123" t="str">
        <f t="shared" si="2"/>
        <v>$millions</v>
      </c>
      <c r="F24" s="137">
        <f t="shared" si="3"/>
        <v>44348</v>
      </c>
      <c r="G24" s="124"/>
      <c r="H24" s="124"/>
      <c r="I24" s="123"/>
      <c r="J24" s="204">
        <v>0</v>
      </c>
      <c r="K24" s="204">
        <v>0</v>
      </c>
      <c r="L24" s="204">
        <v>0</v>
      </c>
      <c r="M24" s="204">
        <v>6.025066066784273</v>
      </c>
      <c r="N24" s="204">
        <v>0</v>
      </c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44348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44348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44348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 ht="10.5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 ht="10.5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44348</v>
      </c>
      <c r="G29" s="124"/>
      <c r="H29" s="124"/>
      <c r="I29" s="123"/>
      <c r="J29" s="205">
        <f>SUM(J19:J27)</f>
        <v>34.432355505023367</v>
      </c>
      <c r="K29" s="205">
        <f t="shared" ref="K29:S29" si="5">SUM(K19:K27)</f>
        <v>11.797705456570046</v>
      </c>
      <c r="L29" s="205">
        <f t="shared" si="5"/>
        <v>28.452689482775561</v>
      </c>
      <c r="M29" s="205">
        <f t="shared" si="5"/>
        <v>17.598684692520386</v>
      </c>
      <c r="N29" s="205">
        <f t="shared" si="5"/>
        <v>11.438513926855089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202"/>
      <c r="K30" s="202"/>
      <c r="L30" s="202"/>
      <c r="M30" s="202"/>
      <c r="N30" s="202"/>
      <c r="O30" s="122"/>
      <c r="P30" s="122"/>
      <c r="Q30" s="122"/>
      <c r="R30" s="122"/>
      <c r="S30" s="122"/>
      <c r="T30" s="122"/>
      <c r="U30" s="122"/>
      <c r="V30" s="8"/>
    </row>
    <row r="31" spans="1:22" ht="13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23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 ht="10.5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44713</v>
      </c>
      <c r="K34" s="126">
        <f t="shared" si="6"/>
        <v>45078</v>
      </c>
      <c r="L34" s="126">
        <f t="shared" si="6"/>
        <v>45444</v>
      </c>
      <c r="M34" s="126">
        <f t="shared" si="6"/>
        <v>45809</v>
      </c>
      <c r="N34" s="126">
        <f t="shared" si="6"/>
        <v>46174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204">
        <v>250.33996496661439</v>
      </c>
      <c r="K37" s="204">
        <v>223.62600123364601</v>
      </c>
      <c r="L37" s="204">
        <v>277.84185426099845</v>
      </c>
      <c r="M37" s="204">
        <v>317.85006212539241</v>
      </c>
      <c r="N37" s="204">
        <v>282.82439388301611</v>
      </c>
      <c r="O37" s="132"/>
      <c r="P37" s="132"/>
      <c r="Q37" s="132"/>
      <c r="R37" s="132"/>
      <c r="S37" s="132"/>
      <c r="T37" s="132"/>
      <c r="U37" s="122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 ht="10.5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 ht="10.5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99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204">
        <v>-19.156059054233204</v>
      </c>
      <c r="K41" s="204">
        <v>-16.149072123534506</v>
      </c>
      <c r="L41" s="204">
        <v>-2.4158049165679274</v>
      </c>
      <c r="M41" s="204">
        <v>0</v>
      </c>
      <c r="N41" s="204">
        <v>0</v>
      </c>
      <c r="O41" s="132"/>
      <c r="P41" s="132"/>
      <c r="Q41" s="132"/>
      <c r="R41" s="132"/>
      <c r="S41" s="132"/>
      <c r="T41" s="132"/>
      <c r="U41" s="122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193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204">
        <v>0</v>
      </c>
      <c r="K42" s="204">
        <v>7.7024059999999991E-2</v>
      </c>
      <c r="L42" s="204">
        <v>3.4041689999999999E-2</v>
      </c>
      <c r="M42" s="204">
        <v>0.9</v>
      </c>
      <c r="N42" s="204">
        <v>0.4</v>
      </c>
      <c r="O42" s="132"/>
      <c r="P42" s="132"/>
      <c r="Q42" s="132"/>
      <c r="R42" s="132"/>
      <c r="S42" s="132"/>
      <c r="T42" s="132"/>
      <c r="U42" s="122"/>
      <c r="V42" s="64" t="str">
        <f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 t="s">
        <v>228</v>
      </c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204">
        <v>2.5632079034999995</v>
      </c>
      <c r="K43" s="204">
        <v>1.44162243</v>
      </c>
      <c r="L43" s="204">
        <v>1.5990176399999998</v>
      </c>
      <c r="M43" s="204">
        <v>4.5696429799999994</v>
      </c>
      <c r="N43" s="204">
        <v>0</v>
      </c>
      <c r="O43" s="132"/>
      <c r="P43" s="132"/>
      <c r="Q43" s="132"/>
      <c r="R43" s="132"/>
      <c r="S43" s="132"/>
      <c r="T43" s="132"/>
      <c r="U43" s="122"/>
      <c r="V43" s="64" t="str">
        <f>IF(ISBLANK(C43),IF(COUNT(J43:T43)=0,"Ok","Check"),IF(AND(COUNT(J43:T43)&gt;=COUNTIF($J$33:$T$33,"Actual"),COUNT(J43:T43)&lt;=COUNT($J$34:$T$34)),"Ok","Check"))</f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22"/>
      <c r="V44" s="64" t="str">
        <f>IF(ISBLANK(C44),IF(COUNT(J44:T44)=0,"Ok","Check"),IF(AND(COUNT(J44:T44)&gt;=COUNTIF($J$33:$T$33,"Actual"),COUNT(J44:T44)&lt;=COUNT($J$34:$T$34)),"Ok","Check"))</f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22"/>
      <c r="V45" s="64" t="str">
        <f>IF(ISBLANK(C45),IF(COUNT(J45:T45)=0,"Ok","Check"),IF(AND(COUNT(J45:T45)&gt;=COUNTIF($J$33:$T$33,"Actual"),COUNT(J45:T45)&lt;=COUNT($J$34:$T$34)),"Ok","Check"))</f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 ht="10.5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205">
        <f>J37-SUM(J41:J45)</f>
        <v>266.93281611734761</v>
      </c>
      <c r="K47" s="205">
        <f>K37-SUM(K41:K45)</f>
        <v>238.25642686718052</v>
      </c>
      <c r="L47" s="205">
        <f t="shared" ref="L47:S47" si="7">L37-SUM(L41:L45)</f>
        <v>278.6245998475664</v>
      </c>
      <c r="M47" s="205">
        <f t="shared" si="7"/>
        <v>312.38041914539241</v>
      </c>
      <c r="N47" s="205">
        <f t="shared" si="7"/>
        <v>282.42439388301614</v>
      </c>
      <c r="O47" s="136">
        <f t="shared" si="7"/>
        <v>0</v>
      </c>
      <c r="P47" s="136">
        <f t="shared" si="7"/>
        <v>0</v>
      </c>
      <c r="Q47" s="136">
        <f t="shared" si="7"/>
        <v>0</v>
      </c>
      <c r="R47" s="136">
        <f t="shared" si="7"/>
        <v>0</v>
      </c>
      <c r="S47" s="136">
        <f t="shared" si="7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 ht="10.5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132"/>
      <c r="P51" s="132"/>
      <c r="Q51" s="132"/>
      <c r="R51" s="132"/>
      <c r="S51" s="132"/>
      <c r="T51" s="132"/>
      <c r="U51" s="122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 t="s">
        <v>217</v>
      </c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204">
        <v>13.608285000000002</v>
      </c>
      <c r="K52" s="204">
        <v>7.0749300000000002</v>
      </c>
      <c r="L52" s="204">
        <v>7.2848450000000007</v>
      </c>
      <c r="M52" s="204">
        <v>7.4008709384910807</v>
      </c>
      <c r="N52" s="204">
        <v>7.0173322681721935</v>
      </c>
      <c r="O52" s="132"/>
      <c r="P52" s="132"/>
      <c r="Q52" s="132"/>
      <c r="R52" s="132"/>
      <c r="S52" s="132"/>
      <c r="T52" s="132"/>
      <c r="U52" s="122"/>
      <c r="V52" s="64" t="str">
        <f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 t="s">
        <v>220</v>
      </c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204">
        <v>22.5197</v>
      </c>
      <c r="K53" s="204">
        <v>0</v>
      </c>
      <c r="L53" s="204">
        <v>0</v>
      </c>
      <c r="M53" s="204">
        <v>0</v>
      </c>
      <c r="N53" s="204">
        <v>0</v>
      </c>
      <c r="O53" s="132"/>
      <c r="P53" s="132"/>
      <c r="Q53" s="132"/>
      <c r="R53" s="132"/>
      <c r="S53" s="132"/>
      <c r="T53" s="132"/>
      <c r="U53" s="122"/>
      <c r="V53" s="64" t="str">
        <f>IF(ISBLANK(C53),IF(COUNT(J53:T53)=0,"Ok","Check"),IF(AND(COUNT(J53:T53)&gt;=COUNTIF($J$33:$T$33,"Actual"),COUNT(J53:T53)&lt;=COUNT($J$34:$T$34)),"Ok","Check"))</f>
        <v>Ok</v>
      </c>
    </row>
    <row r="54" spans="1:22">
      <c r="A54" s="122"/>
      <c r="B54" s="122"/>
      <c r="C54" s="130" t="s">
        <v>221</v>
      </c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204">
        <v>0</v>
      </c>
      <c r="K54" s="204">
        <v>0</v>
      </c>
      <c r="L54" s="204">
        <v>20.337389999999999</v>
      </c>
      <c r="M54" s="204">
        <v>0</v>
      </c>
      <c r="N54" s="204">
        <v>0</v>
      </c>
      <c r="O54" s="132"/>
      <c r="Q54" s="132"/>
      <c r="R54" s="132"/>
      <c r="S54" s="132"/>
      <c r="T54" s="132"/>
      <c r="U54" s="122"/>
      <c r="V54" s="64" t="str">
        <f>IF(ISBLANK(C54),IF(COUNT(J54:T54)=0,"Ok","Check"),IF(AND(COUNT(J54:T54)&gt;=COUNTIF($J$33:$T$33,"Actual"),COUNT(J54:T54)&lt;=COUNT($J$34:$T$34)),"Ok","Check"))</f>
        <v>Ok</v>
      </c>
    </row>
    <row r="55" spans="1:22">
      <c r="A55" s="122"/>
      <c r="B55" s="122"/>
      <c r="C55" s="130" t="s">
        <v>222</v>
      </c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204">
        <v>0</v>
      </c>
      <c r="K55" s="204">
        <v>0</v>
      </c>
      <c r="L55" s="204">
        <v>0.25754960999999998</v>
      </c>
      <c r="M55" s="204">
        <v>1.26745039</v>
      </c>
      <c r="N55" s="204">
        <v>0.2</v>
      </c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 ht="10.5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205">
        <f>SUM(J51:J55)</f>
        <v>36.127985000000002</v>
      </c>
      <c r="K57" s="205">
        <f t="shared" ref="K57:S57" si="8">SUM(K51:K55)</f>
        <v>7.0749300000000002</v>
      </c>
      <c r="L57" s="205">
        <f t="shared" si="8"/>
        <v>27.879784610000002</v>
      </c>
      <c r="M57" s="205">
        <f t="shared" si="8"/>
        <v>8.6683213284910803</v>
      </c>
      <c r="N57" s="205">
        <f t="shared" si="8"/>
        <v>7.2173322681721936</v>
      </c>
      <c r="O57" s="140">
        <f t="shared" si="8"/>
        <v>0</v>
      </c>
      <c r="P57" s="140">
        <f t="shared" si="8"/>
        <v>0</v>
      </c>
      <c r="Q57" s="140">
        <f t="shared" si="8"/>
        <v>0</v>
      </c>
      <c r="R57" s="140">
        <f t="shared" si="8"/>
        <v>0</v>
      </c>
      <c r="S57" s="140">
        <f t="shared" si="8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3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 ht="10.5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9">IF(YEAR(J$4)=PPLastYear,J$4,"")</f>
        <v/>
      </c>
      <c r="K61" s="126" t="str">
        <f t="shared" si="9"/>
        <v/>
      </c>
      <c r="L61" s="126" t="str">
        <f t="shared" si="9"/>
        <v/>
      </c>
      <c r="M61" s="126" t="str">
        <f t="shared" si="9"/>
        <v/>
      </c>
      <c r="N61" s="126">
        <f t="shared" si="9"/>
        <v>46174</v>
      </c>
      <c r="O61" s="126" t="str">
        <f t="shared" si="9"/>
        <v/>
      </c>
      <c r="P61" s="126" t="str">
        <f t="shared" si="9"/>
        <v/>
      </c>
      <c r="Q61" s="126" t="str">
        <f t="shared" si="9"/>
        <v/>
      </c>
      <c r="R61" s="126" t="str">
        <f t="shared" si="9"/>
        <v/>
      </c>
      <c r="S61" s="126" t="str">
        <f t="shared" si="9"/>
        <v/>
      </c>
      <c r="T61" s="126"/>
      <c r="U61" s="122"/>
      <c r="V61" s="8"/>
    </row>
    <row r="62" spans="1:22" ht="10.5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223</v>
      </c>
      <c r="D63" s="123" t="s">
        <v>34</v>
      </c>
      <c r="E63" s="123" t="str">
        <f>units</f>
        <v>$millions</v>
      </c>
      <c r="F63" s="142">
        <v>45078</v>
      </c>
      <c r="G63" s="124"/>
      <c r="H63" s="124"/>
      <c r="I63" s="124"/>
      <c r="J63" s="132"/>
      <c r="K63" s="132"/>
      <c r="L63" s="132"/>
      <c r="M63" s="132"/>
      <c r="N63" s="204">
        <v>3.6578740868354553</v>
      </c>
      <c r="O63" s="132"/>
      <c r="P63" s="132"/>
      <c r="Q63" s="132"/>
      <c r="R63" s="132"/>
      <c r="S63" s="132"/>
      <c r="T63" s="132"/>
      <c r="U63" s="122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2"/>
      <c r="B64" s="122"/>
      <c r="C64" s="130" t="s">
        <v>224</v>
      </c>
      <c r="D64" s="123" t="s">
        <v>34</v>
      </c>
      <c r="E64" s="123" t="str">
        <f>units</f>
        <v>$millions</v>
      </c>
      <c r="F64" s="142">
        <v>45078</v>
      </c>
      <c r="G64" s="124"/>
      <c r="H64" s="124"/>
      <c r="I64" s="124"/>
      <c r="J64" s="132"/>
      <c r="K64" s="132"/>
      <c r="L64" s="132"/>
      <c r="M64" s="132"/>
      <c r="N64" s="204">
        <v>-0.45654357733016798</v>
      </c>
      <c r="O64" s="132"/>
      <c r="P64" s="132"/>
      <c r="Q64" s="132"/>
      <c r="R64" s="132"/>
      <c r="S64" s="132"/>
      <c r="T64" s="132"/>
      <c r="U64" s="125"/>
      <c r="V64" s="64" t="str">
        <f>IF(ISBLANK(C64),IF(COUNT(J64:T64)=0,"Ok","Check"),IF(AND(NOT(ISBLANK(INDEX(J64:T64,1,MATCH(SUM($J$61:$T$61),J62:T62,0)))),COUNT(J64:T64)=COUNT($J$61:$T$61)),"Ok","Check"))</f>
        <v>Ok</v>
      </c>
    </row>
    <row r="65" spans="1:22" ht="10.5">
      <c r="A65" s="122"/>
      <c r="B65" s="122"/>
      <c r="C65" s="130" t="s">
        <v>242</v>
      </c>
      <c r="D65" s="123" t="s">
        <v>34</v>
      </c>
      <c r="E65" s="123" t="str">
        <f>units</f>
        <v>$millions</v>
      </c>
      <c r="F65" s="142">
        <v>45078</v>
      </c>
      <c r="G65" s="124"/>
      <c r="H65" s="124"/>
      <c r="I65" s="124"/>
      <c r="J65" s="132"/>
      <c r="K65" s="132"/>
      <c r="L65" s="132"/>
      <c r="M65" s="132"/>
      <c r="N65" s="204">
        <v>-0.88433898000000022</v>
      </c>
      <c r="O65" s="132"/>
      <c r="P65" s="132"/>
      <c r="Q65" s="132"/>
      <c r="R65" s="132"/>
      <c r="S65" s="132"/>
      <c r="T65" s="132"/>
      <c r="U65" s="125"/>
      <c r="V65" s="64" t="str">
        <f>IF(ISBLANK(C65),IF(COUNT(J65:T65)=0,"Ok","Check"),IF(AND(NOT(ISBLANK(INDEX(J65:T65,1,MATCH(SUM($J$61:$T$61),J63:T63,0)))),COUNT(J65:T65)=COUNT($J$61:$T$61)),"Ok","Check"))</f>
        <v>Ok</v>
      </c>
    </row>
    <row r="66" spans="1:22" ht="10.5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46174</v>
      </c>
      <c r="G66" s="124"/>
      <c r="H66" s="124"/>
      <c r="I66" s="124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25"/>
      <c r="V66" s="64" t="str">
        <f>IF(ISBLANK(C66),IF(COUNT(J66:T66)=0,"Ok","Check"),IF(AND(NOT(ISBLANK(INDEX(J66:T66,1,MATCH(SUM($J$61:$T$61),J64:T64,0)))),COUNT(J66:T66)=COUNT($J$61:$T$61)),"Ok","Check"))</f>
        <v>Ok</v>
      </c>
    </row>
    <row r="67" spans="1:22" ht="10.5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46174</v>
      </c>
      <c r="G67" s="124"/>
      <c r="H67" s="124"/>
      <c r="I67" s="124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25"/>
      <c r="V67" s="64" t="str">
        <f>IF(ISBLANK(C67),IF(COUNT(J67:T67)=0,"Ok","Check"),IF(AND(NOT(ISBLANK(INDEX(J67:T67,1,MATCH(SUM($J$61:$T$61),J65:T65,0)))),COUNT(J67:T67)=COUNT($J$61:$T$61)),"Ok","Check"))</f>
        <v>Ok</v>
      </c>
    </row>
    <row r="68" spans="1:22" ht="10.5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46174</v>
      </c>
      <c r="G69" s="124"/>
      <c r="H69" s="124"/>
      <c r="I69" s="124"/>
      <c r="J69" s="132"/>
      <c r="K69" s="132"/>
      <c r="L69" s="132"/>
      <c r="M69" s="132"/>
      <c r="N69" s="204">
        <v>4.686011577402617</v>
      </c>
      <c r="O69" s="132"/>
      <c r="P69" s="132"/>
      <c r="Q69" s="132"/>
      <c r="R69" s="132"/>
      <c r="S69" s="132"/>
      <c r="T69" s="132"/>
      <c r="U69" s="122" t="s">
        <v>203</v>
      </c>
      <c r="V69" s="64" t="str">
        <f>IF(AND(NOT(ISBLANK(INDEX(J69:T69,1,MATCH(SUM($J$61:$T$61),J67:T67,0)))),COUNT(J69:T69)=COUNT($J$61:$T$61)),"Ok","Check")</f>
        <v>Ok</v>
      </c>
    </row>
    <row r="70" spans="1:22" ht="10.5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146">
        <v>0</v>
      </c>
      <c r="O71" s="146"/>
      <c r="P71" s="146"/>
      <c r="Q71" s="146"/>
      <c r="R71" s="146"/>
      <c r="S71" s="146"/>
      <c r="T71" s="146"/>
      <c r="U71" s="122" t="s">
        <v>202</v>
      </c>
      <c r="V71" s="64" t="str">
        <f>IF(AND(NOT(ISBLANK(INDEX(J71:T71,1,MATCH(SUM($J$61:$T$61),J69:T69,0)))),COUNT(J71:T71)=COUNT($J$61:$T$61)),"Ok","Check")</f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3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conditionalFormatting sqref="J51:N55">
    <cfRule type="expression" dxfId="161" priority="25">
      <formula>J$34=J$4</formula>
    </cfRule>
  </conditionalFormatting>
  <conditionalFormatting sqref="J13:T13">
    <cfRule type="expression" dxfId="160" priority="34">
      <formula>J$10=J$4</formula>
    </cfRule>
  </conditionalFormatting>
  <conditionalFormatting sqref="J15:T15">
    <cfRule type="cellIs" dxfId="159" priority="37" operator="equal">
      <formula>0</formula>
    </cfRule>
  </conditionalFormatting>
  <conditionalFormatting sqref="J19:T27">
    <cfRule type="expression" dxfId="158" priority="29">
      <formula>J$10=J$4</formula>
    </cfRule>
  </conditionalFormatting>
  <conditionalFormatting sqref="J29:T29">
    <cfRule type="cellIs" dxfId="157" priority="3" operator="equal">
      <formula>0</formula>
    </cfRule>
  </conditionalFormatting>
  <conditionalFormatting sqref="J33:T33 N37:T37 O51:T51 P52:T53">
    <cfRule type="expression" dxfId="156" priority="35">
      <formula>J$34=J$4</formula>
    </cfRule>
  </conditionalFormatting>
  <conditionalFormatting sqref="J37:T37">
    <cfRule type="expression" dxfId="155" priority="33">
      <formula>J$10=J$4</formula>
    </cfRule>
  </conditionalFormatting>
  <conditionalFormatting sqref="J41:T45">
    <cfRule type="expression" dxfId="154" priority="27">
      <formula>J$34=J$4</formula>
    </cfRule>
  </conditionalFormatting>
  <conditionalFormatting sqref="J47:T47">
    <cfRule type="cellIs" dxfId="153" priority="2" operator="equal">
      <formula>0</formula>
    </cfRule>
  </conditionalFormatting>
  <conditionalFormatting sqref="J57:T57">
    <cfRule type="cellIs" dxfId="152" priority="1" operator="equal">
      <formula>0</formula>
    </cfRule>
  </conditionalFormatting>
  <conditionalFormatting sqref="J63:T67 J69:T69 J71:T71">
    <cfRule type="expression" dxfId="151" priority="66">
      <formula>J$61=J$4</formula>
    </cfRule>
  </conditionalFormatting>
  <conditionalFormatting sqref="O52:O54">
    <cfRule type="expression" dxfId="150" priority="28">
      <formula>O$34=O$4</formula>
    </cfRule>
  </conditionalFormatting>
  <conditionalFormatting sqref="Q54">
    <cfRule type="expression" dxfId="149" priority="187">
      <formula>P$34=P$4</formula>
    </cfRule>
  </conditionalFormatting>
  <conditionalFormatting sqref="R54:T54 O55:T55">
    <cfRule type="expression" dxfId="148" priority="75">
      <formula>O$34=O$4</formula>
    </cfRule>
  </conditionalFormatting>
  <conditionalFormatting sqref="S1:T1">
    <cfRule type="cellIs" dxfId="147" priority="55" operator="equal">
      <formula>"Ok"</formula>
    </cfRule>
    <cfRule type="cellIs" dxfId="146" priority="54" operator="equal">
      <formula>"Check"</formula>
    </cfRule>
  </conditionalFormatting>
  <conditionalFormatting sqref="V1">
    <cfRule type="cellIs" dxfId="145" priority="84" operator="equal">
      <formula>"Ok"</formula>
    </cfRule>
    <cfRule type="cellIs" dxfId="144" priority="83" operator="equal">
      <formula>"Check"</formula>
    </cfRule>
  </conditionalFormatting>
  <conditionalFormatting sqref="V13">
    <cfRule type="cellIs" dxfId="143" priority="23" operator="equal">
      <formula>"Ok"</formula>
    </cfRule>
    <cfRule type="cellIs" dxfId="142" priority="22" operator="equal">
      <formula>"Check"</formula>
    </cfRule>
  </conditionalFormatting>
  <conditionalFormatting sqref="V15">
    <cfRule type="cellIs" dxfId="141" priority="85" operator="equal">
      <formula>"Check"</formula>
    </cfRule>
    <cfRule type="cellIs" dxfId="140" priority="86" operator="equal">
      <formula>"Ok"</formula>
    </cfRule>
  </conditionalFormatting>
  <conditionalFormatting sqref="V19:V27">
    <cfRule type="cellIs" dxfId="139" priority="20" operator="equal">
      <formula>"Check"</formula>
    </cfRule>
    <cfRule type="cellIs" dxfId="138" priority="21" operator="equal">
      <formula>"Ok"</formula>
    </cfRule>
  </conditionalFormatting>
  <conditionalFormatting sqref="V29">
    <cfRule type="cellIs" dxfId="137" priority="62" operator="equal">
      <formula>"Check"</formula>
    </cfRule>
    <cfRule type="cellIs" dxfId="136" priority="63" operator="equal">
      <formula>"Ok"</formula>
    </cfRule>
  </conditionalFormatting>
  <conditionalFormatting sqref="V37">
    <cfRule type="cellIs" dxfId="135" priority="17" operator="equal">
      <formula>"Ok"</formula>
    </cfRule>
    <cfRule type="cellIs" dxfId="134" priority="16" operator="equal">
      <formula>"Check"</formula>
    </cfRule>
  </conditionalFormatting>
  <conditionalFormatting sqref="V41:V45">
    <cfRule type="cellIs" dxfId="133" priority="13" operator="equal">
      <formula>"Ok"</formula>
    </cfRule>
    <cfRule type="cellIs" dxfId="132" priority="12" operator="equal">
      <formula>"Check"</formula>
    </cfRule>
  </conditionalFormatting>
  <conditionalFormatting sqref="V47">
    <cfRule type="cellIs" dxfId="131" priority="69" operator="equal">
      <formula>"Check"</formula>
    </cfRule>
    <cfRule type="cellIs" dxfId="130" priority="70" operator="equal">
      <formula>"Ok"</formula>
    </cfRule>
  </conditionalFormatting>
  <conditionalFormatting sqref="V48:V50">
    <cfRule type="cellIs" dxfId="129" priority="78" operator="equal">
      <formula>"Ok"</formula>
    </cfRule>
    <cfRule type="cellIs" dxfId="128" priority="77" operator="equal">
      <formula>"Check"</formula>
    </cfRule>
  </conditionalFormatting>
  <conditionalFormatting sqref="V51:V55">
    <cfRule type="cellIs" dxfId="127" priority="10" operator="equal">
      <formula>"Check"</formula>
    </cfRule>
    <cfRule type="cellIs" dxfId="126" priority="11" operator="equal">
      <formula>"Ok"</formula>
    </cfRule>
  </conditionalFormatting>
  <conditionalFormatting sqref="V52:V55">
    <cfRule type="cellIs" dxfId="125" priority="89" operator="equal">
      <formula>"Check"</formula>
    </cfRule>
    <cfRule type="cellIs" dxfId="124" priority="90" operator="equal">
      <formula>"Ok"</formula>
    </cfRule>
  </conditionalFormatting>
  <conditionalFormatting sqref="V57">
    <cfRule type="cellIs" dxfId="123" priority="87" operator="equal">
      <formula>"Check"</formula>
    </cfRule>
    <cfRule type="cellIs" dxfId="122" priority="88" operator="equal">
      <formula>"Ok"</formula>
    </cfRule>
  </conditionalFormatting>
  <conditionalFormatting sqref="V63:V67">
    <cfRule type="cellIs" dxfId="121" priority="9" operator="equal">
      <formula>"Ok"</formula>
    </cfRule>
    <cfRule type="cellIs" dxfId="120" priority="8" operator="equal">
      <formula>"Check"</formula>
    </cfRule>
  </conditionalFormatting>
  <conditionalFormatting sqref="V69">
    <cfRule type="cellIs" dxfId="119" priority="7" operator="equal">
      <formula>"Ok"</formula>
    </cfRule>
    <cfRule type="cellIs" dxfId="118" priority="6" operator="equal">
      <formula>"Check"</formula>
    </cfRule>
  </conditionalFormatting>
  <conditionalFormatting sqref="V71">
    <cfRule type="cellIs" dxfId="117" priority="4" operator="equal">
      <formula>"Check"</formula>
    </cfRule>
    <cfRule type="cellIs" dxfId="116" priority="5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3 J55:T55 J54:O54 Q54:T54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zoomScaleNormal="100" workbookViewId="0">
      <selection activeCell="C9" sqref="C9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26"/>
      <c r="K1" s="189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190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22"/>
      <c r="L3" s="222"/>
      <c r="M3" s="222"/>
      <c r="N3" s="105"/>
      <c r="O3" s="222"/>
      <c r="P3" s="222"/>
      <c r="Q3" s="222"/>
      <c r="R3" s="222"/>
      <c r="S3" s="222"/>
      <c r="T3" s="222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44348</v>
      </c>
      <c r="K4" s="94">
        <f>DATE(PPFirstYear,MONTH('Input|General'!$G$9),1)</f>
        <v>44713</v>
      </c>
      <c r="L4" s="94">
        <f>DATE(PPFirstYear+1,MONTH('Input|General'!$G$9),1)</f>
        <v>45078</v>
      </c>
      <c r="M4" s="94">
        <f>DATE(PPFirstYear+2,MONTH('Input|General'!$G$9),1)</f>
        <v>45444</v>
      </c>
      <c r="N4" s="94">
        <f>DATE(PPFirstYear+3,MONTH('Input|General'!$G$9),1)</f>
        <v>45809</v>
      </c>
      <c r="O4" s="94">
        <f>DATE(PPFirstYear+4,MONTH('Input|General'!$G$9),1)</f>
        <v>46174</v>
      </c>
      <c r="P4" s="94">
        <f>DATE(PPFirstYear+5,MONTH('Input|General'!$G$9),1)</f>
        <v>46539</v>
      </c>
      <c r="Q4" s="94">
        <f>DATE(PPFirstYear+6,MONTH('Input|General'!$G$9),1)</f>
        <v>46905</v>
      </c>
      <c r="R4" s="94">
        <f>DATE(PPFirstYear+7,MONTH('Input|General'!$G$9),1)</f>
        <v>47270</v>
      </c>
      <c r="S4" s="94">
        <f>DATE(PPFirstYear+8,MONTH('Input|General'!$G$9),1)</f>
        <v>47635</v>
      </c>
      <c r="T4" s="94">
        <f>DATE(PPFirstYear+9,MONTH('Input|General'!$G$9),1)</f>
        <v>48000</v>
      </c>
      <c r="U4" s="94">
        <f>DATE(PPFirstYear+10,MONTH('Input|General'!$G$9),1)</f>
        <v>48366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3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44348</v>
      </c>
      <c r="K10" s="126">
        <f t="shared" si="0"/>
        <v>44713</v>
      </c>
      <c r="L10" s="126">
        <f t="shared" si="0"/>
        <v>45078</v>
      </c>
      <c r="M10" s="126">
        <f t="shared" si="0"/>
        <v>45444</v>
      </c>
      <c r="N10" s="126">
        <f t="shared" si="0"/>
        <v>45809</v>
      </c>
      <c r="O10" s="126">
        <f t="shared" si="0"/>
        <v>46174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IF(J10=J4,LOOKUP(EOMONTH(J4,0),'Input|Inflation'!$C$9:$C$84,'Input|Inflation'!$I$9:$I$84),"")</f>
        <v>3.8461538461538325E-2</v>
      </c>
      <c r="K12" s="151">
        <f>IF(K10=K4,LOOKUP(EOMONTH(K4,0),'Input|Inflation'!$C$9:$C$84,'Input|Inflation'!$I$9:$I$84),"")</f>
        <v>6.1447811447811418E-2</v>
      </c>
      <c r="L12" s="151">
        <f>IF(L10=L4,LOOKUP(EOMONTH(L4,0),'Input|Inflation'!$C$9:$C$84,'Input|Inflation'!$I$9:$I$84),"")</f>
        <v>6.0269627279936566E-2</v>
      </c>
      <c r="M12" s="151">
        <f>IF(M10=M4,LOOKUP(EOMONTH(M4,0),'Input|Inflation'!$C$9:$C$84,'Input|Inflation'!$I$9:$I$84),"")</f>
        <v>3.8145100972326373E-2</v>
      </c>
      <c r="N12" s="151">
        <f>IF(N10=N4,LOOKUP(EOMONTH(N4,0),'Input|Inflation'!$C$9:$C$84,'Input|Inflation'!$I$9:$I$84),"")</f>
        <v>2.0893371757924939E-2</v>
      </c>
      <c r="O12" s="151">
        <f>IF(O10=O4,LOOKUP(EOMONTH(O4,0),'Input|Inflation'!$C$9:$C$88,'Input|Inflation'!$I$9:$I$88),"")</f>
        <v>3.0999999999999917E-2</v>
      </c>
      <c r="P12" s="151" t="str">
        <f>IF(P10=P4,LOOKUP(EOMONTH(P4,0),'Input|Inflation'!$C$9:$C$84,'Input|Inflation'!$I$9:$I$84),"")</f>
        <v/>
      </c>
      <c r="Q12" s="151" t="str">
        <f>IF(Q10=Q4,LOOKUP(EOMONTH(Q4,0),'Input|Inflation'!$C$9:$C$84,'Input|Inflation'!$I$9:$I$84),"")</f>
        <v/>
      </c>
      <c r="R12" s="151" t="str">
        <f>IF(R10=R4,LOOKUP(EOMONTH(R4,0),'Input|Inflation'!$C$9:$C$84,'Input|Inflation'!$I$9:$I$84),"")</f>
        <v/>
      </c>
      <c r="S12" s="151" t="str">
        <f>IF(S10=S4,LOOKUP(EOMONTH(S4,0),'Input|Inflation'!$C$9:$C$84,'Input|Inflation'!$I$9:$I$84),"")</f>
        <v/>
      </c>
      <c r="T12" s="151" t="str">
        <f>IF(T10=T4,LOOKUP(EOMONTH(T4,0),'Input|Inflation'!$C$9:$C$84,'Input|Inflation'!$I$9:$I$84),"")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44348</v>
      </c>
      <c r="K14" s="126">
        <f t="shared" si="1"/>
        <v>44713</v>
      </c>
      <c r="L14" s="126">
        <f t="shared" si="1"/>
        <v>45078</v>
      </c>
      <c r="M14" s="126">
        <f t="shared" si="1"/>
        <v>45444</v>
      </c>
      <c r="N14" s="126">
        <f t="shared" si="1"/>
        <v>45809</v>
      </c>
      <c r="O14" s="126">
        <f t="shared" si="1"/>
        <v>46174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44348</v>
      </c>
      <c r="D16" s="153" t="str">
        <f t="shared" ref="D16:D22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O22" si="3">IF(AND($C16&gt;J$14,ISNONTEXT($C16)),K16/(1+K$12),IF(AND($C16=J$14,J$14=J$4),1,IF(AND($C16&lt;J$14,J$14=J$4),I16*(1+J$12),0)))</f>
        <v>1</v>
      </c>
      <c r="K16" s="157">
        <f t="shared" si="3"/>
        <v>1.0614478114478114</v>
      </c>
      <c r="L16" s="157">
        <f t="shared" si="3"/>
        <v>1.1254208754208754</v>
      </c>
      <c r="M16" s="157">
        <f t="shared" si="3"/>
        <v>1.1683501683501687</v>
      </c>
      <c r="N16" s="157">
        <f t="shared" si="3"/>
        <v>1.1927609427609429</v>
      </c>
      <c r="O16" s="157">
        <f t="shared" si="3"/>
        <v>1.2297365319865321</v>
      </c>
      <c r="P16" s="157">
        <f t="shared" ref="P16:P21" si="4">IF(AND($C16&gt;P$14,ISNONTEXT($C16)),Q16/(1+P$12),IF(AND($C16=P$14,P$14=P$4),1,IF(AND($C16&lt;P$14,P$14=P$4),O16*(1+P$12),0)))</f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44713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si="3"/>
        <v>0.94210943695479776</v>
      </c>
      <c r="K17" s="157">
        <f t="shared" si="3"/>
        <v>1</v>
      </c>
      <c r="L17" s="157">
        <f t="shared" si="3"/>
        <v>1.0602696272799366</v>
      </c>
      <c r="M17" s="157">
        <f t="shared" si="3"/>
        <v>1.1007137192704206</v>
      </c>
      <c r="N17" s="157">
        <f t="shared" si="3"/>
        <v>1.1237113402061858</v>
      </c>
      <c r="O17" s="157">
        <f t="shared" si="3"/>
        <v>1.1585463917525776</v>
      </c>
      <c r="P17" s="157">
        <f t="shared" si="4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45078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si="3"/>
        <v>0.88855646970830215</v>
      </c>
      <c r="K18" s="157">
        <f t="shared" si="3"/>
        <v>0.94315632011967088</v>
      </c>
      <c r="L18" s="157">
        <f t="shared" si="3"/>
        <v>1</v>
      </c>
      <c r="M18" s="157">
        <f t="shared" si="3"/>
        <v>1.0381451009723264</v>
      </c>
      <c r="N18" s="157">
        <f t="shared" si="3"/>
        <v>1.0598354525056097</v>
      </c>
      <c r="O18" s="157">
        <f t="shared" si="3"/>
        <v>1.0926903515332835</v>
      </c>
      <c r="P18" s="157">
        <f t="shared" si="4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45444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si="3"/>
        <v>0.85590778097982689</v>
      </c>
      <c r="K19" s="157">
        <f t="shared" si="3"/>
        <v>0.90850144092218998</v>
      </c>
      <c r="L19" s="157">
        <f t="shared" si="3"/>
        <v>0.96325648414985565</v>
      </c>
      <c r="M19" s="157">
        <f t="shared" si="3"/>
        <v>1</v>
      </c>
      <c r="N19" s="157">
        <f t="shared" si="3"/>
        <v>1.0208933717579249</v>
      </c>
      <c r="O19" s="157">
        <f t="shared" si="3"/>
        <v>1.0525410662824206</v>
      </c>
      <c r="P19" s="157">
        <f t="shared" si="4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45809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 t="shared" si="3"/>
        <v>0.83839096683133374</v>
      </c>
      <c r="K20" s="157">
        <f t="shared" si="3"/>
        <v>0.88990825688073383</v>
      </c>
      <c r="L20" s="157">
        <f t="shared" si="3"/>
        <v>0.9435426958362737</v>
      </c>
      <c r="M20" s="157">
        <f t="shared" si="3"/>
        <v>0.97953422724064942</v>
      </c>
      <c r="N20" s="157">
        <f t="shared" si="3"/>
        <v>1</v>
      </c>
      <c r="O20" s="157">
        <f t="shared" si="3"/>
        <v>1.0309999999999999</v>
      </c>
      <c r="P20" s="157">
        <f t="shared" si="4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46174</v>
      </c>
      <c r="D21" s="153" t="str">
        <f t="shared" si="2"/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 t="shared" si="3"/>
        <v>0.81318231506433936</v>
      </c>
      <c r="K21" s="157">
        <f t="shared" si="3"/>
        <v>0.86315058863310767</v>
      </c>
      <c r="L21" s="157">
        <f t="shared" si="3"/>
        <v>0.91517235289648291</v>
      </c>
      <c r="M21" s="157">
        <f t="shared" si="3"/>
        <v>0.95008169470480075</v>
      </c>
      <c r="N21" s="157">
        <f t="shared" si="3"/>
        <v>0.96993210475266745</v>
      </c>
      <c r="O21" s="157">
        <f t="shared" si="3"/>
        <v>1</v>
      </c>
      <c r="P21" s="157">
        <f t="shared" si="4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 t="shared" si="2"/>
        <v/>
      </c>
      <c r="E22" s="123" t="str">
        <f t="shared" si="5"/>
        <v/>
      </c>
      <c r="F22" s="123"/>
      <c r="G22" s="123"/>
      <c r="H22" s="123"/>
      <c r="I22" s="157"/>
      <c r="J22" s="157">
        <f t="shared" si="3"/>
        <v>0</v>
      </c>
      <c r="K22" s="157">
        <f t="shared" si="3"/>
        <v>0</v>
      </c>
      <c r="L22" s="157">
        <f t="shared" si="3"/>
        <v>0</v>
      </c>
      <c r="M22" s="157">
        <f t="shared" si="3"/>
        <v>0</v>
      </c>
      <c r="N22" s="157">
        <f t="shared" si="3"/>
        <v>0</v>
      </c>
      <c r="O22" s="157">
        <f t="shared" si="3"/>
        <v>0</v>
      </c>
      <c r="P22" s="157">
        <f>IF(AND($C22&gt;P$14,ISNONTEXT($C22)),Q22/(1+Q$12),IF(AND($C22=P$14,P$14=P$4),1,IF(AND($C22&lt;P$14,P$14=P$4),O22*(1+P$12),0)))</f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6">IF(YEAR(J$4)&lt;=PPLastYear,J$4,"")</f>
        <v>44348</v>
      </c>
      <c r="K24" s="126">
        <f t="shared" si="6"/>
        <v>44713</v>
      </c>
      <c r="L24" s="126">
        <f t="shared" si="6"/>
        <v>45078</v>
      </c>
      <c r="M24" s="126">
        <f t="shared" si="6"/>
        <v>45444</v>
      </c>
      <c r="N24" s="126">
        <f t="shared" si="6"/>
        <v>45809</v>
      </c>
      <c r="O24" s="126">
        <f t="shared" si="6"/>
        <v>46174</v>
      </c>
      <c r="P24" s="126" t="str">
        <f t="shared" si="6"/>
        <v/>
      </c>
      <c r="Q24" s="126" t="str">
        <f t="shared" si="6"/>
        <v/>
      </c>
      <c r="R24" s="126" t="str">
        <f t="shared" si="6"/>
        <v/>
      </c>
      <c r="S24" s="126" t="str">
        <f t="shared" si="6"/>
        <v/>
      </c>
      <c r="T24" s="126" t="str">
        <f t="shared" si="6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44348</v>
      </c>
      <c r="D26" s="153" t="str">
        <f t="shared" ref="D26:D32" si="7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1.019049330730136</v>
      </c>
      <c r="K26" s="157">
        <f t="shared" ref="K26:T26" si="8">IF(AND(K$24=K$4,ISNONTEXT($C26)),1/K16*(1+K$12)^0.5,0)</f>
        <v>0.970623220902322</v>
      </c>
      <c r="L26" s="157">
        <f t="shared" si="8"/>
        <v>0.9149412196307648</v>
      </c>
      <c r="M26" s="157">
        <f t="shared" si="8"/>
        <v>0.87207935204504272</v>
      </c>
      <c r="N26" s="157">
        <f t="shared" si="8"/>
        <v>0.84710409750758409</v>
      </c>
      <c r="O26" s="157">
        <f t="shared" ref="O26" si="9">IF(AND(O$24=O$4,ISNONTEXT($C26)),1/O16*(1+O$12)^0.5,0)</f>
        <v>0.82569044280343551</v>
      </c>
      <c r="P26" s="157">
        <f t="shared" si="8"/>
        <v>0</v>
      </c>
      <c r="Q26" s="157">
        <f t="shared" si="8"/>
        <v>0</v>
      </c>
      <c r="R26" s="157">
        <f t="shared" si="8"/>
        <v>0</v>
      </c>
      <c r="S26" s="157">
        <f t="shared" si="8"/>
        <v>0</v>
      </c>
      <c r="T26" s="157">
        <f t="shared" si="8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44713</v>
      </c>
      <c r="D27" s="153" t="str">
        <f t="shared" si="7"/>
        <v>calculated</v>
      </c>
      <c r="E27" s="123" t="str">
        <f t="shared" ref="E27:E32" si="10">IF(ISNONTEXT($C27),"index","")</f>
        <v>index</v>
      </c>
      <c r="F27" s="123"/>
      <c r="G27" s="123"/>
      <c r="H27" s="123"/>
      <c r="I27" s="157"/>
      <c r="J27" s="157">
        <f t="shared" ref="J27:T27" si="11">IF(AND(J$24=J$4,ISNONTEXT($C27)),1/J17*(1+J$12)^0.5,0)</f>
        <v>1.0816676818608599</v>
      </c>
      <c r="K27" s="157">
        <f t="shared" si="11"/>
        <v>1.0302658935671953</v>
      </c>
      <c r="L27" s="157">
        <f t="shared" si="11"/>
        <v>0.97116235518046667</v>
      </c>
      <c r="M27" s="157">
        <f t="shared" si="11"/>
        <v>0.92566671963703617</v>
      </c>
      <c r="N27" s="157">
        <f t="shared" si="11"/>
        <v>0.89915679036789842</v>
      </c>
      <c r="O27" s="157">
        <f t="shared" ref="O27" si="12">IF(AND(O$24=O$4,ISNONTEXT($C27)),1/O17*(1+O$12)^0.5,0)</f>
        <v>0.87642731344708091</v>
      </c>
      <c r="P27" s="157">
        <f t="shared" si="11"/>
        <v>0</v>
      </c>
      <c r="Q27" s="157">
        <f t="shared" si="11"/>
        <v>0</v>
      </c>
      <c r="R27" s="157">
        <f t="shared" si="11"/>
        <v>0</v>
      </c>
      <c r="S27" s="157">
        <f t="shared" si="11"/>
        <v>0</v>
      </c>
      <c r="T27" s="157">
        <f t="shared" si="11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45078</v>
      </c>
      <c r="D28" s="153" t="str">
        <f t="shared" si="7"/>
        <v>calculated</v>
      </c>
      <c r="E28" s="123" t="str">
        <f t="shared" si="10"/>
        <v>index</v>
      </c>
      <c r="F28" s="123"/>
      <c r="G28" s="123"/>
      <c r="H28" s="123"/>
      <c r="I28" s="157"/>
      <c r="J28" s="157">
        <f t="shared" ref="J28:T28" si="13">IF(AND(J$24=J$4,ISNONTEXT($C28)),1/J18*(1+J$12)^0.5,0)</f>
        <v>1.1468593898873669</v>
      </c>
      <c r="K28" s="157">
        <f t="shared" si="13"/>
        <v>1.0923596349717211</v>
      </c>
      <c r="L28" s="157">
        <f t="shared" si="13"/>
        <v>1.0296939483554988</v>
      </c>
      <c r="M28" s="157">
        <f t="shared" si="13"/>
        <v>0.98145630781500182</v>
      </c>
      <c r="N28" s="157">
        <f t="shared" si="13"/>
        <v>0.95334863498959588</v>
      </c>
      <c r="O28" s="157">
        <f t="shared" ref="O28" si="14">IF(AND(O$24=O$4,ISNONTEXT($C28)),1/O18*(1+O$12)^0.5,0)</f>
        <v>0.92924926096649274</v>
      </c>
      <c r="P28" s="157">
        <f t="shared" si="13"/>
        <v>0</v>
      </c>
      <c r="Q28" s="157">
        <f t="shared" si="13"/>
        <v>0</v>
      </c>
      <c r="R28" s="157">
        <f t="shared" si="13"/>
        <v>0</v>
      </c>
      <c r="S28" s="157">
        <f t="shared" si="13"/>
        <v>0</v>
      </c>
      <c r="T28" s="157">
        <f t="shared" si="13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45444</v>
      </c>
      <c r="D29" s="153" t="str">
        <f t="shared" si="7"/>
        <v>calculated</v>
      </c>
      <c r="E29" s="123" t="str">
        <f t="shared" si="10"/>
        <v>index</v>
      </c>
      <c r="F29" s="123"/>
      <c r="G29" s="123"/>
      <c r="H29" s="123"/>
      <c r="I29" s="157"/>
      <c r="J29" s="157">
        <f t="shared" ref="J29:T29" si="15">IF(AND(J$24=J$4,ISNONTEXT($C29)),1/J19*(1+J$12)^0.5,0)</f>
        <v>1.1906064571156811</v>
      </c>
      <c r="K29" s="157">
        <f t="shared" si="15"/>
        <v>1.1340278035458109</v>
      </c>
      <c r="L29" s="157">
        <f t="shared" si="15"/>
        <v>1.0689717279861126</v>
      </c>
      <c r="M29" s="157">
        <f t="shared" si="15"/>
        <v>1.0188940577765317</v>
      </c>
      <c r="N29" s="157">
        <f t="shared" si="15"/>
        <v>0.98971421493310363</v>
      </c>
      <c r="O29" s="157">
        <f t="shared" ref="O29" si="16">IF(AND(O$24=O$4,ISNONTEXT($C29)),1/O19*(1+O$12)^0.5,0)</f>
        <v>0.96469556785451915</v>
      </c>
      <c r="P29" s="157">
        <f t="shared" si="15"/>
        <v>0</v>
      </c>
      <c r="Q29" s="157">
        <f t="shared" si="15"/>
        <v>0</v>
      </c>
      <c r="R29" s="157">
        <f t="shared" si="15"/>
        <v>0</v>
      </c>
      <c r="S29" s="157">
        <f t="shared" si="15"/>
        <v>0</v>
      </c>
      <c r="T29" s="157">
        <f t="shared" si="15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45809</v>
      </c>
      <c r="D30" s="153" t="str">
        <f t="shared" si="7"/>
        <v>calculated</v>
      </c>
      <c r="E30" s="123" t="str">
        <f t="shared" si="10"/>
        <v>index</v>
      </c>
      <c r="F30" s="123"/>
      <c r="G30" s="123"/>
      <c r="H30" s="123"/>
      <c r="I30" s="157"/>
      <c r="J30" s="157">
        <f t="shared" ref="J30:T30" si="17">IF(AND(J$24=J$4,ISNONTEXT($C30)),1/J20*(1+J$12)^0.5,0)</f>
        <v>1.215482240441585</v>
      </c>
      <c r="K30" s="157">
        <f t="shared" si="17"/>
        <v>1.1577214680291166</v>
      </c>
      <c r="L30" s="157">
        <f t="shared" si="17"/>
        <v>1.0913061516976379</v>
      </c>
      <c r="M30" s="157">
        <f t="shared" si="17"/>
        <v>1.0401821901075974</v>
      </c>
      <c r="N30" s="157">
        <f t="shared" si="17"/>
        <v>1.0103926819598037</v>
      </c>
      <c r="O30" s="157">
        <f t="shared" ref="O30" si="18">IF(AND(O$24=O$4,ISNONTEXT($C30)),1/O20*(1+O$12)^0.5,0)</f>
        <v>0.98485131098692624</v>
      </c>
      <c r="P30" s="157">
        <f t="shared" si="17"/>
        <v>0</v>
      </c>
      <c r="Q30" s="157">
        <f t="shared" si="17"/>
        <v>0</v>
      </c>
      <c r="R30" s="157">
        <f t="shared" si="17"/>
        <v>0</v>
      </c>
      <c r="S30" s="157">
        <f t="shared" si="17"/>
        <v>0</v>
      </c>
      <c r="T30" s="157">
        <f t="shared" si="1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46174</v>
      </c>
      <c r="D31" s="153" t="str">
        <f t="shared" si="7"/>
        <v>calculated</v>
      </c>
      <c r="E31" s="123" t="str">
        <f t="shared" si="10"/>
        <v>index</v>
      </c>
      <c r="F31" s="123"/>
      <c r="G31" s="123"/>
      <c r="H31" s="123"/>
      <c r="I31" s="157"/>
      <c r="J31" s="157">
        <f t="shared" ref="J31:T32" si="19">IF(AND(J$24=J$4,ISNONTEXT($C31)),1/J21*(1+J$12)^0.5,0)</f>
        <v>1.2531621898952738</v>
      </c>
      <c r="K31" s="157">
        <f t="shared" si="19"/>
        <v>1.1936108335380191</v>
      </c>
      <c r="L31" s="157">
        <f t="shared" si="19"/>
        <v>1.1251366424002645</v>
      </c>
      <c r="M31" s="157">
        <f t="shared" si="19"/>
        <v>1.0724278380009327</v>
      </c>
      <c r="N31" s="157">
        <f t="shared" si="19"/>
        <v>1.0417148551005575</v>
      </c>
      <c r="O31" s="157">
        <f t="shared" si="19"/>
        <v>1.0153817016275208</v>
      </c>
      <c r="P31" s="157">
        <f t="shared" si="19"/>
        <v>0</v>
      </c>
      <c r="Q31" s="157">
        <f t="shared" si="19"/>
        <v>0</v>
      </c>
      <c r="R31" s="157">
        <f t="shared" si="19"/>
        <v>0</v>
      </c>
      <c r="S31" s="157">
        <f t="shared" si="19"/>
        <v>0</v>
      </c>
      <c r="T31" s="157">
        <f t="shared" si="19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7"/>
        <v/>
      </c>
      <c r="E32" s="123" t="str">
        <f t="shared" si="10"/>
        <v/>
      </c>
      <c r="F32" s="123"/>
      <c r="G32" s="123"/>
      <c r="H32" s="123"/>
      <c r="I32" s="157"/>
      <c r="J32" s="157">
        <f t="shared" si="19"/>
        <v>0</v>
      </c>
      <c r="K32" s="157">
        <f t="shared" si="19"/>
        <v>0</v>
      </c>
      <c r="L32" s="157">
        <f t="shared" si="19"/>
        <v>0</v>
      </c>
      <c r="M32" s="157">
        <f t="shared" si="19"/>
        <v>0</v>
      </c>
      <c r="N32" s="157">
        <f t="shared" si="19"/>
        <v>0</v>
      </c>
      <c r="O32" s="157">
        <f t="shared" si="19"/>
        <v>0</v>
      </c>
      <c r="P32" s="157">
        <f t="shared" si="19"/>
        <v>0</v>
      </c>
      <c r="Q32" s="157">
        <f t="shared" si="19"/>
        <v>0</v>
      </c>
      <c r="R32" s="157">
        <f t="shared" si="19"/>
        <v>0</v>
      </c>
      <c r="S32" s="157">
        <f t="shared" si="19"/>
        <v>0</v>
      </c>
      <c r="T32" s="157">
        <f t="shared" si="19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3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0">IF(YEAR(J$4)&gt;=FPFirstYear,IF(YEAR(J$4)&lt;=FPLastYear,J$4,""),"")</f>
        <v/>
      </c>
      <c r="K36" s="141" t="str">
        <f t="shared" si="20"/>
        <v/>
      </c>
      <c r="L36" s="141" t="str">
        <f t="shared" si="20"/>
        <v/>
      </c>
      <c r="M36" s="141" t="str">
        <f t="shared" si="20"/>
        <v/>
      </c>
      <c r="N36" s="141" t="str">
        <f t="shared" si="20"/>
        <v/>
      </c>
      <c r="O36" s="141" t="str">
        <f t="shared" si="20"/>
        <v/>
      </c>
      <c r="P36" s="141">
        <f t="shared" si="20"/>
        <v>46539</v>
      </c>
      <c r="Q36" s="141">
        <f t="shared" si="20"/>
        <v>46905</v>
      </c>
      <c r="R36" s="141">
        <f t="shared" si="20"/>
        <v>47270</v>
      </c>
      <c r="S36" s="141">
        <f t="shared" si="20"/>
        <v>47635</v>
      </c>
      <c r="T36" s="141">
        <f t="shared" si="20"/>
        <v>48000</v>
      </c>
      <c r="U36" s="141" t="str">
        <f t="shared" si="20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225</v>
      </c>
      <c r="D38" s="123" t="s">
        <v>96</v>
      </c>
      <c r="E38" s="123" t="str">
        <f t="shared" ref="E38:E45" si="21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6.6742534384085506E-3</v>
      </c>
      <c r="Q38" s="162">
        <v>9.1898693689420607E-3</v>
      </c>
      <c r="R38" s="162">
        <v>1.0844237001720769E-2</v>
      </c>
      <c r="S38" s="162">
        <v>1.0677567182329151E-2</v>
      </c>
      <c r="T38" s="162">
        <v>1.0220337553900727E-2</v>
      </c>
      <c r="U38" s="122"/>
      <c r="V38" s="122"/>
      <c r="W38" s="122"/>
    </row>
    <row r="39" spans="1:34" ht="11.25" customHeight="1" outlineLevel="1">
      <c r="A39" s="122"/>
      <c r="B39" s="122"/>
      <c r="C39" s="164" t="s">
        <v>226</v>
      </c>
      <c r="D39" s="123" t="s">
        <v>96</v>
      </c>
      <c r="E39" s="123" t="str">
        <f t="shared" si="21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3">
        <v>1.1627048788004135E-2</v>
      </c>
      <c r="Q39" s="163">
        <v>9.7167112576105781E-3</v>
      </c>
      <c r="R39" s="163">
        <v>1.2509981063376197E-2</v>
      </c>
      <c r="S39" s="163">
        <v>1.3480376168036013E-2</v>
      </c>
      <c r="T39" s="163">
        <v>1.1964706087105283E-2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174</v>
      </c>
      <c r="D40" s="123" t="s">
        <v>96</v>
      </c>
      <c r="E40" s="123" t="str">
        <f t="shared" si="21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9.1506511132063428E-3</v>
      </c>
      <c r="Q40" s="163">
        <f>AVERAGE(Q38:Q39)</f>
        <v>9.4532903132763194E-3</v>
      </c>
      <c r="R40" s="163">
        <f>AVERAGE(R38:R39)</f>
        <v>1.1677109032548483E-2</v>
      </c>
      <c r="S40" s="163">
        <f>AVERAGE(S38:S39)</f>
        <v>1.2078971675182581E-2</v>
      </c>
      <c r="T40" s="163">
        <f>AVERAGE(T38:T39)</f>
        <v>1.1092521820503005E-2</v>
      </c>
      <c r="U40" s="122"/>
      <c r="V40" s="122"/>
      <c r="W40" s="122"/>
    </row>
    <row r="41" spans="1:34" ht="11.25" customHeight="1" outlineLevel="1">
      <c r="A41" s="122"/>
      <c r="B41" s="122"/>
      <c r="C41" s="130"/>
      <c r="D41" s="123" t="s">
        <v>96</v>
      </c>
      <c r="E41" s="123" t="str">
        <f t="shared" si="21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3"/>
      <c r="Q41" s="163"/>
      <c r="R41" s="163"/>
      <c r="S41" s="163"/>
      <c r="T41" s="163"/>
      <c r="U41" s="165"/>
      <c r="V41" s="166"/>
      <c r="W41" s="122"/>
    </row>
    <row r="42" spans="1:34" ht="11.25" customHeight="1" outlineLevel="1">
      <c r="A42" s="122"/>
      <c r="B42" s="122"/>
      <c r="C42" s="130" t="s">
        <v>227</v>
      </c>
      <c r="D42" s="123" t="s">
        <v>96</v>
      </c>
      <c r="E42" s="123" t="str">
        <f t="shared" si="21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>
        <f>P41+P40</f>
        <v>9.1506511132063428E-3</v>
      </c>
      <c r="Q42" s="163">
        <f>Q41+Q40</f>
        <v>9.4532903132763194E-3</v>
      </c>
      <c r="R42" s="163">
        <f>R41+R40</f>
        <v>1.1677109032548483E-2</v>
      </c>
      <c r="S42" s="163">
        <f>S41+S40</f>
        <v>1.2078971675182581E-2</v>
      </c>
      <c r="T42" s="163">
        <f>T41+T40</f>
        <v>1.1092521820503005E-2</v>
      </c>
      <c r="U42" s="165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21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7"/>
      <c r="Q43" s="167"/>
      <c r="R43" s="167"/>
      <c r="S43" s="167"/>
      <c r="T43" s="167"/>
      <c r="U43" s="165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21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7"/>
      <c r="Q44" s="167"/>
      <c r="R44" s="167"/>
      <c r="S44" s="167"/>
      <c r="T44" s="167"/>
      <c r="U44" s="165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21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5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8" t="str">
        <f t="shared" ref="J47:S47" si="22">IF(J36=J4,IF(COUNTA($C38:$C45)=COUNT(J38:J45),"Ok","Check"),"")</f>
        <v/>
      </c>
      <c r="K47" s="168" t="str">
        <f t="shared" si="22"/>
        <v/>
      </c>
      <c r="L47" s="168" t="str">
        <f t="shared" si="22"/>
        <v/>
      </c>
      <c r="M47" s="168" t="str">
        <f t="shared" si="22"/>
        <v/>
      </c>
      <c r="N47" s="168" t="str">
        <f t="shared" si="22"/>
        <v/>
      </c>
      <c r="O47" s="168" t="str">
        <f t="shared" si="22"/>
        <v/>
      </c>
      <c r="P47" s="168" t="str">
        <f t="shared" si="22"/>
        <v>Ok</v>
      </c>
      <c r="Q47" s="168" t="str">
        <f t="shared" si="22"/>
        <v>Ok</v>
      </c>
      <c r="R47" s="168" t="str">
        <f t="shared" si="22"/>
        <v>Ok</v>
      </c>
      <c r="S47" s="168" t="str">
        <f t="shared" si="22"/>
        <v>Ok</v>
      </c>
      <c r="T47" s="168" t="str">
        <f>IF(T36=T4,IF(COUNTA($C38:$C45)=COUNT(T38:T45),"Ok","Check"),"")</f>
        <v>Ok</v>
      </c>
      <c r="U47" s="168" t="str">
        <f>IF(U36=U4,IF(COUNTA($C38:$C45)=COUNT(U38:U45),"Ok","Check"),"")</f>
        <v/>
      </c>
      <c r="V47" s="169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23">IF(YEAR(J$4)&gt;=FPFirstYear,IF(YEAR(J$4)&lt;=FPLastYear,J$4,""),"")</f>
        <v/>
      </c>
      <c r="K49" s="141" t="str">
        <f t="shared" si="23"/>
        <v/>
      </c>
      <c r="L49" s="141" t="str">
        <f t="shared" si="23"/>
        <v/>
      </c>
      <c r="M49" s="141" t="str">
        <f t="shared" si="23"/>
        <v/>
      </c>
      <c r="N49" s="141" t="str">
        <f t="shared" si="23"/>
        <v/>
      </c>
      <c r="O49" s="141" t="str">
        <f t="shared" si="23"/>
        <v/>
      </c>
      <c r="P49" s="141">
        <f t="shared" si="23"/>
        <v>46539</v>
      </c>
      <c r="Q49" s="141">
        <f t="shared" si="23"/>
        <v>46905</v>
      </c>
      <c r="R49" s="141">
        <f t="shared" si="23"/>
        <v>47270</v>
      </c>
      <c r="S49" s="141">
        <f t="shared" si="23"/>
        <v>47635</v>
      </c>
      <c r="T49" s="141">
        <f t="shared" si="23"/>
        <v>48000</v>
      </c>
      <c r="U49" s="141" t="str">
        <f t="shared" si="23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70" t="str">
        <f t="shared" ref="C51:C58" si="24">C38</f>
        <v>DAE forecast</v>
      </c>
      <c r="D51" s="123" t="s">
        <v>96</v>
      </c>
      <c r="E51" s="123" t="str">
        <f t="shared" ref="E51:E58" si="25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1"/>
      <c r="V51" s="122"/>
      <c r="W51" s="122"/>
    </row>
    <row r="52" spans="1:34" ht="11.25" customHeight="1" outlineLevel="1">
      <c r="A52" s="122"/>
      <c r="B52" s="122"/>
      <c r="C52" s="170" t="str">
        <f t="shared" si="24"/>
        <v>Oxford economics</v>
      </c>
      <c r="D52" s="123" t="s">
        <v>96</v>
      </c>
      <c r="E52" s="123" t="str">
        <f t="shared" si="25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1"/>
      <c r="V52" s="122"/>
      <c r="W52" s="122"/>
    </row>
    <row r="53" spans="1:34" ht="11.25" customHeight="1" outlineLevel="1">
      <c r="A53" s="122"/>
      <c r="B53" s="122"/>
      <c r="C53" s="170" t="str">
        <f t="shared" si="24"/>
        <v>WPI - average</v>
      </c>
      <c r="D53" s="123" t="s">
        <v>96</v>
      </c>
      <c r="E53" s="123" t="str">
        <f t="shared" si="25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/>
      <c r="Q53" s="146"/>
      <c r="R53" s="146"/>
      <c r="S53" s="146"/>
      <c r="T53" s="146"/>
      <c r="U53" s="171"/>
      <c r="V53" s="122"/>
      <c r="W53" s="122"/>
    </row>
    <row r="54" spans="1:34" ht="11.25" customHeight="1" outlineLevel="1">
      <c r="A54" s="122"/>
      <c r="B54" s="122"/>
      <c r="C54" s="170">
        <f t="shared" si="24"/>
        <v>0</v>
      </c>
      <c r="D54" s="123" t="s">
        <v>96</v>
      </c>
      <c r="E54" s="123" t="str">
        <f t="shared" si="25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1"/>
      <c r="V54" s="166"/>
      <c r="W54" s="122"/>
    </row>
    <row r="55" spans="1:34" ht="11.25" customHeight="1" outlineLevel="1">
      <c r="A55" s="122"/>
      <c r="B55" s="122"/>
      <c r="C55" s="170" t="str">
        <f t="shared" si="24"/>
        <v xml:space="preserve">WPI - average </v>
      </c>
      <c r="D55" s="123" t="s">
        <v>96</v>
      </c>
      <c r="E55" s="123" t="str">
        <f t="shared" si="25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2">
        <v>0.59199999999999997</v>
      </c>
      <c r="Q55" s="172">
        <v>0.59199999999999997</v>
      </c>
      <c r="R55" s="172">
        <v>0.59199999999999997</v>
      </c>
      <c r="S55" s="172">
        <v>0.59199999999999997</v>
      </c>
      <c r="T55" s="172">
        <v>0.59199999999999997</v>
      </c>
      <c r="U55" s="171"/>
      <c r="V55" s="122"/>
      <c r="W55" s="122"/>
    </row>
    <row r="56" spans="1:34" ht="11.25" customHeight="1" outlineLevel="1">
      <c r="A56" s="122"/>
      <c r="B56" s="122"/>
      <c r="C56" s="170">
        <f t="shared" si="24"/>
        <v>0</v>
      </c>
      <c r="D56" s="123" t="s">
        <v>96</v>
      </c>
      <c r="E56" s="123" t="str">
        <f t="shared" si="25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1"/>
      <c r="V56" s="122"/>
      <c r="W56" s="122"/>
    </row>
    <row r="57" spans="1:34" ht="11.25" customHeight="1" outlineLevel="1">
      <c r="A57" s="122"/>
      <c r="B57" s="122"/>
      <c r="C57" s="170">
        <f t="shared" si="24"/>
        <v>0</v>
      </c>
      <c r="D57" s="123" t="s">
        <v>96</v>
      </c>
      <c r="E57" s="123" t="str">
        <f t="shared" si="25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1"/>
      <c r="V57" s="122"/>
      <c r="W57" s="122"/>
    </row>
    <row r="58" spans="1:34" ht="11.25" customHeight="1" outlineLevel="1">
      <c r="A58" s="122"/>
      <c r="B58" s="122"/>
      <c r="C58" s="170" t="str">
        <f t="shared" si="24"/>
        <v>CPI</v>
      </c>
      <c r="D58" s="123" t="s">
        <v>96</v>
      </c>
      <c r="E58" s="123" t="str">
        <f t="shared" si="25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1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ht="10.5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8" t="str">
        <f t="shared" ref="J60:S60" si="26">IF(J49=J$4,IF(SUM(J51:J58)=1,"Ok","Check"),"")</f>
        <v/>
      </c>
      <c r="K60" s="168" t="str">
        <f t="shared" si="26"/>
        <v/>
      </c>
      <c r="L60" s="168" t="str">
        <f t="shared" si="26"/>
        <v/>
      </c>
      <c r="M60" s="168" t="str">
        <f t="shared" si="26"/>
        <v/>
      </c>
      <c r="N60" s="168" t="str">
        <f t="shared" si="26"/>
        <v/>
      </c>
      <c r="O60" s="168" t="str">
        <f t="shared" si="26"/>
        <v/>
      </c>
      <c r="P60" s="168" t="str">
        <f t="shared" si="26"/>
        <v>Ok</v>
      </c>
      <c r="Q60" s="168" t="str">
        <f t="shared" si="26"/>
        <v>Ok</v>
      </c>
      <c r="R60" s="168" t="str">
        <f t="shared" si="26"/>
        <v>Ok</v>
      </c>
      <c r="S60" s="168" t="str">
        <f t="shared" si="26"/>
        <v>Ok</v>
      </c>
      <c r="T60" s="168" t="str">
        <f>IF(T49=T$4,IF(SUM(T51:T58)=1,"Ok","Check"),"")</f>
        <v>Ok</v>
      </c>
      <c r="U60" s="168" t="str">
        <f>IF(U49=U$4,IF(SUM(U51:U58)=1,"Ok","Check"),"")</f>
        <v/>
      </c>
      <c r="V60" s="169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3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ht="10.5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27">IF(YEAR(J$4)&gt;=PPLastYear,IF(YEAR(J$4)&lt;=FPLastYear,J$4,""),"")</f>
        <v/>
      </c>
      <c r="K64" s="141" t="str">
        <f t="shared" si="27"/>
        <v/>
      </c>
      <c r="L64" s="141" t="str">
        <f t="shared" si="27"/>
        <v/>
      </c>
      <c r="M64" s="141" t="str">
        <f t="shared" si="27"/>
        <v/>
      </c>
      <c r="N64" s="141" t="str">
        <f t="shared" si="27"/>
        <v/>
      </c>
      <c r="O64" s="141">
        <f t="shared" si="27"/>
        <v>46174</v>
      </c>
      <c r="P64" s="141">
        <f t="shared" si="27"/>
        <v>46539</v>
      </c>
      <c r="Q64" s="141">
        <f t="shared" si="27"/>
        <v>46905</v>
      </c>
      <c r="R64" s="141">
        <f t="shared" si="27"/>
        <v>47270</v>
      </c>
      <c r="S64" s="141">
        <f t="shared" si="27"/>
        <v>47635</v>
      </c>
      <c r="T64" s="141">
        <f t="shared" si="27"/>
        <v>48000</v>
      </c>
      <c r="U64" s="141" t="str">
        <f t="shared" si="27"/>
        <v/>
      </c>
      <c r="V64" s="122"/>
      <c r="W64" s="122"/>
    </row>
    <row r="65" spans="1:24" ht="10.5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175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3"/>
      <c r="L66" s="173"/>
      <c r="M66" s="173"/>
      <c r="N66" s="173"/>
      <c r="O66" s="144">
        <v>853251.41771013418</v>
      </c>
      <c r="P66" s="144">
        <v>868367.3628403577</v>
      </c>
      <c r="Q66" s="144">
        <v>883563.35940435715</v>
      </c>
      <c r="R66" s="144">
        <v>898843.42110557656</v>
      </c>
      <c r="S66" s="144">
        <v>914240.23833687708</v>
      </c>
      <c r="T66" s="144">
        <v>929728.43615679897</v>
      </c>
      <c r="U66" s="144"/>
      <c r="V66" s="122"/>
      <c r="W66" s="122"/>
    </row>
    <row r="67" spans="1:24" outlineLevel="1">
      <c r="A67" s="122"/>
      <c r="B67" s="122"/>
      <c r="C67" s="130" t="s">
        <v>176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3"/>
      <c r="L67" s="173"/>
      <c r="M67" s="173"/>
      <c r="N67" s="173"/>
      <c r="O67" s="144">
        <v>47228.678763455951</v>
      </c>
      <c r="P67" s="144">
        <v>47506.116692032381</v>
      </c>
      <c r="Q67" s="144">
        <v>47814.231158983624</v>
      </c>
      <c r="R67" s="144">
        <v>48127.569696874831</v>
      </c>
      <c r="S67" s="144">
        <v>48444.531794563729</v>
      </c>
      <c r="T67" s="144">
        <v>48753.222853125626</v>
      </c>
      <c r="U67" s="144"/>
      <c r="V67" s="122"/>
      <c r="W67" s="122"/>
    </row>
    <row r="68" spans="1:24" outlineLevel="1">
      <c r="A68" s="122"/>
      <c r="B68" s="122"/>
      <c r="C68" s="130" t="s">
        <v>177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3"/>
      <c r="L68" s="173"/>
      <c r="M68" s="173"/>
      <c r="N68" s="173"/>
      <c r="O68" s="144">
        <v>2115</v>
      </c>
      <c r="P68" s="144">
        <v>2115</v>
      </c>
      <c r="Q68" s="144">
        <v>2115</v>
      </c>
      <c r="R68" s="144">
        <v>2115</v>
      </c>
      <c r="S68" s="144">
        <v>2151.2959476733276</v>
      </c>
      <c r="T68" s="144">
        <v>2201.3420843034173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3"/>
      <c r="L69" s="173"/>
      <c r="M69" s="173"/>
      <c r="N69" s="173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3"/>
      <c r="L70" s="173"/>
      <c r="M70" s="173"/>
      <c r="N70" s="173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3"/>
      <c r="L71" s="173"/>
      <c r="M71" s="173"/>
      <c r="N71" s="173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ht="10.5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ht="10.5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8" t="str">
        <f t="shared" ref="J73:S73" si="28">IF(J64=J$4,IF(COUNTA($C66:$C71)=COUNT(J66:J71),"Ok","Check"),"")</f>
        <v/>
      </c>
      <c r="K73" s="168" t="str">
        <f t="shared" si="28"/>
        <v/>
      </c>
      <c r="L73" s="168" t="str">
        <f t="shared" si="28"/>
        <v/>
      </c>
      <c r="M73" s="168" t="str">
        <f t="shared" si="28"/>
        <v/>
      </c>
      <c r="N73" s="168" t="str">
        <f t="shared" si="28"/>
        <v/>
      </c>
      <c r="O73" s="168" t="str">
        <f t="shared" si="28"/>
        <v>Ok</v>
      </c>
      <c r="P73" s="168" t="str">
        <f t="shared" si="28"/>
        <v>Ok</v>
      </c>
      <c r="Q73" s="168" t="str">
        <f t="shared" si="28"/>
        <v>Ok</v>
      </c>
      <c r="R73" s="168" t="str">
        <f t="shared" si="28"/>
        <v>Ok</v>
      </c>
      <c r="S73" s="168" t="str">
        <f t="shared" si="28"/>
        <v>Ok</v>
      </c>
      <c r="T73" s="168" t="str">
        <f>IF(T64=T$4,IF(COUNTA($C66:$C71)=COUNT(T66:T71),"Ok","Check"),"")</f>
        <v>Ok</v>
      </c>
      <c r="U73" s="168" t="str">
        <f>IF(U64=U$4,IF(COUNTA($C66:$C71)=COUNT(U66:U71),"Ok","Check"),"")</f>
        <v/>
      </c>
      <c r="V73" s="169"/>
      <c r="W73" s="122"/>
      <c r="X73" s="81" t="str">
        <f>IF(COUNTIF(J73:U73,"Check")=0,"Ok","Check")</f>
        <v>Ok</v>
      </c>
    </row>
    <row r="74" spans="1:24" ht="10.5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ht="10.5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29">IF(YEAR(J$4)&gt;=FPFirstYear,IF(YEAR(J$4)&lt;=FPLastYear,J$4,""),"")</f>
        <v/>
      </c>
      <c r="K75" s="141" t="str">
        <f t="shared" si="29"/>
        <v/>
      </c>
      <c r="L75" s="141" t="str">
        <f t="shared" si="29"/>
        <v/>
      </c>
      <c r="M75" s="141" t="str">
        <f t="shared" si="29"/>
        <v/>
      </c>
      <c r="N75" s="141" t="str">
        <f t="shared" si="29"/>
        <v/>
      </c>
      <c r="O75" s="141" t="str">
        <f t="shared" si="29"/>
        <v/>
      </c>
      <c r="P75" s="141">
        <f t="shared" si="29"/>
        <v>46539</v>
      </c>
      <c r="Q75" s="141">
        <f t="shared" si="29"/>
        <v>46905</v>
      </c>
      <c r="R75" s="141">
        <f t="shared" si="29"/>
        <v>47270</v>
      </c>
      <c r="S75" s="141">
        <f t="shared" si="29"/>
        <v>47635</v>
      </c>
      <c r="T75" s="141">
        <f t="shared" si="29"/>
        <v>48000</v>
      </c>
      <c r="U75" s="141" t="str">
        <f t="shared" si="29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ht="10.5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70" t="str">
        <f t="shared" ref="C77:C82" si="30"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4" t="str">
        <f>IF(ISBLANK(I66),"",IF(ISBLANK(J66),"",LN(J66)-LN(I66)))</f>
        <v/>
      </c>
      <c r="K77" s="174" t="str">
        <f>IF(ISBLANK(J66),"",IF(ISBLANK(K66),"",LN(K66)-LN(J66)))</f>
        <v/>
      </c>
      <c r="L77" s="174" t="str">
        <f>IF(ISBLANK(K66),"",IF(ISBLANK(L66),"",LN(L66)-LN(K66)))</f>
        <v/>
      </c>
      <c r="M77" s="174" t="str">
        <f>IF(ISBLANK(L66),"",IF(ISBLANK(M66),"",LN(M66)-LN(L66)))</f>
        <v/>
      </c>
      <c r="N77" s="174" t="str">
        <f>IF(ISBLANK(M66),"",IF(ISBLANK(N66),"",LN(N66)-LN(M66)))</f>
        <v/>
      </c>
      <c r="O77" s="174" t="str">
        <f t="shared" ref="O77:U77" si="31">IF(ISBLANK(N66),"",IF(ISBLANK(O66),"",LN(O66)-LN(N66)))</f>
        <v/>
      </c>
      <c r="P77" s="174">
        <f t="shared" si="31"/>
        <v>1.7560604876178942E-2</v>
      </c>
      <c r="Q77" s="174">
        <f t="shared" si="31"/>
        <v>1.734814908209259E-2</v>
      </c>
      <c r="R77" s="174">
        <f t="shared" si="31"/>
        <v>1.7145845945560012E-2</v>
      </c>
      <c r="S77" s="174">
        <f t="shared" si="31"/>
        <v>1.6984530505776974E-2</v>
      </c>
      <c r="T77" s="174">
        <f t="shared" si="31"/>
        <v>1.6799159636951444E-2</v>
      </c>
      <c r="U77" s="174" t="str">
        <f t="shared" si="31"/>
        <v/>
      </c>
      <c r="V77" s="122"/>
      <c r="W77" s="122"/>
    </row>
    <row r="78" spans="1:24" outlineLevel="1">
      <c r="A78" s="122"/>
      <c r="B78" s="122"/>
      <c r="C78" s="170" t="str">
        <f t="shared" si="30"/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4" t="str">
        <f t="shared" ref="J78:U78" si="32">IF(ISBLANK(I67),"",IF(ISBLANK(J67),"",LN(J67)-LN(I67)))</f>
        <v/>
      </c>
      <c r="K78" s="174" t="str">
        <f t="shared" si="32"/>
        <v/>
      </c>
      <c r="L78" s="174" t="str">
        <f t="shared" si="32"/>
        <v/>
      </c>
      <c r="M78" s="174" t="str">
        <f t="shared" si="32"/>
        <v/>
      </c>
      <c r="N78" s="174" t="str">
        <f t="shared" si="32"/>
        <v/>
      </c>
      <c r="O78" s="174" t="str">
        <f t="shared" si="32"/>
        <v/>
      </c>
      <c r="P78" s="174">
        <f t="shared" si="32"/>
        <v>5.857166216488352E-3</v>
      </c>
      <c r="Q78" s="174">
        <f t="shared" si="32"/>
        <v>6.4648429640303817E-3</v>
      </c>
      <c r="R78" s="174">
        <f t="shared" si="32"/>
        <v>6.5318693031102271E-3</v>
      </c>
      <c r="S78" s="174">
        <f t="shared" si="32"/>
        <v>6.5642816288686845E-3</v>
      </c>
      <c r="T78" s="174">
        <f t="shared" si="32"/>
        <v>6.3518359564209703E-3</v>
      </c>
      <c r="U78" s="174" t="str">
        <f t="shared" si="32"/>
        <v/>
      </c>
      <c r="V78" s="122"/>
      <c r="W78" s="122"/>
    </row>
    <row r="79" spans="1:24" outlineLevel="1">
      <c r="A79" s="122"/>
      <c r="B79" s="122"/>
      <c r="C79" s="170" t="str">
        <f t="shared" si="30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4" t="str">
        <f t="shared" ref="J79:U79" si="33">IF(ISBLANK(I68),"",IF(ISBLANK(J68),"",LN(J68)-LN(I68)))</f>
        <v/>
      </c>
      <c r="K79" s="174" t="str">
        <f t="shared" si="33"/>
        <v/>
      </c>
      <c r="L79" s="174" t="str">
        <f t="shared" si="33"/>
        <v/>
      </c>
      <c r="M79" s="174" t="str">
        <f t="shared" si="33"/>
        <v/>
      </c>
      <c r="N79" s="174" t="str">
        <f t="shared" si="33"/>
        <v/>
      </c>
      <c r="O79" s="174" t="str">
        <f t="shared" si="33"/>
        <v/>
      </c>
      <c r="P79" s="174">
        <f t="shared" si="33"/>
        <v>0</v>
      </c>
      <c r="Q79" s="174">
        <f t="shared" si="33"/>
        <v>0</v>
      </c>
      <c r="R79" s="174">
        <f t="shared" si="33"/>
        <v>0</v>
      </c>
      <c r="S79" s="174">
        <f t="shared" si="33"/>
        <v>1.7015614410342828E-2</v>
      </c>
      <c r="T79" s="174">
        <f t="shared" si="33"/>
        <v>2.2996785777685602E-2</v>
      </c>
      <c r="U79" s="174" t="str">
        <f t="shared" si="33"/>
        <v/>
      </c>
      <c r="V79" s="122"/>
      <c r="W79" s="122"/>
    </row>
    <row r="80" spans="1:24" outlineLevel="1">
      <c r="A80" s="122"/>
      <c r="B80" s="122"/>
      <c r="C80" s="170">
        <f t="shared" si="30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4" t="str">
        <f t="shared" ref="J80:U80" si="34">IF(ISBLANK(I69),"",IF(ISBLANK(J69),"",LN(J69)-LN(I69)))</f>
        <v/>
      </c>
      <c r="K80" s="174" t="str">
        <f t="shared" si="34"/>
        <v/>
      </c>
      <c r="L80" s="174" t="str">
        <f t="shared" si="34"/>
        <v/>
      </c>
      <c r="M80" s="174" t="str">
        <f t="shared" si="34"/>
        <v/>
      </c>
      <c r="N80" s="174" t="str">
        <f t="shared" si="34"/>
        <v/>
      </c>
      <c r="O80" s="174" t="str">
        <f t="shared" si="34"/>
        <v/>
      </c>
      <c r="P80" s="174" t="str">
        <f t="shared" si="34"/>
        <v/>
      </c>
      <c r="Q80" s="174" t="str">
        <f t="shared" si="34"/>
        <v/>
      </c>
      <c r="R80" s="174" t="str">
        <f t="shared" si="34"/>
        <v/>
      </c>
      <c r="S80" s="174" t="str">
        <f t="shared" si="34"/>
        <v/>
      </c>
      <c r="T80" s="174" t="str">
        <f t="shared" si="34"/>
        <v/>
      </c>
      <c r="U80" s="174" t="str">
        <f t="shared" si="34"/>
        <v/>
      </c>
      <c r="V80" s="122"/>
      <c r="W80" s="122"/>
    </row>
    <row r="81" spans="1:24" outlineLevel="1">
      <c r="A81" s="122"/>
      <c r="B81" s="122"/>
      <c r="C81" s="170">
        <f t="shared" si="30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4" t="str">
        <f t="shared" ref="J81:T81" si="35">IF(ISBLANK(I70),"",IF(ISBLANK(J70),"",LN(J70)-LN(I70)))</f>
        <v/>
      </c>
      <c r="K81" s="174" t="str">
        <f t="shared" si="35"/>
        <v/>
      </c>
      <c r="L81" s="174" t="str">
        <f t="shared" si="35"/>
        <v/>
      </c>
      <c r="M81" s="174" t="str">
        <f t="shared" si="35"/>
        <v/>
      </c>
      <c r="N81" s="174" t="str">
        <f t="shared" si="35"/>
        <v/>
      </c>
      <c r="O81" s="174" t="str">
        <f t="shared" si="35"/>
        <v/>
      </c>
      <c r="P81" s="174" t="str">
        <f t="shared" si="35"/>
        <v/>
      </c>
      <c r="Q81" s="174" t="str">
        <f t="shared" si="35"/>
        <v/>
      </c>
      <c r="R81" s="174" t="str">
        <f t="shared" si="35"/>
        <v/>
      </c>
      <c r="S81" s="174" t="str">
        <f t="shared" si="35"/>
        <v/>
      </c>
      <c r="T81" s="174" t="str">
        <f t="shared" si="35"/>
        <v/>
      </c>
      <c r="U81" s="174"/>
      <c r="V81" s="122"/>
      <c r="W81" s="122"/>
    </row>
    <row r="82" spans="1:24" outlineLevel="1">
      <c r="A82" s="122"/>
      <c r="B82" s="122"/>
      <c r="C82" s="170">
        <f t="shared" si="30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4" t="str">
        <f t="shared" ref="J82:T82" si="36">IF(ISBLANK(I71),"",IF(ISBLANK(J71),"",LN(J71)-LN(I71)))</f>
        <v/>
      </c>
      <c r="K82" s="174" t="str">
        <f t="shared" si="36"/>
        <v/>
      </c>
      <c r="L82" s="174" t="str">
        <f t="shared" si="36"/>
        <v/>
      </c>
      <c r="M82" s="174" t="str">
        <f t="shared" si="36"/>
        <v/>
      </c>
      <c r="N82" s="174" t="str">
        <f t="shared" si="36"/>
        <v/>
      </c>
      <c r="O82" s="174" t="str">
        <f t="shared" si="36"/>
        <v/>
      </c>
      <c r="P82" s="174" t="str">
        <f t="shared" si="36"/>
        <v/>
      </c>
      <c r="Q82" s="174" t="str">
        <f t="shared" si="36"/>
        <v/>
      </c>
      <c r="R82" s="174" t="str">
        <f t="shared" si="36"/>
        <v/>
      </c>
      <c r="S82" s="174" t="str">
        <f t="shared" si="36"/>
        <v/>
      </c>
      <c r="T82" s="174" t="str">
        <f t="shared" si="36"/>
        <v/>
      </c>
      <c r="U82" s="174"/>
      <c r="V82" s="122"/>
      <c r="W82" s="122"/>
    </row>
    <row r="83" spans="1:24" ht="10.5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ht="10.5" outlineLevel="1">
      <c r="A84" s="122"/>
      <c r="B84" s="122"/>
      <c r="C84" s="125" t="s">
        <v>192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5" t="s">
        <v>185</v>
      </c>
      <c r="K84" s="175" t="s">
        <v>186</v>
      </c>
      <c r="L84" s="175" t="s">
        <v>187</v>
      </c>
      <c r="M84" s="175" t="s">
        <v>188</v>
      </c>
      <c r="N84" s="129"/>
      <c r="O84" s="198" t="s">
        <v>213</v>
      </c>
      <c r="P84" s="122"/>
      <c r="Q84" s="122"/>
      <c r="R84" s="122"/>
      <c r="S84" s="122"/>
      <c r="T84" s="122"/>
      <c r="U84" s="122"/>
      <c r="V84" s="122"/>
      <c r="W84" s="122"/>
    </row>
    <row r="85" spans="1:24" ht="10.5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ht="10.5" outlineLevel="1">
      <c r="A86" s="122"/>
      <c r="B86" s="122"/>
      <c r="C86" s="170" t="str">
        <f t="shared" ref="C86:C91" si="37"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6">
        <v>0.28000000000000003</v>
      </c>
      <c r="K86" s="176">
        <v>0.53600000000000003</v>
      </c>
      <c r="L86" s="176">
        <v>0.35699999999999998</v>
      </c>
      <c r="M86" s="176">
        <v>0.31840429999999997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ht="10.5" outlineLevel="1">
      <c r="A87" s="122"/>
      <c r="B87" s="122"/>
      <c r="C87" s="170" t="str">
        <f t="shared" si="37"/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6">
        <v>0.129</v>
      </c>
      <c r="K87" s="176">
        <v>0.22800000000000001</v>
      </c>
      <c r="L87" s="176">
        <v>0.23799999999999999</v>
      </c>
      <c r="M87" s="176">
        <v>0.16565669999999999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ht="10.5" outlineLevel="1">
      <c r="A88" s="122"/>
      <c r="B88" s="122"/>
      <c r="C88" s="170" t="str">
        <f t="shared" si="37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6">
        <v>0.55300000000000005</v>
      </c>
      <c r="K88" s="176">
        <v>0.19900000000000001</v>
      </c>
      <c r="L88" s="176">
        <v>0.36099999999999999</v>
      </c>
      <c r="M88" s="176">
        <v>0.4430868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ht="10.5" outlineLevel="1">
      <c r="A89" s="122"/>
      <c r="B89" s="122"/>
      <c r="C89" s="170">
        <f t="shared" si="37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6"/>
      <c r="K89" s="177"/>
      <c r="L89" s="177"/>
      <c r="M89" s="176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ht="10.5" outlineLevel="1">
      <c r="A90" s="122"/>
      <c r="B90" s="122"/>
      <c r="C90" s="170">
        <f t="shared" si="37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7"/>
      <c r="K90" s="177"/>
      <c r="L90" s="177"/>
      <c r="M90" s="177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ht="10.5" outlineLevel="1">
      <c r="A91" s="122"/>
      <c r="B91" s="122"/>
      <c r="C91" s="170">
        <f t="shared" si="37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7"/>
      <c r="K91" s="177"/>
      <c r="L91" s="177"/>
      <c r="M91" s="177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ht="10.5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ht="10.5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8" t="str">
        <f>IF(AND(ISBLANK(J84),COUNT(J86:J91)=0),"Ok",IF(AND(COUNTA($C66:$C71)=COUNT(J86:J91),COUNTA(J84)=1),"Ok","Check"))</f>
        <v>Ok</v>
      </c>
      <c r="K93" s="168" t="str">
        <f>IF(AND(ISBLANK(K84),COUNT(K86:K91)=0),"Ok",IF(AND(COUNTA($C66:$C71)=COUNT(K86:K91),COUNTA(K84)=1),"Ok","Check"))</f>
        <v>Ok</v>
      </c>
      <c r="L93" s="168" t="str">
        <f>IF(AND(ISBLANK(L84),COUNT(L86:L91)=0),"Ok",IF(AND(COUNTA($C66:$C71)=COUNT(L86:L91),COUNTA(L84)=1),"Ok","Check"))</f>
        <v>Ok</v>
      </c>
      <c r="M93" s="168" t="str">
        <f>IF(AND(ISBLANK(M84),COUNT(M86:M91)=0),"Ok",IF(AND(COUNTA($C66:$C71)=COUNT(M86:M91),COUNTA(M84)=1),"Ok","Check"))</f>
        <v>Ok</v>
      </c>
      <c r="N93" s="168"/>
      <c r="O93" s="168"/>
      <c r="P93" s="168"/>
      <c r="Q93" s="168"/>
      <c r="R93" s="168"/>
      <c r="S93" s="168"/>
      <c r="T93" s="168"/>
      <c r="U93" s="168"/>
      <c r="V93" s="169"/>
      <c r="W93" s="122"/>
      <c r="X93" s="81" t="str">
        <f>IF(COUNTIF(J93:T93,"Check")=0,"Ok","Check")</f>
        <v>Ok</v>
      </c>
    </row>
    <row r="94" spans="1:24" ht="10.5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ht="10.5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193" t="str">
        <f>J84</f>
        <v>SFA CD</v>
      </c>
      <c r="K95" s="193" t="str">
        <f>K84</f>
        <v>LSE CD</v>
      </c>
      <c r="L95" s="193" t="str">
        <f>L84</f>
        <v>LSE TLG</v>
      </c>
      <c r="M95" s="193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ht="10.5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194"/>
      <c r="K96" s="129"/>
      <c r="L96" s="129"/>
      <c r="M96" s="129"/>
      <c r="N96" s="129"/>
      <c r="O96" s="178"/>
      <c r="P96" s="178"/>
      <c r="Q96" s="178"/>
      <c r="R96" s="178"/>
      <c r="S96" s="178"/>
      <c r="T96" s="178"/>
      <c r="U96" s="178"/>
      <c r="V96" s="122"/>
      <c r="W96" s="122"/>
    </row>
    <row r="97" spans="1:34" outlineLevel="1">
      <c r="A97" s="122"/>
      <c r="B97" s="122"/>
      <c r="C97" s="170" t="str">
        <f t="shared" ref="C97:C102" si="38">C66</f>
        <v>Customer numbers (#)</v>
      </c>
      <c r="D97" s="123" t="s">
        <v>93</v>
      </c>
      <c r="E97" s="123" t="str">
        <f t="shared" ref="E97:E102" si="39">percent</f>
        <v>Per cent</v>
      </c>
      <c r="F97" s="123" t="s">
        <v>36</v>
      </c>
      <c r="G97" s="124"/>
      <c r="H97" s="124"/>
      <c r="I97" s="123"/>
      <c r="J97" s="195">
        <f t="shared" ref="J97:M102" si="40">J86/SUM(J$86:J$91)</f>
        <v>0.29106029106029108</v>
      </c>
      <c r="K97" s="195">
        <f t="shared" si="40"/>
        <v>0.55659397715472481</v>
      </c>
      <c r="L97" s="195">
        <f t="shared" si="40"/>
        <v>0.37343096234309625</v>
      </c>
      <c r="M97" s="195">
        <f t="shared" si="40"/>
        <v>0.34342345416771736</v>
      </c>
      <c r="N97" s="179"/>
      <c r="O97" s="179"/>
      <c r="P97" s="179"/>
      <c r="Q97" s="179"/>
      <c r="R97" s="179"/>
      <c r="S97" s="179"/>
      <c r="T97" s="179"/>
      <c r="U97" s="179"/>
      <c r="V97" s="122"/>
      <c r="W97" s="122"/>
    </row>
    <row r="98" spans="1:34" outlineLevel="1">
      <c r="A98" s="122"/>
      <c r="B98" s="122"/>
      <c r="C98" s="170" t="str">
        <f t="shared" si="38"/>
        <v>Circuit Length (km)</v>
      </c>
      <c r="D98" s="123" t="s">
        <v>93</v>
      </c>
      <c r="E98" s="123" t="str">
        <f t="shared" si="39"/>
        <v>Per cent</v>
      </c>
      <c r="F98" s="123" t="s">
        <v>36</v>
      </c>
      <c r="G98" s="124"/>
      <c r="H98" s="124"/>
      <c r="I98" s="123"/>
      <c r="J98" s="195">
        <f t="shared" si="40"/>
        <v>0.13409563409563408</v>
      </c>
      <c r="K98" s="195">
        <f t="shared" si="40"/>
        <v>0.2367601246105919</v>
      </c>
      <c r="L98" s="195">
        <f t="shared" si="40"/>
        <v>0.2489539748953975</v>
      </c>
      <c r="M98" s="195">
        <f t="shared" si="40"/>
        <v>0.17867345422164621</v>
      </c>
      <c r="N98" s="179"/>
      <c r="O98" s="179"/>
      <c r="P98" s="179"/>
      <c r="Q98" s="179"/>
      <c r="R98" s="179"/>
      <c r="S98" s="179"/>
      <c r="T98" s="179"/>
      <c r="U98" s="179"/>
      <c r="V98" s="122"/>
      <c r="W98" s="122"/>
    </row>
    <row r="99" spans="1:34" outlineLevel="1">
      <c r="A99" s="122"/>
      <c r="B99" s="122"/>
      <c r="C99" s="170" t="str">
        <f t="shared" si="38"/>
        <v xml:space="preserve">Ratcheted maximum demand </v>
      </c>
      <c r="D99" s="123" t="s">
        <v>93</v>
      </c>
      <c r="E99" s="123" t="str">
        <f t="shared" si="39"/>
        <v>Per cent</v>
      </c>
      <c r="F99" s="123" t="s">
        <v>36</v>
      </c>
      <c r="G99" s="124"/>
      <c r="H99" s="124"/>
      <c r="I99" s="123"/>
      <c r="J99" s="195">
        <f t="shared" si="40"/>
        <v>0.57484407484407485</v>
      </c>
      <c r="K99" s="195">
        <f t="shared" si="40"/>
        <v>0.20664589823468327</v>
      </c>
      <c r="L99" s="195">
        <f t="shared" si="40"/>
        <v>0.3776150627615063</v>
      </c>
      <c r="M99" s="195">
        <f t="shared" si="40"/>
        <v>0.47790309161063643</v>
      </c>
      <c r="N99" s="179"/>
      <c r="O99" s="179"/>
      <c r="P99" s="179"/>
      <c r="Q99" s="179"/>
      <c r="R99" s="179"/>
      <c r="S99" s="179"/>
      <c r="T99" s="179"/>
      <c r="U99" s="179"/>
      <c r="V99" s="122"/>
      <c r="W99" s="122"/>
    </row>
    <row r="100" spans="1:34" outlineLevel="1">
      <c r="A100" s="122"/>
      <c r="B100" s="122"/>
      <c r="C100" s="170">
        <f t="shared" si="38"/>
        <v>0</v>
      </c>
      <c r="D100" s="123" t="s">
        <v>93</v>
      </c>
      <c r="E100" s="123" t="str">
        <f t="shared" si="39"/>
        <v>Per cent</v>
      </c>
      <c r="F100" s="123" t="s">
        <v>36</v>
      </c>
      <c r="G100" s="124"/>
      <c r="H100" s="124"/>
      <c r="I100" s="123"/>
      <c r="J100" s="195">
        <f t="shared" si="40"/>
        <v>0</v>
      </c>
      <c r="K100" s="195">
        <f t="shared" si="40"/>
        <v>0</v>
      </c>
      <c r="L100" s="195">
        <f t="shared" si="40"/>
        <v>0</v>
      </c>
      <c r="M100" s="195">
        <f t="shared" si="40"/>
        <v>0</v>
      </c>
      <c r="N100" s="179"/>
      <c r="O100" s="179"/>
      <c r="P100" s="179"/>
      <c r="Q100" s="179"/>
      <c r="R100" s="179"/>
      <c r="S100" s="179"/>
      <c r="T100" s="179"/>
      <c r="U100" s="179"/>
      <c r="V100" s="122"/>
      <c r="W100" s="122"/>
    </row>
    <row r="101" spans="1:34" outlineLevel="1">
      <c r="A101" s="122"/>
      <c r="B101" s="122"/>
      <c r="C101" s="170">
        <f t="shared" si="38"/>
        <v>0</v>
      </c>
      <c r="D101" s="123" t="s">
        <v>93</v>
      </c>
      <c r="E101" s="123" t="str">
        <f t="shared" si="39"/>
        <v>Per cent</v>
      </c>
      <c r="F101" s="123" t="s">
        <v>36</v>
      </c>
      <c r="G101" s="124"/>
      <c r="H101" s="124"/>
      <c r="I101" s="123"/>
      <c r="J101" s="195">
        <f t="shared" si="40"/>
        <v>0</v>
      </c>
      <c r="K101" s="195">
        <f t="shared" si="40"/>
        <v>0</v>
      </c>
      <c r="L101" s="195">
        <f t="shared" si="40"/>
        <v>0</v>
      </c>
      <c r="M101" s="195">
        <f t="shared" si="40"/>
        <v>0</v>
      </c>
      <c r="N101" s="179"/>
      <c r="O101" s="179"/>
      <c r="P101" s="179"/>
      <c r="Q101" s="179"/>
      <c r="R101" s="179"/>
      <c r="S101" s="179"/>
      <c r="T101" s="179"/>
      <c r="U101" s="179"/>
      <c r="V101" s="122"/>
      <c r="W101" s="122"/>
    </row>
    <row r="102" spans="1:34" outlineLevel="1">
      <c r="A102" s="122"/>
      <c r="B102" s="122"/>
      <c r="C102" s="170">
        <f t="shared" si="38"/>
        <v>0</v>
      </c>
      <c r="D102" s="123" t="s">
        <v>93</v>
      </c>
      <c r="E102" s="123" t="str">
        <f t="shared" si="39"/>
        <v>Per cent</v>
      </c>
      <c r="F102" s="123" t="s">
        <v>36</v>
      </c>
      <c r="G102" s="124"/>
      <c r="H102" s="124"/>
      <c r="I102" s="123"/>
      <c r="J102" s="195">
        <f t="shared" si="40"/>
        <v>0</v>
      </c>
      <c r="K102" s="195">
        <f t="shared" si="40"/>
        <v>0</v>
      </c>
      <c r="L102" s="195">
        <f t="shared" si="40"/>
        <v>0</v>
      </c>
      <c r="M102" s="195">
        <f t="shared" si="40"/>
        <v>0</v>
      </c>
      <c r="N102" s="179"/>
      <c r="O102" s="179"/>
      <c r="P102" s="179"/>
      <c r="Q102" s="179"/>
      <c r="R102" s="179"/>
      <c r="S102" s="179"/>
      <c r="T102" s="179"/>
      <c r="U102" s="179"/>
      <c r="V102" s="122"/>
      <c r="W102" s="122"/>
    </row>
    <row r="103" spans="1:34" ht="10.5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80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ht="10.5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41">IF(YEAR(J$4)&gt;=FPFirstYear,IF(YEAR(J$4)&lt;=FPLastYear,J$4,""),"")</f>
        <v/>
      </c>
      <c r="K104" s="141" t="str">
        <f t="shared" si="41"/>
        <v/>
      </c>
      <c r="L104" s="141" t="str">
        <f t="shared" si="41"/>
        <v/>
      </c>
      <c r="M104" s="141" t="str">
        <f t="shared" si="41"/>
        <v/>
      </c>
      <c r="N104" s="141" t="str">
        <f t="shared" si="41"/>
        <v/>
      </c>
      <c r="O104" s="141" t="str">
        <f t="shared" si="41"/>
        <v/>
      </c>
      <c r="P104" s="141">
        <f t="shared" si="41"/>
        <v>46539</v>
      </c>
      <c r="Q104" s="141">
        <f t="shared" si="41"/>
        <v>46905</v>
      </c>
      <c r="R104" s="141">
        <f t="shared" si="41"/>
        <v>47270</v>
      </c>
      <c r="S104" s="141">
        <f t="shared" si="41"/>
        <v>47635</v>
      </c>
      <c r="T104" s="141">
        <f t="shared" si="41"/>
        <v>48000</v>
      </c>
      <c r="U104" s="141" t="str">
        <f t="shared" si="41"/>
        <v/>
      </c>
      <c r="V104" s="169"/>
      <c r="W104" s="122"/>
      <c r="X104" s="82"/>
    </row>
    <row r="105" spans="1:34" ht="10.5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9"/>
      <c r="W105" s="122"/>
      <c r="X105" s="82"/>
    </row>
    <row r="106" spans="1:34" ht="10.5" outlineLevel="1">
      <c r="A106" s="122"/>
      <c r="B106" s="122"/>
      <c r="C106" s="170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4" t="str">
        <f t="shared" ref="J106:U106" si="42">IF(J$104=J$4,SUMPRODUCT(J$77:J$82,$J$97:$J$102),"")</f>
        <v/>
      </c>
      <c r="K106" s="174" t="str">
        <f t="shared" si="42"/>
        <v/>
      </c>
      <c r="L106" s="174" t="str">
        <f t="shared" si="42"/>
        <v/>
      </c>
      <c r="M106" s="174" t="str">
        <f t="shared" si="42"/>
        <v/>
      </c>
      <c r="N106" s="174" t="str">
        <f t="shared" si="42"/>
        <v/>
      </c>
      <c r="O106" s="174" t="str">
        <f t="shared" si="42"/>
        <v/>
      </c>
      <c r="P106" s="174">
        <f t="shared" si="42"/>
        <v>5.8966151842589415E-3</v>
      </c>
      <c r="Q106" s="174">
        <f t="shared" si="42"/>
        <v>5.9162645377815433E-3</v>
      </c>
      <c r="R106" s="174">
        <f t="shared" si="42"/>
        <v>5.866370067419982E-3</v>
      </c>
      <c r="S106" s="174">
        <f t="shared" si="42"/>
        <v>1.5605089023556337E-2</v>
      </c>
      <c r="T106" s="174">
        <f t="shared" si="42"/>
        <v>1.8960887808508159E-2</v>
      </c>
      <c r="U106" s="174" t="str">
        <f t="shared" si="42"/>
        <v/>
      </c>
      <c r="V106" s="169"/>
      <c r="W106" s="122"/>
      <c r="X106" s="82"/>
    </row>
    <row r="107" spans="1:34" ht="10.5" outlineLevel="1">
      <c r="A107" s="122"/>
      <c r="B107" s="122"/>
      <c r="C107" s="170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4" t="str">
        <f t="shared" ref="J107:U107" si="43">IF(J$104=J$4,SUMPRODUCT(J$77:J$82,$K$97:$K$102),"")</f>
        <v/>
      </c>
      <c r="K107" s="174" t="str">
        <f t="shared" si="43"/>
        <v/>
      </c>
      <c r="L107" s="174" t="str">
        <f t="shared" si="43"/>
        <v/>
      </c>
      <c r="M107" s="174" t="str">
        <f t="shared" si="43"/>
        <v/>
      </c>
      <c r="N107" s="174" t="str">
        <f t="shared" si="43"/>
        <v/>
      </c>
      <c r="O107" s="174" t="str">
        <f t="shared" si="43"/>
        <v/>
      </c>
      <c r="P107" s="174">
        <f t="shared" si="43"/>
        <v>1.1160870312555823E-2</v>
      </c>
      <c r="Q107" s="174">
        <f t="shared" si="43"/>
        <v>1.1186492319626744E-2</v>
      </c>
      <c r="R107" s="174">
        <f t="shared" si="43"/>
        <v>1.1089760776665939E-2</v>
      </c>
      <c r="S107" s="174">
        <f t="shared" si="43"/>
        <v>1.4523854444586438E-2</v>
      </c>
      <c r="T107" s="174">
        <f t="shared" si="43"/>
        <v>1.5606364001276624E-2</v>
      </c>
      <c r="U107" s="174" t="str">
        <f t="shared" si="43"/>
        <v/>
      </c>
      <c r="V107" s="169"/>
      <c r="W107" s="122"/>
      <c r="X107" s="82"/>
    </row>
    <row r="108" spans="1:34" ht="10.5" outlineLevel="1">
      <c r="A108" s="122"/>
      <c r="B108" s="122"/>
      <c r="C108" s="170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4" t="str">
        <f t="shared" ref="J108:U108" si="44">IF(J$104=J$4,SUMPRODUCT(J$77:J$82,$L$97:$L$102),"")</f>
        <v/>
      </c>
      <c r="K108" s="174" t="str">
        <f t="shared" si="44"/>
        <v/>
      </c>
      <c r="L108" s="174" t="str">
        <f t="shared" si="44"/>
        <v/>
      </c>
      <c r="M108" s="174" t="str">
        <f t="shared" si="44"/>
        <v/>
      </c>
      <c r="N108" s="174" t="str">
        <f t="shared" si="44"/>
        <v/>
      </c>
      <c r="O108" s="174" t="str">
        <f t="shared" si="44"/>
        <v/>
      </c>
      <c r="P108" s="174">
        <f t="shared" si="44"/>
        <v>8.0158383894561834E-3</v>
      </c>
      <c r="Q108" s="174">
        <f t="shared" si="44"/>
        <v>8.0877843595672447E-3</v>
      </c>
      <c r="R108" s="174">
        <f t="shared" si="44"/>
        <v>8.0289245781434721E-3</v>
      </c>
      <c r="S108" s="174">
        <f t="shared" si="44"/>
        <v>1.4402105879044861E-2</v>
      </c>
      <c r="T108" s="174">
        <f t="shared" si="44"/>
        <v>1.6538573863770251E-2</v>
      </c>
      <c r="U108" s="174" t="str">
        <f t="shared" si="44"/>
        <v/>
      </c>
      <c r="V108" s="169"/>
      <c r="W108" s="122"/>
      <c r="X108" s="82"/>
    </row>
    <row r="109" spans="1:34" ht="10.5" outlineLevel="1">
      <c r="A109" s="122"/>
      <c r="B109" s="122"/>
      <c r="C109" s="170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4" t="str">
        <f t="shared" ref="J109:U109" si="45">IF(J$104=J$4,SUMPRODUCT(J$77:J$82,$M$97:$M$102),"")</f>
        <v/>
      </c>
      <c r="K109" s="174" t="str">
        <f t="shared" si="45"/>
        <v/>
      </c>
      <c r="L109" s="174" t="str">
        <f t="shared" si="45"/>
        <v/>
      </c>
      <c r="M109" s="174" t="str">
        <f t="shared" si="45"/>
        <v/>
      </c>
      <c r="N109" s="174" t="str">
        <f t="shared" si="45"/>
        <v/>
      </c>
      <c r="O109" s="174" t="str">
        <f t="shared" si="45"/>
        <v/>
      </c>
      <c r="P109" s="174">
        <f t="shared" si="45"/>
        <v>7.0772437037021378E-3</v>
      </c>
      <c r="Q109" s="174">
        <f t="shared" si="45"/>
        <v>7.1128571045725661E-3</v>
      </c>
      <c r="R109" s="174">
        <f t="shared" si="45"/>
        <v>7.0553572901628121E-3</v>
      </c>
      <c r="S109" s="174">
        <f t="shared" si="45"/>
        <v>1.5137563739181892E-2</v>
      </c>
      <c r="T109" s="174">
        <f t="shared" si="45"/>
        <v>1.7894364920883213E-2</v>
      </c>
      <c r="U109" s="174" t="str">
        <f t="shared" si="45"/>
        <v/>
      </c>
      <c r="V109" s="169"/>
      <c r="W109" s="122"/>
      <c r="X109" s="82"/>
    </row>
    <row r="110" spans="1:34" ht="10.5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3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ht="10.5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46">IF(YEAR(J$4)&gt;=FPFirstYear,IF(YEAR(J$4)&lt;=FPLastYear,J$4,""),"")</f>
        <v/>
      </c>
      <c r="K113" s="141" t="str">
        <f t="shared" si="46"/>
        <v/>
      </c>
      <c r="L113" s="141" t="str">
        <f t="shared" si="46"/>
        <v/>
      </c>
      <c r="M113" s="141" t="str">
        <f t="shared" si="46"/>
        <v/>
      </c>
      <c r="N113" s="141" t="str">
        <f t="shared" si="46"/>
        <v/>
      </c>
      <c r="O113" s="141" t="str">
        <f t="shared" si="46"/>
        <v/>
      </c>
      <c r="P113" s="141">
        <f t="shared" si="46"/>
        <v>46539</v>
      </c>
      <c r="Q113" s="141">
        <f t="shared" si="46"/>
        <v>46905</v>
      </c>
      <c r="R113" s="141">
        <f t="shared" si="46"/>
        <v>47270</v>
      </c>
      <c r="S113" s="141">
        <f t="shared" si="46"/>
        <v>47635</v>
      </c>
      <c r="T113" s="141">
        <f t="shared" si="46"/>
        <v>48000</v>
      </c>
      <c r="U113" s="141" t="str">
        <f t="shared" si="46"/>
        <v/>
      </c>
      <c r="V113" s="122"/>
      <c r="W113" s="122"/>
    </row>
    <row r="114" spans="1:34" ht="10.5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ht="10.5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1"/>
      <c r="L115" s="181"/>
      <c r="M115" s="181"/>
      <c r="N115" s="181"/>
      <c r="O115" s="171"/>
      <c r="P115" s="171">
        <v>5.0000000000000001E-3</v>
      </c>
      <c r="Q115" s="171">
        <f>$P$115</f>
        <v>5.0000000000000001E-3</v>
      </c>
      <c r="R115" s="171">
        <f>$P$115</f>
        <v>5.0000000000000001E-3</v>
      </c>
      <c r="S115" s="171">
        <f>$P$115</f>
        <v>5.0000000000000001E-3</v>
      </c>
      <c r="T115" s="171">
        <f>$P$115</f>
        <v>5.0000000000000001E-3</v>
      </c>
      <c r="U115" s="171"/>
      <c r="V115" s="122"/>
      <c r="W115" s="122"/>
    </row>
    <row r="116" spans="1:34" ht="10.5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2"/>
      <c r="Q116" s="182"/>
      <c r="R116" s="182"/>
      <c r="S116" s="182"/>
      <c r="T116" s="182"/>
      <c r="U116" s="182"/>
      <c r="V116" s="122"/>
      <c r="W116" s="122"/>
    </row>
    <row r="117" spans="1:34" ht="10.5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8" t="str">
        <f t="shared" ref="J117:S117" si="47">IF(J113=J$4,IF(ISBLANK(J115),"Check","Ok"),"")</f>
        <v/>
      </c>
      <c r="K117" s="168" t="str">
        <f t="shared" si="47"/>
        <v/>
      </c>
      <c r="L117" s="168" t="str">
        <f t="shared" si="47"/>
        <v/>
      </c>
      <c r="M117" s="168" t="str">
        <f t="shared" si="47"/>
        <v/>
      </c>
      <c r="N117" s="168" t="str">
        <f t="shared" si="47"/>
        <v/>
      </c>
      <c r="O117" s="168" t="str">
        <f t="shared" si="47"/>
        <v/>
      </c>
      <c r="P117" s="168" t="str">
        <f t="shared" si="47"/>
        <v>Ok</v>
      </c>
      <c r="Q117" s="168" t="str">
        <f t="shared" si="47"/>
        <v>Ok</v>
      </c>
      <c r="R117" s="168" t="str">
        <f t="shared" si="47"/>
        <v>Ok</v>
      </c>
      <c r="S117" s="168" t="str">
        <f t="shared" si="47"/>
        <v>Ok</v>
      </c>
      <c r="T117" s="168" t="str">
        <f>IF(T113=T$4,IF(ISBLANK(T115),"Check","Ok"),"")</f>
        <v>Ok</v>
      </c>
      <c r="U117" s="168" t="str">
        <f>IF(U113=U$4,IF(ISBLANK(U115),"Check","Ok"),"")</f>
        <v/>
      </c>
      <c r="V117" s="169"/>
      <c r="W117" s="122"/>
      <c r="X117" s="81" t="str">
        <f>IF(COUNTIF(J117:T117,"Check")=0,"Ok","Check")</f>
        <v>Ok</v>
      </c>
    </row>
    <row r="118" spans="1:34" ht="10.5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3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O38 T38 J39:T40 J41:U45">
    <cfRule type="expression" dxfId="115" priority="56">
      <formula>J$36=J$4</formula>
    </cfRule>
  </conditionalFormatting>
  <conditionalFormatting sqref="J16:U22">
    <cfRule type="cellIs" dxfId="114" priority="23" operator="equal">
      <formula>0</formula>
    </cfRule>
  </conditionalFormatting>
  <conditionalFormatting sqref="J26:U32">
    <cfRule type="cellIs" dxfId="113" priority="24" operator="equal">
      <formula>0</formula>
    </cfRule>
  </conditionalFormatting>
  <conditionalFormatting sqref="J36:U36">
    <cfRule type="expression" dxfId="112" priority="58">
      <formula>J$36=J$4</formula>
    </cfRule>
  </conditionalFormatting>
  <conditionalFormatting sqref="J47:U47">
    <cfRule type="cellIs" dxfId="111" priority="44" operator="equal">
      <formula>"Ok"</formula>
    </cfRule>
    <cfRule type="cellIs" dxfId="110" priority="43" operator="equal">
      <formula>"Check"</formula>
    </cfRule>
  </conditionalFormatting>
  <conditionalFormatting sqref="J49:U49">
    <cfRule type="expression" dxfId="109" priority="28">
      <formula>J$36=J$4</formula>
    </cfRule>
  </conditionalFormatting>
  <conditionalFormatting sqref="J51:U58">
    <cfRule type="expression" dxfId="108" priority="9">
      <formula>J$49=J$4</formula>
    </cfRule>
  </conditionalFormatting>
  <conditionalFormatting sqref="J60:U60">
    <cfRule type="cellIs" dxfId="107" priority="68" operator="equal">
      <formula>"Ok"</formula>
    </cfRule>
    <cfRule type="cellIs" dxfId="106" priority="67" operator="equal">
      <formula>"Check"</formula>
    </cfRule>
  </conditionalFormatting>
  <conditionalFormatting sqref="J64:U64">
    <cfRule type="expression" dxfId="105" priority="33">
      <formula>J$64=J$4</formula>
    </cfRule>
  </conditionalFormatting>
  <conditionalFormatting sqref="J66:U71">
    <cfRule type="expression" dxfId="104" priority="31">
      <formula>J$64=J$4</formula>
    </cfRule>
  </conditionalFormatting>
  <conditionalFormatting sqref="J73:U73">
    <cfRule type="cellIs" dxfId="103" priority="39" operator="equal">
      <formula>"Check"</formula>
    </cfRule>
    <cfRule type="cellIs" dxfId="102" priority="40" operator="equal">
      <formula>"Ok"</formula>
    </cfRule>
  </conditionalFormatting>
  <conditionalFormatting sqref="J75:U75">
    <cfRule type="expression" dxfId="101" priority="27">
      <formula>J$36=J$4</formula>
    </cfRule>
  </conditionalFormatting>
  <conditionalFormatting sqref="J93:U93">
    <cfRule type="cellIs" dxfId="100" priority="4" operator="equal">
      <formula>"Ok"</formula>
    </cfRule>
    <cfRule type="cellIs" dxfId="99" priority="3" operator="equal">
      <formula>"Check"</formula>
    </cfRule>
  </conditionalFormatting>
  <conditionalFormatting sqref="J104:U104">
    <cfRule type="expression" dxfId="98" priority="178">
      <formula>J$104=J$4</formula>
    </cfRule>
  </conditionalFormatting>
  <conditionalFormatting sqref="J105:U105">
    <cfRule type="cellIs" dxfId="97" priority="16" operator="equal">
      <formula>"Check"</formula>
    </cfRule>
    <cfRule type="cellIs" dxfId="96" priority="17" operator="equal">
      <formula>"Ok"</formula>
    </cfRule>
  </conditionalFormatting>
  <conditionalFormatting sqref="J113:U113">
    <cfRule type="expression" dxfId="95" priority="26">
      <formula>J$36=J$4</formula>
    </cfRule>
  </conditionalFormatting>
  <conditionalFormatting sqref="J115:U115">
    <cfRule type="expression" dxfId="94" priority="179">
      <formula>J$113=J$4</formula>
    </cfRule>
  </conditionalFormatting>
  <conditionalFormatting sqref="J117:U117">
    <cfRule type="cellIs" dxfId="93" priority="47" operator="equal">
      <formula>"Check"</formula>
    </cfRule>
    <cfRule type="cellIs" dxfId="92" priority="48" operator="equal">
      <formula>"Ok"</formula>
    </cfRule>
  </conditionalFormatting>
  <conditionalFormatting sqref="K89:M91">
    <cfRule type="expression" dxfId="91" priority="175">
      <formula>K$95=K$4</formula>
    </cfRule>
  </conditionalFormatting>
  <conditionalFormatting sqref="P38:T45">
    <cfRule type="expression" dxfId="90" priority="11">
      <formula>P$36=P$4</formula>
    </cfRule>
  </conditionalFormatting>
  <conditionalFormatting sqref="T1:U1">
    <cfRule type="cellIs" dxfId="89" priority="87" operator="equal">
      <formula>"Check"</formula>
    </cfRule>
    <cfRule type="cellIs" dxfId="88" priority="88" operator="equal">
      <formula>"Ok"</formula>
    </cfRule>
  </conditionalFormatting>
  <conditionalFormatting sqref="X1 X104:X109">
    <cfRule type="cellIs" dxfId="87" priority="123" operator="equal">
      <formula>"Check"</formula>
    </cfRule>
    <cfRule type="cellIs" dxfId="86" priority="124" operator="equal">
      <formula>"Ok"</formula>
    </cfRule>
  </conditionalFormatting>
  <conditionalFormatting sqref="X47">
    <cfRule type="cellIs" dxfId="85" priority="45" operator="equal">
      <formula>"Check"</formula>
    </cfRule>
    <cfRule type="cellIs" dxfId="84" priority="46" operator="equal">
      <formula>"Ok"</formula>
    </cfRule>
  </conditionalFormatting>
  <conditionalFormatting sqref="X60">
    <cfRule type="cellIs" dxfId="83" priority="75" operator="equal">
      <formula>"Check"</formula>
    </cfRule>
    <cfRule type="cellIs" dxfId="82" priority="76" operator="equal">
      <formula>"Ok"</formula>
    </cfRule>
  </conditionalFormatting>
  <conditionalFormatting sqref="X73">
    <cfRule type="cellIs" dxfId="81" priority="42" operator="equal">
      <formula>"Ok"</formula>
    </cfRule>
    <cfRule type="cellIs" dxfId="80" priority="41" operator="equal">
      <formula>"Check"</formula>
    </cfRule>
  </conditionalFormatting>
  <conditionalFormatting sqref="X93">
    <cfRule type="cellIs" dxfId="79" priority="5" operator="equal">
      <formula>"Check"</formula>
    </cfRule>
    <cfRule type="cellIs" dxfId="78" priority="6" operator="equal">
      <formula>"Ok"</formula>
    </cfRule>
  </conditionalFormatting>
  <conditionalFormatting sqref="X117">
    <cfRule type="cellIs" dxfId="77" priority="49" operator="equal">
      <formula>"Check"</formula>
    </cfRule>
    <cfRule type="cellIs" dxfId="76" priority="50" operator="equal">
      <formula>"Ok"</formula>
    </cfRule>
  </conditionalFormatting>
  <dataValidations disablePrompts="1" count="2">
    <dataValidation type="list" allowBlank="1" showInputMessage="1" showErrorMessage="1" sqref="F118 F74 F110 F96 F83 F85 F92 F94" xr:uid="{00000000-0002-0000-0500-000000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7"/>
  <sheetViews>
    <sheetView topLeftCell="B1" zoomScale="115" zoomScaleNormal="115" workbookViewId="0">
      <selection activeCell="C8" sqref="C8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IF(COUNTA($W$8:$W$240)=COUNTIF($W$8:$W$240,"OK"),"OK","Check")</f>
        <v>OK</v>
      </c>
      <c r="U1" s="190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22"/>
      <c r="O3" s="222"/>
      <c r="P3" s="222"/>
      <c r="Q3" s="222"/>
      <c r="R3" s="222"/>
      <c r="S3" s="222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183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3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ht="10.5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46539</v>
      </c>
      <c r="P10" s="141">
        <f t="shared" si="0"/>
        <v>46905</v>
      </c>
      <c r="Q10" s="141">
        <f t="shared" si="0"/>
        <v>47270</v>
      </c>
      <c r="R10" s="141">
        <f t="shared" si="0"/>
        <v>47635</v>
      </c>
      <c r="S10" s="141">
        <f t="shared" si="0"/>
        <v>48000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ht="10.5" outlineLevel="1">
      <c r="A12" s="122"/>
      <c r="B12" s="122"/>
      <c r="C12" s="130" t="s">
        <v>229</v>
      </c>
      <c r="D12" s="123" t="s">
        <v>64</v>
      </c>
      <c r="E12" s="123" t="str">
        <f t="shared" ref="E12:E23" si="1">units</f>
        <v>$millions</v>
      </c>
      <c r="F12" s="201">
        <v>45444</v>
      </c>
      <c r="G12" s="124"/>
      <c r="H12" s="124"/>
      <c r="I12" s="123"/>
      <c r="J12" s="161"/>
      <c r="K12" s="161"/>
      <c r="L12" s="161"/>
      <c r="M12" s="161"/>
      <c r="N12" s="161"/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/>
      <c r="U12" s="122"/>
      <c r="V12" s="122"/>
      <c r="W12" s="81" t="str">
        <f>IF(ISBLANK(C12),IF(COUNT(J12:T12)=0,"Ok","Check"),IF(COUNT(J12:T12)=COUNT(J$10:T$10),"Ok","Check"))</f>
        <v>Ok</v>
      </c>
    </row>
    <row r="13" spans="1:30" ht="10.5" outlineLevel="1">
      <c r="A13" s="122"/>
      <c r="B13" s="122"/>
      <c r="C13" s="130" t="s">
        <v>230</v>
      </c>
      <c r="D13" s="123" t="s">
        <v>64</v>
      </c>
      <c r="E13" s="123" t="str">
        <f t="shared" si="1"/>
        <v>$millions</v>
      </c>
      <c r="F13" s="201">
        <v>45078</v>
      </c>
      <c r="G13" s="124"/>
      <c r="H13" s="124"/>
      <c r="I13" s="123"/>
      <c r="J13" s="161"/>
      <c r="K13" s="161"/>
      <c r="L13" s="161"/>
      <c r="M13" s="161"/>
      <c r="N13" s="161"/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/>
      <c r="U13" s="122"/>
      <c r="V13" s="122"/>
      <c r="W13" s="81" t="str">
        <f t="shared" ref="W13:W14" si="2">IF(ISBLANK(C13),IF(COUNT(J13:T13)=0,"Ok","Check"),IF(COUNT(J13:T13)=COUNT(J$10:T$10),"Ok","Check"))</f>
        <v>Ok</v>
      </c>
    </row>
    <row r="14" spans="1:30" ht="10.5" outlineLevel="1">
      <c r="A14" s="122"/>
      <c r="B14" s="122"/>
      <c r="C14" s="130" t="s">
        <v>231</v>
      </c>
      <c r="D14" s="123" t="s">
        <v>64</v>
      </c>
      <c r="E14" s="123" t="str">
        <f t="shared" si="1"/>
        <v>$millions</v>
      </c>
      <c r="F14" s="201">
        <v>45444</v>
      </c>
      <c r="G14" s="124"/>
      <c r="H14" s="124"/>
      <c r="I14" s="123"/>
      <c r="J14" s="161"/>
      <c r="K14" s="161"/>
      <c r="L14" s="161"/>
      <c r="M14" s="161"/>
      <c r="N14" s="161"/>
      <c r="O14" s="184">
        <v>-4.3842332083640613E-2</v>
      </c>
      <c r="P14" s="184">
        <v>-8.7684664167281226E-2</v>
      </c>
      <c r="Q14" s="184">
        <v>-0.13152699625092182</v>
      </c>
      <c r="R14" s="184">
        <v>-0.17536932833456245</v>
      </c>
      <c r="S14" s="184">
        <v>-0.21921166041820303</v>
      </c>
      <c r="T14" s="184"/>
      <c r="U14" s="122"/>
      <c r="V14" s="122"/>
      <c r="W14" s="81" t="str">
        <f t="shared" si="2"/>
        <v>Ok</v>
      </c>
    </row>
    <row r="15" spans="1:30" ht="10.5" outlineLevel="1">
      <c r="A15" s="122"/>
      <c r="B15" s="122"/>
      <c r="C15" s="130" t="s">
        <v>232</v>
      </c>
      <c r="D15" s="123" t="s">
        <v>64</v>
      </c>
      <c r="E15" s="123" t="str">
        <f t="shared" si="1"/>
        <v>$millions</v>
      </c>
      <c r="F15" s="201">
        <v>46174</v>
      </c>
      <c r="G15" s="124"/>
      <c r="H15" s="124"/>
      <c r="I15" s="123"/>
      <c r="J15" s="161"/>
      <c r="K15" s="161"/>
      <c r="L15" s="161"/>
      <c r="M15" s="161"/>
      <c r="N15" s="161"/>
      <c r="O15" s="184">
        <v>1.3939454043999997</v>
      </c>
      <c r="P15" s="184">
        <v>3.2764843893999989</v>
      </c>
      <c r="Q15" s="184">
        <v>2.6777893643999984</v>
      </c>
      <c r="R15" s="184">
        <v>2.861668214399999</v>
      </c>
      <c r="S15" s="184">
        <v>3.0455470643999987</v>
      </c>
      <c r="T15" s="184"/>
      <c r="U15" s="122"/>
      <c r="V15" s="122"/>
      <c r="W15" s="81" t="str">
        <f t="shared" ref="W15:W23" si="3">IF(ISBLANK(C15),IF(COUNT(J15:T15)=0,"Ok","Check"),IF(COUNT(J15:T15)=COUNT(J$10:T$10),"Ok","Check"))</f>
        <v>Ok</v>
      </c>
    </row>
    <row r="16" spans="1:30" ht="10.5" outlineLevel="1">
      <c r="A16" s="122"/>
      <c r="B16" s="122"/>
      <c r="C16" s="130" t="s">
        <v>233</v>
      </c>
      <c r="D16" s="123" t="s">
        <v>64</v>
      </c>
      <c r="E16" s="123" t="str">
        <f t="shared" si="1"/>
        <v>$millions</v>
      </c>
      <c r="F16" s="201">
        <v>45444</v>
      </c>
      <c r="G16" s="124"/>
      <c r="H16" s="124"/>
      <c r="I16" s="123"/>
      <c r="J16" s="161"/>
      <c r="K16" s="161"/>
      <c r="L16" s="161"/>
      <c r="M16" s="161"/>
      <c r="N16" s="161"/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/>
      <c r="U16" s="122"/>
      <c r="V16" s="122"/>
      <c r="W16" s="81" t="str">
        <f t="shared" si="3"/>
        <v>Ok</v>
      </c>
    </row>
    <row r="17" spans="1:30" ht="10.5" outlineLevel="1">
      <c r="A17" s="122"/>
      <c r="B17" s="122"/>
      <c r="C17" s="130" t="s">
        <v>234</v>
      </c>
      <c r="D17" s="123" t="s">
        <v>64</v>
      </c>
      <c r="E17" s="123" t="str">
        <f t="shared" si="1"/>
        <v>$millions</v>
      </c>
      <c r="F17" s="201">
        <v>46174</v>
      </c>
      <c r="G17" s="124"/>
      <c r="H17" s="124"/>
      <c r="I17" s="123"/>
      <c r="J17" s="161"/>
      <c r="K17" s="161"/>
      <c r="L17" s="161"/>
      <c r="M17" s="161"/>
      <c r="N17" s="161"/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/>
      <c r="U17" s="122"/>
      <c r="V17" s="122"/>
      <c r="W17" s="81" t="str">
        <f t="shared" si="3"/>
        <v>Ok</v>
      </c>
    </row>
    <row r="18" spans="1:30" ht="10.5" outlineLevel="1">
      <c r="A18" s="122"/>
      <c r="B18" s="122"/>
      <c r="C18" s="130" t="s">
        <v>235</v>
      </c>
      <c r="D18" s="123" t="s">
        <v>64</v>
      </c>
      <c r="E18" s="123" t="str">
        <f t="shared" si="1"/>
        <v>$millions</v>
      </c>
      <c r="F18" s="201">
        <v>46174</v>
      </c>
      <c r="G18" s="124"/>
      <c r="H18" s="124"/>
      <c r="I18" s="123"/>
      <c r="J18" s="161"/>
      <c r="K18" s="161"/>
      <c r="L18" s="161"/>
      <c r="M18" s="161"/>
      <c r="N18" s="161"/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/>
      <c r="U18" s="122"/>
      <c r="V18" s="122"/>
      <c r="W18" s="81" t="str">
        <f t="shared" si="3"/>
        <v>Ok</v>
      </c>
    </row>
    <row r="19" spans="1:30" ht="10.5" outlineLevel="1">
      <c r="A19" s="122"/>
      <c r="B19" s="122"/>
      <c r="C19" s="130" t="s">
        <v>236</v>
      </c>
      <c r="D19" s="123" t="s">
        <v>64</v>
      </c>
      <c r="E19" s="123" t="str">
        <f t="shared" si="1"/>
        <v>$millions</v>
      </c>
      <c r="F19" s="201">
        <v>46174</v>
      </c>
      <c r="G19" s="124"/>
      <c r="H19" s="124"/>
      <c r="I19" s="123"/>
      <c r="J19" s="161"/>
      <c r="K19" s="161"/>
      <c r="L19" s="161"/>
      <c r="M19" s="161"/>
      <c r="N19" s="161"/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/>
      <c r="U19" s="122"/>
      <c r="V19" s="122"/>
      <c r="W19" s="81" t="str">
        <f t="shared" si="3"/>
        <v>Ok</v>
      </c>
    </row>
    <row r="20" spans="1:30" ht="10.5" outlineLevel="1">
      <c r="A20" s="122"/>
      <c r="B20" s="122"/>
      <c r="C20" s="130" t="s">
        <v>237</v>
      </c>
      <c r="D20" s="123" t="s">
        <v>64</v>
      </c>
      <c r="E20" s="123" t="str">
        <f t="shared" si="1"/>
        <v>$millions</v>
      </c>
      <c r="F20" s="201">
        <v>46174</v>
      </c>
      <c r="G20" s="124"/>
      <c r="H20" s="124"/>
      <c r="I20" s="123"/>
      <c r="J20" s="161"/>
      <c r="K20" s="161"/>
      <c r="L20" s="161"/>
      <c r="M20" s="161"/>
      <c r="N20" s="161"/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/>
      <c r="U20" s="122"/>
      <c r="V20" s="122"/>
      <c r="W20" s="81" t="str">
        <f t="shared" si="3"/>
        <v>Ok</v>
      </c>
    </row>
    <row r="21" spans="1:30" ht="10.5" outlineLevel="1">
      <c r="A21" s="122"/>
      <c r="B21" s="122"/>
      <c r="C21" s="130" t="s">
        <v>238</v>
      </c>
      <c r="D21" s="123" t="s">
        <v>64</v>
      </c>
      <c r="E21" s="123" t="str">
        <f t="shared" si="1"/>
        <v>$millions</v>
      </c>
      <c r="F21" s="201">
        <v>44348</v>
      </c>
      <c r="G21" s="124"/>
      <c r="H21" s="124"/>
      <c r="I21" s="123"/>
      <c r="J21" s="161"/>
      <c r="K21" s="161"/>
      <c r="L21" s="161"/>
      <c r="M21" s="161"/>
      <c r="N21" s="161"/>
      <c r="O21" s="184">
        <v>0</v>
      </c>
      <c r="P21" s="184">
        <v>0</v>
      </c>
      <c r="Q21" s="184">
        <v>0.8681333673438506</v>
      </c>
      <c r="R21" s="184">
        <v>1.7022918621190566</v>
      </c>
      <c r="S21" s="184">
        <v>1.7873664359427757</v>
      </c>
      <c r="T21" s="184"/>
      <c r="U21" s="122"/>
      <c r="V21" s="122"/>
      <c r="W21" s="81" t="str">
        <f t="shared" si="3"/>
        <v>Ok</v>
      </c>
    </row>
    <row r="22" spans="1:30" ht="10.5" outlineLevel="1">
      <c r="A22" s="122"/>
      <c r="B22" s="122"/>
      <c r="C22" s="130" t="s">
        <v>239</v>
      </c>
      <c r="D22" s="123" t="s">
        <v>64</v>
      </c>
      <c r="E22" s="123" t="str">
        <f t="shared" si="1"/>
        <v>$millions</v>
      </c>
      <c r="F22" s="201">
        <v>46174</v>
      </c>
      <c r="G22" s="124"/>
      <c r="H22" s="124"/>
      <c r="I22" s="123"/>
      <c r="J22" s="161"/>
      <c r="K22" s="161"/>
      <c r="L22" s="161"/>
      <c r="M22" s="161"/>
      <c r="N22" s="161"/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/>
      <c r="U22" s="122"/>
      <c r="V22" s="122"/>
      <c r="W22" s="81" t="str">
        <f t="shared" ref="W22" si="4">IF(ISBLANK(C22),IF(COUNT(J22:T22)=0,"Ok","Check"),IF(COUNT(J22:T22)=COUNT(J$10:T$10),"Ok","Check"))</f>
        <v>Ok</v>
      </c>
    </row>
    <row r="23" spans="1:30" ht="10.5" outlineLevel="1">
      <c r="A23" s="122"/>
      <c r="B23" s="122"/>
      <c r="C23" s="130" t="s">
        <v>243</v>
      </c>
      <c r="D23" s="123" t="s">
        <v>64</v>
      </c>
      <c r="E23" s="123" t="str">
        <f t="shared" si="1"/>
        <v>$millions</v>
      </c>
      <c r="F23" s="201">
        <v>46174</v>
      </c>
      <c r="G23" s="124"/>
      <c r="H23" s="124"/>
      <c r="I23" s="123"/>
      <c r="J23" s="161"/>
      <c r="K23" s="161"/>
      <c r="L23" s="161"/>
      <c r="M23" s="161"/>
      <c r="N23" s="161"/>
      <c r="O23" s="184">
        <v>-11.620569816383265</v>
      </c>
      <c r="P23" s="184">
        <v>-11.620569816383265</v>
      </c>
      <c r="Q23" s="184">
        <v>-11.620569816383265</v>
      </c>
      <c r="R23" s="184">
        <v>-11.620569816383265</v>
      </c>
      <c r="S23" s="184">
        <v>-11.620569816383265</v>
      </c>
      <c r="T23" s="184"/>
      <c r="U23" s="122"/>
      <c r="V23" s="122"/>
      <c r="W23" s="81" t="str">
        <f t="shared" si="3"/>
        <v>Ok</v>
      </c>
    </row>
    <row r="24" spans="1:30" outlineLevel="1">
      <c r="A24" s="122"/>
      <c r="B24" s="122"/>
      <c r="C24" s="122"/>
      <c r="D24" s="123"/>
      <c r="E24" s="123"/>
      <c r="F24" s="123"/>
      <c r="G24" s="124"/>
      <c r="H24" s="124"/>
      <c r="I24" s="123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</row>
    <row r="25" spans="1:30" ht="10.5" outlineLevel="1">
      <c r="A25" s="122"/>
      <c r="B25" s="122"/>
      <c r="C25" s="122" t="s">
        <v>40</v>
      </c>
      <c r="D25" s="123" t="s">
        <v>93</v>
      </c>
      <c r="E25" s="123" t="s">
        <v>28</v>
      </c>
      <c r="F25" s="123" t="s">
        <v>36</v>
      </c>
      <c r="G25" s="123"/>
      <c r="H25" s="123"/>
      <c r="I25" s="123"/>
      <c r="J25" s="168" t="str">
        <f t="shared" ref="J25:T25" si="5">IF(J10=J4,IF(COUNTA($C12:$C23)=COUNT(J12:J23),"Ok","Check"),"")</f>
        <v/>
      </c>
      <c r="K25" s="168" t="str">
        <f t="shared" si="5"/>
        <v/>
      </c>
      <c r="L25" s="168" t="str">
        <f t="shared" si="5"/>
        <v/>
      </c>
      <c r="M25" s="168" t="str">
        <f t="shared" si="5"/>
        <v/>
      </c>
      <c r="N25" s="168" t="str">
        <f t="shared" si="5"/>
        <v/>
      </c>
      <c r="O25" s="168" t="str">
        <f t="shared" si="5"/>
        <v>Ok</v>
      </c>
      <c r="P25" s="168" t="str">
        <f t="shared" si="5"/>
        <v>Ok</v>
      </c>
      <c r="Q25" s="168" t="str">
        <f t="shared" si="5"/>
        <v>Ok</v>
      </c>
      <c r="R25" s="168" t="str">
        <f t="shared" si="5"/>
        <v>Ok</v>
      </c>
      <c r="S25" s="168" t="str">
        <f t="shared" si="5"/>
        <v>Ok</v>
      </c>
      <c r="T25" s="168" t="str">
        <f t="shared" si="5"/>
        <v/>
      </c>
      <c r="U25" s="169"/>
      <c r="V25" s="122"/>
      <c r="W25" s="81" t="str">
        <f>IF(COUNTIF(J25:T25,"Check")=0,"Ok","Check")</f>
        <v>Ok</v>
      </c>
    </row>
    <row r="26" spans="1:30">
      <c r="A26" s="122"/>
      <c r="B26" s="122"/>
      <c r="C26" s="122"/>
      <c r="D26" s="123"/>
      <c r="E26" s="123"/>
      <c r="F26" s="123"/>
      <c r="G26" s="124"/>
      <c r="H26" s="124"/>
      <c r="I26" s="123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</row>
    <row r="27" spans="1:30" customFormat="1" ht="13">
      <c r="A27" s="118"/>
      <c r="B27" s="38" t="s">
        <v>106</v>
      </c>
      <c r="C27" s="118"/>
      <c r="D27" s="118"/>
      <c r="E27" s="118"/>
      <c r="F27" s="119"/>
      <c r="G27" s="119"/>
      <c r="H27" s="119"/>
      <c r="I27" s="119"/>
      <c r="J27" s="120"/>
      <c r="K27" s="121"/>
      <c r="L27" s="120"/>
      <c r="M27" s="121"/>
      <c r="N27" s="120"/>
      <c r="O27" s="120"/>
      <c r="P27" s="120"/>
      <c r="Q27" s="120"/>
      <c r="R27" s="120"/>
      <c r="S27" s="120"/>
      <c r="T27" s="120"/>
      <c r="U27" s="120"/>
      <c r="V27" s="121"/>
      <c r="W27" s="35"/>
      <c r="X27" s="36"/>
      <c r="Y27" s="36"/>
      <c r="Z27" s="36"/>
      <c r="AA27" s="36"/>
      <c r="AB27" s="36"/>
      <c r="AC27" s="37"/>
      <c r="AD27" s="37"/>
    </row>
    <row r="28" spans="1:30" outlineLevel="1">
      <c r="A28" s="122"/>
      <c r="B28" s="122"/>
      <c r="C28" s="122"/>
      <c r="D28" s="123"/>
      <c r="E28" s="123"/>
      <c r="F28" s="123"/>
      <c r="G28" s="124"/>
      <c r="H28" s="124"/>
      <c r="I28" s="123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</row>
    <row r="29" spans="1:30" ht="10.5" outlineLevel="1">
      <c r="A29" s="122"/>
      <c r="B29" s="122"/>
      <c r="C29" s="125" t="s">
        <v>102</v>
      </c>
      <c r="D29" s="124" t="s">
        <v>7</v>
      </c>
      <c r="E29" s="124" t="s">
        <v>8</v>
      </c>
      <c r="F29" s="124" t="s">
        <v>22</v>
      </c>
      <c r="G29" s="124"/>
      <c r="H29" s="124"/>
      <c r="I29" s="123"/>
      <c r="J29" s="141" t="str">
        <f t="shared" ref="J29:T29" si="6">IF(YEAR(J$4)&gt;=FPFirstYear,IF(YEAR(J$4)&lt;=FPLastYear,J$4,""),"")</f>
        <v/>
      </c>
      <c r="K29" s="141" t="str">
        <f t="shared" si="6"/>
        <v/>
      </c>
      <c r="L29" s="141" t="str">
        <f t="shared" si="6"/>
        <v/>
      </c>
      <c r="M29" s="141" t="str">
        <f t="shared" si="6"/>
        <v/>
      </c>
      <c r="N29" s="141" t="str">
        <f t="shared" si="6"/>
        <v/>
      </c>
      <c r="O29" s="141">
        <f t="shared" si="6"/>
        <v>46539</v>
      </c>
      <c r="P29" s="141">
        <f t="shared" si="6"/>
        <v>46905</v>
      </c>
      <c r="Q29" s="141">
        <f t="shared" si="6"/>
        <v>47270</v>
      </c>
      <c r="R29" s="141">
        <f t="shared" si="6"/>
        <v>47635</v>
      </c>
      <c r="S29" s="141">
        <f t="shared" si="6"/>
        <v>48000</v>
      </c>
      <c r="T29" s="141" t="str">
        <f t="shared" si="6"/>
        <v/>
      </c>
      <c r="U29" s="122"/>
      <c r="V29" s="122"/>
    </row>
    <row r="30" spans="1:30" outlineLevel="1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</row>
    <row r="31" spans="1:30" ht="10.5" outlineLevel="1">
      <c r="A31" s="122"/>
      <c r="B31" s="122"/>
      <c r="C31" s="185" t="s">
        <v>215</v>
      </c>
      <c r="D31" s="123" t="s">
        <v>64</v>
      </c>
      <c r="E31" s="123" t="str">
        <f>units</f>
        <v>$millions</v>
      </c>
      <c r="F31" s="142">
        <f>DATE(PPLastYear,MONTH(month),1)</f>
        <v>46174</v>
      </c>
      <c r="G31" s="124"/>
      <c r="H31" s="124"/>
      <c r="I31" s="123"/>
      <c r="J31" s="161"/>
      <c r="K31" s="161"/>
      <c r="L31" s="161"/>
      <c r="M31" s="161"/>
      <c r="N31" s="184"/>
      <c r="O31" s="203">
        <v>9.1409366719673031</v>
      </c>
      <c r="P31" s="203">
        <v>8.9136394102554295</v>
      </c>
      <c r="Q31" s="203">
        <v>8.6919940906842488</v>
      </c>
      <c r="R31" s="203">
        <v>8.4758601728454828</v>
      </c>
      <c r="S31" s="203">
        <v>8.2651006109891281</v>
      </c>
      <c r="T31" s="184"/>
      <c r="U31" s="122"/>
      <c r="V31" s="122"/>
      <c r="W31" s="81" t="str">
        <f>IF(ISBLANK(C31),IF(COUNT(J31:T31)=0,"Ok","Check"),IF(COUNT(J31:T31)=COUNT(J$10:T$10),"Ok","Check"))</f>
        <v>Ok</v>
      </c>
    </row>
    <row r="32" spans="1:30" ht="10.5" outlineLevel="1">
      <c r="A32" s="122"/>
      <c r="B32" s="122"/>
      <c r="C32" s="185" t="s">
        <v>240</v>
      </c>
      <c r="D32" s="123" t="s">
        <v>64</v>
      </c>
      <c r="E32" s="123" t="str">
        <f>units</f>
        <v>$millions</v>
      </c>
      <c r="F32" s="142">
        <v>45444</v>
      </c>
      <c r="G32" s="124"/>
      <c r="H32" s="124"/>
      <c r="I32" s="123"/>
      <c r="J32" s="161"/>
      <c r="K32" s="161"/>
      <c r="L32" s="161"/>
      <c r="M32" s="161"/>
      <c r="N32" s="184"/>
      <c r="O32" s="184">
        <v>0</v>
      </c>
      <c r="P32" s="184">
        <v>0.15</v>
      </c>
      <c r="Q32" s="184">
        <v>0.45</v>
      </c>
      <c r="R32" s="184">
        <v>0.69</v>
      </c>
      <c r="S32" s="184">
        <v>1.01</v>
      </c>
      <c r="T32" s="184"/>
      <c r="U32" s="122"/>
      <c r="V32" s="122"/>
      <c r="W32" s="81" t="str">
        <f>IF(ISBLANK(C32),IF(COUNT(O32:T32)=0,"Ok","Check"),IF(COUNT(O32:T32)=COUNT(J$10:T$10),"Ok","Check"))</f>
        <v>Ok</v>
      </c>
    </row>
    <row r="33" spans="1:30" ht="10.5" outlineLevel="1">
      <c r="A33" s="122"/>
      <c r="B33" s="122"/>
      <c r="C33" s="185"/>
      <c r="D33" s="123" t="s">
        <v>64</v>
      </c>
      <c r="E33" s="123" t="str">
        <f>units</f>
        <v>$millions</v>
      </c>
      <c r="F33" s="142">
        <f>DATE(PPLastYear,MONTH(month),1)</f>
        <v>46174</v>
      </c>
      <c r="O33" s="184"/>
      <c r="P33" s="184"/>
      <c r="Q33" s="184"/>
      <c r="R33" s="184"/>
      <c r="S33" s="184"/>
      <c r="T33" s="184"/>
      <c r="U33" s="122"/>
      <c r="V33" s="122"/>
      <c r="W33" s="81" t="str">
        <f>IF(ISBLANK(C33),IF(COUNT(J33:T33)=0,"Ok","Check"),IF(COUNT(J33:T33)=COUNT(J$10:T$10),"Ok","Check"))</f>
        <v>Ok</v>
      </c>
    </row>
    <row r="34" spans="1:30" ht="10.5" outlineLevel="1">
      <c r="A34" s="122"/>
      <c r="B34" s="122"/>
      <c r="C34" s="186"/>
      <c r="D34" s="123" t="s">
        <v>64</v>
      </c>
      <c r="E34" s="123" t="str">
        <f>units</f>
        <v>$millions</v>
      </c>
      <c r="F34" s="142">
        <f>DATE(PPLastYear,MONTH(month),1)</f>
        <v>46174</v>
      </c>
      <c r="G34" s="124"/>
      <c r="H34" s="124"/>
      <c r="I34" s="123"/>
      <c r="J34" s="161"/>
      <c r="K34" s="161"/>
      <c r="L34" s="161"/>
      <c r="M34" s="161"/>
      <c r="N34" s="184"/>
      <c r="O34" s="184"/>
      <c r="P34" s="184"/>
      <c r="Q34" s="184"/>
      <c r="R34" s="184"/>
      <c r="S34" s="184"/>
      <c r="T34" s="184"/>
      <c r="U34" s="122"/>
      <c r="V34" s="122"/>
      <c r="W34" s="81" t="str">
        <f>IF(ISBLANK(C34),IF(COUNT(J34:T34)=0,"Ok","Check"),IF(COUNT(J34:T34)=COUNT(J$10:T$10),"Ok","Check"))</f>
        <v>Ok</v>
      </c>
    </row>
    <row r="35" spans="1:30" ht="10.5" outlineLevel="1">
      <c r="A35" s="122"/>
      <c r="B35" s="122"/>
      <c r="C35" s="130"/>
      <c r="D35" s="123" t="s">
        <v>64</v>
      </c>
      <c r="E35" s="123" t="str">
        <f>units</f>
        <v>$millions</v>
      </c>
      <c r="F35" s="142">
        <f>DATE(PPLastYear,MONTH(month),1)</f>
        <v>46174</v>
      </c>
      <c r="G35" s="124"/>
      <c r="H35" s="124"/>
      <c r="I35" s="123"/>
      <c r="J35" s="161"/>
      <c r="K35" s="161"/>
      <c r="L35" s="161"/>
      <c r="M35" s="161"/>
      <c r="N35" s="184"/>
      <c r="O35" s="184"/>
      <c r="P35" s="184"/>
      <c r="Q35" s="184"/>
      <c r="R35" s="184"/>
      <c r="S35" s="184"/>
      <c r="T35" s="184"/>
      <c r="U35" s="122"/>
      <c r="V35" s="122"/>
      <c r="W35" s="81" t="str">
        <f>IF(ISBLANK(C35),IF(COUNT(J35:T35)=0,"Ok","Check"),IF(COUNT(J35:T35)=COUNT(J$10:T$10),"Ok","Check"))</f>
        <v>Ok</v>
      </c>
    </row>
    <row r="36" spans="1:30" outlineLevel="1">
      <c r="A36" s="122"/>
      <c r="B36" s="122"/>
      <c r="C36" s="122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</row>
    <row r="37" spans="1:30" ht="10.5" outlineLevel="1">
      <c r="A37" s="122"/>
      <c r="B37" s="122"/>
      <c r="C37" s="122" t="s">
        <v>40</v>
      </c>
      <c r="D37" s="123" t="s">
        <v>93</v>
      </c>
      <c r="E37" s="123" t="s">
        <v>28</v>
      </c>
      <c r="F37" s="123" t="s">
        <v>36</v>
      </c>
      <c r="G37" s="123"/>
      <c r="H37" s="123"/>
      <c r="I37" s="123"/>
      <c r="J37" s="168" t="str">
        <f t="shared" ref="J37:T37" si="7">IF(J29=J4,IF(COUNTA($C31:$C35)=COUNT(J31:J35),"Ok","Check"),"")</f>
        <v/>
      </c>
      <c r="K37" s="168" t="str">
        <f t="shared" si="7"/>
        <v/>
      </c>
      <c r="L37" s="168" t="str">
        <f t="shared" si="7"/>
        <v/>
      </c>
      <c r="M37" s="168" t="str">
        <f t="shared" si="7"/>
        <v/>
      </c>
      <c r="N37" s="168" t="str">
        <f t="shared" si="7"/>
        <v/>
      </c>
      <c r="O37" s="168" t="str">
        <f t="shared" si="7"/>
        <v>Ok</v>
      </c>
      <c r="P37" s="168" t="str">
        <f t="shared" si="7"/>
        <v>Ok</v>
      </c>
      <c r="Q37" s="168" t="str">
        <f t="shared" si="7"/>
        <v>Ok</v>
      </c>
      <c r="R37" s="168" t="str">
        <f t="shared" si="7"/>
        <v>Ok</v>
      </c>
      <c r="S37" s="168" t="str">
        <f t="shared" si="7"/>
        <v>Ok</v>
      </c>
      <c r="T37" s="168" t="str">
        <f t="shared" si="7"/>
        <v/>
      </c>
      <c r="U37" s="169"/>
      <c r="V37" s="122"/>
      <c r="W37" s="81" t="str">
        <f>IF(COUNTIF(J37:T37,"Check")=0,"Ok","Check")</f>
        <v>Ok</v>
      </c>
    </row>
    <row r="38" spans="1:30">
      <c r="A38" s="122"/>
      <c r="B38" s="122"/>
      <c r="C38" s="122"/>
      <c r="D38" s="123"/>
      <c r="E38" s="123"/>
      <c r="F38" s="123"/>
      <c r="G38" s="124"/>
      <c r="H38" s="124"/>
      <c r="I38" s="123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</row>
    <row r="39" spans="1:30" customFormat="1" ht="13">
      <c r="A39" s="118"/>
      <c r="B39" s="38" t="s">
        <v>44</v>
      </c>
      <c r="C39" s="118"/>
      <c r="D39" s="118"/>
      <c r="E39" s="118"/>
      <c r="F39" s="119"/>
      <c r="G39" s="119"/>
      <c r="H39" s="119"/>
      <c r="I39" s="119"/>
      <c r="J39" s="120"/>
      <c r="K39" s="121"/>
      <c r="L39" s="120"/>
      <c r="M39" s="121"/>
      <c r="N39" s="120"/>
      <c r="O39" s="120"/>
      <c r="P39" s="120"/>
      <c r="Q39" s="120"/>
      <c r="R39" s="120"/>
      <c r="S39" s="120"/>
      <c r="T39" s="120"/>
      <c r="U39" s="120"/>
      <c r="V39" s="121"/>
      <c r="W39" s="35"/>
      <c r="X39" s="36"/>
      <c r="Y39" s="36"/>
      <c r="Z39" s="36"/>
      <c r="AA39" s="36"/>
      <c r="AB39" s="36"/>
      <c r="AC39" s="37"/>
      <c r="AD39" s="37"/>
    </row>
    <row r="40" spans="1:30" outlineLevel="1">
      <c r="A40" s="122"/>
      <c r="B40" s="122"/>
      <c r="C40" s="122"/>
      <c r="D40" s="123"/>
      <c r="E40" s="123"/>
      <c r="F40" s="123"/>
      <c r="G40" s="124"/>
      <c r="H40" s="124"/>
      <c r="I40" s="123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</row>
    <row r="41" spans="1:30" ht="10.5" outlineLevel="1">
      <c r="A41" s="122"/>
      <c r="B41" s="122"/>
      <c r="C41" s="125" t="s">
        <v>32</v>
      </c>
      <c r="D41" s="124" t="s">
        <v>7</v>
      </c>
      <c r="E41" s="124" t="s">
        <v>8</v>
      </c>
      <c r="F41" s="124" t="s">
        <v>22</v>
      </c>
      <c r="G41" s="124"/>
      <c r="H41" s="124"/>
      <c r="I41" s="123"/>
      <c r="J41" s="141" t="str">
        <f t="shared" ref="J41:T41" si="8">IF(YEAR(J$4)&gt;=FPFirstYear,IF(YEAR(J$4)&lt;=FPLastYear,J$4,""),"")</f>
        <v/>
      </c>
      <c r="K41" s="141" t="str">
        <f t="shared" si="8"/>
        <v/>
      </c>
      <c r="L41" s="141" t="str">
        <f t="shared" si="8"/>
        <v/>
      </c>
      <c r="M41" s="141" t="str">
        <f t="shared" si="8"/>
        <v/>
      </c>
      <c r="N41" s="141" t="str">
        <f t="shared" si="8"/>
        <v/>
      </c>
      <c r="O41" s="141">
        <f t="shared" si="8"/>
        <v>46539</v>
      </c>
      <c r="P41" s="141">
        <f t="shared" si="8"/>
        <v>46905</v>
      </c>
      <c r="Q41" s="141">
        <f t="shared" si="8"/>
        <v>47270</v>
      </c>
      <c r="R41" s="141">
        <f t="shared" si="8"/>
        <v>47635</v>
      </c>
      <c r="S41" s="141">
        <f t="shared" si="8"/>
        <v>48000</v>
      </c>
      <c r="T41" s="141" t="str">
        <f t="shared" si="8"/>
        <v/>
      </c>
      <c r="U41" s="122"/>
      <c r="V41" s="122"/>
    </row>
    <row r="42" spans="1:30" outlineLevel="1">
      <c r="A42" s="122"/>
      <c r="B42" s="122"/>
      <c r="C42" s="122"/>
      <c r="D42" s="123"/>
      <c r="E42" s="123"/>
      <c r="F42" s="123"/>
      <c r="G42" s="124"/>
      <c r="H42" s="124"/>
      <c r="I42" s="123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</row>
    <row r="43" spans="1:30" outlineLevel="1">
      <c r="A43" s="122"/>
      <c r="B43" s="122"/>
      <c r="C43" s="128" t="s">
        <v>39</v>
      </c>
      <c r="D43" s="123" t="s">
        <v>67</v>
      </c>
      <c r="E43" s="123" t="s">
        <v>15</v>
      </c>
      <c r="F43" s="142">
        <f>DATE(PPLastYear,MONTH(month),1)</f>
        <v>46174</v>
      </c>
      <c r="G43" s="124"/>
      <c r="H43" s="124"/>
      <c r="I43" s="124"/>
      <c r="J43" s="184"/>
      <c r="K43" s="184"/>
      <c r="L43" s="184"/>
      <c r="M43" s="184"/>
      <c r="N43" s="184"/>
      <c r="O43" s="184">
        <v>3.0987969694764299</v>
      </c>
      <c r="P43" s="184">
        <v>3.1182488552259597</v>
      </c>
      <c r="Q43" s="184">
        <v>3.1393114845613117</v>
      </c>
      <c r="R43" s="184">
        <v>3.1509543016278765</v>
      </c>
      <c r="S43" s="184">
        <v>3.1590903060554143</v>
      </c>
      <c r="T43" s="184"/>
      <c r="U43" s="122"/>
      <c r="V43" s="122"/>
    </row>
    <row r="44" spans="1:30" outlineLevel="1">
      <c r="A44" s="122"/>
      <c r="B44" s="122"/>
      <c r="C44" s="122"/>
      <c r="D44" s="123"/>
      <c r="E44" s="123"/>
      <c r="F44" s="123"/>
      <c r="G44" s="124"/>
      <c r="H44" s="124"/>
      <c r="I44" s="123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</row>
    <row r="45" spans="1:30" ht="10.5" outlineLevel="1">
      <c r="A45" s="122"/>
      <c r="B45" s="122"/>
      <c r="C45" s="122" t="s">
        <v>40</v>
      </c>
      <c r="D45" s="123" t="s">
        <v>93</v>
      </c>
      <c r="E45" s="123" t="s">
        <v>28</v>
      </c>
      <c r="F45" s="123" t="s">
        <v>36</v>
      </c>
      <c r="G45" s="123"/>
      <c r="H45" s="123"/>
      <c r="I45" s="123"/>
      <c r="J45" s="168" t="str">
        <f t="shared" ref="J45:T45" si="9">IF(J41=J4,IF(ISBLANK(J43),"Check","Ok"),"")</f>
        <v/>
      </c>
      <c r="K45" s="168" t="str">
        <f t="shared" si="9"/>
        <v/>
      </c>
      <c r="L45" s="168" t="str">
        <f t="shared" si="9"/>
        <v/>
      </c>
      <c r="M45" s="168" t="str">
        <f t="shared" si="9"/>
        <v/>
      </c>
      <c r="N45" s="168" t="str">
        <f t="shared" si="9"/>
        <v/>
      </c>
      <c r="O45" s="168" t="str">
        <f t="shared" si="9"/>
        <v>Ok</v>
      </c>
      <c r="P45" s="168" t="str">
        <f t="shared" si="9"/>
        <v>Ok</v>
      </c>
      <c r="Q45" s="168" t="str">
        <f t="shared" si="9"/>
        <v>Ok</v>
      </c>
      <c r="R45" s="168" t="str">
        <f t="shared" si="9"/>
        <v>Ok</v>
      </c>
      <c r="S45" s="168" t="str">
        <f t="shared" si="9"/>
        <v>Ok</v>
      </c>
      <c r="T45" s="168" t="str">
        <f t="shared" si="9"/>
        <v/>
      </c>
      <c r="U45" s="169"/>
      <c r="V45" s="122"/>
      <c r="W45" s="81" t="str">
        <f>IF(COUNTIF(J45:T45,"Check")=0,"Ok","Check")</f>
        <v>Ok</v>
      </c>
    </row>
    <row r="46" spans="1:30">
      <c r="A46" s="122"/>
      <c r="B46" s="122"/>
      <c r="C46" s="122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</row>
    <row r="47" spans="1:30" customFormat="1" ht="13">
      <c r="A47" s="118"/>
      <c r="B47" s="38" t="s">
        <v>21</v>
      </c>
      <c r="C47" s="118"/>
      <c r="D47" s="118"/>
      <c r="E47" s="118"/>
      <c r="F47" s="119"/>
      <c r="G47" s="119"/>
      <c r="H47" s="119"/>
      <c r="I47" s="119"/>
      <c r="J47" s="120"/>
      <c r="K47" s="121"/>
      <c r="L47" s="120"/>
      <c r="M47" s="121"/>
      <c r="N47" s="120"/>
      <c r="O47" s="120"/>
      <c r="P47" s="120"/>
      <c r="Q47" s="120"/>
      <c r="R47" s="120"/>
      <c r="S47" s="120"/>
      <c r="T47" s="120"/>
      <c r="U47" s="120"/>
      <c r="V47" s="121"/>
      <c r="W47" s="35"/>
      <c r="X47" s="36"/>
      <c r="Y47" s="36"/>
      <c r="Z47" s="36"/>
      <c r="AA47" s="36"/>
      <c r="AB47" s="36"/>
      <c r="AC47" s="37"/>
      <c r="AD47" s="37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  <row r="55" spans="7:8" hidden="1">
      <c r="G55" s="20"/>
      <c r="H55" s="20"/>
    </row>
    <row r="56" spans="7:8" hidden="1">
      <c r="G56" s="20"/>
      <c r="H56" s="20"/>
    </row>
    <row r="57" spans="7:8" hidden="1">
      <c r="G57" s="20"/>
      <c r="H57" s="20"/>
    </row>
  </sheetData>
  <mergeCells count="1">
    <mergeCell ref="N3:S3"/>
  </mergeCells>
  <conditionalFormatting sqref="J31:M32 J34:M35 O34:O35">
    <cfRule type="expression" dxfId="75" priority="25">
      <formula>J$29=J$4</formula>
    </cfRule>
  </conditionalFormatting>
  <conditionalFormatting sqref="J10:T10">
    <cfRule type="expression" dxfId="74" priority="37">
      <formula>J$10=J$4</formula>
    </cfRule>
  </conditionalFormatting>
  <conditionalFormatting sqref="J12:T23">
    <cfRule type="expression" dxfId="73" priority="13">
      <formula>J$10=J$4</formula>
    </cfRule>
  </conditionalFormatting>
  <conditionalFormatting sqref="J25:T25">
    <cfRule type="cellIs" dxfId="72" priority="30" operator="equal">
      <formula>"Check"</formula>
    </cfRule>
    <cfRule type="cellIs" dxfId="71" priority="31" operator="equal">
      <formula>"Ok"</formula>
    </cfRule>
  </conditionalFormatting>
  <conditionalFormatting sqref="J29:T29">
    <cfRule type="expression" dxfId="70" priority="15">
      <formula>J$10=J$4</formula>
    </cfRule>
  </conditionalFormatting>
  <conditionalFormatting sqref="J37:T37">
    <cfRule type="cellIs" dxfId="69" priority="26" operator="equal">
      <formula>"Check"</formula>
    </cfRule>
    <cfRule type="cellIs" dxfId="68" priority="27" operator="equal">
      <formula>"Ok"</formula>
    </cfRule>
  </conditionalFormatting>
  <conditionalFormatting sqref="J41:T41">
    <cfRule type="expression" dxfId="67" priority="14">
      <formula>J$10=J$4</formula>
    </cfRule>
  </conditionalFormatting>
  <conditionalFormatting sqref="J43:T43">
    <cfRule type="expression" dxfId="66" priority="16">
      <formula>J$41=J$4</formula>
    </cfRule>
  </conditionalFormatting>
  <conditionalFormatting sqref="J45:T45">
    <cfRule type="cellIs" dxfId="65" priority="21" operator="equal">
      <formula>"Check"</formula>
    </cfRule>
    <cfRule type="cellIs" dxfId="64" priority="22" operator="equal">
      <formula>"Ok"</formula>
    </cfRule>
  </conditionalFormatting>
  <conditionalFormatting sqref="N31:N32 N34:N35">
    <cfRule type="expression" dxfId="63" priority="36">
      <formula>N$10=N$4</formula>
    </cfRule>
  </conditionalFormatting>
  <conditionalFormatting sqref="O31:T33 P34:T35">
    <cfRule type="expression" dxfId="62" priority="20">
      <formula>O$10=O$4</formula>
    </cfRule>
  </conditionalFormatting>
  <conditionalFormatting sqref="S1">
    <cfRule type="cellIs" dxfId="61" priority="39" operator="equal">
      <formula>"Check"</formula>
    </cfRule>
    <cfRule type="cellIs" dxfId="60" priority="40" operator="equal">
      <formula>"Ok"</formula>
    </cfRule>
  </conditionalFormatting>
  <conditionalFormatting sqref="V1">
    <cfRule type="cellIs" dxfId="59" priority="41" operator="equal">
      <formula>"Check"</formula>
    </cfRule>
    <cfRule type="cellIs" dxfId="58" priority="42" operator="equal">
      <formula>"Ok"</formula>
    </cfRule>
  </conditionalFormatting>
  <conditionalFormatting sqref="W12:W23">
    <cfRule type="cellIs" dxfId="57" priority="11" operator="equal">
      <formula>"Check"</formula>
    </cfRule>
    <cfRule type="cellIs" dxfId="56" priority="12" operator="equal">
      <formula>"Ok"</formula>
    </cfRule>
  </conditionalFormatting>
  <conditionalFormatting sqref="W25">
    <cfRule type="cellIs" dxfId="55" priority="32" operator="equal">
      <formula>"Check"</formula>
    </cfRule>
    <cfRule type="cellIs" dxfId="54" priority="33" operator="equal">
      <formula>"Ok"</formula>
    </cfRule>
  </conditionalFormatting>
  <conditionalFormatting sqref="W31:W35">
    <cfRule type="cellIs" dxfId="53" priority="1" operator="equal">
      <formula>"Check"</formula>
    </cfRule>
    <cfRule type="cellIs" dxfId="52" priority="2" operator="equal">
      <formula>"Ok"</formula>
    </cfRule>
  </conditionalFormatting>
  <conditionalFormatting sqref="W37">
    <cfRule type="cellIs" dxfId="51" priority="28" operator="equal">
      <formula>"Check"</formula>
    </cfRule>
    <cfRule type="cellIs" dxfId="50" priority="29" operator="equal">
      <formula>"Ok"</formula>
    </cfRule>
  </conditionalFormatting>
  <conditionalFormatting sqref="W45">
    <cfRule type="cellIs" dxfId="49" priority="23" operator="equal">
      <formula>"Check"</formula>
    </cfRule>
    <cfRule type="cellIs" dxfId="48" priority="24" operator="equal">
      <formula>"Ok"</formula>
    </cfRule>
  </conditionalFormatting>
  <dataValidations count="4">
    <dataValidation type="list" allowBlank="1" showInputMessage="1" showErrorMessage="1" sqref="F26 F36 F38 F46" xr:uid="{00000000-0002-0000-0600-000000000000}">
      <formula1>"Real 2010,Real 2011,Real 2012,Real 2013,Real 2014,Real 2015,Nominal"</formula1>
    </dataValidation>
    <dataValidation type="list" allowBlank="1" showInputMessage="1" showErrorMessage="1" sqref="U31:U36 I46 U26 I26 U46 U38 I38 I34:I36 I31:I32 U12:U24" xr:uid="{00000000-0002-0000-0600-000001000000}">
      <formula1>#REF!</formula1>
    </dataValidation>
    <dataValidation type="decimal" operator="greaterThanOrEqual" allowBlank="1" showInputMessage="1" showErrorMessage="1" sqref="J43:T43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E43 E24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7"/>
  <sheetViews>
    <sheetView topLeftCell="B79" workbookViewId="0">
      <selection activeCell="O110" sqref="O110:S110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0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2"/>
      <c r="O3" s="222"/>
      <c r="P3" s="222"/>
      <c r="Q3" s="222"/>
      <c r="R3" s="222"/>
      <c r="S3" s="222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44713</v>
      </c>
      <c r="K10" s="99">
        <f t="shared" si="0"/>
        <v>45078</v>
      </c>
      <c r="L10" s="99">
        <f t="shared" si="0"/>
        <v>45444</v>
      </c>
      <c r="M10" s="99">
        <f t="shared" si="0"/>
        <v>45809</v>
      </c>
      <c r="N10" s="99">
        <f t="shared" si="0"/>
        <v>46174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238.25642686718052</v>
      </c>
      <c r="L12" s="66">
        <f>IF(YEAR(L$4)=BaseYear,'Input|Reported opex'!L47,0)</f>
        <v>0</v>
      </c>
      <c r="M12" s="66">
        <f>IF(YEAR(M$4)=BaseYear,'Input|Reported opex'!M47,0)</f>
        <v>0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46174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268.07103615562363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208</v>
      </c>
      <c r="D14" s="65" t="s">
        <v>87</v>
      </c>
      <c r="E14" s="16" t="str">
        <f>'Input|Reported opex'!E15</f>
        <v>$millions</v>
      </c>
      <c r="F14" s="98">
        <f>'Input|Reported opex'!F15</f>
        <v>44348</v>
      </c>
      <c r="J14" s="66">
        <f>IF(YEAR(J$4)=BaseYear,'Input|Reported opex'!J15,0)</f>
        <v>0</v>
      </c>
      <c r="K14" s="66">
        <f>IF(YEAR(K$4)=BaseYear,'Input|Reported opex'!K15,0)</f>
        <v>243.40406829574664</v>
      </c>
      <c r="L14" s="66">
        <f>IF(YEAR(L$4)=BaseYear,'Input|Reported opex'!L15,0)</f>
        <v>0</v>
      </c>
      <c r="M14" s="66">
        <f>IF(YEAR(M$4)=BaseYear,'Input|Reported opex'!M15,0)</f>
        <v>0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208</v>
      </c>
      <c r="D15" s="16" t="s">
        <v>30</v>
      </c>
      <c r="E15" s="16" t="str">
        <f>$E$8</f>
        <v>$millions</v>
      </c>
      <c r="F15" s="98">
        <f>$F$8</f>
        <v>46174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299.32287481742446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209</v>
      </c>
      <c r="D16" s="65" t="s">
        <v>87</v>
      </c>
      <c r="E16" s="16" t="str">
        <f>'Input|Reported opex'!E15</f>
        <v>$millions</v>
      </c>
      <c r="F16" s="98">
        <f>'Input|Reported opex'!F15</f>
        <v>44348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259.25932563670483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209</v>
      </c>
      <c r="D17" s="16" t="s">
        <v>30</v>
      </c>
      <c r="E17" s="16" t="str">
        <f>$E$8</f>
        <v>$millions</v>
      </c>
      <c r="F17" s="98">
        <f>$F$8</f>
        <v>46174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318.8206639936484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7.0749300000000002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46174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7.9602629854169029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210</v>
      </c>
      <c r="D21" s="65" t="s">
        <v>87</v>
      </c>
      <c r="E21" s="16" t="str">
        <f>'Input|Reported opex'!E22</f>
        <v>$millions</v>
      </c>
      <c r="F21" s="98">
        <f>'Input|Reported opex'!F29</f>
        <v>44348</v>
      </c>
      <c r="J21" s="66">
        <f>IF(YEAR(J$4)=BaseYear,'Input|Reported opex'!J29,0)</f>
        <v>0</v>
      </c>
      <c r="K21" s="66">
        <f>IF(YEAR(K$4)=BaseYear,'Input|Reported opex'!K29,0)</f>
        <v>11.797705456570046</v>
      </c>
      <c r="L21" s="66">
        <f>IF(YEAR(L$4)=BaseYear,'Input|Reported opex'!L29,0)</f>
        <v>0</v>
      </c>
      <c r="M21" s="66">
        <f>IF(YEAR(M$4)=BaseYear,'Input|Reported opex'!M29,0)</f>
        <v>0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210</v>
      </c>
      <c r="D22" s="16" t="s">
        <v>30</v>
      </c>
      <c r="E22" s="16" t="str">
        <f>$E$8</f>
        <v>$millions</v>
      </c>
      <c r="F22" s="98">
        <f>$F$8</f>
        <v>46174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14.508069393561035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211</v>
      </c>
      <c r="D23" s="65" t="s">
        <v>87</v>
      </c>
      <c r="E23" s="16" t="str">
        <f>'Input|Reported opex'!E22</f>
        <v>$millions</v>
      </c>
      <c r="F23" s="98">
        <f>'Input|Reported opex'!F29</f>
        <v>44348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11.438513926855089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211</v>
      </c>
      <c r="D24" s="16" t="s">
        <v>30</v>
      </c>
      <c r="E24" s="16" t="str">
        <f>$E$8</f>
        <v>$millions</v>
      </c>
      <c r="F24" s="98">
        <f>$F$8</f>
        <v>46174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14.066358447490426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46174</v>
      </c>
      <c r="J26" s="70">
        <f ca="1">J13</f>
        <v>0</v>
      </c>
      <c r="K26" s="70">
        <f t="shared" ref="K26:S26" ca="1" si="1">K13</f>
        <v>268.07103615562363</v>
      </c>
      <c r="L26" s="70">
        <f t="shared" ca="1" si="1"/>
        <v>0</v>
      </c>
      <c r="M26" s="70">
        <f t="shared" ca="1" si="1"/>
        <v>0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46174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4.686011577402617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46174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4.686011577402617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46174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19.497789176223932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46174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292.25483690925017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46174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-7.5185520393462939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Adjustment - Corporate Overheads</v>
      </c>
      <c r="D37" s="65" t="s">
        <v>87</v>
      </c>
      <c r="E37" s="16" t="str">
        <f>'Input|Reported opex'!E63</f>
        <v>$millions</v>
      </c>
      <c r="F37" s="98">
        <f>'Input|Reported opex'!F63</f>
        <v>45078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3.6578740868354553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Adjustment - Corporate Overheads</v>
      </c>
      <c r="D38" s="16" t="s">
        <v>30</v>
      </c>
      <c r="E38" s="16" t="str">
        <f>$E$8</f>
        <v>$millions</v>
      </c>
      <c r="F38" s="98">
        <f>$F$8</f>
        <v>46174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3.9969237218087224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 t="str">
        <f>'Input|Reported opex'!$C$64</f>
        <v xml:space="preserve">Adjustment - Property </v>
      </c>
      <c r="D40" s="65" t="s">
        <v>87</v>
      </c>
      <c r="E40" s="16" t="str">
        <f>'Input|Reported opex'!$E$64</f>
        <v>$millions</v>
      </c>
      <c r="F40" s="98">
        <f>'Input|Reported opex'!$F$64</f>
        <v>45078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-0.45654357733016798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 t="str">
        <f>C40</f>
        <v xml:space="preserve">Adjustment - Property </v>
      </c>
      <c r="D41" s="16" t="s">
        <v>30</v>
      </c>
      <c r="E41" s="16" t="str">
        <f>$E$8</f>
        <v>$millions</v>
      </c>
      <c r="F41" s="98">
        <f>$F$8</f>
        <v>46174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-0.49886076200316409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 t="str">
        <f>'Input|Reported opex'!$C$65</f>
        <v>License fees</v>
      </c>
      <c r="D43" s="65" t="s">
        <v>87</v>
      </c>
      <c r="E43" s="16" t="str">
        <f>'Input|Reported opex'!$E$65</f>
        <v>$millions</v>
      </c>
      <c r="F43" s="98">
        <f>'Input|Reported opex'!$F$65</f>
        <v>45078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-0.88433898000000022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 t="str">
        <f>C43</f>
        <v>License fees</v>
      </c>
      <c r="D44" s="16" t="s">
        <v>30</v>
      </c>
      <c r="E44" s="16" t="str">
        <f>$E$8</f>
        <v>$millions</v>
      </c>
      <c r="F44" s="98">
        <f>$F$8</f>
        <v>46174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-0.96630867093078576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46174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46174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46174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46174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46174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46174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287.26803915877866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46539</v>
      </c>
      <c r="P58" s="99">
        <f>IF(YEAR(P$4)&gt;='Input|General'!$G$13,IF(YEAR(P$4)&lt;='Input|General'!$G$14,P$4,""),"")</f>
        <v>46905</v>
      </c>
      <c r="Q58" s="99">
        <f>IF(YEAR(Q$4)&gt;='Input|General'!$G$13,IF(YEAR(Q$4)&lt;='Input|General'!$G$14,Q$4,""),"")</f>
        <v>47270</v>
      </c>
      <c r="R58" s="99">
        <f>IF(YEAR(R$4)&gt;='Input|General'!$G$13,IF(YEAR(R$4)&lt;='Input|General'!$G$14,R$4,""),"")</f>
        <v>47635</v>
      </c>
      <c r="S58" s="99">
        <f>IF(YEAR(S$4)&gt;='Input|General'!$G$13,IF(YEAR(S$4)&lt;='Input|General'!$G$14,S$4,""),"")</f>
        <v>48000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163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change'!$J$84:$M$84),1)),0)</f>
        <v>0</v>
      </c>
      <c r="K61" s="72">
        <f ca="1">IF(K58=K4,AVERAGE(OFFSET('Input|Rate of change'!L106,0,0,COUNTA('Input|Rate of change'!$J$84:$M$84),1)),0)</f>
        <v>0</v>
      </c>
      <c r="L61" s="72">
        <f ca="1">IF(L58=L4,AVERAGE(OFFSET('Input|Rate of change'!M106,0,0,COUNTA('Input|Rate of change'!$J$84:$M$84),1)),0)</f>
        <v>0</v>
      </c>
      <c r="M61" s="72">
        <f ca="1">IF(M58=M4,AVERAGE(OFFSET('Input|Rate of change'!N106,0,0,COUNTA('Input|Rate of change'!$J$84:$M$84),1)),0)</f>
        <v>0</v>
      </c>
      <c r="N61" s="72">
        <f ca="1">IF(N58=N4,AVERAGE(OFFSET('Input|Rate of change'!O106,0,0,COUNTA('Input|Rate of change'!$J$84:$M$84),1)),0)</f>
        <v>0</v>
      </c>
      <c r="O61" s="72">
        <f ca="1">IF(O58=O4,AVERAGE(OFFSET('Input|Rate of change'!P106,0,0,COUNTA('Input|Rate of change'!$J$84:$M$84),1)),0)</f>
        <v>8.0376418974932706E-3</v>
      </c>
      <c r="P61" s="72">
        <f ca="1">IF(P58=P4,AVERAGE(OFFSET('Input|Rate of change'!Q106,0,0,COUNTA('Input|Rate of change'!$J$84:$M$84),1)),0)</f>
        <v>8.0758495803870244E-3</v>
      </c>
      <c r="Q61" s="72">
        <f ca="1">IF(Q58=Q4,AVERAGE(OFFSET('Input|Rate of change'!R106,0,0,COUNTA('Input|Rate of change'!$J$84:$M$84),1)),0)</f>
        <v>8.0101031780980513E-3</v>
      </c>
      <c r="R61" s="72">
        <f ca="1">IF(R58=R4,AVERAGE(OFFSET('Input|Rate of change'!S106,0,0,COUNTA('Input|Rate of change'!$J$84:$M$84),1)),0)</f>
        <v>1.4917153271592383E-2</v>
      </c>
      <c r="S61" s="72">
        <f ca="1">IF(S58=S4,AVERAGE(OFFSET('Input|Rate of change'!T106,0,0,COUNTA('Input|Rate of change'!$J$84:$M$84),1)),0)</f>
        <v>1.7250047648609559E-2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166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8.0376418974932307E-3</v>
      </c>
      <c r="P62" s="72">
        <f t="array" aca="1" ref="P62" ca="1">IF(P$58=P$4,PRODUCT(1+$J61:P61)-1,0)</f>
        <v>1.6178402264825475E-2</v>
      </c>
      <c r="Q62" s="72">
        <f t="array" aca="1" ref="Q62" ca="1">IF(Q$58=Q$4,PRODUCT(1+$J61:Q61)-1,0)</f>
        <v>2.4318096114321675E-2</v>
      </c>
      <c r="R62" s="72">
        <f t="array" aca="1" ref="R62" ca="1">IF(R$58=R$4,PRODUCT(1+$J61:R61)-1,0)</f>
        <v>3.9598006152924636E-2</v>
      </c>
      <c r="S62" s="72">
        <f t="array" aca="1" ref="S62" ca="1">IF(S$58=S$4,PRODUCT(1+$J61:S61)-1,0)</f>
        <v>5.7531121294462029E-2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164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5.4171854590181548E-3</v>
      </c>
      <c r="P64" s="72">
        <f>SUMPRODUCT('Input|Rate of change'!Q38:Q45,'Input|Rate of change'!Q51:Q58)</f>
        <v>5.5963478654595805E-3</v>
      </c>
      <c r="Q64" s="72">
        <f>SUMPRODUCT('Input|Rate of change'!R38:R45,'Input|Rate of change'!R51:R58)</f>
        <v>6.9128485472687018E-3</v>
      </c>
      <c r="R64" s="72">
        <f>SUMPRODUCT('Input|Rate of change'!S38:S45,'Input|Rate of change'!S51:S58)</f>
        <v>7.1507512317080871E-3</v>
      </c>
      <c r="S64" s="72">
        <f>SUMPRODUCT('Input|Rate of change'!T38:T45,'Input|Rate of change'!T51:T58)</f>
        <v>6.5667729177377784E-3</v>
      </c>
      <c r="T64" s="72">
        <f>SUMPRODUCT('Input|Rate of change'!U38:U45,'Input|Rate of change'!U51:U58)</f>
        <v>0</v>
      </c>
    </row>
    <row r="65" spans="1:31" outlineLevel="1">
      <c r="C65" s="15" t="s">
        <v>167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5.4171854590181479E-3</v>
      </c>
      <c r="P65" s="72">
        <f t="array" ref="P65">IF(P$58=P$4,PRODUCT(1+$J64:P64)-1,0)</f>
        <v>1.1043849778757941E-2</v>
      </c>
      <c r="Q65" s="72">
        <f t="array" ref="Q65">IF(Q$58=Q$4,PRODUCT(1+$J64:Q64)-1,0)</f>
        <v>1.8033042786925968E-2</v>
      </c>
      <c r="R65" s="72">
        <f t="array" ref="R65">IF(R$58=R$4,PRODUCT(1+$J64:R64)-1,0)</f>
        <v>2.5312743821554129E-2</v>
      </c>
      <c r="S65" s="72">
        <f t="array" ref="S65">IF(S$58=S$4,PRODUCT(1+$J64:S64)-1,0)</f>
        <v>3.2045739779893001E-2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165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/>
    </row>
    <row r="68" spans="1:31" outlineLevel="1">
      <c r="C68" s="15" t="s">
        <v>168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8.4308769095566838E-3</v>
      </c>
      <c r="P70" s="88">
        <f t="shared" ca="1" si="6"/>
        <v>8.6488057458604661E-3</v>
      </c>
      <c r="Q70" s="88">
        <f t="shared" ca="1" si="6"/>
        <v>9.903432733707751E-3</v>
      </c>
      <c r="R70" s="88">
        <f t="shared" ca="1" si="6"/>
        <v>1.7063700488653799E-2</v>
      </c>
      <c r="S70" s="88">
        <f t="shared" ca="1" si="6"/>
        <v>1.8810447223515547E-2</v>
      </c>
      <c r="T70" s="88">
        <f ca="1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8.4308769095566838E-3</v>
      </c>
      <c r="P71" s="72">
        <f t="array" aca="1" ref="P71" ca="1">IF(P$58=P$4,PRODUCT(1+$J70:P70)-1,"")</f>
        <v>1.7152599672075164E-2</v>
      </c>
      <c r="Q71" s="72">
        <f t="array" aca="1" ref="Q71" ca="1">IF(Q$58=Q$4,PRODUCT(1+$J70:Q70)-1,"")</f>
        <v>2.7225902022843584E-2</v>
      </c>
      <c r="R71" s="72">
        <f t="array" aca="1" ref="R71" ca="1">IF(R$58=R$4,PRODUCT(1+$J70:R70)-1,"")</f>
        <v>4.4754177149148644E-2</v>
      </c>
      <c r="S71" s="72">
        <f t="array" aca="1" ref="S71" ca="1">IF(S$58=S$4,PRODUCT(1+$J70:S70)-1,"")</f>
        <v>6.4406470459960063E-2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46539</v>
      </c>
      <c r="P75" s="99">
        <f>IF(YEAR(P$4)&gt;='Input|General'!$G$13,IF(YEAR(P$4)&lt;='Input|General'!$G$14,P$4,""),"")</f>
        <v>46905</v>
      </c>
      <c r="Q75" s="99">
        <f>IF(YEAR(Q$4)&gt;='Input|General'!$G$13,IF(YEAR(Q$4)&lt;='Input|General'!$G$14,Q$4,""),"")</f>
        <v>47270</v>
      </c>
      <c r="R75" s="99">
        <f>IF(YEAR(R$4)&gt;='Input|General'!$G$13,IF(YEAR(R$4)&lt;='Input|General'!$G$14,R$4,""),"")</f>
        <v>47635</v>
      </c>
      <c r="S75" s="99">
        <f>IF(YEAR(S$4)&gt;='Input|General'!$G$13,IF(YEAR(S$4)&lt;='Input|General'!$G$14,S$4,""),"")</f>
        <v>48000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Flexible services and non-network solutions</v>
      </c>
      <c r="D77" s="16" t="s">
        <v>30</v>
      </c>
      <c r="E77" s="16" t="str">
        <f t="shared" ref="E77:E100" si="7">$E$8</f>
        <v>$millions</v>
      </c>
      <c r="F77" s="98">
        <f t="shared" ref="F77:F90" si="8">$F$8</f>
        <v>46174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 xml:space="preserve">ESV more frequent pole inspections </v>
      </c>
      <c r="D78" s="16" t="s">
        <v>30</v>
      </c>
      <c r="E78" s="16" t="str">
        <f t="shared" si="7"/>
        <v>$millions</v>
      </c>
      <c r="F78" s="98">
        <f t="shared" si="8"/>
        <v>46174</v>
      </c>
      <c r="J78" s="79">
        <f>'Input|Step changes'!J12*INDEX('Input|Rate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K78" s="79">
        <f>'Input|Step changes'!K12*INDEX('Input|Rate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L78" s="79">
        <f>'Input|Step changes'!L12*INDEX('Input|Rate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M78" s="79">
        <f>'Input|Step changes'!M12*INDEX('Input|Rate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N78" s="79">
        <f>'Input|Step changes'!N12*INDEX('Input|Rate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O78" s="79">
        <f>'Input|Step changes'!O13*INDEX('Input|Rate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P78" s="79">
        <f>'Input|Step changes'!P13*INDEX('Input|Rate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Q78" s="79">
        <f>'Input|Step changes'!Q13*INDEX('Input|Rate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R78" s="79">
        <f>'Input|Step changes'!R13*INDEX('Input|Rate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S78" s="79">
        <f>'Input|Step changes'!S13*INDEX('Input|Rate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  <c r="T78" s="79">
        <f>'Input|Step changes'!T12*INDEX('Input|Rate of change'!$C$14:$P$22,MATCH('Input|Step changes'!$F12,'Input|Rate of change'!$C$14:$C$22,0),MATCH('Calc|Opex forecast'!$F78,'Input|Rate of change'!$C$14:$P$14,0))*IF('Input|Step changes'!$E12="$millions",1000000,IF('Input|Step changes'!$E12="$000",1000,1))/IF($E78="$millions",1000000,IF($E78="$000",1000,1))</f>
        <v>0</v>
      </c>
    </row>
    <row r="79" spans="1:31" outlineLevel="1">
      <c r="C79" s="75" t="str">
        <f>'Input|Step changes'!C14</f>
        <v>Fleet Electrification</v>
      </c>
      <c r="D79" s="16" t="s">
        <v>30</v>
      </c>
      <c r="E79" s="16" t="str">
        <f t="shared" si="7"/>
        <v>$millions</v>
      </c>
      <c r="F79" s="98">
        <f t="shared" si="8"/>
        <v>46174</v>
      </c>
      <c r="J79" s="79">
        <f>'Input|Step changes'!J13*INDEX('Input|Rate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K79" s="79">
        <f>'Input|Step changes'!K13*INDEX('Input|Rate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L79" s="79">
        <f>'Input|Step changes'!L13*INDEX('Input|Rate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M79" s="79">
        <f>'Input|Step changes'!M13*INDEX('Input|Rate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N79" s="79">
        <f>'Input|Step changes'!N13*INDEX('Input|Rate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  <c r="O79" s="79">
        <f>'Input|Step changes'!O14*INDEX('Input|Rate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-4.7906093256512218E-2</v>
      </c>
      <c r="P79" s="79">
        <f>'Input|Step changes'!P14*INDEX('Input|Rate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-9.5812186513024436E-2</v>
      </c>
      <c r="Q79" s="79">
        <f>'Input|Step changes'!Q14*INDEX('Input|Rate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-0.14371827976953663</v>
      </c>
      <c r="R79" s="79">
        <f>'Input|Step changes'!R14*INDEX('Input|Rate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-0.19162437302604887</v>
      </c>
      <c r="S79" s="79">
        <f>'Input|Step changes'!S14*INDEX('Input|Rate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-0.23953046628256106</v>
      </c>
      <c r="T79" s="79">
        <f>'Input|Step changes'!T13*INDEX('Input|Rate of change'!$C$14:$P$22,MATCH('Input|Step changes'!$F13,'Input|Rate of change'!$C$14:$C$22,0),MATCH('Calc|Opex forecast'!$F79,'Input|Rate of change'!$C$14:$P$14,0))*IF('Input|Step changes'!$E13="$millions",1000000,IF('Input|Step changes'!$E13="$000",1000,1))/IF($E79="$millions",1000000,IF($E79="$000",1000,1))</f>
        <v>0</v>
      </c>
    </row>
    <row r="80" spans="1:31" outlineLevel="1">
      <c r="C80" s="75" t="str">
        <f>'Input|Step changes'!C15</f>
        <v>Digital (SaaS, Licenses, etc.)</v>
      </c>
      <c r="D80" s="16" t="s">
        <v>30</v>
      </c>
      <c r="E80" s="16" t="str">
        <f t="shared" si="7"/>
        <v>$millions</v>
      </c>
      <c r="F80" s="98">
        <f t="shared" si="8"/>
        <v>46174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1.3939454043999997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3.2764843893999989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2.6777893643999984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2.861668214399999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3.0455470643999987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 t="str">
        <f>'Input|Step changes'!C16</f>
        <v xml:space="preserve">EFD Rollout </v>
      </c>
      <c r="D81" s="16" t="s">
        <v>30</v>
      </c>
      <c r="E81" s="16" t="str">
        <f t="shared" si="7"/>
        <v>$millions</v>
      </c>
      <c r="F81" s="98">
        <f t="shared" si="8"/>
        <v>46174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 t="str">
        <f>'Input|Step changes'!C17</f>
        <v>Digital Efficiencies</v>
      </c>
      <c r="D82" s="16" t="s">
        <v>30</v>
      </c>
      <c r="E82" s="16" t="str">
        <f t="shared" si="7"/>
        <v>$millions</v>
      </c>
      <c r="F82" s="98">
        <f t="shared" si="8"/>
        <v>46174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 t="str">
        <f>'Input|Step changes'!C18</f>
        <v xml:space="preserve">Preparedness and Response </v>
      </c>
      <c r="D83" s="16" t="s">
        <v>30</v>
      </c>
      <c r="E83" s="16" t="str">
        <f t="shared" si="7"/>
        <v>$millions</v>
      </c>
      <c r="F83" s="98">
        <f t="shared" si="8"/>
        <v>46174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 t="str">
        <f>'Input|Step changes'!C19</f>
        <v>Resilience (Hazard tree program)</v>
      </c>
      <c r="D84" s="16" t="s">
        <v>30</v>
      </c>
      <c r="E84" s="16" t="str">
        <f t="shared" si="7"/>
        <v>$millions</v>
      </c>
      <c r="F84" s="98">
        <f t="shared" si="8"/>
        <v>46174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 t="str">
        <f>'Input|Step changes'!C20</f>
        <v>Customer relationship management and broad communications</v>
      </c>
      <c r="D85" s="16" t="s">
        <v>30</v>
      </c>
      <c r="E85" s="16" t="str">
        <f t="shared" si="7"/>
        <v>$millions</v>
      </c>
      <c r="F85" s="98">
        <f t="shared" si="8"/>
        <v>46174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 t="str">
        <f>'Input|Step changes'!C21</f>
        <v>Emergency Backstop Mechanism</v>
      </c>
      <c r="D86" s="16" t="s">
        <v>30</v>
      </c>
      <c r="E86" s="16" t="str">
        <f t="shared" si="7"/>
        <v>$millions</v>
      </c>
      <c r="F86" s="98">
        <f t="shared" si="8"/>
        <v>46174</v>
      </c>
      <c r="J86" s="79">
        <f>'Input|Step changes'!J21*INDEX('Input|Rate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K86" s="79">
        <f>'Input|Step changes'!K21*INDEX('Input|Rate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L86" s="79">
        <f>'Input|Step changes'!L21*INDEX('Input|Rate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M86" s="79">
        <f>'Input|Step changes'!M21*INDEX('Input|Rate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N86" s="79">
        <f>'Input|Step changes'!N21*INDEX('Input|Rate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O86" s="79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P86" s="79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Q86" s="79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1.0675753164592172</v>
      </c>
      <c r="R86" s="79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2.0933704909511843</v>
      </c>
      <c r="S86" s="79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2.197989802325397</v>
      </c>
      <c r="T86" s="79">
        <f>'Input|Step changes'!T21*INDEX('Input|Rate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31" outlineLevel="1">
      <c r="C87" s="75" t="s">
        <v>239</v>
      </c>
      <c r="D87" s="16" t="s">
        <v>30</v>
      </c>
      <c r="E87" s="16" t="str">
        <f t="shared" si="7"/>
        <v>$millions</v>
      </c>
      <c r="F87" s="98">
        <f t="shared" si="8"/>
        <v>46174</v>
      </c>
      <c r="J87" s="79">
        <f>'Input|Step changes'!J21*INDEX('Input|Rate of change'!$C$14:$P$22,MATCH('Input|Step changes'!$F21,'Input|Rate of change'!$C$14:$C$22,0),MATCH('Calc|Opex forecast'!$F87,'Input|Rate of change'!$C$14:$P$14,0))*IF('Input|Step changes'!$E21="$millions",1000000,IF('Input|Step changes'!$E21="$000",1000,1))/IF($E87="$millions",1000000,IF($E87="$000",1000,1))</f>
        <v>0</v>
      </c>
      <c r="K87" s="79">
        <f>'Input|Step changes'!K21*INDEX('Input|Rate of change'!$C$14:$P$22,MATCH('Input|Step changes'!$F21,'Input|Rate of change'!$C$14:$C$22,0),MATCH('Calc|Opex forecast'!$F87,'Input|Rate of change'!$C$14:$P$14,0))*IF('Input|Step changes'!$E21="$millions",1000000,IF('Input|Step changes'!$E21="$000",1000,1))/IF($E87="$millions",1000000,IF($E87="$000",1000,1))</f>
        <v>0</v>
      </c>
      <c r="L87" s="79">
        <f>'Input|Step changes'!L21*INDEX('Input|Rate of change'!$C$14:$P$22,MATCH('Input|Step changes'!$F21,'Input|Rate of change'!$C$14:$C$22,0),MATCH('Calc|Opex forecast'!$F87,'Input|Rate of change'!$C$14:$P$14,0))*IF('Input|Step changes'!$E21="$millions",1000000,IF('Input|Step changes'!$E21="$000",1000,1))/IF($E87="$millions",1000000,IF($E87="$000",1000,1))</f>
        <v>0</v>
      </c>
      <c r="M87" s="79">
        <f>'Input|Step changes'!M21*INDEX('Input|Rate of change'!$C$14:$P$22,MATCH('Input|Step changes'!$F21,'Input|Rate of change'!$C$14:$C$22,0),MATCH('Calc|Opex forecast'!$F87,'Input|Rate of change'!$C$14:$P$14,0))*IF('Input|Step changes'!$E21="$millions",1000000,IF('Input|Step changes'!$E21="$000",1000,1))/IF($E87="$millions",1000000,IF($E87="$000",1000,1))</f>
        <v>0</v>
      </c>
      <c r="N87" s="79">
        <f>'Input|Step changes'!N21*INDEX('Input|Rate of change'!$C$14:$P$22,MATCH('Input|Step changes'!$F21,'Input|Rate of change'!$C$14:$C$22,0),MATCH('Calc|Opex forecast'!$F87,'Input|Rate of change'!$C$14:$P$14,0))*IF('Input|Step changes'!$E21="$millions",1000000,IF('Input|Step changes'!$E21="$000",1000,1))/IF($E87="$millions",1000000,IF($E87="$000",1000,1))</f>
        <v>0</v>
      </c>
      <c r="O87" s="79">
        <f>'Input|Step changes'!O22</f>
        <v>0</v>
      </c>
      <c r="P87" s="79">
        <f>'Input|Step changes'!P22</f>
        <v>0</v>
      </c>
      <c r="Q87" s="79">
        <f>'Input|Step changes'!Q22</f>
        <v>0</v>
      </c>
      <c r="R87" s="79">
        <f>'Input|Step changes'!R22</f>
        <v>0</v>
      </c>
      <c r="S87" s="79">
        <f>'Input|Step changes'!S22</f>
        <v>0</v>
      </c>
      <c r="T87" s="79">
        <f>'Input|Step changes'!T21*INDEX('Input|Rate of change'!$C$14:$P$22,MATCH('Input|Step changes'!$F21,'Input|Rate of change'!$C$14:$C$22,0),MATCH('Calc|Opex forecast'!$F87,'Input|Rate of change'!$C$14:$P$14,0))*IF('Input|Step changes'!$E21="$millions",1000000,IF('Input|Step changes'!$E21="$000",1000,1))/IF($E87="$millions",1000000,IF($E87="$000",1000,1))</f>
        <v>0</v>
      </c>
    </row>
    <row r="88" spans="1:31" outlineLevel="1">
      <c r="C88" s="75" t="str">
        <f>'Input|Step changes'!C23</f>
        <v>Negative Insurance</v>
      </c>
      <c r="D88" s="16" t="s">
        <v>30</v>
      </c>
      <c r="E88" s="16" t="str">
        <f t="shared" si="7"/>
        <v>$millions</v>
      </c>
      <c r="F88" s="98">
        <f t="shared" si="8"/>
        <v>46174</v>
      </c>
      <c r="J88" s="79">
        <f>'Input|Step changes'!J23*INDEX('Input|Rate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K88" s="79">
        <f>'Input|Step changes'!K23*INDEX('Input|Rate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L88" s="79">
        <f>'Input|Step changes'!L23*INDEX('Input|Rate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M88" s="79">
        <f>'Input|Step changes'!M23*INDEX('Input|Rate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N88" s="79">
        <f>'Input|Step changes'!N23*INDEX('Input|Rate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O88" s="79">
        <f>'Input|Step changes'!O23*INDEX('Input|Rate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-11.620569816383265</v>
      </c>
      <c r="P88" s="79">
        <f>'Input|Step changes'!P23*INDEX('Input|Rate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-11.620569816383265</v>
      </c>
      <c r="Q88" s="79">
        <f>'Input|Step changes'!Q23*INDEX('Input|Rate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-11.620569816383265</v>
      </c>
      <c r="R88" s="79">
        <f>'Input|Step changes'!R23*INDEX('Input|Rate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-11.620569816383265</v>
      </c>
      <c r="S88" s="79">
        <f>'Input|Step changes'!S23*INDEX('Input|Rate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-11.620569816383265</v>
      </c>
      <c r="T88" s="79">
        <f>'Input|Step changes'!T23*INDEX('Input|Rate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</row>
    <row r="89" spans="1:31" outlineLevel="1">
      <c r="C89" s="75"/>
      <c r="F89" s="67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</row>
    <row r="90" spans="1:31" ht="10.5" outlineLevel="1">
      <c r="C90" s="68" t="s">
        <v>48</v>
      </c>
      <c r="D90" s="76" t="s">
        <v>30</v>
      </c>
      <c r="E90" s="76" t="str">
        <f>$E$8</f>
        <v>$millions</v>
      </c>
      <c r="F90" s="101">
        <f t="shared" si="8"/>
        <v>46174</v>
      </c>
      <c r="G90" s="20"/>
      <c r="H90" s="20"/>
      <c r="I90" s="20"/>
      <c r="J90" s="80">
        <f>SUM(J76:J89)</f>
        <v>0</v>
      </c>
      <c r="K90" s="80">
        <f t="shared" ref="K90:S90" si="9">SUM(K76:K89)</f>
        <v>0</v>
      </c>
      <c r="L90" s="80">
        <f t="shared" si="9"/>
        <v>0</v>
      </c>
      <c r="M90" s="80">
        <f t="shared" si="9"/>
        <v>0</v>
      </c>
      <c r="N90" s="80">
        <f t="shared" si="9"/>
        <v>0</v>
      </c>
      <c r="O90" s="80">
        <f t="shared" si="9"/>
        <v>-10.274530505239778</v>
      </c>
      <c r="P90" s="80">
        <f t="shared" si="9"/>
        <v>-8.4398976134962904</v>
      </c>
      <c r="Q90" s="80">
        <f t="shared" si="9"/>
        <v>-8.0189234152935853</v>
      </c>
      <c r="R90" s="80">
        <f t="shared" si="9"/>
        <v>-6.8571554840581301</v>
      </c>
      <c r="S90" s="80">
        <f t="shared" si="9"/>
        <v>-6.6165634159404298</v>
      </c>
      <c r="T90" s="80">
        <f>SUM(T76:T89)</f>
        <v>0</v>
      </c>
    </row>
    <row r="91" spans="1:31" ht="10.5">
      <c r="C91" s="77"/>
      <c r="J91" s="64"/>
      <c r="K91" s="64"/>
      <c r="L91" s="64"/>
      <c r="M91" s="64"/>
      <c r="N91" s="22"/>
      <c r="O91" s="22"/>
      <c r="P91" s="22"/>
      <c r="Q91" s="22"/>
      <c r="R91" s="22"/>
      <c r="S91" s="22"/>
      <c r="T91" s="22"/>
    </row>
    <row r="92" spans="1:31" customFormat="1" ht="13">
      <c r="A92" s="32"/>
      <c r="B92" s="38" t="s">
        <v>107</v>
      </c>
      <c r="C92" s="32"/>
      <c r="D92" s="32"/>
      <c r="E92" s="32"/>
      <c r="F92" s="33"/>
      <c r="G92" s="33"/>
      <c r="H92" s="33"/>
      <c r="I92" s="33"/>
      <c r="J92" s="34"/>
      <c r="K92" s="35"/>
      <c r="L92" s="34"/>
      <c r="M92" s="35"/>
      <c r="N92" s="34"/>
      <c r="O92" s="34"/>
      <c r="P92" s="34"/>
      <c r="Q92" s="34"/>
      <c r="R92" s="34"/>
      <c r="S92" s="34"/>
      <c r="T92" s="34"/>
      <c r="U92" s="34"/>
      <c r="V92" s="34"/>
      <c r="W92" s="35"/>
      <c r="X92" s="35"/>
      <c r="Y92" s="36"/>
      <c r="Z92" s="36"/>
      <c r="AA92" s="36"/>
      <c r="AB92" s="36"/>
      <c r="AC92" s="36"/>
      <c r="AD92" s="37"/>
      <c r="AE92" s="37"/>
    </row>
    <row r="93" spans="1:31" outlineLevel="1">
      <c r="C93" s="15"/>
      <c r="J93" s="64"/>
      <c r="K93" s="64"/>
      <c r="L93" s="64"/>
    </row>
    <row r="94" spans="1:31" ht="10.5" outlineLevel="1">
      <c r="C94" s="9" t="s">
        <v>102</v>
      </c>
      <c r="D94" s="20" t="s">
        <v>7</v>
      </c>
      <c r="E94" s="20" t="s">
        <v>8</v>
      </c>
      <c r="F94" s="20" t="s">
        <v>22</v>
      </c>
      <c r="J94" s="99"/>
      <c r="K94" s="99"/>
      <c r="L94" s="99"/>
      <c r="M94" s="99"/>
      <c r="N94" s="99"/>
      <c r="O94" s="99">
        <f>IF(YEAR(O$4)&gt;='Input|General'!$G$13,IF(YEAR(O$4)&lt;='Input|General'!$G$14,O$4,""),"")</f>
        <v>46539</v>
      </c>
      <c r="P94" s="99">
        <f>IF(YEAR(P$4)&gt;='Input|General'!$G$13,IF(YEAR(P$4)&lt;='Input|General'!$G$14,P$4,""),"")</f>
        <v>46905</v>
      </c>
      <c r="Q94" s="99">
        <f>IF(YEAR(Q$4)&gt;='Input|General'!$G$13,IF(YEAR(Q$4)&lt;='Input|General'!$G$14,Q$4,""),"")</f>
        <v>47270</v>
      </c>
      <c r="R94" s="99">
        <f>IF(YEAR(R$4)&gt;='Input|General'!$G$13,IF(YEAR(R$4)&lt;='Input|General'!$G$14,R$4,""),"")</f>
        <v>47635</v>
      </c>
      <c r="S94" s="99">
        <f>IF(YEAR(S$4)&gt;='Input|General'!$G$13,IF(YEAR(S$4)&lt;='Input|General'!$G$14,S$4,""),"")</f>
        <v>48000</v>
      </c>
      <c r="T94" s="99" t="str">
        <f>IF(YEAR(T$4)&gt;='Input|General'!$G$13,IF(YEAR(T$4)&lt;='Input|General'!$G$14,T$4,""),"")</f>
        <v/>
      </c>
    </row>
    <row r="95" spans="1:31" ht="10.5" outlineLevel="1">
      <c r="C95" s="9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31" outlineLevel="1">
      <c r="C96" s="75" t="str">
        <f>'Input|Step changes'!C31</f>
        <v>GSL payments</v>
      </c>
      <c r="D96" s="16" t="s">
        <v>30</v>
      </c>
      <c r="E96" s="16" t="str">
        <f t="shared" si="7"/>
        <v>$millions</v>
      </c>
      <c r="F96" s="98">
        <f>$F$8</f>
        <v>46174</v>
      </c>
      <c r="J96" s="79"/>
      <c r="K96" s="79"/>
      <c r="L96" s="79"/>
      <c r="M96" s="79"/>
      <c r="N96" s="79"/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9.1409366719673031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8.9136394102554295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8.6919940906842488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8.4758601728454828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8.2651006109891281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 t="str">
        <f>'Input|Step changes'!C32</f>
        <v>Innovation fund</v>
      </c>
      <c r="D97" s="16" t="s">
        <v>30</v>
      </c>
      <c r="E97" s="16" t="str">
        <f t="shared" si="7"/>
        <v>$millions</v>
      </c>
      <c r="F97" s="98">
        <f>$F$8</f>
        <v>46174</v>
      </c>
      <c r="J97" s="79"/>
      <c r="K97" s="79"/>
      <c r="L97" s="79"/>
      <c r="M97" s="79"/>
      <c r="N97" s="79"/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0.1578811599423631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0.47364347982708932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0.72625333573487016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1.0630664769452449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</row>
    <row r="98" spans="1:39" outlineLevel="1">
      <c r="C98" s="75">
        <f>'Input|Step changes'!C33</f>
        <v>0</v>
      </c>
      <c r="D98" s="16" t="s">
        <v>30</v>
      </c>
      <c r="E98" s="16" t="str">
        <f t="shared" si="7"/>
        <v>$millions</v>
      </c>
      <c r="F98" s="98">
        <f>$F$8</f>
        <v>46174</v>
      </c>
      <c r="J98" s="79"/>
      <c r="K98" s="79"/>
      <c r="L98" s="79"/>
      <c r="M98" s="79"/>
      <c r="N98" s="79"/>
      <c r="O98" s="79">
        <f>'Input|Step changes'!O33*INDEX('Input|Rate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P98" s="79">
        <f>'Input|Step changes'!P33*INDEX('Input|Rate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Q98" s="79">
        <f>'Input|Step changes'!Q33*INDEX('Input|Rate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R98" s="79">
        <f>'Input|Step changes'!R33*INDEX('Input|Rate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S98" s="79">
        <f>'Input|Step changes'!S33*INDEX('Input|Rate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T98" s="79">
        <f>'Input|Step changes'!T33*INDEX('Input|Rate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</row>
    <row r="99" spans="1:39" outlineLevel="1">
      <c r="C99" s="75">
        <f>'Input|Step changes'!C34</f>
        <v>0</v>
      </c>
      <c r="D99" s="16" t="s">
        <v>30</v>
      </c>
      <c r="E99" s="16" t="str">
        <f t="shared" si="7"/>
        <v>$millions</v>
      </c>
      <c r="F99" s="98">
        <f>$F$8</f>
        <v>46174</v>
      </c>
      <c r="J99" s="79"/>
      <c r="K99" s="79"/>
      <c r="L99" s="79"/>
      <c r="M99" s="79"/>
      <c r="N99" s="79"/>
      <c r="O99" s="79">
        <f>'Input|Step changes'!O34*INDEX('Input|Rate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P99" s="79">
        <f>'Input|Step changes'!P34*INDEX('Input|Rate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Q99" s="79">
        <f>'Input|Step changes'!Q34*INDEX('Input|Rate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R99" s="79">
        <f>'Input|Step changes'!R34*INDEX('Input|Rate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S99" s="79">
        <f>'Input|Step changes'!S34*INDEX('Input|Rate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T99" s="79">
        <f>'Input|Step changes'!T34*INDEX('Input|Rate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</row>
    <row r="100" spans="1:39" outlineLevel="1">
      <c r="C100" s="75">
        <f>'Input|Step changes'!C35</f>
        <v>0</v>
      </c>
      <c r="D100" s="16" t="s">
        <v>30</v>
      </c>
      <c r="E100" s="16" t="str">
        <f t="shared" si="7"/>
        <v>$millions</v>
      </c>
      <c r="F100" s="98">
        <f>$F$8</f>
        <v>46174</v>
      </c>
      <c r="J100" s="79"/>
      <c r="K100" s="79"/>
      <c r="L100" s="79"/>
      <c r="M100" s="79"/>
      <c r="N100" s="79"/>
      <c r="O100" s="79">
        <f>'Input|Step changes'!O35*INDEX('Input|Rate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P100" s="79">
        <f>'Input|Step changes'!P35*INDEX('Input|Rate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Q100" s="79">
        <f>'Input|Step changes'!Q35*INDEX('Input|Rate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R100" s="79">
        <f>'Input|Step changes'!R35*INDEX('Input|Rate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S100" s="79">
        <f>'Input|Step changes'!S35*INDEX('Input|Rate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T100" s="79">
        <f>'Input|Step changes'!T35*INDEX('Input|Rate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</row>
    <row r="101" spans="1:39" outlineLevel="1">
      <c r="C101" s="75"/>
      <c r="F101" s="67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</row>
    <row r="102" spans="1:39" ht="10.5" outlineLevel="1">
      <c r="C102" s="68" t="s">
        <v>108</v>
      </c>
      <c r="D102" s="76" t="s">
        <v>30</v>
      </c>
      <c r="E102" s="76" t="str">
        <f>$E$8</f>
        <v>$millions</v>
      </c>
      <c r="F102" s="101">
        <f>$F$8</f>
        <v>46174</v>
      </c>
      <c r="G102" s="20"/>
      <c r="H102" s="20"/>
      <c r="I102" s="20"/>
      <c r="J102" s="80"/>
      <c r="K102" s="80"/>
      <c r="L102" s="80"/>
      <c r="M102" s="80"/>
      <c r="N102" s="80"/>
      <c r="O102" s="80">
        <f t="shared" ref="O102:T102" si="10">SUM(O95:O100)</f>
        <v>9.1409366719673031</v>
      </c>
      <c r="P102" s="80">
        <f t="shared" si="10"/>
        <v>9.0715205701977926</v>
      </c>
      <c r="Q102" s="80">
        <f t="shared" si="10"/>
        <v>9.165637570511338</v>
      </c>
      <c r="R102" s="80">
        <f t="shared" si="10"/>
        <v>9.2021135085803536</v>
      </c>
      <c r="S102" s="80">
        <f t="shared" si="10"/>
        <v>9.3281670879343732</v>
      </c>
      <c r="T102" s="80">
        <f t="shared" si="10"/>
        <v>0</v>
      </c>
    </row>
    <row r="103" spans="1:39" ht="10.5">
      <c r="C103" s="77"/>
      <c r="J103" s="64"/>
      <c r="K103" s="64"/>
      <c r="L103" s="64"/>
      <c r="M103" s="64"/>
      <c r="N103" s="22"/>
      <c r="O103" s="22"/>
      <c r="P103" s="22"/>
      <c r="Q103" s="22"/>
      <c r="R103" s="22"/>
      <c r="S103" s="22"/>
      <c r="T103" s="22"/>
    </row>
    <row r="104" spans="1:39" customFormat="1" ht="13">
      <c r="A104" s="32"/>
      <c r="B104" s="38" t="s">
        <v>86</v>
      </c>
      <c r="C104" s="32"/>
      <c r="D104" s="32"/>
      <c r="E104" s="32"/>
      <c r="F104" s="33"/>
      <c r="G104" s="33"/>
      <c r="H104" s="33"/>
      <c r="I104" s="33"/>
      <c r="J104" s="34"/>
      <c r="K104" s="35"/>
      <c r="L104" s="34"/>
      <c r="M104" s="35"/>
      <c r="N104" s="34"/>
      <c r="O104" s="34"/>
      <c r="P104" s="34"/>
      <c r="Q104" s="34"/>
      <c r="R104" s="34"/>
      <c r="S104" s="34"/>
      <c r="T104" s="34"/>
      <c r="U104" s="34"/>
      <c r="V104" s="34"/>
      <c r="W104" s="35"/>
      <c r="X104" s="35"/>
      <c r="Y104" s="36"/>
      <c r="Z104" s="36"/>
      <c r="AA104" s="36"/>
      <c r="AB104" s="36"/>
      <c r="AC104" s="36"/>
      <c r="AD104" s="37"/>
      <c r="AE104" s="37"/>
    </row>
    <row r="105" spans="1:39" outlineLevel="1">
      <c r="C105" s="15"/>
      <c r="J105" s="64"/>
      <c r="K105" s="64"/>
      <c r="L105" s="64"/>
    </row>
    <row r="106" spans="1:39" ht="10.5" outlineLevel="1">
      <c r="C106" s="9"/>
      <c r="J106" s="99" t="str">
        <f>IF(YEAR(J$4)&gt;='Input|General'!$G$13,IF(YEAR(J$4)&lt;='Input|General'!$G$14,J$4,""),"")</f>
        <v/>
      </c>
      <c r="K106" s="99" t="str">
        <f>IF(YEAR(K$4)&gt;='Input|General'!$G$13,IF(YEAR(K$4)&lt;='Input|General'!$G$14,K$4,""),"")</f>
        <v/>
      </c>
      <c r="L106" s="99" t="str">
        <f>IF(YEAR(L$4)&gt;='Input|General'!$G$13,IF(YEAR(L$4)&lt;='Input|General'!$G$14,L$4,""),"")</f>
        <v/>
      </c>
      <c r="M106" s="99" t="str">
        <f>IF(YEAR(M$4)&gt;='Input|General'!$G$13,IF(YEAR(M$4)&lt;='Input|General'!$G$14,M$4,""),"")</f>
        <v/>
      </c>
      <c r="N106" s="99" t="str">
        <f>IF(YEAR(N$4)&gt;='Input|General'!$G$13,IF(YEAR(N$4)&lt;='Input|General'!$G$14,N$4,""),"")</f>
        <v/>
      </c>
      <c r="O106" s="99">
        <f>IF(YEAR(O$4)&gt;='Input|General'!$G$13,IF(YEAR(O$4)&lt;='Input|General'!$G$14,O$4,""),"")</f>
        <v>46539</v>
      </c>
      <c r="P106" s="99">
        <f>IF(YEAR(P$4)&gt;='Input|General'!$G$13,IF(YEAR(P$4)&lt;='Input|General'!$G$14,P$4,""),"")</f>
        <v>46905</v>
      </c>
      <c r="Q106" s="99">
        <f>IF(YEAR(Q$4)&gt;='Input|General'!$G$13,IF(YEAR(Q$4)&lt;='Input|General'!$G$14,Q$4,""),"")</f>
        <v>47270</v>
      </c>
      <c r="R106" s="99">
        <f>IF(YEAR(R$4)&gt;='Input|General'!$G$13,IF(YEAR(R$4)&lt;='Input|General'!$G$14,R$4,""),"")</f>
        <v>47635</v>
      </c>
      <c r="S106" s="99">
        <f>IF(YEAR(S$4)&gt;='Input|General'!$G$13,IF(YEAR(S$4)&lt;='Input|General'!$G$14,S$4,""),"")</f>
        <v>48000</v>
      </c>
      <c r="T106" s="99" t="str">
        <f>IF(YEAR(T$4)&gt;='Input|General'!$G$13,IF(YEAR(T$4)&lt;='Input|General'!$G$14,T$4,""),"")</f>
        <v/>
      </c>
    </row>
    <row r="107" spans="1:39" ht="10.5" outlineLevel="1">
      <c r="C107" s="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</row>
    <row r="108" spans="1:39" ht="10.5" outlineLevel="1">
      <c r="C108" s="77" t="s">
        <v>124</v>
      </c>
      <c r="D108" s="20" t="s">
        <v>30</v>
      </c>
      <c r="E108" s="20" t="str">
        <f>$E$8</f>
        <v>$millions</v>
      </c>
      <c r="F108" s="101">
        <f>$F$8</f>
        <v>46174</v>
      </c>
      <c r="J108" s="90" t="str">
        <f t="shared" ref="J108:T108" si="11">IF(YEAR(J$4)&gt;=FPFirstYear,IF(YEAR(J$4)&lt;=FPLastYear,IF(ISBLANK(J106),"",(1+J71)*SUM($J54:$S54)+J90),""),"")</f>
        <v/>
      </c>
      <c r="K108" s="90" t="str">
        <f t="shared" si="11"/>
        <v/>
      </c>
      <c r="L108" s="90" t="str">
        <f t="shared" si="11"/>
        <v/>
      </c>
      <c r="M108" s="90" t="str">
        <f t="shared" si="11"/>
        <v/>
      </c>
      <c r="N108" s="90" t="str">
        <f t="shared" si="11"/>
        <v/>
      </c>
      <c r="O108" s="90">
        <f t="shared" ca="1" si="11"/>
        <v>279.41543013173623</v>
      </c>
      <c r="P108" s="90">
        <f t="shared" ca="1" si="11"/>
        <v>283.75553521955493</v>
      </c>
      <c r="Q108" s="90">
        <f t="shared" ca="1" si="11"/>
        <v>287.07024723191637</v>
      </c>
      <c r="R108" s="90">
        <f t="shared" ca="1" si="11"/>
        <v>293.26732838852109</v>
      </c>
      <c r="S108" s="90">
        <f t="shared" ca="1" si="11"/>
        <v>299.15339622100873</v>
      </c>
      <c r="T108" s="90" t="str">
        <f t="shared" si="11"/>
        <v/>
      </c>
    </row>
    <row r="109" spans="1:39" ht="10.5" outlineLevel="1">
      <c r="C109" s="77" t="s">
        <v>100</v>
      </c>
      <c r="D109" s="20" t="s">
        <v>30</v>
      </c>
      <c r="E109" s="20" t="str">
        <f>$E$8</f>
        <v>$millions</v>
      </c>
      <c r="F109" s="101">
        <f>$F$8</f>
        <v>46174</v>
      </c>
      <c r="J109" s="90" t="str">
        <f t="shared" ref="J109:T109" si="12">IF(YEAR(J$4)&gt;=FPFirstYear,IF(YEAR(J$4)&lt;=FPLastYear,IF(ISBLANK(J106),"",(1+J71)*SUM($J54:$S54)+J90+J102),""),"")</f>
        <v/>
      </c>
      <c r="K109" s="90" t="str">
        <f t="shared" si="12"/>
        <v/>
      </c>
      <c r="L109" s="90" t="str">
        <f t="shared" si="12"/>
        <v/>
      </c>
      <c r="M109" s="90" t="str">
        <f t="shared" si="12"/>
        <v/>
      </c>
      <c r="N109" s="90" t="str">
        <f t="shared" si="12"/>
        <v/>
      </c>
      <c r="O109" s="90">
        <f t="shared" ca="1" si="12"/>
        <v>288.55636680370355</v>
      </c>
      <c r="P109" s="90">
        <f t="shared" ca="1" si="12"/>
        <v>292.82705578975271</v>
      </c>
      <c r="Q109" s="90">
        <f t="shared" ca="1" si="12"/>
        <v>296.23588480242773</v>
      </c>
      <c r="R109" s="90">
        <f t="shared" ca="1" si="12"/>
        <v>302.46944189710143</v>
      </c>
      <c r="S109" s="90">
        <f t="shared" ca="1" si="12"/>
        <v>308.48156330894312</v>
      </c>
      <c r="T109" s="90" t="str">
        <f t="shared" si="12"/>
        <v/>
      </c>
    </row>
    <row r="110" spans="1:39" ht="10.5" outlineLevel="1">
      <c r="C110" s="77" t="s">
        <v>101</v>
      </c>
      <c r="D110" s="20" t="s">
        <v>30</v>
      </c>
      <c r="E110" s="20" t="str">
        <f>$E$8</f>
        <v>$millions</v>
      </c>
      <c r="F110" s="101">
        <f>$F$8</f>
        <v>46174</v>
      </c>
      <c r="J110" s="90" t="str">
        <f>IF(YEAR(J$4)&gt;=FPFirstYear,IF(YEAR(J$4)&lt;=FPLastYear,J109+'Input|Step changes'!J43,""),"")</f>
        <v/>
      </c>
      <c r="K110" s="90" t="str">
        <f>IF(YEAR(K$4)&gt;=FPFirstYear,IF(YEAR(K$4)&lt;=FPLastYear,K109+'Input|Step changes'!K43,""),"")</f>
        <v/>
      </c>
      <c r="L110" s="90" t="str">
        <f>IF(YEAR(L$4)&gt;=FPFirstYear,IF(YEAR(L$4)&lt;=FPLastYear,L109+'Input|Step changes'!L43,""),"")</f>
        <v/>
      </c>
      <c r="M110" s="90" t="str">
        <f>IF(YEAR(M$4)&gt;=FPFirstYear,IF(YEAR(M$4)&lt;=FPLastYear,M109+'Input|Step changes'!M43,""),"")</f>
        <v/>
      </c>
      <c r="N110" s="90" t="str">
        <f>IF(YEAR(N$4)&gt;=FPFirstYear,IF(YEAR(N$4)&lt;=FPLastYear,N109+'Input|Step changes'!N43,""),"")</f>
        <v/>
      </c>
      <c r="O110" s="90">
        <f ca="1">IF(YEAR(O$4)&gt;=FPFirstYear,IF(YEAR(O$4)&lt;=FPLastYear,O109+'Input|Step changes'!O43,""),"")</f>
        <v>291.65516377317999</v>
      </c>
      <c r="P110" s="90">
        <f ca="1">IF(YEAR(P$4)&gt;=FPFirstYear,IF(YEAR(P$4)&lt;=FPLastYear,P109+'Input|Step changes'!P43,""),"")</f>
        <v>295.94530464497865</v>
      </c>
      <c r="Q110" s="90">
        <f ca="1">IF(YEAR(Q$4)&gt;=FPFirstYear,IF(YEAR(Q$4)&lt;=FPLastYear,Q109+'Input|Step changes'!Q43,""),"")</f>
        <v>299.37519628698902</v>
      </c>
      <c r="R110" s="90">
        <f ca="1">IF(YEAR(R$4)&gt;=FPFirstYear,IF(YEAR(R$4)&lt;=FPLastYear,R109+'Input|Step changes'!R43,""),"")</f>
        <v>305.62039619872928</v>
      </c>
      <c r="S110" s="90">
        <f ca="1">IF(YEAR(S$4)&gt;=FPFirstYear,IF(YEAR(S$4)&lt;=FPLastYear,S109+'Input|Step changes'!S43,""),"")</f>
        <v>311.64065361499854</v>
      </c>
      <c r="T110" s="90" t="str">
        <f>IF(YEAR(T$4)&gt;=FPFirstYear,IF(YEAR(T$4)&lt;=FPLastYear,T109+'Input|Step changes'!T43,""),"")</f>
        <v/>
      </c>
    </row>
    <row r="111" spans="1:39" ht="10.5">
      <c r="C111" s="77"/>
      <c r="J111" s="64"/>
      <c r="K111" s="64"/>
      <c r="L111" s="64"/>
      <c r="M111" s="64"/>
      <c r="N111" s="22"/>
      <c r="O111" s="22"/>
      <c r="P111" s="22"/>
      <c r="Q111" s="22"/>
      <c r="R111" s="22"/>
      <c r="S111" s="22"/>
      <c r="T111" s="22"/>
    </row>
    <row r="112" spans="1:39" customFormat="1" ht="13">
      <c r="A112" s="32"/>
      <c r="B112" s="38" t="s">
        <v>21</v>
      </c>
      <c r="C112" s="32"/>
      <c r="D112" s="32"/>
      <c r="E112" s="32"/>
      <c r="F112" s="33"/>
      <c r="G112" s="33"/>
      <c r="H112" s="33"/>
      <c r="I112" s="33"/>
      <c r="J112" s="34"/>
      <c r="K112" s="35"/>
      <c r="L112" s="34"/>
      <c r="M112" s="35"/>
      <c r="N112" s="34"/>
      <c r="O112" s="34"/>
      <c r="P112" s="34"/>
      <c r="Q112" s="34"/>
      <c r="R112" s="34"/>
      <c r="S112" s="34"/>
      <c r="T112" s="34"/>
      <c r="U112" s="34"/>
      <c r="V112" s="34"/>
      <c r="W112" s="35"/>
      <c r="X112" s="35"/>
      <c r="Y112" s="36"/>
      <c r="Z112" s="36"/>
      <c r="AA112" s="36"/>
      <c r="AB112" s="36"/>
      <c r="AC112" s="36"/>
      <c r="AD112" s="37"/>
      <c r="AE112" s="37"/>
    </row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  <row r="197" s="8" customFormat="1" hidden="1"/>
  </sheetData>
  <mergeCells count="1">
    <mergeCell ref="N3:S3"/>
  </mergeCells>
  <conditionalFormatting sqref="J10:T10">
    <cfRule type="expression" dxfId="47" priority="28">
      <formula>J$10=J$4</formula>
    </cfRule>
  </conditionalFormatting>
  <conditionalFormatting sqref="J12:T24">
    <cfRule type="cellIs" dxfId="46" priority="9" operator="equal">
      <formula>0</formula>
    </cfRule>
  </conditionalFormatting>
  <conditionalFormatting sqref="J25:T25">
    <cfRule type="expression" dxfId="45" priority="27">
      <formula>J$10=J$4</formula>
    </cfRule>
  </conditionalFormatting>
  <conditionalFormatting sqref="J26:T54">
    <cfRule type="cellIs" dxfId="44" priority="1" operator="equal">
      <formula>0</formula>
    </cfRule>
  </conditionalFormatting>
  <conditionalFormatting sqref="J54:T54">
    <cfRule type="expression" dxfId="43" priority="26">
      <formula>J$10=J$4</formula>
    </cfRule>
  </conditionalFormatting>
  <conditionalFormatting sqref="J58:T58 J75:T75 J94:T94">
    <cfRule type="expression" dxfId="42" priority="118">
      <formula>J$58=J$4</formula>
    </cfRule>
  </conditionalFormatting>
  <conditionalFormatting sqref="J61:T68">
    <cfRule type="cellIs" dxfId="41" priority="100" operator="equal">
      <formula>0</formula>
    </cfRule>
  </conditionalFormatting>
  <conditionalFormatting sqref="J70:T70">
    <cfRule type="expression" dxfId="40" priority="112">
      <formula>J$58=J$4</formula>
    </cfRule>
  </conditionalFormatting>
  <conditionalFormatting sqref="J70:T71">
    <cfRule type="cellIs" dxfId="39" priority="19" operator="equal">
      <formula>0</formula>
    </cfRule>
  </conditionalFormatting>
  <conditionalFormatting sqref="J77:T88 J96:T102">
    <cfRule type="cellIs" dxfId="38" priority="98" operator="equal">
      <formula>0</formula>
    </cfRule>
  </conditionalFormatting>
  <conditionalFormatting sqref="J90:T90">
    <cfRule type="expression" dxfId="37" priority="116">
      <formula>J$75=J$4</formula>
    </cfRule>
    <cfRule type="cellIs" dxfId="36" priority="117" operator="equal">
      <formula>0</formula>
    </cfRule>
  </conditionalFormatting>
  <conditionalFormatting sqref="J102:T102">
    <cfRule type="expression" dxfId="35" priority="114">
      <formula>J$94=J$4</formula>
    </cfRule>
  </conditionalFormatting>
  <conditionalFormatting sqref="J106:T106">
    <cfRule type="expression" dxfId="34" priority="121">
      <formula>J$106=J$4</formula>
    </cfRule>
  </conditionalFormatting>
  <conditionalFormatting sqref="J108:T110">
    <cfRule type="cellIs" dxfId="33" priority="29" operator="equal">
      <formula>0</formula>
    </cfRule>
  </conditionalFormatting>
  <conditionalFormatting sqref="S1:T1">
    <cfRule type="cellIs" dxfId="32" priority="107" operator="equal">
      <formula>"Check"</formula>
    </cfRule>
    <cfRule type="cellIs" dxfId="31" priority="108" operator="equal">
      <formula>"Ok"</formula>
    </cfRule>
  </conditionalFormatting>
  <conditionalFormatting sqref="W1">
    <cfRule type="cellIs" dxfId="30" priority="109" operator="equal">
      <formula>"Check"</formula>
    </cfRule>
    <cfRule type="cellIs" dxfId="29" priority="110" operator="equal">
      <formula>"Ok"</formula>
    </cfRule>
  </conditionalFormatting>
  <dataValidations disablePrompts="1" count="3">
    <dataValidation type="list" allowBlank="1" showInputMessage="1" showErrorMessage="1" sqref="F103 F91 F111" xr:uid="{00000000-0002-0000-0700-000000000000}">
      <formula1>"Real 2010,Real 2011,Real 2012,Real 2013,Real 2014,Real 2015,Nominal"</formula1>
    </dataValidation>
    <dataValidation type="list" allowBlank="1" showInputMessage="1" showErrorMessage="1" sqref="F89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topLeftCell="C1" workbookViewId="0">
      <selection activeCell="T18" sqref="T18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190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22"/>
      <c r="O3" s="222"/>
      <c r="P3" s="222"/>
      <c r="Q3" s="222"/>
      <c r="R3" s="222"/>
      <c r="S3" s="222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44713</v>
      </c>
      <c r="K4" s="94">
        <f>DATE(PPFirstYear+1,MONTH('Input|General'!$G$9),1)</f>
        <v>45078</v>
      </c>
      <c r="L4" s="94">
        <f>DATE(PPFirstYear+2,MONTH('Input|General'!$G$9),1)</f>
        <v>45444</v>
      </c>
      <c r="M4" s="94">
        <f>DATE(PPFirstYear+3,MONTH('Input|General'!$G$9),1)</f>
        <v>45809</v>
      </c>
      <c r="N4" s="94">
        <f>DATE(PPFirstYear+4,MONTH('Input|General'!$G$9),1)</f>
        <v>46174</v>
      </c>
      <c r="O4" s="94">
        <f>DATE(PPFirstYear+5,MONTH('Input|General'!$G$9),1)</f>
        <v>46539</v>
      </c>
      <c r="P4" s="94">
        <f>DATE(PPFirstYear+6,MONTH('Input|General'!$G$9),1)</f>
        <v>46905</v>
      </c>
      <c r="Q4" s="94">
        <f>DATE(PPFirstYear+7,MONTH('Input|General'!$G$9),1)</f>
        <v>47270</v>
      </c>
      <c r="R4" s="94">
        <f>DATE(PPFirstYear+8,MONTH('Input|General'!$G$9),1)</f>
        <v>47635</v>
      </c>
      <c r="S4" s="94">
        <f>DATE(PPFirstYear+9,MONTH('Input|General'!$G$9),1)</f>
        <v>48000</v>
      </c>
      <c r="T4" s="94">
        <f>DATE(PPFirstYear+10,MONTH('Input|General'!$G$9),1)</f>
        <v>48366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46174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46539</v>
      </c>
      <c r="P11" s="99">
        <f>IF(YEAR(P$4)&gt;='Input|General'!$G$13,IF(YEAR(P$4)&lt;='Input|General'!$G$14,P$4,""),"")</f>
        <v>46905</v>
      </c>
      <c r="Q11" s="99">
        <f>IF(YEAR(Q$4)&gt;='Input|General'!$G$13,IF(YEAR(Q$4)&lt;='Input|General'!$G$14,Q$4,""),"")</f>
        <v>47270</v>
      </c>
      <c r="R11" s="99">
        <f>IF(YEAR(R$4)&gt;='Input|General'!$G$13,IF(YEAR(R$4)&lt;='Input|General'!$G$14,R$4,""),"")</f>
        <v>47635</v>
      </c>
      <c r="S11" s="99">
        <f>IF(YEAR(S$4)&gt;='Input|General'!$G$13,IF(YEAR(S$4)&lt;='Input|General'!$G$14,S$4,""),"")</f>
        <v>48000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forecast'!C108</f>
        <v>Total forecast opex, excluding category specific forecasts</v>
      </c>
      <c r="D13" s="24" t="s">
        <v>98</v>
      </c>
      <c r="E13" s="16" t="str">
        <f t="shared" ref="E13:E18" si="0">$E$8</f>
        <v>$millions</v>
      </c>
      <c r="F13" s="98">
        <f t="shared" ref="F13:F18" si="1">$F$8</f>
        <v>46174</v>
      </c>
      <c r="H13" s="20"/>
      <c r="I13" s="20"/>
      <c r="J13" s="104">
        <f>IF(J11="",0,'Calc|Opex forecast'!J108*INDEX('Input|Rate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0</v>
      </c>
      <c r="K13" s="104">
        <f>IF(K11="",0,'Calc|Opex forecast'!K108*INDEX('Input|Rate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0</v>
      </c>
      <c r="L13" s="104">
        <f>IF(L11="",0,'Calc|Opex forecast'!L108*INDEX('Input|Rate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0</v>
      </c>
      <c r="M13" s="104">
        <f>IF(M11="",0,'Calc|Opex forecast'!M108*INDEX('Input|Rate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0</v>
      </c>
      <c r="N13" s="104">
        <f>IF(N11="",0,'Calc|Opex forecast'!N108*INDEX('Input|Rate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0</v>
      </c>
      <c r="O13" s="104">
        <f ca="1">IF(O11="",0,'Calc|Opex forecast'!O108*INDEX('Input|Rate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279.41543013173623</v>
      </c>
      <c r="P13" s="104">
        <f ca="1">IF(P11="",0,'Calc|Opex forecast'!P108*INDEX('Input|Rate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283.75553521955493</v>
      </c>
      <c r="Q13" s="104">
        <f ca="1">IF(Q11="",0,'Calc|Opex forecast'!Q108*INDEX('Input|Rate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287.07024723191637</v>
      </c>
      <c r="R13" s="104">
        <f ca="1">IF(R11="",0,'Calc|Opex forecast'!R108*INDEX('Input|Rate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293.26732838852109</v>
      </c>
      <c r="S13" s="104">
        <f ca="1">IF(S11="",0,'Calc|Opex forecast'!S108*INDEX('Input|Rate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299.15339622100873</v>
      </c>
      <c r="T13" s="104">
        <f>IF(T11="",0,'Calc|Opex forecast'!T108*INDEX('Input|Rate of change'!$C$14:$P$22,MATCH('Calc|Opex forecast'!$F$108,'Input|Rate of change'!$C$14:$C$22,0),MATCH('Output|Models'!$F13,'Input|Rate of change'!$C$14:$P$14,0))*IF('Calc|Opex forecast'!$E$108="$millions",1000000,IF('Calc|Opex forecast'!$E$108="$000",1000,1))/IF($E13="$millions",1000000,IF($E13="$000",1000,1)))</f>
        <v>0</v>
      </c>
      <c r="U13" s="15"/>
      <c r="V13" s="91"/>
    </row>
    <row r="14" spans="1:27">
      <c r="C14" s="15" t="str">
        <f>'Input|Step changes'!C31</f>
        <v>GSL payments</v>
      </c>
      <c r="D14" s="24" t="s">
        <v>98</v>
      </c>
      <c r="E14" s="16" t="str">
        <f t="shared" si="0"/>
        <v>$millions</v>
      </c>
      <c r="F14" s="98">
        <f t="shared" si="1"/>
        <v>46174</v>
      </c>
      <c r="H14" s="20"/>
      <c r="I14" s="20"/>
      <c r="J14" s="104">
        <f>IF(J$11="",0,'Calc|Opex forecast'!J96*INDEX('Input|Rate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0</v>
      </c>
      <c r="K14" s="104">
        <f>IF(K$11="",0,'Calc|Opex forecast'!K96*INDEX('Input|Rate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0</v>
      </c>
      <c r="L14" s="104">
        <f>IF(L$11="",0,'Calc|Opex forecast'!L96*INDEX('Input|Rate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0</v>
      </c>
      <c r="M14" s="104">
        <f>IF(M$11="",0,'Calc|Opex forecast'!M96*INDEX('Input|Rate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0</v>
      </c>
      <c r="N14" s="104">
        <f>IF(N$11="",0,'Calc|Opex forecast'!N96*INDEX('Input|Rate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0</v>
      </c>
      <c r="O14" s="104">
        <f>IF(O$11="",0,'Calc|Opex forecast'!O96*INDEX('Input|Rate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9.1409366719673031</v>
      </c>
      <c r="P14" s="104">
        <f>IF(P$11="",0,'Calc|Opex forecast'!P96*INDEX('Input|Rate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8.9136394102554295</v>
      </c>
      <c r="Q14" s="104">
        <f>IF(Q$11="",0,'Calc|Opex forecast'!Q96*INDEX('Input|Rate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8.6919940906842488</v>
      </c>
      <c r="R14" s="104">
        <f>IF(R$11="",0,'Calc|Opex forecast'!R96*INDEX('Input|Rate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8.4758601728454828</v>
      </c>
      <c r="S14" s="104">
        <f>IF(S$11="",0,'Calc|Opex forecast'!S96*INDEX('Input|Rate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8.2651006109891281</v>
      </c>
      <c r="T14" s="104">
        <f>IF(T$11="",0,'Calc|Opex forecast'!T96*INDEX('Input|Rate of change'!$C$14:$P$22,MATCH('Calc|Opex forecast'!$F96,'Input|Rate of change'!$C$14:$C$22,0),MATCH('Output|Models'!$F14,'Input|Rate of change'!$C$14:$P$14,0))*IF('Calc|Opex forecast'!$E96="$millions",1000000,IF('Calc|Opex forecast'!$E96="$000",1000,1))/IF($E14="$millions",1000000,IF($E14="$000",1000,1)))</f>
        <v>0</v>
      </c>
      <c r="U14" s="15"/>
      <c r="V14" s="91"/>
    </row>
    <row r="15" spans="1:27">
      <c r="C15" s="15" t="str">
        <f>'Input|Step changes'!C32</f>
        <v>Innovation fund</v>
      </c>
      <c r="D15" s="24" t="s">
        <v>98</v>
      </c>
      <c r="E15" s="16" t="str">
        <f t="shared" si="0"/>
        <v>$millions</v>
      </c>
      <c r="F15" s="98">
        <f t="shared" si="1"/>
        <v>46174</v>
      </c>
      <c r="H15" s="20"/>
      <c r="I15" s="20"/>
      <c r="J15" s="104">
        <f>IF(J$11="",0,'Calc|Opex forecast'!J97*INDEX('Input|Rate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K15" s="104">
        <f>IF(K$11="",0,'Calc|Opex forecast'!K97*INDEX('Input|Rate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L15" s="104">
        <f>IF(L$11="",0,'Calc|Opex forecast'!L97*INDEX('Input|Rate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M15" s="104">
        <f>IF(M$11="",0,'Calc|Opex forecast'!M97*INDEX('Input|Rate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N15" s="104">
        <f>IF(N$11="",0,'Calc|Opex forecast'!N97*INDEX('Input|Rate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O15" s="104">
        <f>IF(O$11="",0,'Calc|Opex forecast'!O97*INDEX('Input|Rate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P15" s="104">
        <f>IF(P$11="",0,'Calc|Opex forecast'!P97*INDEX('Input|Rate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0.1578811599423631</v>
      </c>
      <c r="Q15" s="104">
        <f>IF(Q$11="",0,'Calc|Opex forecast'!Q97*INDEX('Input|Rate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0.47364347982708932</v>
      </c>
      <c r="R15" s="104">
        <f>IF(R$11="",0,'Calc|Opex forecast'!R97*INDEX('Input|Rate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0.72625333573487016</v>
      </c>
      <c r="S15" s="104">
        <f>IF(S$11="",0,'Calc|Opex forecast'!S97*INDEX('Input|Rate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1.0630664769452449</v>
      </c>
      <c r="T15" s="104">
        <f>IF(T$11="",0,'Calc|Opex forecast'!T97*INDEX('Input|Rate of change'!$C$14:$P$22,MATCH('Calc|Opex forecast'!$F97,'Input|Rate of change'!$C$14:$C$22,0),MATCH('Output|Models'!$F15,'Input|Rate of change'!$C$14:$P$14,0))*IF('Calc|Opex forecast'!$E97="$millions",1000000,IF('Calc|Opex forecast'!$E97="$000",1000,1))/IF($E15="$millions",1000000,IF($E15="$000",1000,1)))</f>
        <v>0</v>
      </c>
      <c r="U15" s="15"/>
      <c r="V15" s="91"/>
    </row>
    <row r="16" spans="1:27">
      <c r="C16" s="15">
        <f>'Input|Step changes'!C33</f>
        <v>0</v>
      </c>
      <c r="D16" s="24" t="s">
        <v>98</v>
      </c>
      <c r="E16" s="16" t="str">
        <f t="shared" si="0"/>
        <v>$millions</v>
      </c>
      <c r="F16" s="98">
        <f t="shared" si="1"/>
        <v>46174</v>
      </c>
      <c r="H16" s="20"/>
      <c r="I16" s="20"/>
      <c r="J16" s="104">
        <f>IF(J$11="",0,'Calc|Opex forecast'!J98*INDEX('Input|Rate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K16" s="104">
        <f>IF(K$11="",0,'Calc|Opex forecast'!K98*INDEX('Input|Rate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L16" s="104">
        <f>IF(L$11="",0,'Calc|Opex forecast'!L98*INDEX('Input|Rate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M16" s="104">
        <f>IF(M$11="",0,'Calc|Opex forecast'!M98*INDEX('Input|Rate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N16" s="104">
        <f>IF(N$11="",0,'Calc|Opex forecast'!N98*INDEX('Input|Rate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O16" s="104">
        <f>IF(O$11="",0,'Calc|Opex forecast'!O98*INDEX('Input|Rate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P16" s="104">
        <f>IF(P$11="",0,'Calc|Opex forecast'!P98*INDEX('Input|Rate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Q16" s="104">
        <f>IF(Q$11="",0,'Calc|Opex forecast'!Q98*INDEX('Input|Rate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R16" s="104">
        <f>IF(R$11="",0,'Calc|Opex forecast'!R98*INDEX('Input|Rate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S16" s="104">
        <f>IF(S$11="",0,'Calc|Opex forecast'!S98*INDEX('Input|Rate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T16" s="104">
        <f>IF(T$11="",0,'Calc|Opex forecast'!T98*INDEX('Input|Rate of change'!$C$14:$P$22,MATCH('Calc|Opex forecast'!$F98,'Input|Rate of change'!$C$14:$C$22,0),MATCH('Output|Models'!$F16,'Input|Rate of change'!$C$14:$P$14,0))*IF('Calc|Opex forecast'!$E98="$millions",1000000,IF('Calc|Opex forecast'!$E98="$000",1000,1))/IF($E16="$millions",1000000,IF($E16="$000",1000,1)))</f>
        <v>0</v>
      </c>
      <c r="U16" s="15"/>
      <c r="V16" s="91"/>
    </row>
    <row r="17" spans="1:24">
      <c r="C17" s="15">
        <f>'Input|Step changes'!C34</f>
        <v>0</v>
      </c>
      <c r="D17" s="24" t="s">
        <v>98</v>
      </c>
      <c r="E17" s="16" t="str">
        <f t="shared" si="0"/>
        <v>$millions</v>
      </c>
      <c r="F17" s="98">
        <f t="shared" si="1"/>
        <v>46174</v>
      </c>
      <c r="H17" s="20"/>
      <c r="I17" s="20"/>
      <c r="J17" s="104">
        <f>IF(J$11="",0,'Calc|Opex forecast'!J99*INDEX('Input|Rate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K17" s="104">
        <f>IF(K$11="",0,'Calc|Opex forecast'!K99*INDEX('Input|Rate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L17" s="104">
        <f>IF(L$11="",0,'Calc|Opex forecast'!L99*INDEX('Input|Rate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M17" s="104">
        <f>IF(M$11="",0,'Calc|Opex forecast'!M99*INDEX('Input|Rate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N17" s="104">
        <f>IF(N$11="",0,'Calc|Opex forecast'!N99*INDEX('Input|Rate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O17" s="104">
        <f>IF(O$11="",0,'Calc|Opex forecast'!O99*INDEX('Input|Rate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P17" s="104">
        <f>IF(P$11="",0,'Calc|Opex forecast'!P99*INDEX('Input|Rate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Q17" s="104">
        <f>IF(Q$11="",0,'Calc|Opex forecast'!Q99*INDEX('Input|Rate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R17" s="104">
        <f>IF(R$11="",0,'Calc|Opex forecast'!R99*INDEX('Input|Rate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S17" s="104">
        <f>IF(S$11="",0,'Calc|Opex forecast'!S99*INDEX('Input|Rate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T17" s="104">
        <f>IF(T$11="",0,'Calc|Opex forecast'!T99*INDEX('Input|Rate of change'!$C$14:$P$22,MATCH('Calc|Opex forecast'!$F99,'Input|Rate of change'!$C$14:$C$22,0),MATCH('Output|Models'!$F17,'Input|Rate of change'!$C$14:$P$14,0))*IF('Calc|Opex forecast'!$E99="$millions",1000000,IF('Calc|Opex forecast'!$E99="$000",1000,1))/IF($E17="$millions",1000000,IF($E17="$000",1000,1)))</f>
        <v>0</v>
      </c>
      <c r="U17" s="15"/>
      <c r="V17" s="112"/>
    </row>
    <row r="18" spans="1:24">
      <c r="C18" s="15">
        <f>'Input|Step changes'!C35</f>
        <v>0</v>
      </c>
      <c r="D18" s="24" t="s">
        <v>98</v>
      </c>
      <c r="E18" s="16" t="str">
        <f t="shared" si="0"/>
        <v>$millions</v>
      </c>
      <c r="F18" s="98">
        <f t="shared" si="1"/>
        <v>46174</v>
      </c>
      <c r="H18" s="20"/>
      <c r="I18" s="20"/>
      <c r="J18" s="104">
        <f>IF(J$11="",0,'Calc|Opex forecast'!J100*INDEX('Input|Rate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K18" s="104">
        <f>IF(K$11="",0,'Calc|Opex forecast'!K100*INDEX('Input|Rate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L18" s="104">
        <f>IF(L$11="",0,'Calc|Opex forecast'!L100*INDEX('Input|Rate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M18" s="104">
        <f>IF(M$11="",0,'Calc|Opex forecast'!M100*INDEX('Input|Rate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N18" s="104">
        <f>IF(N$11="",0,'Calc|Opex forecast'!N100*INDEX('Input|Rate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O18" s="104">
        <f>IF(O$11="",0,'Calc|Opex forecast'!O100*INDEX('Input|Rate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P18" s="104">
        <f>IF(P$11="",0,'Calc|Opex forecast'!P100*INDEX('Input|Rate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Q18" s="104">
        <f>IF(Q$11="",0,'Calc|Opex forecast'!Q100*INDEX('Input|Rate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R18" s="104">
        <f>IF(R$11="",0,'Calc|Opex forecast'!R100*INDEX('Input|Rate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S18" s="104">
        <f>IF(S$11="",0,'Calc|Opex forecast'!S100*INDEX('Input|Rate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T18" s="104">
        <f>IF(T$11="",0,'Calc|Opex forecast'!T100*INDEX('Input|Rate of change'!$C$14:$P$22,MATCH('Calc|Opex forecast'!$F100,'Input|Rate of change'!$C$14:$C$22,0),MATCH('Output|Models'!$F18,'Input|Rate of change'!$C$14:$P$14,0))*IF('Calc|Opex forecast'!$E100="$millions",1000000,IF('Calc|Opex forecast'!$E100="$000",1000,1))/IF($E18="$millions",1000000,IF($E18="$000",1000,1)))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28" priority="7">
      <formula>J$11=J$4</formula>
    </cfRule>
  </conditionalFormatting>
  <conditionalFormatting sqref="J13:T18">
    <cfRule type="expression" dxfId="27" priority="3">
      <formula>AND($C13=0,J$11=J$4)</formula>
    </cfRule>
    <cfRule type="expression" dxfId="26" priority="4">
      <formula>NOT(J$11=J$4)</formula>
    </cfRule>
    <cfRule type="expression" dxfId="25" priority="5">
      <formula>J$11=J$4</formula>
    </cfRule>
  </conditionalFormatting>
  <conditionalFormatting sqref="S1:T1">
    <cfRule type="cellIs" dxfId="24" priority="1" operator="equal">
      <formula>"Check"</formula>
    </cfRule>
    <cfRule type="cellIs" dxfId="23" priority="2" operator="equal">
      <formula>"Ok"</formula>
    </cfRule>
  </conditionalFormatting>
  <conditionalFormatting sqref="W1">
    <cfRule type="cellIs" dxfId="22" priority="13" operator="equal">
      <formula>"Check"</formula>
    </cfRule>
    <cfRule type="cellIs" dxfId="21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6F8D-12DF-4579-BCB0-0DA8568FD2E6}">
  <sheetPr codeName="Sheet15">
    <tabColor theme="3" tint="0.59999389629810485"/>
  </sheetPr>
  <dimension ref="A1:BG31"/>
  <sheetViews>
    <sheetView workbookViewId="0">
      <selection activeCell="N17" sqref="N17"/>
    </sheetView>
  </sheetViews>
  <sheetFormatPr defaultColWidth="0" defaultRowHeight="11.25" customHeight="1" zeroHeight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13" width="11" hidden="1" customWidth="1"/>
    <col min="14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v2.4</v>
      </c>
      <c r="C1" s="25"/>
      <c r="D1" s="25"/>
      <c r="E1" s="25"/>
      <c r="F1" s="26"/>
      <c r="G1" s="26"/>
      <c r="H1" s="26"/>
      <c r="I1" s="189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190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246</v>
      </c>
      <c r="C2" s="41"/>
      <c r="D2" s="41"/>
      <c r="E2" s="41"/>
      <c r="F2" s="206"/>
      <c r="G2" s="206"/>
      <c r="H2" s="206"/>
      <c r="I2" s="100" t="s">
        <v>109</v>
      </c>
      <c r="J2" s="100"/>
      <c r="K2" s="100"/>
      <c r="L2" s="206"/>
      <c r="M2" s="222"/>
      <c r="N2" s="222"/>
      <c r="O2" s="222"/>
      <c r="P2" s="222"/>
      <c r="Q2" s="222"/>
      <c r="R2" s="222"/>
      <c r="S2" s="206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v>44713</v>
      </c>
      <c r="J3" s="94">
        <v>45078</v>
      </c>
      <c r="K3" s="94">
        <v>45444</v>
      </c>
      <c r="L3" s="94">
        <v>45809</v>
      </c>
      <c r="M3" s="94">
        <v>46174</v>
      </c>
      <c r="N3" s="94">
        <v>46539</v>
      </c>
      <c r="O3" s="94">
        <v>46905</v>
      </c>
      <c r="P3" s="94">
        <v>47270</v>
      </c>
      <c r="Q3" s="94">
        <v>47635</v>
      </c>
      <c r="R3" s="94">
        <v>48000</v>
      </c>
      <c r="S3" s="94">
        <v>48366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247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207"/>
      <c r="B8" s="207"/>
      <c r="C8" s="207"/>
      <c r="D8" s="207"/>
      <c r="E8" s="207"/>
      <c r="F8" s="16"/>
      <c r="G8" s="16"/>
      <c r="H8" s="16"/>
      <c r="I8" s="208"/>
      <c r="J8" s="207"/>
      <c r="K8" s="207"/>
      <c r="L8" s="207"/>
      <c r="M8" s="207"/>
      <c r="N8" s="208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</row>
    <row r="9" spans="1:39" ht="14.5">
      <c r="A9" s="207"/>
      <c r="B9" s="207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forecast'!J106</f>
        <v/>
      </c>
      <c r="J9" s="99" t="str">
        <f>'Calc|Opex forecast'!K106</f>
        <v/>
      </c>
      <c r="K9" s="99" t="str">
        <f>'Calc|Opex forecast'!L106</f>
        <v/>
      </c>
      <c r="L9" s="99" t="str">
        <f>'Calc|Opex forecast'!M106</f>
        <v/>
      </c>
      <c r="M9" s="99" t="str">
        <f>'Calc|Opex forecast'!N106</f>
        <v/>
      </c>
      <c r="N9" s="99">
        <f>'Calc|Opex forecast'!O106</f>
        <v>46539</v>
      </c>
      <c r="O9" s="99">
        <f>'Calc|Opex forecast'!P106</f>
        <v>46905</v>
      </c>
      <c r="P9" s="99">
        <f>'Calc|Opex forecast'!Q106</f>
        <v>47270</v>
      </c>
      <c r="Q9" s="99">
        <f>'Calc|Opex forecast'!R106</f>
        <v>47635</v>
      </c>
      <c r="R9" s="99">
        <f>'Calc|Opex forecast'!S106</f>
        <v>48000</v>
      </c>
      <c r="S9" s="99" t="str">
        <f>'Calc|Opex forecast'!T106</f>
        <v/>
      </c>
      <c r="T9" s="209"/>
      <c r="U9" s="99" t="s">
        <v>248</v>
      </c>
      <c r="V9" s="207"/>
      <c r="W9" s="207"/>
      <c r="X9" s="210" t="s">
        <v>249</v>
      </c>
      <c r="Y9" s="210" t="s">
        <v>250</v>
      </c>
      <c r="Z9" s="210" t="s">
        <v>251</v>
      </c>
      <c r="AA9" s="210" t="s">
        <v>252</v>
      </c>
      <c r="AB9" s="209"/>
      <c r="AC9" s="209"/>
      <c r="AD9" s="209"/>
      <c r="AE9" s="207"/>
      <c r="AF9" s="207"/>
      <c r="AG9" s="207"/>
      <c r="AH9" s="207"/>
      <c r="AI9" s="207"/>
      <c r="AJ9" s="207"/>
      <c r="AK9" s="207"/>
      <c r="AL9" s="207"/>
      <c r="AM9" s="207"/>
    </row>
    <row r="10" spans="1:39" ht="14.5">
      <c r="A10" s="207"/>
      <c r="B10" s="207"/>
      <c r="C10" s="16"/>
      <c r="D10" s="16"/>
      <c r="E10" s="16"/>
      <c r="F10" s="16"/>
      <c r="G10" s="16"/>
      <c r="H10" s="16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</row>
    <row r="11" spans="1:39" ht="14.5">
      <c r="A11" s="207"/>
      <c r="B11" s="15" t="s">
        <v>263</v>
      </c>
      <c r="C11" s="65" t="s">
        <v>253</v>
      </c>
      <c r="D11" s="16" t="str">
        <f>'Calc|Opex forecast'!$E$8</f>
        <v>$millions</v>
      </c>
      <c r="E11" s="98">
        <f>'Calc|Opex forecast'!$F$8</f>
        <v>46174</v>
      </c>
      <c r="F11" s="16"/>
      <c r="G11" s="16"/>
      <c r="H11" s="16"/>
      <c r="I11" s="66" t="str">
        <f>IF('Calc|Opex forecast'!J106='Calc|Opex forecast'!J4,SUM('Calc|Opex forecast'!$J$26:$S$26),"")</f>
        <v/>
      </c>
      <c r="J11" s="66" t="str">
        <f>IF('Calc|Opex forecast'!K106='Calc|Opex forecast'!K4,SUM('Calc|Opex forecast'!$J$26:$S$26),"")</f>
        <v/>
      </c>
      <c r="K11" s="66" t="str">
        <f>IF('Calc|Opex forecast'!L106='Calc|Opex forecast'!L4,SUM('Calc|Opex forecast'!$J$26:$S$26),"")</f>
        <v/>
      </c>
      <c r="L11" s="66" t="str">
        <f>IF('Calc|Opex forecast'!M106='Calc|Opex forecast'!M4,SUM('Calc|Opex forecast'!$J$26:$S$26),"")</f>
        <v/>
      </c>
      <c r="M11" s="66" t="str">
        <f>IF('Calc|Opex forecast'!N106='Calc|Opex forecast'!N4,SUM('Calc|Opex forecast'!$J$26:$S$26),"")</f>
        <v/>
      </c>
      <c r="N11" s="66">
        <f ca="1">IF('Calc|Opex forecast'!O106='Calc|Opex forecast'!O4,SUM('Calc|Opex forecast'!$J$26:$S$26),"")</f>
        <v>268.07103615562363</v>
      </c>
      <c r="O11" s="66">
        <f ca="1">IF('Calc|Opex forecast'!P106='Calc|Opex forecast'!P4,SUM('Calc|Opex forecast'!$J$26:$S$26),"")</f>
        <v>268.07103615562363</v>
      </c>
      <c r="P11" s="66">
        <f ca="1">IF('Calc|Opex forecast'!Q106='Calc|Opex forecast'!Q4,SUM('Calc|Opex forecast'!$J$26:$S$26),"")</f>
        <v>268.07103615562363</v>
      </c>
      <c r="Q11" s="66">
        <f ca="1">IF('Calc|Opex forecast'!R106='Calc|Opex forecast'!R4,SUM('Calc|Opex forecast'!$J$26:$S$26),"")</f>
        <v>268.07103615562363</v>
      </c>
      <c r="R11" s="66">
        <f ca="1">IF('Calc|Opex forecast'!S106='Calc|Opex forecast'!S4,SUM('Calc|Opex forecast'!$J$26:$S$26),"")</f>
        <v>268.07103615562363</v>
      </c>
      <c r="S11" s="66" t="str">
        <f>IF('Calc|Opex forecast'!T106='Calc|Opex forecast'!T4,SUM('Calc|Opex forecast'!$J$26:$S$26),"")</f>
        <v/>
      </c>
      <c r="T11" s="66"/>
      <c r="U11" s="70">
        <f ca="1">SUM(I11:S11)</f>
        <v>1340.3551807781182</v>
      </c>
      <c r="V11" s="211"/>
      <c r="W11" s="207"/>
      <c r="X11" s="66"/>
      <c r="Y11" s="66">
        <f ca="1">U11</f>
        <v>1340.3551807781182</v>
      </c>
      <c r="Z11" s="66"/>
      <c r="AA11" s="66"/>
      <c r="AB11" s="209"/>
      <c r="AC11" s="209"/>
      <c r="AD11" s="209"/>
      <c r="AE11" s="209"/>
      <c r="AF11" s="209"/>
      <c r="AG11" s="207"/>
      <c r="AH11" s="207"/>
      <c r="AI11" s="207"/>
      <c r="AJ11" s="207"/>
      <c r="AK11" s="207"/>
      <c r="AL11" s="207"/>
      <c r="AM11" s="207"/>
    </row>
    <row r="12" spans="1:39" ht="14.5">
      <c r="A12" s="207"/>
      <c r="B12" s="15" t="s">
        <v>84</v>
      </c>
      <c r="C12" s="65" t="s">
        <v>253</v>
      </c>
      <c r="D12" s="16" t="str">
        <f>'Calc|Opex forecast'!$E$8</f>
        <v>$millions</v>
      </c>
      <c r="E12" s="98">
        <f>'Calc|Opex forecast'!$F$8</f>
        <v>46174</v>
      </c>
      <c r="F12" s="16"/>
      <c r="G12" s="16"/>
      <c r="H12" s="16"/>
      <c r="I12" s="66" t="str">
        <f>IF('Calc|Opex forecast'!J106='Calc|Opex forecast'!J4,SUM('Calc|Opex forecast'!$J$52:$S$52),"")</f>
        <v/>
      </c>
      <c r="J12" s="66" t="str">
        <f>IF('Calc|Opex forecast'!K106='Calc|Opex forecast'!K4,SUM('Calc|Opex forecast'!$J$52:$S$52),"")</f>
        <v/>
      </c>
      <c r="K12" s="66" t="str">
        <f>IF('Calc|Opex forecast'!L106='Calc|Opex forecast'!L4,SUM('Calc|Opex forecast'!$J$52:$S$52),"")</f>
        <v/>
      </c>
      <c r="L12" s="66" t="str">
        <f>IF('Calc|Opex forecast'!M106='Calc|Opex forecast'!M4,SUM('Calc|Opex forecast'!$J$52:$S$52),"")</f>
        <v/>
      </c>
      <c r="M12" s="66" t="str">
        <f>IF('Calc|Opex forecast'!N106='Calc|Opex forecast'!N4,SUM('Calc|Opex forecast'!$J$52:$S$52),"")</f>
        <v/>
      </c>
      <c r="N12" s="66">
        <f ca="1">IF('Calc|Opex forecast'!O106='Calc|Opex forecast'!O4,SUM('Calc|Opex forecast'!$J$52:$S$52),"")</f>
        <v>0</v>
      </c>
      <c r="O12" s="66">
        <f ca="1">IF('Calc|Opex forecast'!P106='Calc|Opex forecast'!P4,SUM('Calc|Opex forecast'!$J$52:$S$52),"")</f>
        <v>0</v>
      </c>
      <c r="P12" s="66">
        <f ca="1">IF('Calc|Opex forecast'!Q106='Calc|Opex forecast'!Q4,SUM('Calc|Opex forecast'!$J$52:$S$52),"")</f>
        <v>0</v>
      </c>
      <c r="Q12" s="66">
        <f ca="1">IF('Calc|Opex forecast'!R106='Calc|Opex forecast'!R4,SUM('Calc|Opex forecast'!$J$52:$S$52),"")</f>
        <v>0</v>
      </c>
      <c r="R12" s="66">
        <f ca="1">IF('Calc|Opex forecast'!S106='Calc|Opex forecast'!S4,SUM('Calc|Opex forecast'!$J$52:$S$52),"")</f>
        <v>0</v>
      </c>
      <c r="S12" s="66" t="str">
        <f>IF('Calc|Opex forecast'!T106='Calc|Opex forecast'!T4,SUM('Calc|Opex forecast'!$J$52:$S$52),"")</f>
        <v/>
      </c>
      <c r="T12" s="66"/>
      <c r="U12" s="70">
        <f ca="1">SUM(I12:S12)</f>
        <v>0</v>
      </c>
      <c r="V12" s="211">
        <f t="shared" ref="V12:V22" ca="1" si="0">U12/($U$23-U12)</f>
        <v>0</v>
      </c>
      <c r="W12" s="207"/>
      <c r="X12" s="66">
        <f ca="1">SUM($U$11:$U11)-AA12</f>
        <v>1340.3551807781182</v>
      </c>
      <c r="Y12" s="66"/>
      <c r="Z12" s="66">
        <f ca="1">IF(U12&gt;0,U12,0)</f>
        <v>0</v>
      </c>
      <c r="AA12" s="66">
        <f ca="1">IF(U12&lt;0,-U12,0)</f>
        <v>0</v>
      </c>
      <c r="AB12" s="209"/>
      <c r="AC12" s="209"/>
      <c r="AD12" s="209"/>
      <c r="AE12" s="209"/>
      <c r="AF12" s="209"/>
      <c r="AG12" s="207"/>
      <c r="AH12" s="207"/>
      <c r="AI12" s="207"/>
      <c r="AJ12" s="207"/>
      <c r="AK12" s="207"/>
      <c r="AL12" s="207"/>
      <c r="AM12" s="207"/>
    </row>
    <row r="13" spans="1:39" ht="14.5">
      <c r="A13" s="207"/>
      <c r="B13" s="15" t="s">
        <v>254</v>
      </c>
      <c r="C13" s="65" t="s">
        <v>253</v>
      </c>
      <c r="D13" s="16" t="str">
        <f>'Calc|Opex forecast'!$E$8</f>
        <v>$millions</v>
      </c>
      <c r="E13" s="98">
        <f>'Calc|Opex forecast'!$F$8</f>
        <v>46174</v>
      </c>
      <c r="F13" s="16"/>
      <c r="G13" s="16"/>
      <c r="H13" s="16"/>
      <c r="I13" s="66" t="str">
        <f>IF('Calc|Opex forecast'!J106='Calc|Opex forecast'!J4,SUM('Calc|Opex forecast'!$J$29:$S$29),"")</f>
        <v/>
      </c>
      <c r="J13" s="66" t="str">
        <f>IF('Calc|Opex forecast'!K106='Calc|Opex forecast'!K4,SUM('Calc|Opex forecast'!$J$29:$S$29),"")</f>
        <v/>
      </c>
      <c r="K13" s="66" t="str">
        <f>IF('Calc|Opex forecast'!L106='Calc|Opex forecast'!L4,SUM('Calc|Opex forecast'!$J$29:$S$29),"")</f>
        <v/>
      </c>
      <c r="L13" s="66" t="str">
        <f>IF('Calc|Opex forecast'!M106='Calc|Opex forecast'!M4,SUM('Calc|Opex forecast'!$J$29:$S$29),"")</f>
        <v/>
      </c>
      <c r="M13" s="66" t="str">
        <f>IF('Calc|Opex forecast'!N106='Calc|Opex forecast'!N4,SUM('Calc|Opex forecast'!$J$29:$S$29),"")</f>
        <v/>
      </c>
      <c r="N13" s="66">
        <f>IF('Calc|Opex forecast'!O106='Calc|Opex forecast'!O4,SUM('Calc|Opex forecast'!$J$29:$S$29),"")</f>
        <v>4.686011577402617</v>
      </c>
      <c r="O13" s="66">
        <f>IF('Calc|Opex forecast'!P106='Calc|Opex forecast'!P4,SUM('Calc|Opex forecast'!$J$29:$S$29),"")</f>
        <v>4.686011577402617</v>
      </c>
      <c r="P13" s="66">
        <f>IF('Calc|Opex forecast'!Q106='Calc|Opex forecast'!Q4,SUM('Calc|Opex forecast'!$J$29:$S$29),"")</f>
        <v>4.686011577402617</v>
      </c>
      <c r="Q13" s="66">
        <f>IF('Calc|Opex forecast'!R106='Calc|Opex forecast'!R4,SUM('Calc|Opex forecast'!$J$29:$S$29),"")</f>
        <v>4.686011577402617</v>
      </c>
      <c r="R13" s="66">
        <f>IF('Calc|Opex forecast'!S106='Calc|Opex forecast'!S4,SUM('Calc|Opex forecast'!$J$29:$S$29),"")</f>
        <v>4.686011577402617</v>
      </c>
      <c r="S13" s="66" t="str">
        <f>IF('Calc|Opex forecast'!T106='Calc|Opex forecast'!T4,SUM('Calc|Opex forecast'!$J$29:$S$29),"")</f>
        <v/>
      </c>
      <c r="T13" s="66"/>
      <c r="U13" s="70">
        <f>SUM(I13:S13)</f>
        <v>23.430057887013085</v>
      </c>
      <c r="V13" s="211">
        <f t="shared" ca="1" si="0"/>
        <v>1.5822496327984797E-2</v>
      </c>
      <c r="W13" s="207"/>
      <c r="X13" s="66">
        <f ca="1">SUM($U$11:$U12)-AA13</f>
        <v>1340.3551807781182</v>
      </c>
      <c r="Y13" s="66"/>
      <c r="Z13" s="66">
        <f t="shared" ref="Z13:Z22" si="1">IF(U13&gt;0,U13,0)</f>
        <v>23.430057887013085</v>
      </c>
      <c r="AA13" s="66">
        <f t="shared" ref="AA13:AA22" si="2">IF(U13&lt;0,-U13,0)</f>
        <v>0</v>
      </c>
      <c r="AB13" s="209"/>
      <c r="AC13" s="209"/>
      <c r="AD13" s="209"/>
      <c r="AE13" s="209"/>
      <c r="AF13" s="209"/>
      <c r="AG13" s="207"/>
      <c r="AH13" s="207"/>
      <c r="AI13" s="207"/>
      <c r="AJ13" s="207"/>
      <c r="AK13" s="207"/>
      <c r="AL13" s="207"/>
      <c r="AM13" s="207"/>
    </row>
    <row r="14" spans="1:39" ht="14.5">
      <c r="A14" s="207"/>
      <c r="B14" s="15" t="s">
        <v>255</v>
      </c>
      <c r="C14" s="65" t="s">
        <v>253</v>
      </c>
      <c r="D14" s="16" t="str">
        <f>'Calc|Opex forecast'!$E$8</f>
        <v>$millions</v>
      </c>
      <c r="E14" s="98">
        <f>'Calc|Opex forecast'!$F$8</f>
        <v>46174</v>
      </c>
      <c r="F14" s="16"/>
      <c r="G14" s="16"/>
      <c r="H14" s="16"/>
      <c r="I14" s="66" t="str">
        <f>IF('Calc|Opex forecast'!J106='Calc|Opex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forecast'!K106='Calc|Opex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forecast'!L106='Calc|Opex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forecast'!M106='Calc|Opex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forecast'!N106='Calc|Opex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forecast'!O106='Calc|Opex forecast'!O4,SUM('Calc|Opex forecast'!$J$38:$S$38,'Calc|Opex forecast'!$J$41:$S$41,'Calc|Opex forecast'!$J$44:$S$44,'Calc|Opex forecast'!$J$47:$S$47,'Calc|Opex forecast'!$J$50:$S$50),"")</f>
        <v>2.5317542888747724</v>
      </c>
      <c r="O14" s="66">
        <f>IF('Calc|Opex forecast'!P106='Calc|Opex forecast'!P4,SUM('Calc|Opex forecast'!$J$38:$S$38,'Calc|Opex forecast'!$J$41:$S$41,'Calc|Opex forecast'!$J$44:$S$44,'Calc|Opex forecast'!$J$47:$S$47,'Calc|Opex forecast'!$J$50:$S$50),"")</f>
        <v>2.5317542888747724</v>
      </c>
      <c r="P14" s="66">
        <f>IF('Calc|Opex forecast'!Q106='Calc|Opex forecast'!Q4,SUM('Calc|Opex forecast'!$J$38:$S$38,'Calc|Opex forecast'!$J$41:$S$41,'Calc|Opex forecast'!$J$44:$S$44,'Calc|Opex forecast'!$J$47:$S$47,'Calc|Opex forecast'!$J$50:$S$50),"")</f>
        <v>2.5317542888747724</v>
      </c>
      <c r="Q14" s="66">
        <f>IF('Calc|Opex forecast'!R106='Calc|Opex forecast'!R4,SUM('Calc|Opex forecast'!$J$38:$S$38,'Calc|Opex forecast'!$J$41:$S$41,'Calc|Opex forecast'!$J$44:$S$44,'Calc|Opex forecast'!$J$47:$S$47,'Calc|Opex forecast'!$J$50:$S$50),"")</f>
        <v>2.5317542888747724</v>
      </c>
      <c r="R14" s="66">
        <f>IF('Calc|Opex forecast'!S106='Calc|Opex forecast'!S4,SUM('Calc|Opex forecast'!$J$38:$S$38,'Calc|Opex forecast'!$J$41:$S$41,'Calc|Opex forecast'!$J$44:$S$44,'Calc|Opex forecast'!$J$47:$S$47,'Calc|Opex forecast'!$J$50:$S$50),"")</f>
        <v>2.5317542888747724</v>
      </c>
      <c r="S14" s="66" t="str">
        <f>IF('Calc|Opex forecast'!T106='Calc|Opex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12.658771444373862</v>
      </c>
      <c r="V14" s="211">
        <f t="shared" ca="1" si="0"/>
        <v>8.4868320178301121E-3</v>
      </c>
      <c r="W14" s="207"/>
      <c r="X14" s="66">
        <f ca="1">SUM($U$11:$U13)-AA14</f>
        <v>1363.7852386651314</v>
      </c>
      <c r="Y14" s="66"/>
      <c r="Z14" s="66">
        <f t="shared" si="1"/>
        <v>12.658771444373862</v>
      </c>
      <c r="AA14" s="66">
        <f t="shared" si="2"/>
        <v>0</v>
      </c>
      <c r="AB14" s="209"/>
      <c r="AC14" s="209"/>
      <c r="AD14" s="209"/>
      <c r="AE14" s="209"/>
      <c r="AF14" s="209"/>
      <c r="AG14" s="207"/>
      <c r="AH14" s="207"/>
      <c r="AI14" s="207"/>
      <c r="AJ14" s="207"/>
      <c r="AK14" s="207"/>
      <c r="AL14" s="207"/>
      <c r="AM14" s="207"/>
    </row>
    <row r="15" spans="1:39" ht="14.5">
      <c r="A15" s="207"/>
      <c r="B15" s="15" t="s">
        <v>264</v>
      </c>
      <c r="C15" s="65" t="s">
        <v>253</v>
      </c>
      <c r="D15" s="16" t="str">
        <f>'Calc|Opex forecast'!$E$8</f>
        <v>$millions</v>
      </c>
      <c r="E15" s="98">
        <f>'Calc|Opex forecast'!$F$8</f>
        <v>46174</v>
      </c>
      <c r="F15" s="16"/>
      <c r="G15" s="16"/>
      <c r="H15" s="16"/>
      <c r="I15" s="66" t="str">
        <f>IF('Calc|Opex forecast'!J106='Calc|Opex forecast'!J4,SUM('Calc|Opex forecast'!$J$31:$S$31),"")</f>
        <v/>
      </c>
      <c r="J15" s="66" t="str">
        <f>IF('Calc|Opex forecast'!K106='Calc|Opex forecast'!K4,SUM('Calc|Opex forecast'!$J$31:$S$31),"")</f>
        <v/>
      </c>
      <c r="K15" s="66" t="str">
        <f>IF('Calc|Opex forecast'!L106='Calc|Opex forecast'!L4,SUM('Calc|Opex forecast'!$J$31:$S$31),"")</f>
        <v/>
      </c>
      <c r="L15" s="66" t="str">
        <f>IF('Calc|Opex forecast'!M106='Calc|Opex forecast'!M4,SUM('Calc|Opex forecast'!$J$31:$S$31),"")</f>
        <v/>
      </c>
      <c r="M15" s="66" t="str">
        <f>IF('Calc|Opex forecast'!N106='Calc|Opex forecast'!N4,SUM('Calc|Opex forecast'!$J$31:$S$31),"")</f>
        <v/>
      </c>
      <c r="N15" s="66">
        <f>IF('Calc|Opex forecast'!O106='Calc|Opex forecast'!O4,SUM('Calc|Opex forecast'!$J$31:$S$31),"")</f>
        <v>19.497789176223932</v>
      </c>
      <c r="O15" s="66">
        <f>IF('Calc|Opex forecast'!P106='Calc|Opex forecast'!P4,SUM('Calc|Opex forecast'!$J$31:$S$31),"")</f>
        <v>19.497789176223932</v>
      </c>
      <c r="P15" s="66">
        <f>IF('Calc|Opex forecast'!Q106='Calc|Opex forecast'!Q4,SUM('Calc|Opex forecast'!$J$31:$S$31),"")</f>
        <v>19.497789176223932</v>
      </c>
      <c r="Q15" s="66">
        <f>IF('Calc|Opex forecast'!R106='Calc|Opex forecast'!R4,SUM('Calc|Opex forecast'!$J$31:$S$31),"")</f>
        <v>19.497789176223932</v>
      </c>
      <c r="R15" s="66">
        <f>IF('Calc|Opex forecast'!S106='Calc|Opex forecast'!S4,SUM('Calc|Opex forecast'!$J$31:$S$31),"")</f>
        <v>19.497789176223932</v>
      </c>
      <c r="S15" s="66" t="str">
        <f>IF('Calc|Opex forecast'!T106='Calc|Opex forecast'!T4,SUM('Calc|Opex forecast'!$J$31:$S$31),"")</f>
        <v/>
      </c>
      <c r="T15" s="66"/>
      <c r="U15" s="70">
        <f>SUM(I15:S15)</f>
        <v>97.488945881119662</v>
      </c>
      <c r="V15" s="211">
        <f t="shared" ca="1" si="0"/>
        <v>6.9300942254576642E-2</v>
      </c>
      <c r="W15" s="207"/>
      <c r="X15" s="66">
        <f ca="1">SUM($U$11:$U14)-AA15</f>
        <v>1376.4440101095051</v>
      </c>
      <c r="Y15" s="66"/>
      <c r="Z15" s="66">
        <f t="shared" si="1"/>
        <v>97.488945881119662</v>
      </c>
      <c r="AA15" s="66">
        <f t="shared" si="2"/>
        <v>0</v>
      </c>
      <c r="AB15" s="209"/>
      <c r="AC15" s="209"/>
      <c r="AD15" s="209"/>
      <c r="AE15" s="209"/>
      <c r="AF15" s="209"/>
      <c r="AG15" s="207"/>
      <c r="AH15" s="207"/>
      <c r="AI15" s="207"/>
      <c r="AJ15" s="207"/>
      <c r="AK15" s="207"/>
      <c r="AL15" s="207"/>
      <c r="AM15" s="207"/>
    </row>
    <row r="16" spans="1:39" ht="14.5">
      <c r="A16" s="207"/>
      <c r="B16" s="15" t="s">
        <v>256</v>
      </c>
      <c r="C16" s="65" t="s">
        <v>253</v>
      </c>
      <c r="D16" s="16" t="str">
        <f>'Calc|Opex forecast'!$E$8</f>
        <v>$millions</v>
      </c>
      <c r="E16" s="98">
        <f>'Calc|Opex forecast'!$F$8</f>
        <v>46174</v>
      </c>
      <c r="F16" s="16"/>
      <c r="G16" s="16"/>
      <c r="H16" s="16"/>
      <c r="I16" s="66" t="str">
        <f>IF('Calc|Opex forecast'!J106='Calc|Opex forecast'!J4,SUM('Calc|Opex forecast'!$J$35:$T$35),"")</f>
        <v/>
      </c>
      <c r="J16" s="66" t="str">
        <f>IF('Calc|Opex forecast'!K106='Calc|Opex forecast'!K4,SUM('Calc|Opex forecast'!$J$35:$T$35),"")</f>
        <v/>
      </c>
      <c r="K16" s="66" t="str">
        <f>IF('Calc|Opex forecast'!L106='Calc|Opex forecast'!L4,SUM('Calc|Opex forecast'!$J$35:$T$35),"")</f>
        <v/>
      </c>
      <c r="L16" s="66" t="str">
        <f>IF('Calc|Opex forecast'!M106='Calc|Opex forecast'!M4,SUM('Calc|Opex forecast'!$J$35:$T$35),"")</f>
        <v/>
      </c>
      <c r="M16" s="66" t="str">
        <f>IF('Calc|Opex forecast'!N106='Calc|Opex forecast'!N4,SUM('Calc|Opex forecast'!$J$35:$T$35),"")</f>
        <v/>
      </c>
      <c r="N16" s="66">
        <f>IF('Calc|Opex forecast'!O106='Calc|Opex forecast'!O4,SUM('Calc|Opex forecast'!$J$35:$T$35),"")</f>
        <v>-7.5185520393462939</v>
      </c>
      <c r="O16" s="66">
        <f>IF('Calc|Opex forecast'!P106='Calc|Opex forecast'!P4,SUM('Calc|Opex forecast'!$J$35:$T$35),"")</f>
        <v>-7.5185520393462939</v>
      </c>
      <c r="P16" s="66">
        <f>IF('Calc|Opex forecast'!Q106='Calc|Opex forecast'!Q4,SUM('Calc|Opex forecast'!$J$35:$T$35),"")</f>
        <v>-7.5185520393462939</v>
      </c>
      <c r="Q16" s="66">
        <f>IF('Calc|Opex forecast'!R106='Calc|Opex forecast'!R4,SUM('Calc|Opex forecast'!$J$35:$T$35),"")</f>
        <v>-7.5185520393462939</v>
      </c>
      <c r="R16" s="66">
        <f>IF('Calc|Opex forecast'!S106='Calc|Opex forecast'!S4,SUM('Calc|Opex forecast'!$J$35:$T$35),"")</f>
        <v>-7.5185520393462939</v>
      </c>
      <c r="S16" s="66" t="str">
        <f>IF('Calc|Opex forecast'!T106='Calc|Opex forecast'!T4,SUM('Calc|Opex forecast'!$J$35:$T$35),"")</f>
        <v/>
      </c>
      <c r="T16" s="66"/>
      <c r="U16" s="70">
        <f t="shared" ref="U16:U22" si="3">SUM(I16:S16)</f>
        <v>-37.592760196731469</v>
      </c>
      <c r="V16" s="211">
        <f t="shared" ca="1" si="0"/>
        <v>-2.4381918242719753E-2</v>
      </c>
      <c r="W16" s="207"/>
      <c r="X16" s="66">
        <f ca="1">SUM($U$11:$U15)-AA16</f>
        <v>1436.3401957938934</v>
      </c>
      <c r="Y16" s="66"/>
      <c r="Z16" s="66">
        <f t="shared" si="1"/>
        <v>0</v>
      </c>
      <c r="AA16" s="66">
        <f t="shared" si="2"/>
        <v>37.592760196731469</v>
      </c>
      <c r="AB16" s="209"/>
      <c r="AC16" s="209"/>
      <c r="AD16" s="209"/>
      <c r="AE16" s="209"/>
      <c r="AF16" s="209"/>
      <c r="AG16" s="207"/>
      <c r="AH16" s="207"/>
      <c r="AI16" s="207"/>
      <c r="AJ16" s="207"/>
      <c r="AK16" s="207"/>
      <c r="AL16" s="207"/>
      <c r="AM16" s="207"/>
    </row>
    <row r="17" spans="1:39" ht="14.5">
      <c r="A17" s="207"/>
      <c r="B17" s="15" t="s">
        <v>257</v>
      </c>
      <c r="C17" s="16" t="s">
        <v>30</v>
      </c>
      <c r="D17" s="16" t="str">
        <f>'Calc|Opex forecast'!$E$8</f>
        <v>$millions</v>
      </c>
      <c r="E17" s="98">
        <f>'Calc|Opex forecast'!$F$8</f>
        <v>46174</v>
      </c>
      <c r="F17" s="16"/>
      <c r="G17" s="16"/>
      <c r="H17" s="16"/>
      <c r="I17" s="66" t="str">
        <f>IF('Calc|Opex forecast'!J106='Calc|Opex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forecast'!K106='Calc|Opex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forecast'!L106='Calc|Opex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forecast'!M106='Calc|Opex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forecast'!N106='Calc|Opex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forecast'!O106='Calc|Opex forecast'!O4,'Calc|Opex forecast'!O62/('Calc|Opex forecast'!O$62+'Calc|Opex forecast'!O$65-'Calc|Opex forecast'!O$68)*'Calc|Opex forecast'!O$71*SUM('Calc|Opex forecast'!$J$54:$T$54),"")</f>
        <v>2.3024169181415375</v>
      </c>
      <c r="O17" s="66">
        <f ca="1">IF('Calc|Opex forecast'!P106='Calc|Opex forecast'!P4,'Calc|Opex forecast'!P62/('Calc|Opex forecast'!P$62+'Calc|Opex forecast'!P$65-'Calc|Opex forecast'!P$68)*'Calc|Opex forecast'!P$71*SUM('Calc|Opex forecast'!$J$54:$T$54),"")</f>
        <v>4.6354706424902474</v>
      </c>
      <c r="P17" s="66">
        <f ca="1">IF('Calc|Opex forecast'!Q106='Calc|Opex forecast'!Q4,'Calc|Opex forecast'!Q62/('Calc|Opex forecast'!Q$62+'Calc|Opex forecast'!Q$65-'Calc|Opex forecast'!Q$68)*'Calc|Opex forecast'!Q$71*SUM('Calc|Opex forecast'!$J$54:$T$54),"")</f>
        <v>6.9729773546463028</v>
      </c>
      <c r="Q17" s="66">
        <f ca="1">IF('Calc|Opex forecast'!R106='Calc|Opex forecast'!R4,'Calc|Opex forecast'!R62/('Calc|Opex forecast'!R$62+'Calc|Opex forecast'!R$65-'Calc|Opex forecast'!R$68)*'Calc|Opex forecast'!R$71*SUM('Calc|Opex forecast'!$J$54:$T$54),"")</f>
        <v>11.373698410545897</v>
      </c>
      <c r="R17" s="66">
        <f ca="1">IF('Calc|Opex forecast'!S106='Calc|Opex forecast'!S4,'Calc|Opex forecast'!S62/('Calc|Opex forecast'!S$62+'Calc|Opex forecast'!S$65-'Calc|Opex forecast'!S$68)*'Calc|Opex forecast'!S$71*SUM('Calc|Opex forecast'!$J$54:$T$54),"")</f>
        <v>16.547628000653713</v>
      </c>
      <c r="S17" s="66" t="str">
        <f t="array" ref="S17">IF('Calc|Opex forecast'!T106='Calc|Opex forecast'!T4,(PRODUCT(1+'Calc|Opex forecast'!$J61:T61)-1)*PRODUCT(1+'Calc|Opex forecast'!$J64:T64)*PRODUCT(1-'Calc|Opex forecast'!$J67:T67)*SUM('Calc|Opex forecast'!$J$54:$S$54),"")</f>
        <v/>
      </c>
      <c r="T17" s="66"/>
      <c r="U17" s="212">
        <f t="shared" ca="1" si="3"/>
        <v>41.832191326477698</v>
      </c>
      <c r="V17" s="211">
        <f t="shared" ca="1" si="0"/>
        <v>2.8605075177939764E-2</v>
      </c>
      <c r="W17" s="207"/>
      <c r="X17" s="66">
        <f ca="1">SUM($U$11:$U16)-AA17</f>
        <v>1436.3401957938934</v>
      </c>
      <c r="Y17" s="66"/>
      <c r="Z17" s="66">
        <f t="shared" ca="1" si="1"/>
        <v>41.832191326477698</v>
      </c>
      <c r="AA17" s="66">
        <f t="shared" ca="1" si="2"/>
        <v>0</v>
      </c>
      <c r="AB17" s="209"/>
      <c r="AC17" s="209"/>
      <c r="AD17" s="209"/>
      <c r="AE17" s="209"/>
      <c r="AF17" s="213"/>
      <c r="AG17" s="207"/>
      <c r="AH17" s="207"/>
      <c r="AI17" s="207"/>
      <c r="AJ17" s="207"/>
      <c r="AK17" s="207"/>
      <c r="AL17" s="207"/>
      <c r="AM17" s="207"/>
    </row>
    <row r="18" spans="1:39" ht="14.5">
      <c r="A18" s="207"/>
      <c r="B18" s="15" t="s">
        <v>258</v>
      </c>
      <c r="C18" s="16" t="s">
        <v>30</v>
      </c>
      <c r="D18" s="16" t="str">
        <f>'Calc|Opex forecast'!$E$8</f>
        <v>$millions</v>
      </c>
      <c r="E18" s="98">
        <f>'Calc|Opex forecast'!$F$8</f>
        <v>46174</v>
      </c>
      <c r="F18" s="16"/>
      <c r="G18" s="16"/>
      <c r="H18" s="16"/>
      <c r="I18" s="66" t="str">
        <f>IF('Calc|Opex forecast'!J106='Calc|Opex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forecast'!K106='Calc|Opex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forecast'!L106='Calc|Opex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forecast'!M106='Calc|Opex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forecast'!N106='Calc|Opex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forecast'!O106='Calc|Opex forecast'!O4,'Calc|Opex forecast'!O65/('Calc|Opex forecast'!O$62+'Calc|Opex forecast'!O$65-'Calc|Opex forecast'!O$68)*'Calc|Opex forecast'!O$71*SUM('Calc|Opex forecast'!$J$54:$T$54),"")</f>
        <v>1.551775957254784</v>
      </c>
      <c r="O18" s="66">
        <f ca="1">IF('Calc|Opex forecast'!P106='Calc|Opex forecast'!P4,'Calc|Opex forecast'!P65/('Calc|Opex forecast'!P$62+'Calc|Opex forecast'!P$65-'Calc|Opex forecast'!P$68)*'Calc|Opex forecast'!P$71*SUM('Calc|Opex forecast'!$J$54:$T$54),"")</f>
        <v>3.1643076115623527</v>
      </c>
      <c r="P18" s="66">
        <f ca="1">IF('Calc|Opex forecast'!Q106='Calc|Opex forecast'!Q4,'Calc|Opex forecast'!Q65/('Calc|Opex forecast'!Q$62+'Calc|Opex forecast'!Q$65-'Calc|Opex forecast'!Q$68)*'Calc|Opex forecast'!Q$71*SUM('Calc|Opex forecast'!$J$54:$T$54),"")</f>
        <v>5.1707994901191343</v>
      </c>
      <c r="Q18" s="66">
        <f ca="1">IF('Calc|Opex forecast'!R106='Calc|Opex forecast'!R4,'Calc|Opex forecast'!R65/('Calc|Opex forecast'!R$62+'Calc|Opex forecast'!R$65-'Calc|Opex forecast'!R$68)*'Calc|Opex forecast'!R$71*SUM('Calc|Opex forecast'!$J$54:$T$54),"")</f>
        <v>7.2705558218744297</v>
      </c>
      <c r="R18" s="66">
        <f ca="1">IF('Calc|Opex forecast'!S106='Calc|Opex forecast'!S4,'Calc|Opex forecast'!S65/('Calc|Opex forecast'!S$62+'Calc|Opex forecast'!S$65-'Calc|Opex forecast'!S$68)*'Calc|Opex forecast'!S$71*SUM('Calc|Opex forecast'!$J$54:$T$54),"")</f>
        <v>9.2172891637080809</v>
      </c>
      <c r="S18" s="66" t="str">
        <f t="array" ref="S18">IF('Calc|Opex forecast'!T106='Calc|Opex forecast'!T4,(PRODUCT(1+'Calc|Opex forecast'!$J64:T64)-1)*PRODUCT(1-'Calc|Opex forecast'!$J67:T67)*SUM('Calc|Opex forecast'!$J$54:$S$54),"")</f>
        <v/>
      </c>
      <c r="T18" s="66"/>
      <c r="U18" s="212">
        <f t="shared" ca="1" si="3"/>
        <v>26.374728044518783</v>
      </c>
      <c r="V18" s="211">
        <f t="shared" ca="1" si="0"/>
        <v>1.7846543375433406E-2</v>
      </c>
      <c r="W18" s="207"/>
      <c r="X18" s="66">
        <f ca="1">SUM($U$11:$U17)-AA18</f>
        <v>1478.172387120371</v>
      </c>
      <c r="Y18" s="66"/>
      <c r="Z18" s="66">
        <f t="shared" ca="1" si="1"/>
        <v>26.374728044518783</v>
      </c>
      <c r="AA18" s="66">
        <f t="shared" ca="1" si="2"/>
        <v>0</v>
      </c>
      <c r="AB18" s="209"/>
      <c r="AC18" s="209"/>
      <c r="AD18" s="209"/>
      <c r="AE18" s="209"/>
      <c r="AF18" s="209"/>
      <c r="AG18" s="207"/>
      <c r="AH18" s="207"/>
      <c r="AI18" s="207"/>
      <c r="AJ18" s="207"/>
      <c r="AK18" s="207"/>
      <c r="AL18" s="207"/>
      <c r="AM18" s="207"/>
    </row>
    <row r="19" spans="1:39" ht="14.5">
      <c r="A19" s="207"/>
      <c r="B19" s="15" t="s">
        <v>259</v>
      </c>
      <c r="C19" s="16" t="s">
        <v>30</v>
      </c>
      <c r="D19" s="16" t="str">
        <f>'Calc|Opex forecast'!$E$8</f>
        <v>$millions</v>
      </c>
      <c r="E19" s="98">
        <f>'Calc|Opex forecast'!$F$8</f>
        <v>46174</v>
      </c>
      <c r="F19" s="16"/>
      <c r="G19" s="16"/>
      <c r="H19" s="16"/>
      <c r="I19" s="66" t="str">
        <f>IF('Calc|Opex forecast'!J106='Calc|Opex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forecast'!K106='Calc|Opex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forecast'!L106='Calc|Opex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forecast'!M106='Calc|Opex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forecast'!N106='Calc|Opex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forecast'!O106='Calc|Opex forecast'!O4,-'Calc|Opex forecast'!O68/('Calc|Opex forecast'!O$62+'Calc|Opex forecast'!O$65-'Calc|Opex forecast'!O$68)*'Calc|Opex forecast'!O$71*SUM('Calc|Opex forecast'!$J$54:$T$54),"")</f>
        <v>-1.4322713971989491</v>
      </c>
      <c r="O19" s="66">
        <f ca="1">IF('Calc|Opex forecast'!P106='Calc|Opex forecast'!P4,-'Calc|Opex forecast'!P68/('Calc|Opex forecast'!P$62+'Calc|Opex forecast'!P$65-'Calc|Opex forecast'!P$68)*'Calc|Opex forecast'!P$71*SUM('Calc|Opex forecast'!$J$54:$T$54),"")</f>
        <v>-2.8723845797800589</v>
      </c>
      <c r="P19" s="66">
        <f ca="1">IF('Calc|Opex forecast'!Q106='Calc|Opex forecast'!Q4,-'Calc|Opex forecast'!Q68/('Calc|Opex forecast'!Q$62+'Calc|Opex forecast'!Q$65-'Calc|Opex forecast'!Q$68)*'Calc|Opex forecast'!Q$71*SUM('Calc|Opex forecast'!$J$54:$T$54),"")</f>
        <v>-4.3226453563341369</v>
      </c>
      <c r="Q19" s="66">
        <f ca="1">IF('Calc|Opex forecast'!R106='Calc|Opex forecast'!R4,-'Calc|Opex forecast'!R68/('Calc|Opex forecast'!R$62+'Calc|Opex forecast'!R$65-'Calc|Opex forecast'!R$68)*'Calc|Opex forecast'!R$71*SUM('Calc|Opex forecast'!$J$54:$T$54),"")</f>
        <v>-5.7878095186197767</v>
      </c>
      <c r="R19" s="66">
        <f ca="1">IF('Calc|Opex forecast'!S106='Calc|Opex forecast'!S4,-'Calc|Opex forecast'!S68/('Calc|Opex forecast'!S$62+'Calc|Opex forecast'!S$65-'Calc|Opex forecast'!S$68)*'Calc|Opex forecast'!S$71*SUM('Calc|Opex forecast'!$J$54:$T$54),"")</f>
        <v>-7.2629966861912676</v>
      </c>
      <c r="S19" s="66" t="str">
        <f t="array" ref="S19">IF('Calc|Opex forecast'!T106='Calc|Opex forecast'!T4,(PRODUCT(1-'Calc|Opex forecast'!$J67:T67)-1)*SUM('Calc|Opex forecast'!$J$54:$S$54),"")</f>
        <v/>
      </c>
      <c r="T19" s="66"/>
      <c r="U19" s="212">
        <f t="shared" ca="1" si="3"/>
        <v>-21.678107538124191</v>
      </c>
      <c r="V19" s="211">
        <f t="shared" ca="1" si="0"/>
        <v>-1.4206630163603207E-2</v>
      </c>
      <c r="W19" s="214"/>
      <c r="X19" s="66">
        <f ca="1">SUM($U$11:$U18)-AA19</f>
        <v>1482.8690076267658</v>
      </c>
      <c r="Y19" s="66"/>
      <c r="Z19" s="66">
        <f t="shared" ca="1" si="1"/>
        <v>0</v>
      </c>
      <c r="AA19" s="66">
        <f t="shared" ca="1" si="2"/>
        <v>21.678107538124191</v>
      </c>
      <c r="AB19" s="209"/>
      <c r="AC19" s="209"/>
      <c r="AD19" s="209"/>
      <c r="AE19" s="209"/>
      <c r="AF19" s="209"/>
      <c r="AG19" s="207"/>
      <c r="AH19" s="207"/>
      <c r="AI19" s="207"/>
      <c r="AJ19" s="207"/>
      <c r="AK19" s="207"/>
      <c r="AL19" s="207"/>
      <c r="AM19" s="207"/>
    </row>
    <row r="20" spans="1:39" ht="14.5">
      <c r="A20" s="207"/>
      <c r="B20" s="15" t="s">
        <v>97</v>
      </c>
      <c r="C20" s="65" t="s">
        <v>253</v>
      </c>
      <c r="D20" s="16" t="str">
        <f>'Calc|Opex forecast'!$E$8</f>
        <v>$millions</v>
      </c>
      <c r="E20" s="98">
        <f>'Calc|Opex forecast'!$F$8</f>
        <v>46174</v>
      </c>
      <c r="F20" s="16"/>
      <c r="G20" s="16"/>
      <c r="H20" s="16"/>
      <c r="I20" s="66" t="str">
        <f>IF('Calc|Opex forecast'!J106='Calc|Opex forecast'!J4,'Calc|Opex forecast'!J90,"")</f>
        <v/>
      </c>
      <c r="J20" s="66" t="str">
        <f>IF('Calc|Opex forecast'!K106='Calc|Opex forecast'!K4,'Calc|Opex forecast'!K90,"")</f>
        <v/>
      </c>
      <c r="K20" s="66" t="str">
        <f>IF('Calc|Opex forecast'!L106='Calc|Opex forecast'!L4,'Calc|Opex forecast'!L90,"")</f>
        <v/>
      </c>
      <c r="L20" s="66" t="str">
        <f>IF('Calc|Opex forecast'!M106='Calc|Opex forecast'!M4,'Calc|Opex forecast'!M90,"")</f>
        <v/>
      </c>
      <c r="M20" s="66" t="str">
        <f>IF('Calc|Opex forecast'!N106='Calc|Opex forecast'!N4,'Calc|Opex forecast'!N90,"")</f>
        <v/>
      </c>
      <c r="N20" s="66">
        <f>IF('Calc|Opex forecast'!O106='Calc|Opex forecast'!O4,'Calc|Opex forecast'!O90,"")</f>
        <v>-10.274530505239778</v>
      </c>
      <c r="O20" s="66">
        <f>IF('Calc|Opex forecast'!P106='Calc|Opex forecast'!P4,'Calc|Opex forecast'!P90,"")</f>
        <v>-8.4398976134962904</v>
      </c>
      <c r="P20" s="66">
        <f>IF('Calc|Opex forecast'!Q106='Calc|Opex forecast'!Q4,'Calc|Opex forecast'!Q90,"")</f>
        <v>-8.0189234152935853</v>
      </c>
      <c r="Q20" s="66">
        <f>IF('Calc|Opex forecast'!R106='Calc|Opex forecast'!R4,'Calc|Opex forecast'!R90,"")</f>
        <v>-6.8571554840581301</v>
      </c>
      <c r="R20" s="66">
        <f>IF('Calc|Opex forecast'!S106='Calc|Opex forecast'!S4,'Calc|Opex forecast'!S90,"")</f>
        <v>-6.6165634159404298</v>
      </c>
      <c r="S20" s="66" t="str">
        <f>IF('Calc|Opex forecast'!T106='Calc|Opex forecast'!T4,'Calc|Opex forecast'!T90,"")</f>
        <v/>
      </c>
      <c r="T20" s="66"/>
      <c r="U20" s="70">
        <f t="shared" si="3"/>
        <v>-40.207070434028211</v>
      </c>
      <c r="V20" s="211">
        <f t="shared" ca="1" si="0"/>
        <v>-2.6033366073763754E-2</v>
      </c>
      <c r="W20" s="215"/>
      <c r="X20" s="66">
        <f ca="1">SUM($U$11:$U19)-AA20</f>
        <v>1442.6619371927375</v>
      </c>
      <c r="Y20" s="66"/>
      <c r="Z20" s="66">
        <f t="shared" si="1"/>
        <v>0</v>
      </c>
      <c r="AA20" s="66">
        <f t="shared" si="2"/>
        <v>40.207070434028211</v>
      </c>
      <c r="AB20" s="209"/>
      <c r="AC20" s="209"/>
      <c r="AD20" s="209"/>
      <c r="AE20" s="209"/>
      <c r="AF20" s="209"/>
      <c r="AG20" s="207"/>
      <c r="AH20" s="207"/>
      <c r="AI20" s="207"/>
      <c r="AJ20" s="207"/>
      <c r="AK20" s="207"/>
      <c r="AL20" s="207"/>
      <c r="AM20" s="207"/>
    </row>
    <row r="21" spans="1:39" ht="14.5">
      <c r="A21" s="207"/>
      <c r="B21" s="15" t="s">
        <v>102</v>
      </c>
      <c r="C21" s="65" t="s">
        <v>253</v>
      </c>
      <c r="D21" s="16" t="str">
        <f>'Calc|Opex forecast'!$E$8</f>
        <v>$millions</v>
      </c>
      <c r="E21" s="98">
        <f>'Calc|Opex forecast'!$F$8</f>
        <v>46174</v>
      </c>
      <c r="F21" s="16"/>
      <c r="G21" s="16"/>
      <c r="H21" s="16"/>
      <c r="I21" s="66" t="str">
        <f>IF('Calc|Opex forecast'!J106='Calc|Opex forecast'!J4,'Calc|Opex forecast'!J102,"")</f>
        <v/>
      </c>
      <c r="J21" s="66" t="str">
        <f>IF('Calc|Opex forecast'!K106='Calc|Opex forecast'!K4,'Calc|Opex forecast'!K102,"")</f>
        <v/>
      </c>
      <c r="K21" s="66" t="str">
        <f>IF('Calc|Opex forecast'!L106='Calc|Opex forecast'!L4,'Calc|Opex forecast'!L102,"")</f>
        <v/>
      </c>
      <c r="L21" s="66" t="str">
        <f>IF('Calc|Opex forecast'!M106='Calc|Opex forecast'!M4,'Calc|Opex forecast'!M102,"")</f>
        <v/>
      </c>
      <c r="M21" s="66" t="str">
        <f>IF('Calc|Opex forecast'!N106='Calc|Opex forecast'!N4,'Calc|Opex forecast'!N102,"")</f>
        <v/>
      </c>
      <c r="N21" s="66">
        <f>IF('Calc|Opex forecast'!O106='Calc|Opex forecast'!O4,'Calc|Opex forecast'!O102,"")</f>
        <v>9.1409366719673031</v>
      </c>
      <c r="O21" s="66">
        <f>IF('Calc|Opex forecast'!P106='Calc|Opex forecast'!P4,'Calc|Opex forecast'!P102,"")</f>
        <v>9.0715205701977926</v>
      </c>
      <c r="P21" s="66">
        <f>IF('Calc|Opex forecast'!Q106='Calc|Opex forecast'!Q4,'Calc|Opex forecast'!Q102,"")</f>
        <v>9.165637570511338</v>
      </c>
      <c r="Q21" s="66">
        <f>IF('Calc|Opex forecast'!R106='Calc|Opex forecast'!R4,'Calc|Opex forecast'!R102,"")</f>
        <v>9.2021135085803536</v>
      </c>
      <c r="R21" s="66">
        <f>IF('Calc|Opex forecast'!S106='Calc|Opex forecast'!S4,'Calc|Opex forecast'!S102,"")</f>
        <v>9.3281670879343732</v>
      </c>
      <c r="S21" s="66" t="str">
        <f>IF('Calc|Opex forecast'!T106='Calc|Opex forecast'!T4,'Calc|Opex forecast'!T102,"")</f>
        <v/>
      </c>
      <c r="T21" s="66"/>
      <c r="U21" s="70">
        <f t="shared" si="3"/>
        <v>45.908375409191159</v>
      </c>
      <c r="V21" s="211">
        <f t="shared" ca="1" si="0"/>
        <v>3.1480136659223411E-2</v>
      </c>
      <c r="W21" s="215"/>
      <c r="X21" s="66">
        <f ca="1">SUM($U$11:$U20)-AA21</f>
        <v>1442.6619371927375</v>
      </c>
      <c r="Y21" s="66"/>
      <c r="Z21" s="66">
        <f t="shared" si="1"/>
        <v>45.908375409191159</v>
      </c>
      <c r="AA21" s="66">
        <f t="shared" si="2"/>
        <v>0</v>
      </c>
      <c r="AB21" s="209"/>
      <c r="AC21" s="209"/>
      <c r="AD21" s="209"/>
      <c r="AE21" s="209"/>
      <c r="AF21" s="209"/>
      <c r="AG21" s="207"/>
      <c r="AH21" s="207"/>
      <c r="AI21" s="207"/>
      <c r="AJ21" s="207"/>
      <c r="AK21" s="207"/>
      <c r="AL21" s="207"/>
      <c r="AM21" s="207"/>
    </row>
    <row r="22" spans="1:39" ht="14.5">
      <c r="A22" s="207"/>
      <c r="B22" s="15" t="s">
        <v>39</v>
      </c>
      <c r="C22" s="65" t="s">
        <v>253</v>
      </c>
      <c r="D22" s="16" t="str">
        <f>'Calc|Opex forecast'!$E$8</f>
        <v>$millions</v>
      </c>
      <c r="E22" s="98">
        <f>'Calc|Opex forecast'!$F$8</f>
        <v>46174</v>
      </c>
      <c r="F22" s="16"/>
      <c r="G22" s="16"/>
      <c r="H22" s="16"/>
      <c r="I22" s="66" t="str">
        <f>IF('Calc|Opex forecast'!J106='Calc|Opex forecast'!J4,'Input|Step changes'!J43,"")</f>
        <v/>
      </c>
      <c r="J22" s="66" t="str">
        <f>IF('Calc|Opex forecast'!K106='Calc|Opex forecast'!K4,'Input|Step changes'!K43,"")</f>
        <v/>
      </c>
      <c r="K22" s="66" t="str">
        <f>IF('Calc|Opex forecast'!L106='Calc|Opex forecast'!L4,'Input|Step changes'!L43,"")</f>
        <v/>
      </c>
      <c r="L22" s="66" t="str">
        <f>IF('Calc|Opex forecast'!M106='Calc|Opex forecast'!M4,'Input|Step changes'!M43,"")</f>
        <v/>
      </c>
      <c r="M22" s="66" t="str">
        <f>IF('Calc|Opex forecast'!N106='Calc|Opex forecast'!N4,'Input|Step changes'!N43,"")</f>
        <v/>
      </c>
      <c r="N22" s="66">
        <f>IF('Calc|Opex forecast'!O106='Calc|Opex forecast'!O4,'Input|Step changes'!O43,"")</f>
        <v>3.0987969694764299</v>
      </c>
      <c r="O22" s="66">
        <f>IF('Calc|Opex forecast'!P106='Calc|Opex forecast'!P4,'Input|Step changes'!P43,"")</f>
        <v>3.1182488552259597</v>
      </c>
      <c r="P22" s="66">
        <f>IF('Calc|Opex forecast'!Q106='Calc|Opex forecast'!Q4,'Input|Step changes'!Q43,"")</f>
        <v>3.1393114845613117</v>
      </c>
      <c r="Q22" s="66">
        <f>IF('Calc|Opex forecast'!R106='Calc|Opex forecast'!R4,'Input|Step changes'!R43,"")</f>
        <v>3.1509543016278765</v>
      </c>
      <c r="R22" s="66">
        <f>IF('Calc|Opex forecast'!S106='Calc|Opex forecast'!S4,'Input|Step changes'!S43,"")</f>
        <v>3.1590903060554143</v>
      </c>
      <c r="S22" s="66" t="str">
        <f>IF('Calc|Opex forecast'!T106='Calc|Opex forecast'!T4,'Input|Step changes'!T43,"")</f>
        <v/>
      </c>
      <c r="T22" s="66"/>
      <c r="U22" s="70">
        <f t="shared" si="3"/>
        <v>15.666401916946993</v>
      </c>
      <c r="V22" s="211">
        <f t="shared" ca="1" si="0"/>
        <v>1.0524462152925176E-2</v>
      </c>
      <c r="W22" s="207"/>
      <c r="X22" s="66">
        <f ca="1">SUM($U$11:$U21)-AA22</f>
        <v>1488.5703126019287</v>
      </c>
      <c r="Y22" s="66"/>
      <c r="Z22" s="66">
        <f t="shared" si="1"/>
        <v>15.666401916946993</v>
      </c>
      <c r="AA22" s="66">
        <f t="shared" si="2"/>
        <v>0</v>
      </c>
      <c r="AB22" s="209"/>
      <c r="AC22" s="209"/>
      <c r="AD22" s="209"/>
      <c r="AE22" s="209"/>
      <c r="AF22" s="209"/>
      <c r="AG22" s="207"/>
      <c r="AH22" s="207"/>
      <c r="AI22" s="207"/>
      <c r="AJ22" s="207"/>
      <c r="AK22" s="207"/>
      <c r="AL22" s="207"/>
      <c r="AM22" s="207"/>
    </row>
    <row r="23" spans="1:39" ht="14.5">
      <c r="A23" s="207"/>
      <c r="B23" s="15" t="s">
        <v>260</v>
      </c>
      <c r="C23" s="65" t="s">
        <v>253</v>
      </c>
      <c r="D23" s="16" t="str">
        <f>'Calc|Opex forecast'!$E$8</f>
        <v>$millions</v>
      </c>
      <c r="E23" s="98">
        <f>'Calc|Opex forecast'!$F$8</f>
        <v>46174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forecast'!O110</f>
        <v>291.65516377317999</v>
      </c>
      <c r="O23" s="66">
        <f ca="1">'Calc|Opex forecast'!P110</f>
        <v>295.94530464497865</v>
      </c>
      <c r="P23" s="66">
        <f ca="1">'Calc|Opex forecast'!Q110</f>
        <v>299.37519628698902</v>
      </c>
      <c r="Q23" s="66">
        <f ca="1">'Calc|Opex forecast'!R110</f>
        <v>305.62039619872928</v>
      </c>
      <c r="R23" s="66">
        <f ca="1">'Calc|Opex forecast'!S110</f>
        <v>311.64065361499854</v>
      </c>
      <c r="S23" s="66" t="str">
        <f>'Calc|Opex forecast'!T110</f>
        <v/>
      </c>
      <c r="T23" s="66"/>
      <c r="U23" s="70">
        <f ca="1">SUM(I23:S23)</f>
        <v>1504.2367145188755</v>
      </c>
      <c r="V23" s="81" t="str">
        <f ca="1">IF(ROUND(U23,6)=ROUND(SUM(U11:U22),6),"OK","Check")</f>
        <v>OK</v>
      </c>
      <c r="W23" s="207"/>
      <c r="X23" s="66"/>
      <c r="Y23" s="66">
        <f ca="1">U23</f>
        <v>1504.2367145188755</v>
      </c>
      <c r="Z23" s="66"/>
      <c r="AA23" s="66"/>
      <c r="AB23" s="209"/>
      <c r="AC23" s="207"/>
      <c r="AD23" s="216"/>
      <c r="AE23" s="207"/>
      <c r="AF23" s="209"/>
      <c r="AG23" s="207"/>
      <c r="AH23" s="207"/>
      <c r="AI23" s="207"/>
      <c r="AJ23" s="207"/>
      <c r="AK23" s="207"/>
      <c r="AL23" s="207"/>
      <c r="AM23" s="207"/>
    </row>
    <row r="24" spans="1:39" ht="14.5">
      <c r="A24" s="207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211"/>
      <c r="W24" s="207"/>
      <c r="X24" s="209"/>
      <c r="Y24" s="209"/>
      <c r="Z24" s="209"/>
      <c r="AA24" s="209"/>
      <c r="AB24" s="209"/>
      <c r="AC24" s="209"/>
      <c r="AD24" s="209"/>
      <c r="AE24" s="209"/>
      <c r="AF24" s="209"/>
      <c r="AG24" s="207"/>
      <c r="AH24" s="207"/>
      <c r="AI24" s="207"/>
      <c r="AJ24" s="207"/>
      <c r="AK24" s="207"/>
      <c r="AL24" s="207"/>
      <c r="AM24" s="207"/>
    </row>
    <row r="25" spans="1:39" ht="14.5">
      <c r="A25" s="207"/>
      <c r="B25" s="217"/>
      <c r="C25" s="217"/>
      <c r="D25" s="217"/>
      <c r="E25" s="217"/>
      <c r="F25" s="16"/>
      <c r="G25" s="16"/>
      <c r="H25" s="16"/>
      <c r="I25" s="217"/>
      <c r="J25" s="217"/>
      <c r="K25" s="217"/>
      <c r="L25" s="217"/>
      <c r="M25" s="217"/>
      <c r="N25" s="207"/>
      <c r="O25" s="207"/>
      <c r="P25" s="207"/>
      <c r="Q25" s="207"/>
      <c r="R25" s="207"/>
      <c r="S25" s="207"/>
      <c r="T25" s="218"/>
      <c r="U25" s="219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</row>
    <row r="26" spans="1:39" ht="14.5">
      <c r="A26" s="207"/>
      <c r="B26" s="207"/>
      <c r="C26" s="207"/>
      <c r="D26" s="207"/>
      <c r="E26" s="207"/>
      <c r="F26" s="16"/>
      <c r="G26" s="16"/>
      <c r="H26" s="16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</row>
    <row r="27" spans="1:39" ht="14.5">
      <c r="A27" s="207"/>
      <c r="B27" s="207"/>
      <c r="C27" s="207"/>
      <c r="D27" s="207"/>
      <c r="E27" s="207"/>
      <c r="F27" s="16"/>
      <c r="G27" s="16"/>
      <c r="H27" s="16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</row>
    <row r="28" spans="1:39" ht="14.5">
      <c r="A28" s="207"/>
      <c r="B28" s="207"/>
      <c r="C28" s="207"/>
      <c r="D28" s="207"/>
      <c r="E28" s="207"/>
      <c r="F28" s="16"/>
      <c r="G28" s="16"/>
      <c r="H28" s="16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</row>
    <row r="29" spans="1:39" ht="14.5">
      <c r="A29" s="207"/>
      <c r="B29" s="207"/>
      <c r="C29" s="207"/>
      <c r="D29" s="207"/>
      <c r="E29" s="207"/>
      <c r="F29" s="16"/>
      <c r="G29" s="16"/>
      <c r="H29" s="16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</row>
    <row r="30" spans="1:39" ht="14.5">
      <c r="A30" s="207"/>
      <c r="B30" s="207"/>
      <c r="C30" s="207"/>
      <c r="D30" s="207"/>
      <c r="E30" s="207"/>
      <c r="F30" s="16"/>
      <c r="G30" s="16"/>
      <c r="H30" s="16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20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mergeCells count="1">
    <mergeCell ref="M2:R2"/>
  </mergeCells>
  <conditionalFormatting sqref="I9:S9 U9">
    <cfRule type="expression" dxfId="20" priority="10">
      <formula>I$88=I$4</formula>
    </cfRule>
  </conditionalFormatting>
  <conditionalFormatting sqref="I11:V22 I23:U23 I24:V24">
    <cfRule type="cellIs" dxfId="19" priority="7" operator="equal">
      <formula>0</formula>
    </cfRule>
  </conditionalFormatting>
  <conditionalFormatting sqref="V1">
    <cfRule type="cellIs" dxfId="18" priority="1" operator="equal">
      <formula>"Check"</formula>
    </cfRule>
    <cfRule type="cellIs" dxfId="17" priority="2" operator="equal">
      <formula>"Ok"</formula>
    </cfRule>
  </conditionalFormatting>
  <conditionalFormatting sqref="V23">
    <cfRule type="cellIs" dxfId="16" priority="5" operator="equal">
      <formula>"Check"</formula>
    </cfRule>
    <cfRule type="cellIs" dxfId="15" priority="6" operator="equal">
      <formula>"Ok"</formula>
    </cfRule>
  </conditionalFormatting>
  <conditionalFormatting sqref="X11:AA23">
    <cfRule type="cellIs" dxfId="14" priority="3" operator="equal">
      <formula>0</formula>
    </cfRule>
  </conditionalFormatting>
  <conditionalFormatting sqref="Y1">
    <cfRule type="cellIs" dxfId="13" priority="8" operator="equal">
      <formula>"Check"</formula>
    </cfRule>
    <cfRule type="cellIs" dxfId="12" priority="9" operator="equal">
      <formula>"Ok"</formula>
    </cfRule>
  </conditionalFormatting>
  <dataValidations count="1">
    <dataValidation type="custom" allowBlank="1" showInputMessage="1" showErrorMessage="1" sqref="I1 X1" xr:uid="{C348F61D-6455-45E8-9E4C-ED4C8E9427AE}">
      <formula1>"&lt;0&gt;0"</formula1>
    </dataValidation>
  </dataValidations>
  <hyperlinks>
    <hyperlink ref="I1" location="Index!A1" display="Back to Index" xr:uid="{61150027-EB28-4292-890D-88C92B435F6E}"/>
    <hyperlink ref="X1" location="'Check|List'!A1" display="Overall Check:" xr:uid="{0A6AA02B-A9FA-4FC2-86B2-BAC72551A2EA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workbookViewId="0">
      <selection activeCell="K60" sqref="K6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190" t="s">
        <v>24</v>
      </c>
      <c r="V1" s="29" t="str">
        <f>'Check|List'!$S$1</f>
        <v>Ok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178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179</v>
      </c>
      <c r="D8" s="16" t="s">
        <v>182</v>
      </c>
      <c r="E8" s="16"/>
      <c r="F8" s="16"/>
      <c r="G8" s="39" t="s">
        <v>179</v>
      </c>
    </row>
    <row r="9" spans="1:30">
      <c r="C9" s="15" t="s">
        <v>180</v>
      </c>
      <c r="D9" s="16" t="s">
        <v>182</v>
      </c>
      <c r="E9" s="16"/>
      <c r="F9" s="16"/>
      <c r="G9" s="39" t="s">
        <v>180</v>
      </c>
    </row>
    <row r="10" spans="1:30">
      <c r="C10" s="15" t="s">
        <v>181</v>
      </c>
      <c r="D10" s="16" t="s">
        <v>64</v>
      </c>
      <c r="E10" s="16"/>
      <c r="F10" s="16"/>
      <c r="G10" s="39" t="s">
        <v>181</v>
      </c>
      <c r="T10" s="17"/>
    </row>
    <row r="11" spans="1:30">
      <c r="C11" s="15" t="s">
        <v>183</v>
      </c>
      <c r="D11" s="16" t="s">
        <v>182</v>
      </c>
      <c r="E11" s="16"/>
      <c r="F11" s="16"/>
      <c r="G11" s="39" t="s">
        <v>183</v>
      </c>
    </row>
    <row r="12" spans="1:30">
      <c r="C12" s="15" t="s">
        <v>184</v>
      </c>
      <c r="D12" s="16" t="s">
        <v>64</v>
      </c>
      <c r="E12" s="16"/>
      <c r="F12" s="16"/>
      <c r="G12" s="39" t="s">
        <v>184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2018</v>
      </c>
      <c r="H48" s="107">
        <f>DATE(G48,MONTH('Input|General'!$G$9),1)</f>
        <v>43252</v>
      </c>
      <c r="I48" s="106" t="str">
        <f>G48-1&amp;"–"&amp;RIGHT(G48,2)</f>
        <v>2017–18</v>
      </c>
    </row>
    <row r="49" spans="3:20">
      <c r="C49" s="97">
        <v>41061</v>
      </c>
      <c r="D49" s="16" t="s">
        <v>64</v>
      </c>
      <c r="E49" s="16"/>
      <c r="F49" s="16"/>
      <c r="G49" s="93">
        <v>2019</v>
      </c>
      <c r="H49" s="107">
        <f>DATE(G49,MONTH('Input|General'!$G$9),1)</f>
        <v>43617</v>
      </c>
      <c r="I49" s="106" t="str">
        <f t="shared" ref="I49:I67" si="0">G49-1&amp;"–"&amp;RIGHT(G49,2)</f>
        <v>2018–19</v>
      </c>
    </row>
    <row r="50" spans="3:20">
      <c r="C50" s="97">
        <v>41426</v>
      </c>
      <c r="D50" s="16" t="s">
        <v>64</v>
      </c>
      <c r="E50" s="16"/>
      <c r="F50" s="16"/>
      <c r="G50" s="93">
        <v>2020</v>
      </c>
      <c r="H50" s="107">
        <f>DATE(G50,MONTH('Input|General'!$G$9),1)</f>
        <v>43983</v>
      </c>
      <c r="I50" s="106" t="str">
        <f t="shared" si="0"/>
        <v>2019–20</v>
      </c>
    </row>
    <row r="51" spans="3:20">
      <c r="C51" s="97">
        <v>41791</v>
      </c>
      <c r="D51" s="16" t="s">
        <v>64</v>
      </c>
      <c r="E51" s="16"/>
      <c r="F51" s="16"/>
      <c r="G51" s="93">
        <v>2021</v>
      </c>
      <c r="H51" s="107">
        <f>DATE(G51,MONTH('Input|General'!$G$9),1)</f>
        <v>44348</v>
      </c>
      <c r="I51" s="106" t="str">
        <f t="shared" si="0"/>
        <v>2020–21</v>
      </c>
    </row>
    <row r="52" spans="3:20">
      <c r="C52" s="97">
        <v>42156</v>
      </c>
      <c r="D52" s="16" t="s">
        <v>64</v>
      </c>
      <c r="E52" s="16"/>
      <c r="F52" s="16"/>
      <c r="G52" s="93">
        <v>2022</v>
      </c>
      <c r="H52" s="107">
        <f>DATE(G52,MONTH('Input|General'!$G$9),1)</f>
        <v>44713</v>
      </c>
      <c r="I52" s="106" t="str">
        <f t="shared" si="0"/>
        <v>2021–22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2023</v>
      </c>
      <c r="H53" s="107">
        <f>DATE(G53,MONTH('Input|General'!$G$9),1)</f>
        <v>45078</v>
      </c>
      <c r="I53" s="106" t="str">
        <f t="shared" si="0"/>
        <v>2022–23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2024</v>
      </c>
      <c r="H54" s="107">
        <f>DATE(G54,MONTH('Input|General'!$G$9),1)</f>
        <v>45444</v>
      </c>
      <c r="I54" s="106" t="str">
        <f t="shared" si="0"/>
        <v>2023–24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2025</v>
      </c>
      <c r="H55" s="107">
        <f>DATE(G55,MONTH('Input|General'!$G$9),1)</f>
        <v>45809</v>
      </c>
      <c r="I55" s="106" t="str">
        <f t="shared" si="0"/>
        <v>2024–25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2026</v>
      </c>
      <c r="H56" s="107">
        <f>DATE(G56,MONTH('Input|General'!$G$9),1)</f>
        <v>46174</v>
      </c>
      <c r="I56" s="106" t="str">
        <f t="shared" si="0"/>
        <v>2025–26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2027</v>
      </c>
      <c r="H57" s="107">
        <f>DATE(G57,MONTH('Input|General'!$G$9),1)</f>
        <v>46539</v>
      </c>
      <c r="I57" s="106" t="str">
        <f t="shared" si="0"/>
        <v>2026–27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2028</v>
      </c>
      <c r="H58" s="107">
        <f>DATE(G58,MONTH('Input|General'!$G$9),1)</f>
        <v>46905</v>
      </c>
      <c r="I58" s="106" t="str">
        <f t="shared" si="0"/>
        <v>2027–28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2029</v>
      </c>
      <c r="H59" s="107">
        <f>DATE(G59,MONTH('Input|General'!$G$9),1)</f>
        <v>47270</v>
      </c>
      <c r="I59" s="106" t="str">
        <f t="shared" si="0"/>
        <v>2028–29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2030</v>
      </c>
      <c r="H60" s="107">
        <f>DATE(G60,MONTH('Input|General'!$G$9),1)</f>
        <v>47635</v>
      </c>
      <c r="I60" s="106" t="str">
        <f t="shared" si="0"/>
        <v>2029–30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2031</v>
      </c>
      <c r="H61" s="107">
        <f>DATE(G61,MONTH('Input|General'!$G$9),1)</f>
        <v>48000</v>
      </c>
      <c r="I61" s="106" t="str">
        <f t="shared" si="0"/>
        <v>2030–31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2032</v>
      </c>
      <c r="H62" s="107">
        <f>DATE(G62,MONTH('Input|General'!$G$9),1)</f>
        <v>48366</v>
      </c>
      <c r="I62" s="106" t="str">
        <f t="shared" si="0"/>
        <v>2031–32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2033</v>
      </c>
      <c r="H63" s="107">
        <f>DATE(G63,MONTH('Input|General'!$G$9),1)</f>
        <v>48731</v>
      </c>
      <c r="I63" s="106" t="str">
        <f t="shared" si="0"/>
        <v>2032–33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2034</v>
      </c>
      <c r="H64" s="107">
        <f>DATE(G64,MONTH('Input|General'!$G$9),1)</f>
        <v>49096</v>
      </c>
      <c r="I64" s="106" t="str">
        <f t="shared" si="0"/>
        <v>2033–34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2035</v>
      </c>
      <c r="H65" s="107">
        <f>DATE(G65,MONTH('Input|General'!$G$9),1)</f>
        <v>49461</v>
      </c>
      <c r="I65" s="106" t="str">
        <f t="shared" si="0"/>
        <v>2034–35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2036</v>
      </c>
      <c r="H66" s="107">
        <f>DATE(G66,MONTH('Input|General'!$G$9),1)</f>
        <v>49827</v>
      </c>
      <c r="I66" s="106" t="str">
        <f t="shared" si="0"/>
        <v>2035–36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2037</v>
      </c>
      <c r="H67" s="107">
        <f>DATE(G67,MONTH('Input|General'!$G$9),1)</f>
        <v>50192</v>
      </c>
      <c r="I67" s="106" t="str">
        <f t="shared" si="0"/>
        <v>2036–37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2020–21</v>
      </c>
      <c r="H72" s="107">
        <f>DATE(PPFirstYear-1,MONTH('Input|General'!$G$9),1)</f>
        <v>44348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2021–22</v>
      </c>
      <c r="H73" s="107">
        <f>DATE(PPFirstYear,MONTH('Input|General'!$G$9),1)</f>
        <v>44713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2022–23</v>
      </c>
      <c r="H74" s="107">
        <f>IF(PPLastYear-PPFirstYear&lt;1,"",DATE(PPFirstYear+1,MONTH('Input|General'!$G$9),1))</f>
        <v>45078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2023–24</v>
      </c>
      <c r="H75" s="107">
        <f>IF(PPLastYear-PPFirstYear&lt;2,"",DATE(PPFirstYear+2,MONTH('Input|General'!$G$9),1))</f>
        <v>45444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2024–25</v>
      </c>
      <c r="H76" s="107">
        <f>IF(PPLastYear-PPFirstYear&lt;3,"",DATE(PPFirstYear+3,MONTH('Input|General'!$G$9),1))</f>
        <v>45809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2025–26</v>
      </c>
      <c r="H77" s="107">
        <f>IF(PPLastYear-PPFirstYear&lt;4,"",DATE(PPFirstYear+4,MONTH('Input|General'!$G$9),1))</f>
        <v>46174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2026–27</v>
      </c>
      <c r="H79" s="107">
        <f>DATE(FPFirstYear,MONTH('Input|General'!$G$9),1)</f>
        <v>46539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2027–28</v>
      </c>
      <c r="H80" s="107">
        <f>IF(FPLastYear-FPFirstYear&lt;1,"",DATE(FPFirstYear+1,MONTH('Input|General'!$G$9),1))</f>
        <v>46905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2028–29</v>
      </c>
      <c r="H81" s="107">
        <f>IF(FPLastYear-FPFirstYear&lt;2,"",DATE(FPFirstYear+2,MONTH('Input|General'!$G$9),1))</f>
        <v>47270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2029–30</v>
      </c>
      <c r="H82" s="107">
        <f>IF(FPLastYear-FPFirstYear&lt;3,"",DATE(FPFirstYear+3,MONTH('Input|General'!$G$9),1))</f>
        <v>47635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2030–31</v>
      </c>
      <c r="H83" s="107">
        <f>IF(FPLastYear-FPFirstYear&lt;4,"",DATE(FPFirstYear+4,MONTH('Input|General'!$G$9),1))</f>
        <v>48000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Q28">
    <cfRule type="expression" dxfId="11" priority="55" stopIfTrue="1">
      <formula>#REF!="Actual"</formula>
    </cfRule>
  </conditionalFormatting>
  <conditionalFormatting sqref="P68: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disablePrompts="1"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workbookViewId="0">
      <selection activeCell="A17" sqref="A17:XFD17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v2.4</v>
      </c>
      <c r="C1" s="25"/>
      <c r="D1" s="25"/>
      <c r="E1" s="25"/>
      <c r="F1" s="26"/>
      <c r="G1" s="26"/>
      <c r="H1" s="26"/>
      <c r="I1" s="26"/>
      <c r="J1" s="189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190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191" t="str">
        <f t="shared" ref="D10:D16" si="0"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91" t="str">
        <f t="shared" si="0"/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191" t="str">
        <f t="shared" si="0"/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191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191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191" t="str">
        <f t="shared" si="0"/>
        <v>Calc | Opex Forecast</v>
      </c>
      <c r="E15" s="16" t="s">
        <v>28</v>
      </c>
      <c r="F15" s="16"/>
      <c r="G15" s="18" t="s">
        <v>245</v>
      </c>
      <c r="H15" s="16"/>
      <c r="T15" s="17"/>
    </row>
    <row r="16" spans="1:30" ht="10.5">
      <c r="C16" s="15" t="str">
        <f>Index!C13</f>
        <v>Output | Models</v>
      </c>
      <c r="D16" s="191" t="str">
        <f t="shared" si="0"/>
        <v>Output | Models</v>
      </c>
      <c r="E16" s="16" t="s">
        <v>28</v>
      </c>
      <c r="F16" s="16"/>
      <c r="G16" s="18" t="s">
        <v>245</v>
      </c>
      <c r="H16" s="16"/>
      <c r="T16" s="17"/>
    </row>
    <row r="17" spans="1:30" hidden="1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2025-09-24T08:27:45Z</dcterms:created>
  <dcterms:modified xsi:type="dcterms:W3CDTF">2025-09-24T08:27:53Z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