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139FDC1B-17E3-4649-9FD9-F7A0A31B4EF6}" xr6:coauthVersionLast="47" xr6:coauthVersionMax="47" xr10:uidLastSave="{00000000-0000-0000-0000-000000000000}"/>
  <bookViews>
    <workbookView xWindow="28680" yWindow="-120" windowWidth="29040" windowHeight="15840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Models" sheetId="10" r:id="rId7"/>
    <sheet name="Output | CESS true-up" sheetId="15" r:id="rId8"/>
  </sheets>
  <definedNames>
    <definedName name="anscount" hidden="1">1</definedName>
    <definedName name="Cash_Timing">#REF!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#REF!</definedName>
    <definedName name="millions" localSheetId="3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6">#REF!</definedName>
    <definedName name="percent">#REF!</definedName>
    <definedName name="Quarter">OFFSET(#REF!,1,,COUNTA(#REF!)-1,)</definedName>
    <definedName name="thousands">#REF!</definedName>
    <definedName name="Timing_Adj">#REF!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3" l="1"/>
  <c r="D18" i="4"/>
  <c r="D8" i="4" l="1"/>
  <c r="H15" i="2" l="1"/>
  <c r="I7" i="14"/>
  <c r="D29" i="3"/>
  <c r="D10" i="13"/>
  <c r="D9" i="13"/>
  <c r="D8" i="13"/>
  <c r="L2" i="14"/>
  <c r="K1" i="13"/>
  <c r="C30" i="15"/>
  <c r="D8" i="15"/>
  <c r="D7" i="15"/>
  <c r="D6" i="15"/>
  <c r="S1" i="15" l="1"/>
  <c r="J2" i="3"/>
  <c r="K2" i="14"/>
  <c r="J1" i="2"/>
  <c r="L20" i="3" l="1"/>
  <c r="L19" i="3"/>
  <c r="L18" i="3"/>
  <c r="K12" i="14" l="1"/>
  <c r="K11" i="14"/>
  <c r="L21" i="3"/>
  <c r="H22" i="15"/>
  <c r="K13" i="14"/>
  <c r="K10" i="14"/>
  <c r="J40" i="4"/>
  <c r="D20" i="2"/>
  <c r="M7" i="13" s="1"/>
  <c r="M19" i="13" s="1"/>
  <c r="D42" i="4"/>
  <c r="E42" i="4" s="1"/>
  <c r="M22" i="13"/>
  <c r="D25" i="4" s="1"/>
  <c r="D27" i="4" s="1"/>
  <c r="G22" i="13"/>
  <c r="D9" i="4" s="1"/>
  <c r="H22" i="13"/>
  <c r="E9" i="4" s="1"/>
  <c r="I22" i="13"/>
  <c r="F9" i="4" s="1"/>
  <c r="J22" i="13"/>
  <c r="G9" i="4" s="1"/>
  <c r="K22" i="13"/>
  <c r="H9" i="4" s="1"/>
  <c r="G19" i="4" s="1"/>
  <c r="H8" i="4"/>
  <c r="N14" i="13"/>
  <c r="N22" i="13" s="1"/>
  <c r="E25" i="4" s="1"/>
  <c r="N9" i="13"/>
  <c r="O9" i="13" s="1"/>
  <c r="P9" i="13" s="1"/>
  <c r="Q9" i="13" s="1"/>
  <c r="G8" i="4"/>
  <c r="F8" i="4"/>
  <c r="E8" i="4"/>
  <c r="B1" i="2"/>
  <c r="E27" i="4" l="1"/>
  <c r="B1" i="5"/>
  <c r="B1" i="15"/>
  <c r="B1" i="14"/>
  <c r="D41" i="4"/>
  <c r="J6" i="10" s="1"/>
  <c r="F8" i="10" s="1"/>
  <c r="C43" i="4" s="1"/>
  <c r="H27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7" i="4"/>
  <c r="L6" i="3"/>
  <c r="K7" i="13"/>
  <c r="K19" i="13" s="1"/>
  <c r="H8" i="14"/>
  <c r="F19" i="4"/>
  <c r="E19" i="4" s="1"/>
  <c r="D19" i="4" s="1"/>
  <c r="D21" i="4" s="1"/>
  <c r="F42" i="4"/>
  <c r="K42" i="4"/>
  <c r="J42" i="4"/>
  <c r="O14" i="13"/>
  <c r="B1" i="13"/>
  <c r="B1" i="3"/>
  <c r="B1" i="4"/>
  <c r="B1" i="10"/>
  <c r="J41" i="4" l="1"/>
  <c r="C46" i="4"/>
  <c r="K6" i="3"/>
  <c r="K12" i="3" s="1"/>
  <c r="J7" i="13"/>
  <c r="J19" i="13" s="1"/>
  <c r="G7" i="4"/>
  <c r="I27" i="3"/>
  <c r="N7" i="13"/>
  <c r="N19" i="13" s="1"/>
  <c r="F20" i="2"/>
  <c r="J5" i="15" s="1"/>
  <c r="E24" i="4"/>
  <c r="E41" i="4"/>
  <c r="K41" i="4" s="1"/>
  <c r="I8" i="14"/>
  <c r="H15" i="14"/>
  <c r="J6" i="3"/>
  <c r="E15" i="2"/>
  <c r="F7" i="4"/>
  <c r="I7" i="13"/>
  <c r="I19" i="13" s="1"/>
  <c r="L16" i="3"/>
  <c r="L23" i="3" s="1"/>
  <c r="H11" i="4" s="1"/>
  <c r="L12" i="3"/>
  <c r="L42" i="4"/>
  <c r="G42" i="4"/>
  <c r="P14" i="13"/>
  <c r="O22" i="13"/>
  <c r="F25" i="4" s="1"/>
  <c r="F27" i="4" s="1"/>
  <c r="K6" i="10" l="1"/>
  <c r="F41" i="4"/>
  <c r="L41" i="4" s="1"/>
  <c r="J27" i="3"/>
  <c r="O7" i="13"/>
  <c r="O19" i="13" s="1"/>
  <c r="K16" i="3"/>
  <c r="K23" i="3" s="1"/>
  <c r="G11" i="4" s="1"/>
  <c r="G20" i="2"/>
  <c r="K5" i="15" s="1"/>
  <c r="F24" i="4"/>
  <c r="J16" i="3"/>
  <c r="J23" i="3" s="1"/>
  <c r="F11" i="4" s="1"/>
  <c r="J12" i="3"/>
  <c r="E7" i="4"/>
  <c r="D15" i="2"/>
  <c r="H7" i="13"/>
  <c r="H19" i="13" s="1"/>
  <c r="I6" i="3"/>
  <c r="K8" i="14"/>
  <c r="K15" i="14" s="1"/>
  <c r="I15" i="14"/>
  <c r="M42" i="4"/>
  <c r="H42" i="4"/>
  <c r="N42" i="4" s="1"/>
  <c r="P22" i="13"/>
  <c r="G25" i="4" s="1"/>
  <c r="G27" i="4" s="1"/>
  <c r="Q14" i="13"/>
  <c r="Q22" i="13" s="1"/>
  <c r="H25" i="4" s="1"/>
  <c r="L6" i="10" l="1"/>
  <c r="H27" i="4"/>
  <c r="G7" i="13"/>
  <c r="G15" i="13" s="1"/>
  <c r="H15" i="13" s="1"/>
  <c r="I15" i="13" s="1"/>
  <c r="J15" i="13" s="1"/>
  <c r="D7" i="4"/>
  <c r="H6" i="3"/>
  <c r="G41" i="4"/>
  <c r="M6" i="10" s="1"/>
  <c r="P7" i="13"/>
  <c r="P19" i="13" s="1"/>
  <c r="G24" i="4"/>
  <c r="K27" i="3"/>
  <c r="H20" i="2"/>
  <c r="I12" i="3"/>
  <c r="I16" i="3"/>
  <c r="I23" i="3" s="1"/>
  <c r="E11" i="4" s="1"/>
  <c r="F7" i="13" l="1"/>
  <c r="F30" i="3" s="1"/>
  <c r="G19" i="13"/>
  <c r="G10" i="13"/>
  <c r="H10" i="13" s="1"/>
  <c r="I10" i="13" s="1"/>
  <c r="J10" i="13" s="1"/>
  <c r="K10" i="13" s="1"/>
  <c r="L10" i="13" s="1"/>
  <c r="H12" i="3"/>
  <c r="D10" i="4" s="1"/>
  <c r="H16" i="3"/>
  <c r="H23" i="3" s="1"/>
  <c r="D11" i="4" s="1"/>
  <c r="H24" i="4"/>
  <c r="D23" i="2"/>
  <c r="M41" i="4"/>
  <c r="F33" i="15"/>
  <c r="C33" i="15" s="1"/>
  <c r="L5" i="15"/>
  <c r="H41" i="4"/>
  <c r="N41" i="4" s="1"/>
  <c r="Q7" i="13"/>
  <c r="Q19" i="13" s="1"/>
  <c r="L27" i="3"/>
  <c r="K15" i="13"/>
  <c r="L15" i="13" s="1"/>
  <c r="G10" i="4"/>
  <c r="G12" i="4" s="1"/>
  <c r="E10" i="4"/>
  <c r="E12" i="4" s="1"/>
  <c r="F10" i="4"/>
  <c r="F12" i="4" s="1"/>
  <c r="H30" i="3" l="1"/>
  <c r="H31" i="3" s="1"/>
  <c r="D26" i="4" s="1"/>
  <c r="D28" i="4" s="1"/>
  <c r="M10" i="13"/>
  <c r="N10" i="13" s="1"/>
  <c r="F12" i="3"/>
  <c r="F8" i="3"/>
  <c r="F9" i="3"/>
  <c r="C15" i="13"/>
  <c r="F10" i="3"/>
  <c r="C10" i="13"/>
  <c r="N6" i="10"/>
  <c r="D12" i="4"/>
  <c r="E23" i="2"/>
  <c r="M5" i="15"/>
  <c r="H30" i="15" s="1"/>
  <c r="G15" i="4"/>
  <c r="H15" i="4"/>
  <c r="F20" i="4"/>
  <c r="G20" i="4"/>
  <c r="H16" i="4"/>
  <c r="H10" i="4"/>
  <c r="H12" i="4" s="1"/>
  <c r="H20" i="4" s="1"/>
  <c r="M15" i="13"/>
  <c r="N15" i="13" s="1"/>
  <c r="O15" i="13" s="1"/>
  <c r="P15" i="13" s="1"/>
  <c r="Q15" i="13" s="1"/>
  <c r="H14" i="4"/>
  <c r="F14" i="4"/>
  <c r="E20" i="4"/>
  <c r="G14" i="4"/>
  <c r="I30" i="3" l="1"/>
  <c r="I31" i="3" s="1"/>
  <c r="E26" i="4" s="1"/>
  <c r="E28" i="4" s="1"/>
  <c r="D20" i="4"/>
  <c r="G13" i="4"/>
  <c r="G18" i="4" s="1"/>
  <c r="G21" i="4" s="1"/>
  <c r="E13" i="4"/>
  <c r="E18" i="4" s="1"/>
  <c r="E21" i="4" s="1"/>
  <c r="F13" i="4"/>
  <c r="F18" i="4" s="1"/>
  <c r="F21" i="4" s="1"/>
  <c r="H13" i="4"/>
  <c r="H18" i="4" s="1"/>
  <c r="H21" i="4" s="1"/>
  <c r="F23" i="2"/>
  <c r="N5" i="15"/>
  <c r="I30" i="15" s="1"/>
  <c r="O10" i="13"/>
  <c r="J30" i="3"/>
  <c r="J31" i="3" s="1"/>
  <c r="F26" i="4" s="1"/>
  <c r="F28" i="4" s="1"/>
  <c r="I10" i="15"/>
  <c r="J10" i="15"/>
  <c r="D35" i="4" l="1"/>
  <c r="G23" i="2"/>
  <c r="O5" i="15"/>
  <c r="J30" i="15" s="1"/>
  <c r="P10" i="13"/>
  <c r="K30" i="3"/>
  <c r="K31" i="3" s="1"/>
  <c r="G26" i="4" s="1"/>
  <c r="G28" i="4" s="1"/>
  <c r="H13" i="15"/>
  <c r="H9" i="15"/>
  <c r="H10" i="15"/>
  <c r="H23" i="2" l="1"/>
  <c r="Q5" i="15" s="1"/>
  <c r="L30" i="15" s="1"/>
  <c r="P5" i="15"/>
  <c r="K30" i="15" s="1"/>
  <c r="Q10" i="13"/>
  <c r="L30" i="3"/>
  <c r="L31" i="3" s="1"/>
  <c r="H26" i="4" s="1"/>
  <c r="H28" i="4" s="1"/>
  <c r="D31" i="4" s="1"/>
  <c r="I13" i="15"/>
  <c r="I9" i="15"/>
  <c r="D33" i="4" l="1"/>
  <c r="D34" i="4"/>
  <c r="D36" i="4" s="1"/>
  <c r="D43" i="4" s="1"/>
  <c r="J13" i="15"/>
  <c r="J9" i="15"/>
  <c r="J44" i="4" l="1"/>
  <c r="K44" i="4" s="1"/>
  <c r="L44" i="4" s="1"/>
  <c r="M44" i="4" s="1"/>
  <c r="N44" i="4" s="1"/>
  <c r="K13" i="15"/>
  <c r="K9" i="15"/>
  <c r="E43" i="4" l="1"/>
  <c r="J8" i="10"/>
  <c r="H12" i="15"/>
  <c r="H15" i="15" s="1"/>
  <c r="H16" i="15" s="1"/>
  <c r="K17" i="15" s="1"/>
  <c r="L13" i="15"/>
  <c r="J46" i="4"/>
  <c r="L9" i="15"/>
  <c r="L10" i="15"/>
  <c r="K24" i="15" s="1"/>
  <c r="K10" i="15"/>
  <c r="L17" i="15" l="1"/>
  <c r="I17" i="15"/>
  <c r="I22" i="15" s="1"/>
  <c r="J17" i="15"/>
  <c r="F43" i="4"/>
  <c r="K8" i="10"/>
  <c r="I12" i="15"/>
  <c r="I15" i="15" s="1"/>
  <c r="I16" i="15" s="1"/>
  <c r="J24" i="15"/>
  <c r="L8" i="10" l="1"/>
  <c r="J12" i="15"/>
  <c r="J15" i="15" s="1"/>
  <c r="J16" i="15" s="1"/>
  <c r="G43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3" i="4"/>
  <c r="D46" i="4" s="1"/>
  <c r="J48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 l="1"/>
  <c r="I31" i="15" l="1"/>
  <c r="J31" i="15" l="1"/>
  <c r="K31" i="15"/>
  <c r="L31" i="15" l="1"/>
  <c r="H33" i="15" s="1"/>
  <c r="I33" i="15" l="1"/>
  <c r="J33" i="15" s="1"/>
  <c r="K33" i="15" s="1"/>
  <c r="L33" i="15" s="1"/>
  <c r="M33" i="15" l="1"/>
</calcChain>
</file>

<file path=xl/sharedStrings.xml><?xml version="1.0" encoding="utf-8"?>
<sst xmlns="http://schemas.openxmlformats.org/spreadsheetml/2006/main" count="288" uniqueCount="131">
  <si>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</si>
  <si>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</si>
  <si>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</si>
  <si>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</si>
  <si>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</si>
  <si>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</si>
  <si>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</si>
  <si>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</si>
  <si>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</si>
  <si>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</si>
  <si>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</si>
  <si>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</si>
  <si>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</si>
  <si>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</si>
  <si>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</si>
  <si>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</si>
  <si>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</si>
  <si>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</si>
  <si>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</si>
  <si>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</si>
  <si>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</si>
  <si>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</si>
  <si>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</si>
  <si>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</si>
  <si>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</si>
  <si>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</si>
  <si>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</si>
  <si>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</si>
  <si>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</si>
  <si>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</si>
  <si>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</si>
  <si>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</si>
  <si>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</si>
  <si>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</si>
  <si>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</si>
  <si>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</si>
  <si>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</si>
  <si>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</si>
  <si>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</si>
  <si>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</si>
  <si>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</si>
  <si>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</si>
  <si>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</si>
  <si>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</si>
  <si>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</si>
  <si>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</si>
  <si>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</si>
  <si>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</si>
  <si>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</si>
  <si>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</si>
  <si>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</si>
  <si>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</si>
  <si>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</si>
  <si>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</si>
  <si>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</si>
  <si>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</si>
  <si>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</si>
  <si>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</si>
  <si>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</si>
  <si>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</si>
  <si>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</si>
  <si>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</si>
  <si>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</si>
  <si>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</si>
  <si>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</si>
  <si>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</si>
  <si>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</si>
  <si>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</si>
  <si>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</si>
  <si>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</si>
  <si>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</si>
  <si>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</si>
  <si>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</si>
  <si>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</si>
  <si>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</si>
  <si>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</si>
  <si>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</si>
  <si>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</si>
  <si>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</si>
  <si>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</si>
  <si>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</si>
  <si>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</si>
  <si>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</si>
  <si>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</si>
  <si>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</si>
  <si>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</si>
  <si>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</si>
  <si>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</si>
  <si>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</si>
  <si>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</si>
  <si>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</si>
  <si>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</si>
  <si>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</si>
  <si>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</si>
  <si>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</si>
  <si>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</si>
  <si>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</si>
  <si>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</si>
  <si>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</si>
  <si>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</si>
  <si>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</si>
  <si>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</si>
  <si>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</si>
  <si>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</si>
  <si>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</si>
  <si>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</si>
  <si>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</si>
  <si>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</si>
  <si>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</si>
  <si>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</si>
  <si>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</si>
  <si>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</si>
  <si>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</si>
  <si>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</si>
  <si>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</si>
  <si>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</si>
  <si>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</si>
  <si>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Sector</t>
  </si>
  <si>
    <t>Forecast regulatory control period</t>
  </si>
  <si>
    <t>Input | Final year Capex</t>
  </si>
  <si>
    <t>AusNet Services</t>
  </si>
  <si>
    <t>FY20 True-up</t>
  </si>
  <si>
    <t>2021-26</t>
  </si>
  <si>
    <t>2021-22</t>
  </si>
  <si>
    <t>2026-31</t>
  </si>
  <si>
    <t>2021-2021</t>
  </si>
  <si>
    <t>NPV underspend (31 December 2020)</t>
  </si>
  <si>
    <t>NPV financing benefit (31 Decmber 2020)</t>
  </si>
  <si>
    <t>NPV of increase in forecast capex from deferred capex (31 December 2020)</t>
  </si>
  <si>
    <t>NPV of CESS payments (post-adjustment) as at 31 December 2020</t>
  </si>
  <si>
    <t>NPV of CESS payments (post-adjustment) as at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</si>
</sst>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_-* #,##0.000_-;\-* #,##0.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0DA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7" fontId="23" fillId="39" borderId="0" applyFont="0" applyBorder="0" applyAlignment="0"/>
    <xf numFmtId="191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1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3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0" fontId="15" fillId="3" borderId="0" xfId="0" applyNumberFormat="1" applyFont="1" applyFill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3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7" fillId="3" borderId="2" xfId="304" applyFont="1" applyFill="1" applyBorder="1" applyAlignment="1" applyProtection="1">
      <alignment horizontal="left" vertical="center"/>
    </xf>
    <xf numFmtId="0" fontId="105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0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6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5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8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69" fontId="24" fillId="53" borderId="34" xfId="0" applyNumberFormat="1" applyFont="1" applyFill="1" applyBorder="1" applyAlignment="1">
      <alignment horizontal="right" vertical="center"/>
    </xf>
    <xf numFmtId="169" fontId="24" fillId="53" borderId="2" xfId="0" applyNumberFormat="1" applyFont="1" applyFill="1" applyBorder="1" applyAlignment="1">
      <alignment horizontal="right" vertical="center"/>
    </xf>
    <xf numFmtId="169" fontId="24" fillId="53" borderId="37" xfId="0" applyNumberFormat="1" applyFont="1" applyFill="1" applyBorder="1" applyAlignment="1">
      <alignment horizontal="right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2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0" fontId="22" fillId="59" borderId="0" xfId="304" applyNumberFormat="1" applyFont="1" applyFill="1" applyBorder="1" applyAlignment="1" applyProtection="1">
      <alignment horizontal="center" vertical="center"/>
    </xf>
    <xf numFmtId="10" fontId="24" fillId="59" borderId="26" xfId="0" applyNumberFormat="1" applyFont="1" applyFill="1" applyBorder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10" fontId="15" fillId="60" borderId="26" xfId="0" applyNumberFormat="1" applyFont="1" applyFill="1" applyBorder="1" applyAlignment="1">
      <alignment horizontal="center" vertical="center"/>
    </xf>
    <xf numFmtId="0" fontId="15" fillId="61" borderId="5" xfId="0" applyFont="1" applyFill="1" applyBorder="1" applyAlignment="1">
      <alignment horizontal="left" indent="1"/>
    </xf>
    <xf numFmtId="0" fontId="15" fillId="61" borderId="33" xfId="0" applyFont="1" applyFill="1" applyBorder="1" applyAlignment="1">
      <alignment horizontal="left" indent="1"/>
    </xf>
    <xf numFmtId="0" fontId="15" fillId="61" borderId="38" xfId="0" applyFont="1" applyFill="1" applyBorder="1" applyAlignment="1">
      <alignment horizontal="left" indent="1"/>
    </xf>
    <xf numFmtId="0" fontId="15" fillId="59" borderId="33" xfId="0" applyFont="1" applyFill="1" applyBorder="1" applyAlignment="1">
      <alignment horizontal="left" indent="1"/>
    </xf>
    <xf numFmtId="2" fontId="15" fillId="62" borderId="38" xfId="0" applyNumberFormat="1" applyFont="1" applyFill="1" applyBorder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D8E4BC"/>
      <color rgb="FFFFFF99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7265625" style="1" customWidth="1"/>
    <col min="6" max="6" width="2.7265625" style="2" customWidth="1"/>
    <col min="7" max="28" width="12.7265625" style="2" customWidth="1"/>
    <col min="29" max="16384" width="9.26953125" style="2" hidden="1"/>
  </cols>
  <sheetData>
    <row r="1" spans="2:6" s="5" customFormat="1" ht="18" customHeight="1">
      <c r="B1" s="3" t="str">
        <f>'Input | General'!$B$1</f>
        <v>AusNet Services 2021-26 FY20 True-up - Capital expenditure sharing scheme model</v>
      </c>
      <c r="D1" s="4"/>
      <c r="E1" s="4"/>
    </row>
    <row r="2" spans="2:6" ht="18" customHeight="1">
      <c r="B2" s="27" t="s">
        <v>0</v>
      </c>
    </row>
    <row r="3" spans="2:6" ht="3" customHeight="1">
      <c r="C3" s="2"/>
    </row>
    <row r="4" spans="2:6" s="8" customFormat="1" ht="12.75" customHeight="1">
      <c r="C4" s="23" t="s">
        <v>1</v>
      </c>
      <c r="D4" s="7"/>
      <c r="E4" s="7"/>
    </row>
    <row r="5" spans="2:6" ht="11.25" customHeight="1"/>
    <row r="6" spans="2:6" ht="11.25" customHeight="1">
      <c r="C6" s="25" t="s">
        <v>2</v>
      </c>
      <c r="D6" s="25" t="s">
        <v>3</v>
      </c>
      <c r="E6" s="25"/>
    </row>
    <row r="7" spans="2:6" ht="11.25" customHeight="1">
      <c r="C7" s="94" t="s">
        <v>4</v>
      </c>
      <c r="D7" s="26" t="s">
        <v>5</v>
      </c>
      <c r="E7" s="26"/>
      <c r="F7" s="24"/>
    </row>
    <row r="8" spans="2:6" ht="11.25" customHeight="1">
      <c r="C8" s="94" t="s">
        <v>6</v>
      </c>
      <c r="D8" s="26" t="s">
        <v>7</v>
      </c>
      <c r="E8" s="26"/>
      <c r="F8" s="24"/>
    </row>
    <row r="9" spans="2:6" ht="11.25" customHeight="1">
      <c r="C9" s="94" t="s">
        <v>119</v>
      </c>
      <c r="D9" s="26" t="s">
        <v>112</v>
      </c>
      <c r="E9" s="26"/>
      <c r="F9" s="24"/>
    </row>
    <row r="10" spans="2:6" ht="11.25" customHeight="1">
      <c r="C10" s="94" t="s">
        <v>8</v>
      </c>
      <c r="D10" s="26" t="s">
        <v>9</v>
      </c>
      <c r="E10" s="26"/>
      <c r="F10" s="24"/>
    </row>
    <row r="11" spans="2:6" ht="11.25" customHeight="1">
      <c r="C11" s="94" t="s">
        <v>10</v>
      </c>
      <c r="D11" s="26" t="s">
        <v>11</v>
      </c>
      <c r="E11" s="26"/>
      <c r="F11" s="24"/>
    </row>
    <row r="12" spans="2:6" ht="11.25" customHeight="1">
      <c r="C12" s="94" t="s">
        <v>12</v>
      </c>
      <c r="D12" s="26" t="s">
        <v>13</v>
      </c>
      <c r="E12" s="26"/>
      <c r="F12" s="24"/>
    </row>
    <row r="13" spans="2:6" ht="11.25" customHeight="1">
      <c r="C13" s="94" t="s">
        <v>113</v>
      </c>
      <c r="D13" s="26" t="s">
        <v>114</v>
      </c>
      <c r="E13" s="26"/>
      <c r="F13" s="24"/>
    </row>
    <row r="14" spans="2:6" ht="11.25" customHeight="1">
      <c r="C14" s="94"/>
      <c r="D14" s="26"/>
      <c r="E14" s="26"/>
      <c r="F14" s="24"/>
    </row>
    <row r="15" spans="2:6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6"/>
  <sheetViews>
    <sheetView workbookViewId="0">
      <selection activeCell="I12" sqref="I12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8" width="12.7265625" style="11" customWidth="1"/>
    <col min="9" max="9" width="9.453125" style="11" customWidth="1"/>
    <col min="10" max="10" width="10.54296875" style="11" bestFit="1" customWidth="1"/>
    <col min="11" max="12" width="2.7265625" style="11" customWidth="1"/>
    <col min="13" max="22" width="9.26953125" style="11" customWidth="1"/>
    <col min="23" max="16384" width="12.7265625" style="11" hidden="1"/>
  </cols>
  <sheetData>
    <row r="1" spans="1:12" s="2" customFormat="1" ht="18" customHeight="1">
      <c r="B1" s="3" t="str">
        <f>$D$6&amp;" "&amp;$D$9&amp;" "&amp;D8&amp;" - "&amp;"Capital expenditure sharing scheme model"</f>
        <v>AusNet Services 2021-26 FY20 True-up - Capital expenditure sharing scheme model</v>
      </c>
      <c r="F1" s="92"/>
      <c r="G1" s="93" t="s">
        <v>15</v>
      </c>
      <c r="H1" s="136" t="s">
        <v>16</v>
      </c>
      <c r="I1" s="141" t="s">
        <v>17</v>
      </c>
      <c r="J1" s="205" t="str">
        <f>$D$8</f>
        <v>FY20 True-up</v>
      </c>
    </row>
    <row r="2" spans="1:12" s="2" customFormat="1" ht="18" customHeight="1">
      <c r="B2" s="10" t="s">
        <v>4</v>
      </c>
    </row>
    <row r="3" spans="1:12" s="2" customFormat="1" ht="3" customHeight="1">
      <c r="B3" s="1"/>
    </row>
    <row r="4" spans="1:12" s="52" customFormat="1" ht="12.75" customHeight="1">
      <c r="A4" s="8"/>
      <c r="B4" s="23" t="s">
        <v>4</v>
      </c>
    </row>
    <row r="5" spans="1:12" s="24" customFormat="1" ht="11.25" customHeight="1">
      <c r="C5" s="25"/>
    </row>
    <row r="6" spans="1:12" s="60" customFormat="1" ht="11.25" customHeight="1">
      <c r="C6" s="59" t="s">
        <v>115</v>
      </c>
      <c r="D6" s="137" t="s">
        <v>120</v>
      </c>
      <c r="J6" s="69"/>
      <c r="K6" s="69"/>
      <c r="L6" s="69"/>
    </row>
    <row r="7" spans="1:12" s="60" customFormat="1" ht="11.25" customHeight="1">
      <c r="C7" s="59" t="s">
        <v>117</v>
      </c>
      <c r="D7" s="137" t="s">
        <v>41</v>
      </c>
      <c r="J7" s="69"/>
      <c r="K7" s="69"/>
      <c r="L7" s="69"/>
    </row>
    <row r="8" spans="1:12" s="60" customFormat="1" ht="11.25" customHeight="1">
      <c r="C8" s="59" t="s">
        <v>18</v>
      </c>
      <c r="D8" s="204" t="s">
        <v>121</v>
      </c>
      <c r="I8" s="69"/>
      <c r="J8" s="69"/>
      <c r="K8" s="69"/>
      <c r="L8" s="69"/>
    </row>
    <row r="9" spans="1:12" s="60" customFormat="1" ht="11.25" customHeight="1">
      <c r="C9" s="59" t="s">
        <v>19</v>
      </c>
      <c r="D9" s="137" t="s">
        <v>122</v>
      </c>
      <c r="J9" s="69"/>
      <c r="K9" s="69"/>
      <c r="L9" s="69"/>
    </row>
    <row r="10" spans="1:12" s="60" customFormat="1" ht="11.25" customHeight="1">
      <c r="C10" s="163" t="s">
        <v>20</v>
      </c>
      <c r="D10" s="137" t="s">
        <v>123</v>
      </c>
      <c r="J10" s="69"/>
      <c r="K10" s="69"/>
      <c r="L10" s="69"/>
    </row>
    <row r="11" spans="1:12" s="60" customFormat="1" ht="11.25" customHeight="1">
      <c r="C11" s="59" t="s">
        <v>21</v>
      </c>
      <c r="D11" s="137" t="s">
        <v>124</v>
      </c>
      <c r="J11" s="69"/>
      <c r="K11" s="69"/>
      <c r="L11" s="69"/>
    </row>
    <row r="12" spans="1:12" s="60" customFormat="1" ht="11.25" customHeight="1">
      <c r="C12" s="59"/>
      <c r="J12" s="69"/>
      <c r="K12" s="69"/>
      <c r="L12" s="69"/>
    </row>
    <row r="13" spans="1:12" s="60" customFormat="1" ht="11.25" customHeight="1">
      <c r="C13" s="81" t="s">
        <v>22</v>
      </c>
      <c r="J13" s="69"/>
      <c r="K13" s="69"/>
      <c r="L13" s="69"/>
    </row>
    <row r="14" spans="1:12" s="60" customFormat="1" ht="11.25" customHeight="1">
      <c r="C14" s="59"/>
      <c r="D14" s="61" t="s">
        <v>23</v>
      </c>
      <c r="E14" s="61" t="s">
        <v>24</v>
      </c>
      <c r="F14" s="61" t="s">
        <v>25</v>
      </c>
      <c r="G14" s="61" t="s">
        <v>26</v>
      </c>
      <c r="H14" s="61" t="s">
        <v>27</v>
      </c>
      <c r="J14" s="69"/>
      <c r="K14" s="69"/>
      <c r="L14" s="69"/>
    </row>
    <row r="15" spans="1:12" s="60" customFormat="1" ht="11.25" customHeight="1">
      <c r="C15" s="59" t="s">
        <v>28</v>
      </c>
      <c r="D15" s="162" t="str">
        <f t="shared" ref="D15:F15" si="0">IF(LEN(E15)&gt;4,CONCATENATE(LEFT(E15,4)-1&amp;"–"&amp;IF(RIGHT(E15,2)="00","99",IF(RIGHT(E15,2)-1&lt;10,"0","")&amp;RIGHT(E15,2)-1)),E15-1)</f>
        <v>2016–17</v>
      </c>
      <c r="E15" s="162" t="str">
        <f t="shared" si="0"/>
        <v>2017–18</v>
      </c>
      <c r="F15" s="162" t="str">
        <f t="shared" si="0"/>
        <v>2018–19</v>
      </c>
      <c r="G15" s="162" t="str">
        <f>IF(LEN(H15)&gt;4,CONCATENATE(LEFT(H15,4)-1&amp;"–"&amp;IF(RIGHT(H15,2)="00","99",IF(RIGHT(H15,2)-1&lt;10,"0","")&amp;RIGHT(H15,2)-1)),H15-1)</f>
        <v>2019–20</v>
      </c>
      <c r="H15" s="162" t="str">
        <f>IF(LEN(D10)&gt;4,CONCATENATE(LEFT(D10,4)-1&amp;"–"&amp;IF(RIGHT(D10,2)="00","99",IF(RIGHT(D10,2)-1&lt;10,"0","")&amp;RIGHT(D10,2)-1)),D10-1)</f>
        <v>2020–21</v>
      </c>
      <c r="J15" s="69"/>
      <c r="K15" s="69"/>
      <c r="L15" s="69"/>
    </row>
    <row r="16" spans="1:12" s="60" customFormat="1" ht="11.25" customHeight="1">
      <c r="C16" s="59" t="s">
        <v>29</v>
      </c>
      <c r="D16" s="137" t="s">
        <v>30</v>
      </c>
      <c r="E16" s="137" t="s">
        <v>30</v>
      </c>
      <c r="F16" s="137" t="s">
        <v>30</v>
      </c>
      <c r="G16" s="137" t="s">
        <v>30</v>
      </c>
      <c r="H16" s="137" t="s">
        <v>30</v>
      </c>
      <c r="J16" s="69"/>
      <c r="K16" s="69"/>
      <c r="L16" s="69"/>
    </row>
    <row r="17" spans="1:12" s="60" customFormat="1" ht="11.25" customHeight="1">
      <c r="C17" s="59" t="s">
        <v>31</v>
      </c>
      <c r="D17" s="137" t="s">
        <v>32</v>
      </c>
      <c r="E17" s="137" t="s">
        <v>32</v>
      </c>
      <c r="F17" s="137" t="s">
        <v>32</v>
      </c>
      <c r="G17" s="137" t="s">
        <v>32</v>
      </c>
      <c r="H17" s="137" t="s">
        <v>33</v>
      </c>
      <c r="J17" s="69"/>
      <c r="K17" s="69"/>
      <c r="L17" s="69"/>
    </row>
    <row r="18" spans="1:12" s="60" customFormat="1" ht="11.25" customHeight="1">
      <c r="C18" s="59"/>
      <c r="D18" s="69"/>
      <c r="E18" s="69"/>
      <c r="F18" s="69"/>
      <c r="G18" s="69"/>
      <c r="H18" s="69"/>
      <c r="J18" s="69"/>
      <c r="K18" s="69"/>
      <c r="L18" s="69"/>
    </row>
    <row r="19" spans="1:12" s="60" customFormat="1" ht="11.25" customHeight="1">
      <c r="C19" s="59"/>
      <c r="D19" s="61" t="s">
        <v>23</v>
      </c>
      <c r="E19" s="61" t="s">
        <v>24</v>
      </c>
      <c r="F19" s="61" t="s">
        <v>25</v>
      </c>
      <c r="G19" s="61" t="s">
        <v>26</v>
      </c>
      <c r="H19" s="61" t="s">
        <v>27</v>
      </c>
      <c r="J19" s="69"/>
      <c r="K19" s="69"/>
      <c r="L19" s="69"/>
    </row>
    <row r="20" spans="1:12" s="60" customFormat="1" ht="11.25" customHeight="1">
      <c r="C20" s="59" t="s">
        <v>34</v>
      </c>
      <c r="D20" s="162" t="str">
        <f>D10</f>
        <v>2021-22</v>
      </c>
      <c r="E20" s="162" t="str">
        <f>IF(LEN(D20)&gt;4,CONCATENATE(LEFT(D20,4)+1&amp;"–"&amp;IF(RIGHT(D20,2)+1&gt;9,"","0")&amp;RIGHT(D20,2)+1),D20+1)</f>
        <v>2022–23</v>
      </c>
      <c r="F20" s="162" t="str">
        <f t="shared" ref="F20:H20" si="1">IF(LEN(E20)&gt;4,CONCATENATE(LEFT(E20,4)+1&amp;"–"&amp;IF(RIGHT(E20,2)+1&gt;9,"","0")&amp;RIGHT(E20,2)+1),E20+1)</f>
        <v>2023–24</v>
      </c>
      <c r="G20" s="162" t="str">
        <f t="shared" si="1"/>
        <v>2024–25</v>
      </c>
      <c r="H20" s="162" t="str">
        <f t="shared" si="1"/>
        <v>2025–26</v>
      </c>
      <c r="J20" s="69"/>
      <c r="K20" s="69"/>
      <c r="L20" s="69"/>
    </row>
    <row r="21" spans="1:12" s="60" customFormat="1" ht="11.25" customHeight="1">
      <c r="C21" s="69"/>
      <c r="D21" s="69"/>
      <c r="E21" s="69"/>
      <c r="F21" s="69"/>
      <c r="G21" s="69"/>
      <c r="H21" s="69"/>
      <c r="J21" s="69"/>
      <c r="K21" s="69"/>
      <c r="L21" s="69"/>
    </row>
    <row r="22" spans="1:12" s="60" customFormat="1" ht="11.25" customHeight="1">
      <c r="C22" s="69"/>
      <c r="D22" s="61" t="s">
        <v>23</v>
      </c>
      <c r="E22" s="61" t="s">
        <v>24</v>
      </c>
      <c r="F22" s="61" t="s">
        <v>25</v>
      </c>
      <c r="G22" s="61" t="s">
        <v>26</v>
      </c>
      <c r="H22" s="61" t="s">
        <v>27</v>
      </c>
      <c r="J22" s="69"/>
      <c r="K22" s="69"/>
      <c r="L22" s="69"/>
    </row>
    <row r="23" spans="1:12" s="60" customFormat="1" ht="11.25" customHeight="1">
      <c r="C23" s="59" t="s">
        <v>118</v>
      </c>
      <c r="D23" s="162" t="str">
        <f>IF(LEN(H20)&gt;4,CONCATENATE(LEFT(H20,4)+1&amp;"–"&amp;IF(RIGHT(H20,2)+1&gt;9,"","0")&amp;RIGHT(H20,2)+1),H20+1)</f>
        <v>2026–27</v>
      </c>
      <c r="E23" s="162" t="str">
        <f t="shared" ref="E23:H23" si="2">IF(LEN(D23)&gt;4,CONCATENATE(LEFT(D23,4)+1&amp;"–"&amp;IF(RIGHT(D23,2)+1&gt;9,"","0")&amp;RIGHT(D23,2)+1),D23+1)</f>
        <v>2027–28</v>
      </c>
      <c r="F23" s="162" t="str">
        <f t="shared" si="2"/>
        <v>2028–29</v>
      </c>
      <c r="G23" s="162" t="str">
        <f t="shared" si="2"/>
        <v>2029–30</v>
      </c>
      <c r="H23" s="162" t="str">
        <f t="shared" si="2"/>
        <v>2030–31</v>
      </c>
      <c r="J23" s="69"/>
      <c r="K23" s="69"/>
      <c r="L23" s="69"/>
    </row>
    <row r="24" spans="1:12" s="60" customFormat="1" ht="11.25" customHeight="1">
      <c r="J24" s="69"/>
      <c r="K24" s="69"/>
      <c r="L24" s="69"/>
    </row>
    <row r="25" spans="1:12" s="52" customFormat="1" ht="12.75" customHeight="1">
      <c r="A25" s="8"/>
      <c r="B25" s="23" t="s">
        <v>14</v>
      </c>
    </row>
    <row r="26" spans="1:12" ht="18" customHeight="1">
      <c r="C26" s="11"/>
    </row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G108"/>
  <sheetViews>
    <sheetView workbookViewId="0">
      <selection activeCell="P2" sqref="P2"/>
    </sheetView>
  </sheetViews>
  <sheetFormatPr defaultColWidth="0" defaultRowHeight="18" customHeight="1" zeroHeight="1"/>
  <cols>
    <col min="1" max="2" width="1.26953125" style="19" customWidth="1"/>
    <col min="3" max="3" width="36.7265625" style="19" customWidth="1"/>
    <col min="4" max="5" width="22.7265625" style="19" customWidth="1"/>
    <col min="6" max="6" width="12.7265625" style="19" customWidth="1"/>
    <col min="7" max="13" width="12.7265625" style="2" customWidth="1"/>
    <col min="14" max="14" width="12.54296875" style="17" customWidth="1"/>
    <col min="15" max="17" width="12.7265625" style="19" customWidth="1"/>
    <col min="18" max="19" width="2.7265625" style="19" customWidth="1"/>
    <col min="20" max="33" width="12.7265625" style="19" customWidth="1"/>
    <col min="34" max="16384" width="9.26953125" style="19" hidden="1"/>
  </cols>
  <sheetData>
    <row r="1" spans="1:19" s="2" customFormat="1" ht="18" customHeight="1">
      <c r="B1" s="3" t="str">
        <f>'Input | General'!$B$1</f>
        <v>AusNet Services 2021-26 FY20 True-up - Capital expenditure sharing scheme model</v>
      </c>
      <c r="D1" s="3"/>
      <c r="E1" s="3"/>
      <c r="F1" s="3"/>
      <c r="G1" s="92"/>
      <c r="H1" s="93" t="s">
        <v>15</v>
      </c>
      <c r="I1" s="136" t="s">
        <v>16</v>
      </c>
      <c r="J1" s="141" t="s">
        <v>17</v>
      </c>
      <c r="K1" s="222" t="str">
        <f>"AER Final Decision "&amp;'Input | General'!$D$9</f>
        <v>AER Final Decision 2021-26</v>
      </c>
      <c r="P1" s="69"/>
      <c r="Q1" s="69"/>
      <c r="R1" s="69"/>
      <c r="S1" s="69"/>
    </row>
    <row r="2" spans="1:19" s="2" customFormat="1" ht="18" customHeight="1">
      <c r="C2" s="10" t="s">
        <v>36</v>
      </c>
      <c r="D2" s="10"/>
      <c r="E2" s="10"/>
      <c r="F2" s="10"/>
    </row>
    <row r="3" spans="1:19" s="2" customFormat="1" ht="3" customHeight="1">
      <c r="C3" s="1"/>
      <c r="D3" s="1"/>
      <c r="E3" s="1"/>
      <c r="F3" s="1"/>
      <c r="N3" s="17"/>
    </row>
    <row r="4" spans="1:19" s="71" customFormat="1" ht="12.75" customHeight="1">
      <c r="C4" s="23" t="s">
        <v>37</v>
      </c>
      <c r="D4" s="72"/>
      <c r="E4" s="72"/>
      <c r="F4" s="72"/>
      <c r="N4" s="73"/>
    </row>
    <row r="5" spans="1:19" ht="11.25" customHeight="1">
      <c r="A5" s="2"/>
      <c r="B5" s="2"/>
      <c r="C5" s="13"/>
      <c r="D5" s="69"/>
      <c r="E5" s="69"/>
      <c r="F5" s="69"/>
      <c r="O5" s="2"/>
    </row>
    <row r="6" spans="1:19" ht="11.25" customHeight="1">
      <c r="A6" s="2"/>
      <c r="B6" s="2"/>
      <c r="C6" s="13"/>
      <c r="D6" s="65" t="s">
        <v>38</v>
      </c>
      <c r="E6" s="65" t="s">
        <v>39</v>
      </c>
      <c r="F6" s="65"/>
      <c r="O6" s="2"/>
    </row>
    <row r="7" spans="1:19" ht="11.25" customHeight="1">
      <c r="A7" s="2"/>
      <c r="B7" s="2"/>
      <c r="C7" s="13"/>
      <c r="D7" s="69"/>
      <c r="E7" s="69"/>
      <c r="F7" s="151" t="str">
        <f>IF(LEN(G7)&gt;4,CONCATENATE(LEFT(G7,4)-1&amp;"–"&amp;IF(RIGHT(G7,2)="00","99",IF(RIGHT(G7,2)-1&lt;10,"0","")&amp;RIGHT(G7,2)-1)),G7-1)</f>
        <v>2015–16</v>
      </c>
      <c r="G7" s="150" t="str">
        <f>'Input | General'!D15</f>
        <v>2016–17</v>
      </c>
      <c r="H7" s="150" t="str">
        <f>'Input | General'!E15</f>
        <v>2017–18</v>
      </c>
      <c r="I7" s="150" t="str">
        <f>'Input | General'!F15</f>
        <v>2018–19</v>
      </c>
      <c r="J7" s="150" t="str">
        <f>'Input | General'!G15</f>
        <v>2019–20</v>
      </c>
      <c r="K7" s="150" t="str">
        <f>'Input | General'!H15</f>
        <v>2020–21</v>
      </c>
      <c r="L7" s="220" t="s">
        <v>125</v>
      </c>
      <c r="M7" s="150" t="str">
        <f>'Input | General'!D20</f>
        <v>2021-22</v>
      </c>
      <c r="N7" s="150" t="str">
        <f>'Input | General'!E20</f>
        <v>2022–23</v>
      </c>
      <c r="O7" s="150" t="str">
        <f>'Input | General'!F20</f>
        <v>2023–24</v>
      </c>
      <c r="P7" s="150" t="str">
        <f>'Input | General'!G20</f>
        <v>2024–25</v>
      </c>
      <c r="Q7" s="150" t="str">
        <f>'Input | General'!H20</f>
        <v>2025–26</v>
      </c>
    </row>
    <row r="8" spans="1:19" ht="11.25" customHeight="1">
      <c r="A8" s="2"/>
      <c r="B8" s="2"/>
      <c r="C8" s="70" t="s">
        <v>40</v>
      </c>
      <c r="D8" s="68" t="str">
        <f>'Input | General'!$D$7</f>
        <v>DNSP</v>
      </c>
      <c r="E8" s="68" t="s">
        <v>42</v>
      </c>
      <c r="F8" s="68"/>
      <c r="G8" s="138">
        <v>1.5108593012275628E-2</v>
      </c>
      <c r="H8" s="138">
        <v>1.0232558139534831E-2</v>
      </c>
      <c r="I8" s="138">
        <v>1.9337016574585641E-2</v>
      </c>
      <c r="J8" s="138">
        <v>2.0776874435411097E-2</v>
      </c>
      <c r="K8" s="138">
        <v>1.5929203539823078E-2</v>
      </c>
      <c r="L8" s="221">
        <v>1.2195121951219523E-2</v>
      </c>
      <c r="M8" s="75"/>
      <c r="N8" s="75"/>
      <c r="O8" s="75"/>
      <c r="P8" s="75"/>
      <c r="Q8" s="75"/>
    </row>
    <row r="9" spans="1:19" ht="11.25" customHeight="1">
      <c r="A9" s="2"/>
      <c r="B9" s="2"/>
      <c r="C9" s="70" t="s">
        <v>43</v>
      </c>
      <c r="D9" s="68" t="str">
        <f>'Input | General'!$D$7</f>
        <v>DNSP</v>
      </c>
      <c r="E9" s="68" t="s">
        <v>42</v>
      </c>
      <c r="F9" s="68"/>
      <c r="G9" s="112"/>
      <c r="H9" s="112"/>
      <c r="I9" s="112"/>
      <c r="J9" s="112"/>
      <c r="K9" s="112"/>
      <c r="L9" s="112"/>
      <c r="M9" s="138">
        <v>2.3743086789108414E-2</v>
      </c>
      <c r="N9" s="124">
        <f t="shared" ref="N9:Q9" si="0">M9</f>
        <v>2.3743086789108414E-2</v>
      </c>
      <c r="O9" s="124">
        <f t="shared" si="0"/>
        <v>2.3743086789108414E-2</v>
      </c>
      <c r="P9" s="124">
        <f t="shared" si="0"/>
        <v>2.3743086789108414E-2</v>
      </c>
      <c r="Q9" s="124">
        <f t="shared" si="0"/>
        <v>2.3743086789108414E-2</v>
      </c>
    </row>
    <row r="10" spans="1:19" ht="11.25" customHeight="1">
      <c r="A10" s="2"/>
      <c r="B10" s="2"/>
      <c r="C10" s="121" t="str">
        <f>"CPI Index (base year "&amp;F7&amp;")"</f>
        <v>CPI Index (base year 2015–16)</v>
      </c>
      <c r="D10" s="68" t="str">
        <f>'Input | General'!$D$7</f>
        <v>DNSP</v>
      </c>
      <c r="E10" s="68" t="s">
        <v>0</v>
      </c>
      <c r="F10" s="119">
        <v>1</v>
      </c>
      <c r="G10" s="108">
        <f t="shared" ref="G10:L10" si="1">IF(G7&lt;&gt;"",(F10*(1+G8)),"")</f>
        <v>1.0151085930122756</v>
      </c>
      <c r="H10" s="108">
        <f t="shared" si="1"/>
        <v>1.0254957507082152</v>
      </c>
      <c r="I10" s="108">
        <f t="shared" si="1"/>
        <v>1.0453257790368271</v>
      </c>
      <c r="J10" s="108">
        <f t="shared" si="1"/>
        <v>1.0670443814919734</v>
      </c>
      <c r="K10" s="108">
        <f t="shared" si="1"/>
        <v>1.0840415486307837</v>
      </c>
      <c r="L10" s="108">
        <f t="shared" si="1"/>
        <v>1.0972615675165249</v>
      </c>
      <c r="M10" s="76">
        <f>IF(M7&lt;&gt;"",(K10*(1+M9)),"")</f>
        <v>1.109780041202924</v>
      </c>
      <c r="N10" s="76">
        <f t="shared" ref="N10:Q10" si="2">IF(N7&lt;&gt;"",(M10*(1+N9)),"")</f>
        <v>1.1361296450380254</v>
      </c>
      <c r="O10" s="76">
        <f t="shared" si="2"/>
        <v>1.1631048698038422</v>
      </c>
      <c r="P10" s="76">
        <f t="shared" si="2"/>
        <v>1.1907205696724295</v>
      </c>
      <c r="Q10" s="76">
        <f t="shared" si="2"/>
        <v>1.2189919514997385</v>
      </c>
    </row>
    <row r="11" spans="1:19" ht="11.25" customHeight="1">
      <c r="A11" s="2"/>
      <c r="B11" s="2"/>
      <c r="C11" s="70"/>
      <c r="D11" s="68"/>
      <c r="E11" s="68"/>
      <c r="F11" s="68"/>
      <c r="G11" s="75"/>
      <c r="H11" s="75"/>
      <c r="I11" s="75"/>
      <c r="J11" s="75"/>
      <c r="K11" s="113"/>
      <c r="L11" s="113"/>
      <c r="M11" s="113"/>
      <c r="N11" s="113"/>
      <c r="O11" s="113"/>
      <c r="P11" s="113"/>
      <c r="Q11" s="113"/>
    </row>
    <row r="12" spans="1:19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  <c r="N12" s="19"/>
    </row>
    <row r="13" spans="1:19" ht="11.25" customHeight="1">
      <c r="A13" s="2"/>
      <c r="B13" s="2"/>
      <c r="C13" s="70" t="s">
        <v>40</v>
      </c>
      <c r="D13" s="68" t="s">
        <v>44</v>
      </c>
      <c r="E13" s="68" t="s">
        <v>42</v>
      </c>
      <c r="F13" s="68"/>
      <c r="G13" s="138">
        <v>1.5108593012275628E-2</v>
      </c>
      <c r="H13" s="138">
        <v>1.0232558139534831E-2</v>
      </c>
      <c r="I13" s="138">
        <v>1.9337016574585641E-2</v>
      </c>
      <c r="J13" s="138">
        <v>2.0776874435411097E-2</v>
      </c>
      <c r="K13" s="138">
        <v>1.5929203539823078E-2</v>
      </c>
      <c r="L13" s="138">
        <v>1.2195121951219523E-2</v>
      </c>
      <c r="M13" s="111"/>
      <c r="N13" s="111"/>
      <c r="O13" s="111"/>
      <c r="P13" s="111"/>
      <c r="Q13" s="111"/>
    </row>
    <row r="14" spans="1:19" ht="11.25" customHeight="1">
      <c r="A14" s="2"/>
      <c r="B14" s="2"/>
      <c r="C14" s="70" t="s">
        <v>43</v>
      </c>
      <c r="D14" s="68" t="s">
        <v>44</v>
      </c>
      <c r="E14" s="68" t="s">
        <v>42</v>
      </c>
      <c r="F14" s="68"/>
      <c r="G14" s="75"/>
      <c r="H14" s="75"/>
      <c r="I14" s="75"/>
      <c r="J14" s="75"/>
      <c r="K14" s="75"/>
      <c r="L14" s="75"/>
      <c r="M14" s="222">
        <v>0.02</v>
      </c>
      <c r="N14" s="124">
        <f t="shared" ref="N14:Q14" si="3">M14</f>
        <v>0.02</v>
      </c>
      <c r="O14" s="124">
        <f t="shared" si="3"/>
        <v>0.02</v>
      </c>
      <c r="P14" s="124">
        <f t="shared" si="3"/>
        <v>0.02</v>
      </c>
      <c r="Q14" s="124">
        <f t="shared" si="3"/>
        <v>0.02</v>
      </c>
    </row>
    <row r="15" spans="1:19" ht="11.25" customHeight="1">
      <c r="A15" s="2"/>
      <c r="B15" s="2"/>
      <c r="C15" s="121" t="str">
        <f>"CPI Index (base year "&amp;F7&amp;")"</f>
        <v>CPI Index (base year 2015–16)</v>
      </c>
      <c r="D15" s="68" t="s">
        <v>44</v>
      </c>
      <c r="E15" s="68" t="s">
        <v>0</v>
      </c>
      <c r="F15" s="119">
        <v>1</v>
      </c>
      <c r="G15" s="108">
        <f t="shared" ref="G15:L15" si="4">IF(G7&lt;&gt;"",(F15*(1+G13)),"")</f>
        <v>1.0151085930122756</v>
      </c>
      <c r="H15" s="108">
        <f t="shared" si="4"/>
        <v>1.0254957507082152</v>
      </c>
      <c r="I15" s="108">
        <f t="shared" si="4"/>
        <v>1.0453257790368271</v>
      </c>
      <c r="J15" s="108">
        <f t="shared" si="4"/>
        <v>1.0670443814919734</v>
      </c>
      <c r="K15" s="76">
        <f t="shared" si="4"/>
        <v>1.0840415486307837</v>
      </c>
      <c r="L15" s="76">
        <f t="shared" si="4"/>
        <v>1.0972615675165249</v>
      </c>
      <c r="M15" s="76">
        <f>IF(M7&lt;&gt;"",(K15*(1+M14)),"")</f>
        <v>1.1057223796033995</v>
      </c>
      <c r="N15" s="76">
        <f t="shared" ref="N15:Q15" si="5">IF(N7&lt;&gt;"",(M15*(1+N14)),"")</f>
        <v>1.1278368271954675</v>
      </c>
      <c r="O15" s="76">
        <f t="shared" si="5"/>
        <v>1.150393563739377</v>
      </c>
      <c r="P15" s="76">
        <f t="shared" si="5"/>
        <v>1.1734014350141646</v>
      </c>
      <c r="Q15" s="76">
        <f t="shared" si="5"/>
        <v>1.1968694637144479</v>
      </c>
    </row>
    <row r="16" spans="1:19" ht="11.25" customHeight="1">
      <c r="A16" s="2"/>
      <c r="B16" s="2"/>
      <c r="C16" s="70"/>
      <c r="D16" s="68"/>
      <c r="E16" s="68"/>
      <c r="F16" s="68"/>
      <c r="G16" s="75"/>
      <c r="H16" s="75"/>
      <c r="I16" s="75"/>
      <c r="J16" s="75"/>
      <c r="K16" s="114"/>
      <c r="L16" s="114"/>
      <c r="M16" s="114"/>
      <c r="N16" s="114"/>
      <c r="O16" s="114"/>
      <c r="P16" s="114"/>
      <c r="Q16" s="114"/>
    </row>
    <row r="17" spans="1:17" s="71" customFormat="1" ht="12.75" customHeight="1">
      <c r="C17" s="23" t="s">
        <v>45</v>
      </c>
      <c r="D17" s="72"/>
      <c r="E17" s="72"/>
      <c r="F17" s="72"/>
      <c r="N17" s="73"/>
    </row>
    <row r="18" spans="1:17" ht="11.25" customHeight="1">
      <c r="A18" s="13"/>
      <c r="B18" s="69"/>
      <c r="C18" s="69"/>
      <c r="D18" s="69"/>
      <c r="E18" s="69"/>
      <c r="F18" s="65"/>
      <c r="O18" s="2"/>
    </row>
    <row r="19" spans="1:17" ht="11.25" customHeight="1">
      <c r="C19" s="13"/>
      <c r="D19" s="65" t="s">
        <v>38</v>
      </c>
      <c r="E19" s="65" t="s">
        <v>39</v>
      </c>
      <c r="F19" s="69"/>
      <c r="G19" s="150" t="str">
        <f>G7</f>
        <v>2016–17</v>
      </c>
      <c r="H19" s="150" t="str">
        <f t="shared" ref="H19:Q19" si="6">H7</f>
        <v>2017–18</v>
      </c>
      <c r="I19" s="150" t="str">
        <f t="shared" si="6"/>
        <v>2018–19</v>
      </c>
      <c r="J19" s="150" t="str">
        <f t="shared" si="6"/>
        <v>2019–20</v>
      </c>
      <c r="K19" s="150" t="str">
        <f t="shared" si="6"/>
        <v>2020–21</v>
      </c>
      <c r="L19" s="220" t="s">
        <v>125</v>
      </c>
      <c r="M19" s="150" t="str">
        <f t="shared" si="6"/>
        <v>2021-22</v>
      </c>
      <c r="N19" s="150" t="str">
        <f t="shared" si="6"/>
        <v>2022–23</v>
      </c>
      <c r="O19" s="150" t="str">
        <f t="shared" si="6"/>
        <v>2023–24</v>
      </c>
      <c r="P19" s="150" t="str">
        <f t="shared" si="6"/>
        <v>2024–25</v>
      </c>
      <c r="Q19" s="150" t="str">
        <f t="shared" si="6"/>
        <v>2025–26</v>
      </c>
    </row>
    <row r="20" spans="1:17" ht="11.25" customHeight="1">
      <c r="C20" s="70" t="s">
        <v>46</v>
      </c>
      <c r="D20" s="68" t="s">
        <v>44</v>
      </c>
      <c r="E20" s="68" t="s">
        <v>42</v>
      </c>
      <c r="F20" s="69"/>
      <c r="G20" s="138">
        <v>3.8716794887975414E-2</v>
      </c>
      <c r="H20" s="138">
        <v>3.8262336193053192E-2</v>
      </c>
      <c r="I20" s="138">
        <v>3.8013284689562443E-2</v>
      </c>
      <c r="J20" s="138">
        <v>3.7449298414674592E-2</v>
      </c>
      <c r="K20" s="138">
        <v>3.6258595682746808E-2</v>
      </c>
      <c r="L20" s="222">
        <v>1.1945739705053526E-2</v>
      </c>
      <c r="M20" s="75"/>
      <c r="N20" s="75"/>
      <c r="O20" s="75"/>
      <c r="P20" s="75"/>
      <c r="Q20" s="75"/>
    </row>
    <row r="21" spans="1:17" ht="11.25" customHeight="1">
      <c r="C21" s="133" t="s">
        <v>47</v>
      </c>
      <c r="D21" s="68" t="s">
        <v>44</v>
      </c>
      <c r="E21" s="68" t="s">
        <v>42</v>
      </c>
      <c r="F21" s="69"/>
      <c r="G21" s="69"/>
      <c r="H21" s="69"/>
      <c r="I21" s="69"/>
      <c r="J21" s="69"/>
      <c r="K21" s="69"/>
      <c r="L21" s="69"/>
      <c r="M21" s="222">
        <v>2.7779190487684468E-2</v>
      </c>
      <c r="N21" s="222">
        <v>2.59576697431112E-2</v>
      </c>
      <c r="O21" s="222">
        <v>2.4136148998538064E-2</v>
      </c>
      <c r="P21" s="222">
        <v>2.2314628253964928E-2</v>
      </c>
      <c r="Q21" s="222">
        <v>2.0493107509391796E-2</v>
      </c>
    </row>
    <row r="22" spans="1:17" ht="11.25" customHeight="1">
      <c r="C22" s="70" t="s">
        <v>48</v>
      </c>
      <c r="D22" s="68" t="s">
        <v>49</v>
      </c>
      <c r="E22" s="68" t="s">
        <v>42</v>
      </c>
      <c r="F22" s="69"/>
      <c r="G22" s="125">
        <f>IF(AND(G13&lt;&gt;"",G20&lt;&gt;""),((1+G20)*(1+G13)-1),"")</f>
        <v>5.4410344196953231E-2</v>
      </c>
      <c r="H22" s="125">
        <f>IF(AND(H13&lt;&gt;"",H20&lt;&gt;""),((1+H20)*(1+H13)-1),"")</f>
        <v>4.8886415912237968E-2</v>
      </c>
      <c r="I22" s="125">
        <f>IF(AND(I13&lt;&gt;"",I20&lt;&gt;""),((1+I20)*(1+I13)-1),"")</f>
        <v>5.8085364780244619E-2</v>
      </c>
      <c r="J22" s="125">
        <f>IF(AND(J13&lt;&gt;"",J20&lt;&gt;""),((1+J20)*(1+J13)-1),"")</f>
        <v>5.9004252220941522E-2</v>
      </c>
      <c r="K22" s="125">
        <f>IF(AND(K13&lt;&gt;"",K20&lt;&gt;""),((1+K20)*(1+K13)-1),"")</f>
        <v>5.27653697732684E-2</v>
      </c>
      <c r="L22" s="223">
        <f t="shared" ref="L22" si="7">IF(AND(L13&lt;&gt;"",L20&lt;&gt;""),((1+L20)*(1+L13)-1),"")</f>
        <v>2.4286541408773621E-2</v>
      </c>
      <c r="M22" s="125">
        <f>IF(AND(M14&lt;&gt;"",M21&lt;&gt;""),((1+M21)*(1+M14)-1),"")</f>
        <v>4.8334774297438265E-2</v>
      </c>
      <c r="N22" s="125">
        <f t="shared" ref="N22:Q22" si="8">IF(AND(N14&lt;&gt;"",N21&lt;&gt;""),((1+N21)*(1+N14)-1),"")</f>
        <v>4.6476823137973522E-2</v>
      </c>
      <c r="O22" s="125">
        <f t="shared" si="8"/>
        <v>4.4618871978509E-2</v>
      </c>
      <c r="P22" s="125">
        <f t="shared" si="8"/>
        <v>4.2760920819044257E-2</v>
      </c>
      <c r="Q22" s="125">
        <f t="shared" si="8"/>
        <v>4.0902969659579513E-2</v>
      </c>
    </row>
    <row r="23" spans="1:17" ht="11.25" customHeight="1">
      <c r="A23" s="2"/>
      <c r="B23" s="2"/>
      <c r="C23" s="70"/>
      <c r="D23" s="68"/>
      <c r="E23" s="68"/>
      <c r="F23" s="69"/>
      <c r="G23" s="75"/>
      <c r="H23" s="16"/>
      <c r="I23" s="16"/>
      <c r="J23" s="16"/>
      <c r="K23" s="16"/>
      <c r="L23" s="16"/>
      <c r="O23" s="2"/>
    </row>
    <row r="24" spans="1:17" s="52" customFormat="1" ht="12.75" customHeight="1">
      <c r="A24" s="8"/>
      <c r="B24" s="23" t="s">
        <v>14</v>
      </c>
      <c r="D24" s="53"/>
      <c r="E24" s="53"/>
    </row>
    <row r="25" spans="1:17" ht="18" customHeight="1">
      <c r="G25" s="19"/>
      <c r="H25" s="19"/>
      <c r="I25" s="19"/>
      <c r="J25" s="19"/>
      <c r="K25" s="19"/>
      <c r="L25" s="19"/>
      <c r="M25" s="19"/>
      <c r="N25" s="19"/>
    </row>
    <row r="26" spans="1:17" ht="18" customHeight="1"/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V18"/>
  <sheetViews>
    <sheetView workbookViewId="0">
      <selection activeCell="I10" sqref="I10:I12"/>
    </sheetView>
  </sheetViews>
  <sheetFormatPr defaultColWidth="0" defaultRowHeight="14.5" zeroHeight="1"/>
  <cols>
    <col min="1" max="1" width="2.453125" customWidth="1"/>
    <col min="2" max="2" width="15.54296875" customWidth="1"/>
    <col min="3" max="3" width="30" bestFit="1" customWidth="1"/>
    <col min="4" max="4" width="22.81640625" customWidth="1"/>
    <col min="5" max="5" width="14" customWidth="1"/>
    <col min="6" max="6" width="13.54296875" customWidth="1"/>
    <col min="7" max="7" width="11.26953125" customWidth="1"/>
    <col min="8" max="8" width="14.7265625" customWidth="1"/>
    <col min="9" max="9" width="13.453125" customWidth="1"/>
    <col min="10" max="10" width="3.453125" customWidth="1"/>
    <col min="11" max="11" width="9.1796875" customWidth="1"/>
    <col min="12" max="12" width="11.54296875" customWidth="1"/>
    <col min="13" max="22" width="9.1796875" customWidth="1"/>
    <col min="23" max="16384" width="9.1796875" hidden="1"/>
  </cols>
  <sheetData>
    <row r="1" spans="1:22" ht="15.5">
      <c r="A1" s="69"/>
      <c r="B1" s="3" t="str">
        <f>'Input | General'!$B$1</f>
        <v>AusNet Services 2021-26 FY20 True-up - Capital expenditure sharing scheme model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8">
      <c r="A2" s="69"/>
      <c r="B2" s="69" t="s">
        <v>50</v>
      </c>
      <c r="C2" s="69" t="str">
        <f>"Column H is from the AER Final Decision CESS model for the "&amp;'Input | General'!$D$9&amp;" period, which was based on forecast "&amp;'Input | General'!$H$15&amp;" Capex"</f>
        <v>Column H is from the AER Final Decision CESS model for the 2021-26 period, which was based on forecast 2020–21 Capex</v>
      </c>
      <c r="D2" s="69"/>
      <c r="E2" s="69"/>
      <c r="F2" s="69"/>
      <c r="G2" s="69"/>
      <c r="H2" s="69"/>
      <c r="I2" s="69"/>
      <c r="J2" s="69"/>
      <c r="K2" s="205" t="str">
        <f>'Input | General'!$D$8</f>
        <v>FY20 True-up</v>
      </c>
      <c r="L2" s="213" t="str">
        <f>"AER Final Decision "&amp;'Input | General'!$D$9</f>
        <v>AER Final Decision 2021-26</v>
      </c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9"/>
      <c r="B3" s="69"/>
      <c r="C3" s="69" t="str">
        <f>"Column I is Actual "&amp;'Input | General'!$H$15&amp;" capex, rolled into RFM model for the "&amp;'Input | General'!$D$11&amp;" period"</f>
        <v>Column I is Actual 2020–21 capex, rolled into RFM model for the 2026-31 period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>
      <c r="A4" s="69"/>
      <c r="B4" s="69"/>
      <c r="C4" s="69" t="s">
        <v>116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>
      <c r="A6" s="8"/>
      <c r="B6" s="64" t="s">
        <v>51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0">
      <c r="A7" s="2"/>
      <c r="B7" s="63"/>
      <c r="C7" s="2"/>
      <c r="D7" s="13"/>
      <c r="E7" s="13"/>
      <c r="F7" s="13"/>
      <c r="G7" s="65"/>
      <c r="H7" s="68" t="s">
        <v>35</v>
      </c>
      <c r="I7" s="212" t="str">
        <f>'Input | General'!$D$6&amp;" Actual"</f>
        <v>AusNet Services Actual</v>
      </c>
      <c r="J7" s="69"/>
      <c r="K7" s="68" t="s">
        <v>52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>
      <c r="A8" s="2"/>
      <c r="B8" s="63"/>
      <c r="C8" s="58"/>
      <c r="D8" s="65" t="s">
        <v>38</v>
      </c>
      <c r="E8" s="65" t="s">
        <v>39</v>
      </c>
      <c r="F8" s="65" t="s">
        <v>53</v>
      </c>
      <c r="G8" s="54"/>
      <c r="H8" s="152" t="str">
        <f>'Input | General'!$H$15</f>
        <v>2020–21</v>
      </c>
      <c r="I8" s="152" t="str">
        <f>H8</f>
        <v>2020–21</v>
      </c>
      <c r="J8" s="69"/>
      <c r="K8" s="152" t="str">
        <f>I8</f>
        <v>2020–21</v>
      </c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>
      <c r="A9" s="2"/>
      <c r="B9" s="63"/>
      <c r="C9" s="58"/>
      <c r="D9" s="58"/>
      <c r="E9" s="58"/>
      <c r="F9" s="58"/>
      <c r="G9" s="58"/>
      <c r="H9" s="58"/>
      <c r="I9" s="5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>
      <c r="A10" s="2"/>
      <c r="B10" s="63"/>
      <c r="C10" s="70" t="s">
        <v>54</v>
      </c>
      <c r="D10" s="216"/>
      <c r="E10" s="68" t="s">
        <v>55</v>
      </c>
      <c r="F10" s="68" t="s">
        <v>56</v>
      </c>
      <c r="G10" s="58"/>
      <c r="H10" s="214">
        <v>409.7587921479747</v>
      </c>
      <c r="I10" s="207">
        <v>396.83258871346499</v>
      </c>
      <c r="J10" s="69"/>
      <c r="K10" s="200">
        <f>I10-H10</f>
        <v>-12.926203434509716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2">
      <c r="A11" s="2"/>
      <c r="B11" s="63"/>
      <c r="C11" s="70" t="s">
        <v>57</v>
      </c>
      <c r="D11" s="216"/>
      <c r="E11" s="68" t="s">
        <v>55</v>
      </c>
      <c r="F11" s="68" t="s">
        <v>56</v>
      </c>
      <c r="G11" s="123"/>
      <c r="H11" s="214">
        <v>69.114734020914796</v>
      </c>
      <c r="I11" s="207">
        <v>61.600730209999995</v>
      </c>
      <c r="J11" s="69"/>
      <c r="K11" s="200">
        <f t="shared" ref="K11:K13" si="0">I11-H11</f>
        <v>-7.5140038109148009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2">
      <c r="A12" s="2"/>
      <c r="B12" s="63"/>
      <c r="C12" s="122" t="s">
        <v>58</v>
      </c>
      <c r="D12" s="216"/>
      <c r="E12" s="68" t="s">
        <v>55</v>
      </c>
      <c r="F12" s="68" t="s">
        <v>56</v>
      </c>
      <c r="G12" s="123"/>
      <c r="H12" s="214">
        <v>0.65025736000000012</v>
      </c>
      <c r="I12" s="207">
        <v>0.56387384000000007</v>
      </c>
      <c r="J12" s="69"/>
      <c r="K12" s="200">
        <f t="shared" si="0"/>
        <v>-8.6383520000000047E-2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>
      <c r="A13" s="2"/>
      <c r="B13" s="63"/>
      <c r="C13" s="134" t="s">
        <v>59</v>
      </c>
      <c r="D13" s="216"/>
      <c r="E13" s="68" t="s">
        <v>55</v>
      </c>
      <c r="F13" s="68" t="s">
        <v>56</v>
      </c>
      <c r="G13" s="58"/>
      <c r="H13" s="139"/>
      <c r="I13" s="139"/>
      <c r="J13" s="69"/>
      <c r="K13" s="200">
        <f t="shared" si="0"/>
        <v>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>
      <c r="A14" s="2"/>
      <c r="B14" s="63"/>
      <c r="C14" s="58"/>
      <c r="D14" s="58"/>
      <c r="E14" s="58"/>
      <c r="F14" s="58"/>
      <c r="G14" s="58"/>
      <c r="H14" s="57"/>
      <c r="I14" s="57"/>
      <c r="J14" s="69"/>
      <c r="K14" s="57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>
      <c r="A15" s="2"/>
      <c r="B15" s="63"/>
      <c r="C15" s="67" t="s">
        <v>60</v>
      </c>
      <c r="D15" s="66" t="s">
        <v>49</v>
      </c>
      <c r="E15" s="155" t="s">
        <v>55</v>
      </c>
      <c r="F15" s="155" t="s">
        <v>56</v>
      </c>
      <c r="G15" s="58"/>
      <c r="H15" s="56">
        <f>IF(H8="", "", H10-H11-H12-H13)</f>
        <v>339.99380076705989</v>
      </c>
      <c r="I15" s="56">
        <f t="shared" ref="I15:K15" si="1">IF(I8="", "", I10-I11-I12-I13)</f>
        <v>334.66798466346501</v>
      </c>
      <c r="J15" s="69"/>
      <c r="K15" s="56">
        <f t="shared" si="1"/>
        <v>-5.3258161035949154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2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22">
      <c r="A18" s="8"/>
      <c r="B18" s="64" t="s">
        <v>14</v>
      </c>
      <c r="C18" s="8"/>
      <c r="D18" s="15"/>
      <c r="E18" s="15"/>
      <c r="F18" s="15"/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</sheetData>
  <conditionalFormatting sqref="H10:I13">
    <cfRule type="expression" dxfId="6" priority="4">
      <formula>IF($H$7&lt;&gt;"","FALSE","TRUE")</formula>
    </cfRule>
  </conditionalFormatting>
  <conditionalFormatting sqref="K10:K13">
    <cfRule type="expression" dxfId="5" priority="1">
      <formula>IF($H$7&lt;&gt;"","FALSE","TRUE")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L17" sqref="L17"/>
    </sheetView>
  </sheetViews>
  <sheetFormatPr defaultColWidth="0" defaultRowHeight="18" customHeight="1" zeroHeight="1"/>
  <cols>
    <col min="1" max="2" width="1.26953125" style="2" customWidth="1"/>
    <col min="3" max="3" width="49.7265625" style="13" customWidth="1"/>
    <col min="4" max="4" width="23.7265625" style="13" customWidth="1"/>
    <col min="5" max="5" width="13.453125" style="13" customWidth="1"/>
    <col min="6" max="6" width="9.26953125" style="13" customWidth="1"/>
    <col min="7" max="7" width="2.7265625" style="13" customWidth="1"/>
    <col min="8" max="12" width="13.7265625" style="2" bestFit="1" customWidth="1"/>
    <col min="13" max="14" width="2.7265625" style="2" customWidth="1"/>
    <col min="15" max="23" width="8.7265625" style="2" customWidth="1"/>
    <col min="24" max="16384" width="12.7265625" style="2" hidden="1"/>
  </cols>
  <sheetData>
    <row r="1" spans="2:14" ht="18" customHeight="1">
      <c r="B1" s="3" t="str">
        <f>'Input | General'!$B$1</f>
        <v>AusNet Services 2021-26 FY20 True-up - Capital expenditure sharing scheme model</v>
      </c>
      <c r="D1" s="3"/>
      <c r="E1" s="3"/>
      <c r="F1" s="3"/>
      <c r="G1" s="3"/>
      <c r="H1" s="92"/>
      <c r="I1" s="93" t="s">
        <v>15</v>
      </c>
      <c r="J1" s="136" t="s">
        <v>16</v>
      </c>
      <c r="K1" s="210" t="s">
        <v>17</v>
      </c>
    </row>
    <row r="2" spans="2:14" ht="18" customHeight="1">
      <c r="B2" s="10" t="s">
        <v>61</v>
      </c>
      <c r="D2" s="10"/>
      <c r="E2" s="10"/>
      <c r="F2" s="10"/>
      <c r="G2" s="10"/>
      <c r="J2" s="205" t="str">
        <f>'Input | General'!$D$8</f>
        <v>FY20 True-up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62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38</v>
      </c>
      <c r="E6" s="65" t="s">
        <v>39</v>
      </c>
      <c r="F6" s="65" t="s">
        <v>53</v>
      </c>
      <c r="G6" s="54"/>
      <c r="H6" s="152" t="str">
        <f>IF('Input | General'!D16="Yes",'Input | General'!D15,"n/a")</f>
        <v>2016–17</v>
      </c>
      <c r="I6" s="152" t="str">
        <f>IF('Input | General'!E16="Yes",'Input | General'!E15,"n/a")</f>
        <v>2017–18</v>
      </c>
      <c r="J6" s="152" t="str">
        <f>IF('Input | General'!F16="Yes",'Input | General'!F15,"n/a")</f>
        <v>2018–19</v>
      </c>
      <c r="K6" s="152" t="str">
        <f>IF('Input | General'!G16="Yes",'Input | General'!G15,"n/a")</f>
        <v>2019–20</v>
      </c>
      <c r="L6" s="152" t="str">
        <f>IF('Input | General'!H16="Yes",'Input | General'!H15,"n/a")</f>
        <v>2020–21</v>
      </c>
    </row>
    <row r="7" spans="2:14" s="58" customFormat="1" ht="10.5" customHeight="1"/>
    <row r="8" spans="2:14" ht="10.5" customHeight="1">
      <c r="C8" s="70" t="s">
        <v>63</v>
      </c>
      <c r="D8" s="68" t="s">
        <v>44</v>
      </c>
      <c r="E8" s="68" t="s">
        <v>55</v>
      </c>
      <c r="F8" s="68" t="str">
        <f>'Input | Inflation and Disc Rate'!$F$7</f>
        <v>2015–16</v>
      </c>
      <c r="G8" s="58"/>
      <c r="H8" s="139">
        <v>362.45311038983436</v>
      </c>
      <c r="I8" s="139">
        <v>440.80264670021904</v>
      </c>
      <c r="J8" s="139">
        <v>412.99286843224741</v>
      </c>
      <c r="K8" s="139">
        <v>437.19236382097671</v>
      </c>
      <c r="L8" s="139">
        <v>417.71360111057555</v>
      </c>
    </row>
    <row r="9" spans="2:14" ht="10.5" customHeight="1">
      <c r="C9" s="70" t="s">
        <v>57</v>
      </c>
      <c r="D9" s="68" t="s">
        <v>44</v>
      </c>
      <c r="E9" s="68" t="s">
        <v>55</v>
      </c>
      <c r="F9" s="68" t="str">
        <f>'Input | Inflation and Disc Rate'!$F$7</f>
        <v>2015–16</v>
      </c>
      <c r="G9" s="58"/>
      <c r="H9" s="139">
        <v>39.336106443631593</v>
      </c>
      <c r="I9" s="139">
        <v>38.956561621772479</v>
      </c>
      <c r="J9" s="139">
        <v>40.520062107075063</v>
      </c>
      <c r="K9" s="139">
        <v>38.661075317990331</v>
      </c>
      <c r="L9" s="139">
        <v>38.927886809860617</v>
      </c>
    </row>
    <row r="10" spans="2:14" ht="10.5" customHeight="1">
      <c r="C10" s="70" t="s">
        <v>58</v>
      </c>
      <c r="D10" s="68" t="s">
        <v>44</v>
      </c>
      <c r="E10" s="68" t="s">
        <v>55</v>
      </c>
      <c r="F10" s="68" t="str">
        <f>'Input | Inflation and Disc Rate'!$F$7</f>
        <v>2015–16</v>
      </c>
      <c r="G10" s="58"/>
      <c r="H10" s="139">
        <v>1.1928582475194471</v>
      </c>
      <c r="I10" s="139">
        <v>1.1928582475194471</v>
      </c>
      <c r="J10" s="139">
        <v>1.1928582475194471</v>
      </c>
      <c r="K10" s="139">
        <v>1.1928582475194471</v>
      </c>
      <c r="L10" s="139">
        <v>1.1928582475194471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64</v>
      </c>
      <c r="D12" s="66" t="s">
        <v>49</v>
      </c>
      <c r="E12" s="153" t="s">
        <v>55</v>
      </c>
      <c r="F12" s="154" t="str">
        <f>'Input | Inflation and Disc Rate'!$F$7</f>
        <v>2015–16</v>
      </c>
      <c r="G12" s="58"/>
      <c r="H12" s="56">
        <f>IF(H6="", "", H8-H9-H10)</f>
        <v>321.92414569868333</v>
      </c>
      <c r="I12" s="56">
        <f t="shared" ref="I12:L12" si="0">IF(I6="", "", I8-I9-I10)</f>
        <v>400.65322683092711</v>
      </c>
      <c r="J12" s="56">
        <f t="shared" si="0"/>
        <v>371.27994807765288</v>
      </c>
      <c r="K12" s="56">
        <f t="shared" si="0"/>
        <v>397.33843025546696</v>
      </c>
      <c r="L12" s="56">
        <f t="shared" si="0"/>
        <v>377.59285605319548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51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38</v>
      </c>
      <c r="E16" s="65" t="s">
        <v>39</v>
      </c>
      <c r="F16" s="65" t="s">
        <v>53</v>
      </c>
      <c r="G16" s="54"/>
      <c r="H16" s="152" t="str">
        <f>H6</f>
        <v>2016–17</v>
      </c>
      <c r="I16" s="152" t="str">
        <f t="shared" ref="I16:L16" si="1">I6</f>
        <v>2017–18</v>
      </c>
      <c r="J16" s="152" t="str">
        <f t="shared" si="1"/>
        <v>2018–19</v>
      </c>
      <c r="K16" s="152" t="str">
        <f t="shared" si="1"/>
        <v>2019–20</v>
      </c>
      <c r="L16" s="152" t="str">
        <f t="shared" si="1"/>
        <v>2020–21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215" t="s">
        <v>35</v>
      </c>
      <c r="M17" s="199" t="s">
        <v>65</v>
      </c>
      <c r="N17" s="58"/>
    </row>
    <row r="18" spans="2:14" ht="10.5" customHeight="1">
      <c r="B18" s="63"/>
      <c r="C18" s="70" t="s">
        <v>54</v>
      </c>
      <c r="D18" s="68" t="s">
        <v>44</v>
      </c>
      <c r="E18" s="68" t="s">
        <v>55</v>
      </c>
      <c r="F18" s="68" t="s">
        <v>56</v>
      </c>
      <c r="G18" s="58"/>
      <c r="H18" s="139">
        <v>304.65807148450688</v>
      </c>
      <c r="I18" s="139">
        <v>358.58869765357639</v>
      </c>
      <c r="J18" s="139">
        <v>412.35960133581091</v>
      </c>
      <c r="K18" s="139">
        <v>463.93130620644212</v>
      </c>
      <c r="L18" s="211">
        <f>INDEX('Input | Final year Capex'!$H$10:$I$13,MATCH('Input | Reported Capex'!C18,'Input | Final year Capex'!$C$10:$C$13,0),MATCH('Input | Reported Capex'!$L$17,'Input | Final year Capex'!$H$7:$I$7,0))</f>
        <v>409.7587921479747</v>
      </c>
    </row>
    <row r="19" spans="2:14" ht="10.5" customHeight="1">
      <c r="B19" s="63"/>
      <c r="C19" s="70" t="s">
        <v>57</v>
      </c>
      <c r="D19" s="68" t="s">
        <v>44</v>
      </c>
      <c r="E19" s="68" t="s">
        <v>55</v>
      </c>
      <c r="F19" s="68" t="s">
        <v>56</v>
      </c>
      <c r="G19" s="123"/>
      <c r="H19" s="140">
        <v>20.721716740000002</v>
      </c>
      <c r="I19" s="139">
        <v>33.484468709999994</v>
      </c>
      <c r="J19" s="139">
        <v>54.779896070000007</v>
      </c>
      <c r="K19" s="139">
        <v>79.589038960000011</v>
      </c>
      <c r="L19" s="211">
        <f>INDEX('Input | Final year Capex'!$H$10:$I$13,MATCH('Input | Reported Capex'!C19,'Input | Final year Capex'!$C$10:$C$13,0),MATCH('Input | Reported Capex'!$L$17,'Input | Final year Capex'!$H$7:$I$7,0))</f>
        <v>69.114734020914796</v>
      </c>
    </row>
    <row r="20" spans="2:14" ht="10.5" customHeight="1">
      <c r="B20" s="63"/>
      <c r="C20" s="122" t="s">
        <v>58</v>
      </c>
      <c r="D20" s="68" t="s">
        <v>44</v>
      </c>
      <c r="E20" s="68" t="s">
        <v>55</v>
      </c>
      <c r="F20" s="68" t="s">
        <v>56</v>
      </c>
      <c r="G20" s="123"/>
      <c r="H20" s="140">
        <v>3.6064910000000001</v>
      </c>
      <c r="I20" s="139">
        <v>0.37779512999999992</v>
      </c>
      <c r="J20" s="139">
        <v>0.48757914000000008</v>
      </c>
      <c r="K20" s="139">
        <v>13.482524692944581</v>
      </c>
      <c r="L20" s="211">
        <f>INDEX('Input | Final year Capex'!$H$10:$I$13,MATCH('Input | Reported Capex'!C20,'Input | Final year Capex'!$C$10:$C$13,0),MATCH('Input | Reported Capex'!$L$17,'Input | Final year Capex'!$H$7:$I$7,0))</f>
        <v>0.65025736000000012</v>
      </c>
    </row>
    <row r="21" spans="2:14" ht="10.5" customHeight="1">
      <c r="B21" s="63"/>
      <c r="C21" s="134" t="s">
        <v>59</v>
      </c>
      <c r="D21" s="68" t="s">
        <v>44</v>
      </c>
      <c r="E21" s="68" t="s">
        <v>55</v>
      </c>
      <c r="F21" s="68" t="s">
        <v>56</v>
      </c>
      <c r="G21" s="58"/>
      <c r="H21" s="140"/>
      <c r="I21" s="139"/>
      <c r="J21" s="139"/>
      <c r="K21" s="139"/>
      <c r="L21" s="211">
        <f>INDEX('Input | Final year Capex'!$H$10:$I$13,MATCH('Input | Reported Capex'!C21,'Input | Final year Capex'!$C$10:$C$13,0),MATCH('Input | Reported Capex'!$L$17,'Input | Final year Capex'!$H$7:$I$7,0))</f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60</v>
      </c>
      <c r="D23" s="66" t="s">
        <v>49</v>
      </c>
      <c r="E23" s="155" t="s">
        <v>55</v>
      </c>
      <c r="F23" s="155" t="s">
        <v>56</v>
      </c>
      <c r="G23" s="58"/>
      <c r="H23" s="56">
        <f>IF(H16="", "", H18-H19-H20-H21)</f>
        <v>280.32986374450689</v>
      </c>
      <c r="I23" s="56">
        <f t="shared" ref="I23:L23" si="2">IF(I16="", "", I18-I19-I20-I21)</f>
        <v>324.72643381357642</v>
      </c>
      <c r="J23" s="56">
        <f t="shared" si="2"/>
        <v>357.09212612581092</v>
      </c>
      <c r="K23" s="56">
        <f t="shared" si="2"/>
        <v>370.85974255349754</v>
      </c>
      <c r="L23" s="56">
        <f t="shared" si="2"/>
        <v>339.99380076705989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66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52" t="str">
        <f>'Input | General'!D20</f>
        <v>2021-22</v>
      </c>
      <c r="I27" s="152" t="str">
        <f>'Input | General'!E20</f>
        <v>2022–23</v>
      </c>
      <c r="J27" s="152" t="str">
        <f>'Input | General'!F20</f>
        <v>2023–24</v>
      </c>
      <c r="K27" s="152" t="str">
        <f>'Input | General'!G20</f>
        <v>2024–25</v>
      </c>
      <c r="L27" s="152" t="str">
        <f>'Input | General'!H20</f>
        <v>2025–26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67</v>
      </c>
      <c r="D29" s="68" t="str">
        <f>'Input | General'!$D$7</f>
        <v>DNSP</v>
      </c>
      <c r="E29" s="68" t="s">
        <v>55</v>
      </c>
      <c r="F29" s="68" t="s">
        <v>56</v>
      </c>
      <c r="G29" s="58"/>
      <c r="H29" s="139">
        <v>14.503793078846243</v>
      </c>
      <c r="I29" s="139">
        <v>0</v>
      </c>
      <c r="J29" s="139">
        <v>0</v>
      </c>
      <c r="K29" s="139">
        <v>0</v>
      </c>
      <c r="L29" s="139">
        <v>0</v>
      </c>
    </row>
    <row r="30" spans="2:14" ht="11.25" customHeight="1">
      <c r="C30" s="74" t="s">
        <v>67</v>
      </c>
      <c r="D30" s="55" t="s">
        <v>49</v>
      </c>
      <c r="E30" s="68" t="s">
        <v>55</v>
      </c>
      <c r="F30" s="68" t="str">
        <f>'Input | Inflation and Disc Rate'!$F$7</f>
        <v>2015–16</v>
      </c>
      <c r="G30" s="58"/>
      <c r="H30" s="130">
        <f>IF(H29&lt;&gt;"",H29/('Input | Inflation and Disc Rate'!K10*(1+'Input | Inflation and Disc Rate'!M9)^0.5),"")</f>
        <v>13.22330990240267</v>
      </c>
      <c r="I30" s="130">
        <f>IF(I29&lt;&gt;"",I29/('Input | Inflation and Disc Rate'!M10*(1+'Input | Inflation and Disc Rate'!N9)^0.5),"")</f>
        <v>0</v>
      </c>
      <c r="J30" s="130">
        <f>IF(J29&lt;&gt;"",J29/('Input | Inflation and Disc Rate'!N10*(1+'Input | Inflation and Disc Rate'!O9)^0.5),"")</f>
        <v>0</v>
      </c>
      <c r="K30" s="130">
        <f>IF(K29&lt;&gt;"",K29/('Input | Inflation and Disc Rate'!O10*(1+'Input | Inflation and Disc Rate'!P9)^0.5),"")</f>
        <v>0</v>
      </c>
      <c r="L30" s="130">
        <f>IF(L29&lt;&gt;"",L29/('Input | Inflation and Disc Rate'!P10*(1+'Input | Inflation and Disc Rate'!Q9)^0.5),"")</f>
        <v>0</v>
      </c>
    </row>
    <row r="31" spans="2:14" ht="11.25" customHeight="1">
      <c r="C31" s="74" t="s">
        <v>67</v>
      </c>
      <c r="D31" s="55" t="s">
        <v>44</v>
      </c>
      <c r="E31" s="68" t="s">
        <v>55</v>
      </c>
      <c r="F31" s="68" t="s">
        <v>56</v>
      </c>
      <c r="G31" s="58"/>
      <c r="H31" s="130">
        <f>IF(H29&lt;&gt;"",H30*'Input | Inflation and Disc Rate'!K15*(1+'Input | Inflation and Disc Rate'!M14)^0.5,"")</f>
        <v>14.47725386615746</v>
      </c>
      <c r="I31" s="130">
        <f>IF(I29&lt;&gt;"",I30*'Input | Inflation and Disc Rate'!M15*(1+'Input | Inflation and Disc Rate'!N14)^0.5,"")</f>
        <v>0</v>
      </c>
      <c r="J31" s="130">
        <f>IF(J29&lt;&gt;"",J30*'Input | Inflation and Disc Rate'!N15*(1+'Input | Inflation and Disc Rate'!O14)^0.5,"")</f>
        <v>0</v>
      </c>
      <c r="K31" s="130">
        <f>IF(K29&lt;&gt;"",K30*'Input | Inflation and Disc Rate'!O15*(1+'Input | Inflation and Disc Rate'!P14)^0.5,"")</f>
        <v>0</v>
      </c>
      <c r="L31" s="130">
        <f>IF(L29&lt;&gt;"",L30*'Input | Inflation and Disc Rate'!P15*(1+'Input | Inflation and Disc Rate'!Q14)^0.5,"")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14" s="52" customFormat="1" ht="12.75" customHeight="1">
      <c r="A33" s="8"/>
      <c r="B33" s="23" t="s">
        <v>14</v>
      </c>
      <c r="D33" s="53"/>
      <c r="E33" s="53"/>
      <c r="F33" s="53"/>
    </row>
    <row r="34" spans="1:14" ht="10.5" customHeight="1">
      <c r="C34" s="2"/>
      <c r="D34" s="2"/>
      <c r="E34" s="2"/>
      <c r="F34" s="2"/>
      <c r="G34" s="2"/>
    </row>
    <row r="35" spans="1:14" ht="18" customHeight="1"/>
    <row r="36" spans="1:14" ht="18" customHeight="1"/>
    <row r="37" spans="1:14" ht="18" customHeight="1"/>
    <row r="38" spans="1:14" ht="18" customHeight="1"/>
    <row r="39" spans="1:14" s="14" customFormat="1" ht="18" customHeight="1">
      <c r="A39" s="2"/>
      <c r="B39" s="2"/>
      <c r="C39" s="13"/>
      <c r="D39" s="13"/>
      <c r="E39" s="13"/>
      <c r="F39" s="13"/>
      <c r="G39" s="13"/>
      <c r="H39" s="2"/>
      <c r="I39" s="2"/>
      <c r="J39" s="2"/>
      <c r="K39" s="2"/>
      <c r="L39" s="2"/>
      <c r="M39" s="2"/>
      <c r="N39" s="2"/>
    </row>
    <row r="40" spans="1:14" ht="18" customHeight="1"/>
    <row r="41" spans="1:14" ht="18" customHeight="1"/>
    <row r="42" spans="1:14" ht="18" customHeight="1"/>
    <row r="43" spans="1:14" ht="18" customHeight="1"/>
    <row r="44" spans="1:14" s="14" customFormat="1" ht="18" customHeight="1">
      <c r="A44" s="2"/>
      <c r="B44" s="2"/>
      <c r="C44" s="13"/>
      <c r="D44" s="13"/>
      <c r="E44" s="13"/>
      <c r="F44" s="13"/>
      <c r="G44" s="13"/>
      <c r="H44" s="2"/>
      <c r="I44" s="2"/>
      <c r="J44" s="2"/>
      <c r="K44" s="2"/>
      <c r="L44" s="2"/>
      <c r="M44" s="2"/>
      <c r="N44" s="2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ht="18" customHeight="1"/>
    <row r="52" spans="1:14" ht="18" customHeight="1"/>
    <row r="53" spans="1:14" ht="18" customHeight="1"/>
    <row r="54" spans="1:14" ht="18" customHeight="1"/>
    <row r="55" spans="1:14" s="14" customFormat="1" ht="18" customHeight="1">
      <c r="A55" s="2"/>
      <c r="B55" s="2"/>
      <c r="C55" s="13"/>
      <c r="D55" s="13"/>
      <c r="E55" s="13"/>
      <c r="F55" s="13"/>
      <c r="G55" s="13"/>
      <c r="H55" s="2"/>
      <c r="I55" s="2"/>
      <c r="J55" s="2"/>
      <c r="K55" s="2"/>
      <c r="L55" s="2"/>
      <c r="M55" s="2"/>
      <c r="N55" s="2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</sheetData>
  <conditionalFormatting sqref="H19:H21">
    <cfRule type="expression" dxfId="4" priority="2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 L18:L21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K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P55"/>
  <sheetViews>
    <sheetView workbookViewId="0">
      <selection activeCell="J43" sqref="J43:N43"/>
    </sheetView>
  </sheetViews>
  <sheetFormatPr defaultColWidth="12.7265625" defaultRowHeight="0" customHeight="1" zeroHeight="1"/>
  <cols>
    <col min="1" max="2" width="1.26953125" style="2" customWidth="1"/>
    <col min="3" max="3" width="70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7265625" style="2" customWidth="1"/>
    <col min="17" max="16381" width="12.7265625" style="2" customWidth="1"/>
    <col min="16382" max="16382" width="12.7265625" style="2"/>
    <col min="16383" max="16384" width="0" style="2" hidden="1" customWidth="1"/>
  </cols>
  <sheetData>
    <row r="1" spans="2:15" ht="18" customHeight="1">
      <c r="B1" s="3" t="str">
        <f>'Input | General'!$B$1</f>
        <v>AusNet Services 2021-26 FY20 True-up - Capital expenditure sharing scheme model</v>
      </c>
      <c r="C1" s="2"/>
      <c r="J1" s="107"/>
      <c r="K1" s="93" t="s">
        <v>15</v>
      </c>
      <c r="L1" s="136" t="s">
        <v>16</v>
      </c>
      <c r="M1" s="141" t="s">
        <v>17</v>
      </c>
      <c r="N1"/>
    </row>
    <row r="2" spans="2:15" ht="18" customHeight="1">
      <c r="B2" s="10" t="s">
        <v>68</v>
      </c>
      <c r="C2" s="2"/>
      <c r="J2" s="17"/>
      <c r="K2" s="17"/>
      <c r="L2" s="17"/>
    </row>
    <row r="3" spans="2:15" ht="3" customHeight="1">
      <c r="C3" s="1"/>
      <c r="J3" s="17"/>
      <c r="K3" s="17"/>
    </row>
    <row r="4" spans="2:15" s="8" customFormat="1" ht="12" customHeight="1">
      <c r="B4" s="23" t="s">
        <v>69</v>
      </c>
      <c r="J4" s="18"/>
      <c r="K4" s="18"/>
    </row>
    <row r="5" spans="2:15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15" ht="11.25" customHeight="1">
      <c r="C6" s="103" t="s">
        <v>70</v>
      </c>
      <c r="D6" s="104"/>
      <c r="E6" s="105"/>
      <c r="F6" s="105"/>
      <c r="G6" s="105"/>
      <c r="H6" s="105"/>
      <c r="I6" s="84"/>
    </row>
    <row r="7" spans="2:15" ht="11.25" customHeight="1">
      <c r="C7" s="102" t="s">
        <v>71</v>
      </c>
      <c r="D7" s="152" t="str">
        <f>IF('Input | General'!D16="Yes",'Input | General'!D15,"n/a")</f>
        <v>2016–17</v>
      </c>
      <c r="E7" s="152" t="str">
        <f>IF('Input | General'!E16="Yes",'Input | General'!E15,"n/a")</f>
        <v>2017–18</v>
      </c>
      <c r="F7" s="152" t="str">
        <f>IF('Input | General'!F16="Yes",'Input | General'!F15,"n/a")</f>
        <v>2018–19</v>
      </c>
      <c r="G7" s="152" t="str">
        <f>IF('Input | General'!G16="Yes",'Input | General'!G15,"n/a")</f>
        <v>2019–20</v>
      </c>
      <c r="H7" s="156" t="str">
        <f>IF('Input | General'!H16="Yes",'Input | General'!H15,"n/a")</f>
        <v>2020–21</v>
      </c>
      <c r="I7" s="84"/>
    </row>
    <row r="8" spans="2:15" ht="11.25" customHeight="1">
      <c r="C8" s="100" t="s">
        <v>72</v>
      </c>
      <c r="D8" s="217">
        <f>'Input | Inflation and Disc Rate'!G20</f>
        <v>3.8716794887975414E-2</v>
      </c>
      <c r="E8" s="142">
        <f>'Input | Inflation and Disc Rate'!H20</f>
        <v>3.8262336193053192E-2</v>
      </c>
      <c r="F8" s="142">
        <f>'Input | Inflation and Disc Rate'!I20</f>
        <v>3.8013284689562443E-2</v>
      </c>
      <c r="G8" s="142">
        <f>'Input | Inflation and Disc Rate'!J20</f>
        <v>3.7449298414674592E-2</v>
      </c>
      <c r="H8" s="143">
        <f>'Input | Inflation and Disc Rate'!K20</f>
        <v>3.6258595682746808E-2</v>
      </c>
      <c r="I8" s="84"/>
      <c r="J8" s="69"/>
      <c r="K8" s="69"/>
    </row>
    <row r="9" spans="2:15" ht="11.25" customHeight="1">
      <c r="C9" s="128" t="s">
        <v>73</v>
      </c>
      <c r="D9" s="142">
        <f>'Input | Inflation and Disc Rate'!G22</f>
        <v>5.4410344196953231E-2</v>
      </c>
      <c r="E9" s="142">
        <f>'Input | Inflation and Disc Rate'!H22</f>
        <v>4.8886415912237968E-2</v>
      </c>
      <c r="F9" s="142">
        <f>'Input | Inflation and Disc Rate'!I22</f>
        <v>5.8085364780244619E-2</v>
      </c>
      <c r="G9" s="142">
        <f>'Input | Inflation and Disc Rate'!J22</f>
        <v>5.9004252220941522E-2</v>
      </c>
      <c r="H9" s="143">
        <f>'Input | Inflation and Disc Rate'!K22</f>
        <v>5.27653697732684E-2</v>
      </c>
      <c r="I9" s="84"/>
      <c r="J9" s="69"/>
      <c r="K9" s="69"/>
    </row>
    <row r="10" spans="2:15" ht="11.25" customHeight="1">
      <c r="C10" s="98" t="s">
        <v>74</v>
      </c>
      <c r="D10" s="218">
        <f>'Input | Reported Capex'!H$12*'Input | Inflation and Disc Rate'!G$15*(1+'Input | Inflation and Disc Rate'!G$20)^0.5</f>
        <v>333.05398385510682</v>
      </c>
      <c r="E10" s="144">
        <f>'Input | Reported Capex'!I$12*'Input | Inflation and Disc Rate'!H$15*(1+'Input | Inflation and Disc Rate'!H$20)^0.5</f>
        <v>418.6547856201139</v>
      </c>
      <c r="F10" s="144">
        <f>'Input | Reported Capex'!J$12*'Input | Inflation and Disc Rate'!I$15*(1+'Input | Inflation and Disc Rate'!I$20)^0.5</f>
        <v>395.41633943745751</v>
      </c>
      <c r="G10" s="144">
        <f>'Input | Reported Capex'!K$12*'Input | Inflation and Disc Rate'!J$15*(1+'Input | Inflation and Disc Rate'!J$20)^0.5</f>
        <v>431.84360803814235</v>
      </c>
      <c r="H10" s="145">
        <f>'Input | Reported Capex'!L$12*'Input | Inflation and Disc Rate'!K$15*(1+'Input | Inflation and Disc Rate'!K$20)^0.5</f>
        <v>416.68106925006805</v>
      </c>
      <c r="I10" s="84"/>
      <c r="J10" s="69"/>
      <c r="K10" s="69"/>
      <c r="N10" s="120"/>
    </row>
    <row r="11" spans="2:15" ht="11.25" customHeight="1">
      <c r="C11" s="98" t="s">
        <v>75</v>
      </c>
      <c r="D11" s="219">
        <f>'Input | Reported Capex'!H23*(1+D$9)^0.5</f>
        <v>287.85527664501888</v>
      </c>
      <c r="E11" s="144">
        <f>'Input | Reported Capex'!I23*(1+E$9)^0.5</f>
        <v>332.56908345614045</v>
      </c>
      <c r="F11" s="144">
        <f>'Input | Reported Capex'!J23*(1+F$9)^0.5</f>
        <v>367.31666097818663</v>
      </c>
      <c r="G11" s="144">
        <f>'Input | Reported Capex'!K23*(1+G$9)^0.5</f>
        <v>381.64409264981907</v>
      </c>
      <c r="H11" s="145">
        <f>'Input | Reported Capex'!L23*(1+H$9)^0.5</f>
        <v>348.84844685991123</v>
      </c>
      <c r="I11" s="84"/>
      <c r="J11" s="69"/>
      <c r="K11" s="69"/>
    </row>
    <row r="12" spans="2:15" s="14" customFormat="1" ht="11.25" customHeight="1">
      <c r="C12" s="98" t="s">
        <v>76</v>
      </c>
      <c r="D12" s="77">
        <f>(D10-D11)</f>
        <v>45.198707210087946</v>
      </c>
      <c r="E12" s="126">
        <f>(E10-E11)</f>
        <v>86.085702163973451</v>
      </c>
      <c r="F12" s="126">
        <f t="shared" ref="F12:H12" si="0">(F10-F11)</f>
        <v>28.099678459270876</v>
      </c>
      <c r="G12" s="126">
        <f t="shared" si="0"/>
        <v>50.199515388323277</v>
      </c>
      <c r="H12" s="131">
        <f t="shared" si="0"/>
        <v>67.832622390156814</v>
      </c>
      <c r="I12" s="84"/>
      <c r="J12" s="69"/>
      <c r="K12" s="69"/>
    </row>
    <row r="13" spans="2:15" ht="11.25" customHeight="1">
      <c r="C13" s="98" t="s">
        <v>77</v>
      </c>
      <c r="D13" s="77"/>
      <c r="E13" s="126">
        <f>$D$12*$E$8</f>
        <v>1.7294081307637623</v>
      </c>
      <c r="F13" s="126">
        <f>$D$12*$F$8*(1+'Input | Inflation and Disc Rate'!H13)</f>
        <v>1.7357324081005538</v>
      </c>
      <c r="G13" s="126">
        <f>$D$12*$G$8*(1+'Input | Inflation and Disc Rate'!H13)*(1+'Input | Inflation and Disc Rate'!I13)</f>
        <v>1.743046028664905</v>
      </c>
      <c r="H13" s="131">
        <f>$D$12*$H$8*(1+'Input | Inflation and Disc Rate'!H13)*(1+'Input | Inflation and Disc Rate'!I13)*(1+'Input | Inflation and Disc Rate'!J13)</f>
        <v>1.7226893624448167</v>
      </c>
      <c r="I13" s="84"/>
      <c r="J13" s="69"/>
      <c r="K13" s="69"/>
      <c r="L13" s="83"/>
      <c r="M13" s="83"/>
      <c r="N13" s="83"/>
      <c r="O13" s="83"/>
    </row>
    <row r="14" spans="2:15" ht="11.25" customHeight="1">
      <c r="C14" s="98" t="s">
        <v>78</v>
      </c>
      <c r="D14" s="77"/>
      <c r="E14" s="127"/>
      <c r="F14" s="126">
        <f>$E$12*F$8</f>
        <v>3.2724003040600045</v>
      </c>
      <c r="G14" s="126">
        <f>$E$12*G$8*(1+'Input | Inflation and Disc Rate'!I13)</f>
        <v>3.286188774014744</v>
      </c>
      <c r="H14" s="131">
        <f>$E$12*H$8*(1+'Input | Inflation and Disc Rate'!I13)*(1+'Input | Inflation and Disc Rate'!J13)</f>
        <v>3.2478100697759018</v>
      </c>
      <c r="I14" s="84"/>
      <c r="J14" s="69"/>
      <c r="K14" s="69"/>
      <c r="L14" s="83"/>
      <c r="M14" s="83"/>
      <c r="N14" s="84"/>
      <c r="O14" s="84"/>
    </row>
    <row r="15" spans="2:15" ht="11.25" customHeight="1">
      <c r="C15" s="98" t="s">
        <v>79</v>
      </c>
      <c r="D15" s="77"/>
      <c r="E15" s="126"/>
      <c r="F15" s="126"/>
      <c r="G15" s="126">
        <f>$F$12*G$8</f>
        <v>1.0523132439776386</v>
      </c>
      <c r="H15" s="131">
        <f>$F$12*$H$8*(1+'Input | Inflation and Disc Rate'!J13)</f>
        <v>1.0400234999810105</v>
      </c>
      <c r="I15" s="84"/>
      <c r="J15" s="69"/>
      <c r="K15" s="69"/>
      <c r="L15" s="83"/>
      <c r="M15" s="83"/>
      <c r="N15" s="83"/>
      <c r="O15" s="83"/>
    </row>
    <row r="16" spans="2:15" ht="11.25" customHeight="1">
      <c r="C16" s="98" t="s">
        <v>80</v>
      </c>
      <c r="D16" s="77"/>
      <c r="E16" s="126"/>
      <c r="F16" s="126"/>
      <c r="G16" s="126"/>
      <c r="H16" s="131">
        <f>$G$12*$H$8</f>
        <v>1.8201639319350404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8" t="s">
        <v>81</v>
      </c>
      <c r="D17" s="77"/>
      <c r="E17" s="126"/>
      <c r="F17" s="126"/>
      <c r="G17" s="126"/>
      <c r="H17" s="131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99" t="s">
        <v>82</v>
      </c>
      <c r="D18" s="78">
        <f>SUM(D13:D17)</f>
        <v>0</v>
      </c>
      <c r="E18" s="79">
        <f>SUM(E13:E17)</f>
        <v>1.7294081307637623</v>
      </c>
      <c r="F18" s="79">
        <f t="shared" ref="F18:H18" si="1">SUM(F13:F17)</f>
        <v>5.0081327121605579</v>
      </c>
      <c r="G18" s="79">
        <f t="shared" si="1"/>
        <v>6.0815480466572875</v>
      </c>
      <c r="H18" s="80">
        <f t="shared" si="1"/>
        <v>7.8306868641367693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0" t="s">
        <v>83</v>
      </c>
      <c r="D19" s="78">
        <f>E19*(1+E$9)</f>
        <v>1.2373098286831157</v>
      </c>
      <c r="E19" s="79">
        <f>F19*(1+F$9)</f>
        <v>1.179641389107897</v>
      </c>
      <c r="F19" s="79">
        <f>G19*(1+G$9)</f>
        <v>1.114883003180843</v>
      </c>
      <c r="G19" s="79">
        <f>H19*(1+H$9)</f>
        <v>1.0527653697732684</v>
      </c>
      <c r="H19" s="132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224" t="s">
        <v>126</v>
      </c>
      <c r="D20" s="77">
        <f>D12*D19</f>
        <v>55.924804674812222</v>
      </c>
      <c r="E20" s="126">
        <f>E12*E19</f>
        <v>101.55025728303833</v>
      </c>
      <c r="F20" s="126">
        <f t="shared" ref="F20:H20" si="2">F12*F19</f>
        <v>31.327853909087956</v>
      </c>
      <c r="G20" s="126">
        <f t="shared" si="2"/>
        <v>52.848311380227031</v>
      </c>
      <c r="H20" s="131">
        <f t="shared" si="2"/>
        <v>67.832622390156814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225" t="s">
        <v>127</v>
      </c>
      <c r="D21" s="78">
        <f>D18*D19</f>
        <v>0</v>
      </c>
      <c r="E21" s="79">
        <f>E18*E19</f>
        <v>2.0400814097086561</v>
      </c>
      <c r="F21" s="79">
        <f t="shared" ref="F21:H21" si="3">F18*F19</f>
        <v>5.5834820384617831</v>
      </c>
      <c r="G21" s="79">
        <f t="shared" si="3"/>
        <v>6.4024431781330575</v>
      </c>
      <c r="H21" s="80">
        <f t="shared" si="3"/>
        <v>7.8306868641367693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3" t="s">
        <v>85</v>
      </c>
      <c r="D23" s="104"/>
      <c r="E23" s="105"/>
      <c r="F23" s="105"/>
      <c r="G23" s="105"/>
      <c r="H23" s="105"/>
      <c r="I23" s="84"/>
      <c r="J23" s="69"/>
      <c r="K23" s="69"/>
      <c r="L23" s="84"/>
      <c r="M23" s="84"/>
      <c r="N23" s="84"/>
      <c r="O23" s="84"/>
    </row>
    <row r="24" spans="3:15" ht="11.25" customHeight="1">
      <c r="C24" s="97" t="s">
        <v>71</v>
      </c>
      <c r="D24" s="157" t="str">
        <f>'Input | General'!$D$20</f>
        <v>2021-22</v>
      </c>
      <c r="E24" s="157" t="str">
        <f>'Input | General'!$E$20</f>
        <v>2022–23</v>
      </c>
      <c r="F24" s="157" t="str">
        <f>'Input | General'!$F$20</f>
        <v>2023–24</v>
      </c>
      <c r="G24" s="157" t="str">
        <f>'Input | General'!$G$20</f>
        <v>2024–25</v>
      </c>
      <c r="H24" s="158" t="str">
        <f>'Input | General'!$H$20</f>
        <v>2025–26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1" t="s">
        <v>86</v>
      </c>
      <c r="D25" s="146">
        <f>'Input | Inflation and Disc Rate'!M$22</f>
        <v>4.8334774297438265E-2</v>
      </c>
      <c r="E25" s="146">
        <f>'Input | Inflation and Disc Rate'!N$22</f>
        <v>4.6476823137973522E-2</v>
      </c>
      <c r="F25" s="146">
        <f>'Input | Inflation and Disc Rate'!O$22</f>
        <v>4.4618871978509E-2</v>
      </c>
      <c r="G25" s="146">
        <f>'Input | Inflation and Disc Rate'!P$22</f>
        <v>4.2760920819044257E-2</v>
      </c>
      <c r="H25" s="147">
        <f>'Input | Inflation and Disc Rate'!Q$22</f>
        <v>4.0902969659579513E-2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2" t="s">
        <v>87</v>
      </c>
      <c r="D26" s="144">
        <f>'Input | Reported Capex'!H31</f>
        <v>14.47725386615746</v>
      </c>
      <c r="E26" s="144">
        <f>'Input | Reported Capex'!I31</f>
        <v>0</v>
      </c>
      <c r="F26" s="144">
        <f>'Input | Reported Capex'!J31</f>
        <v>0</v>
      </c>
      <c r="G26" s="144">
        <f>'Input | Reported Capex'!K31</f>
        <v>0</v>
      </c>
      <c r="H26" s="145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2" t="s">
        <v>88</v>
      </c>
      <c r="D27" s="109">
        <f>1/((1+D25)^(0.5)*(1+'Input | Inflation and Disc Rate'!$L$22))</f>
        <v>0.95351721356479302</v>
      </c>
      <c r="E27" s="109">
        <f>1/((1+E25)^(0.5)*(1+D25)*(1+'Input | Inflation and Disc Rate'!$L$22))</f>
        <v>0.91036118930410681</v>
      </c>
      <c r="F27" s="109">
        <f>1/((1+F25)^(0.5)*(1+E25)*(1+D25)*(1+'Input | Inflation and Disc Rate'!$L$22))</f>
        <v>0.87070290543803786</v>
      </c>
      <c r="G27" s="109">
        <f>1/((1+G25)^(0.5)*(1+F25)*(1+E25)*(1+D25)*(1+'Input | Inflation and Disc Rate'!$L$22))</f>
        <v>0.83425474688646561</v>
      </c>
      <c r="H27" s="110">
        <f>1/((1+H25)^(0.5)*(1+G25)*(1+F25)*(1+E25)*(1+D25)*(1+'Input | Inflation and Disc Rate'!$L$22))</f>
        <v>0.80075782121128736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226" t="s">
        <v>128</v>
      </c>
      <c r="D28" s="79">
        <f>D26*D27</f>
        <v>13.804310766528587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6" t="s">
        <v>89</v>
      </c>
      <c r="D30" s="106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8" t="s">
        <v>90</v>
      </c>
      <c r="D31" s="89">
        <f>SUM(D20:H20)-SUM(D28:H28)</f>
        <v>295.67953887079375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8" t="s">
        <v>91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2:15" ht="11.25" customHeight="1">
      <c r="C33" s="98" t="s">
        <v>92</v>
      </c>
      <c r="D33" s="89">
        <f>(1-D32)*D31</f>
        <v>206.97567720955561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2:15" ht="11.25" customHeight="1">
      <c r="C34" s="98" t="s">
        <v>93</v>
      </c>
      <c r="D34" s="89">
        <f>D32*D31</f>
        <v>88.703861661238122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2:15" ht="11.25" customHeight="1">
      <c r="C35" s="98" t="s">
        <v>94</v>
      </c>
      <c r="D35" s="89">
        <f>SUM(D21:H21)</f>
        <v>21.856693490440264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2:15" ht="11.25" customHeight="1">
      <c r="C36" s="225" t="s">
        <v>129</v>
      </c>
      <c r="D36" s="90">
        <f>D34-D35</f>
        <v>66.847168170797858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2:15" ht="11.25" customHeight="1">
      <c r="C37" s="227" t="s">
        <v>130</v>
      </c>
      <c r="D37" s="228">
        <v>68.470654688637197</v>
      </c>
      <c r="E37" s="83"/>
      <c r="F37" s="83"/>
      <c r="G37" s="83"/>
      <c r="H37" s="83"/>
      <c r="I37" s="84"/>
      <c r="J37" s="69"/>
      <c r="K37" s="69"/>
      <c r="L37" s="84"/>
      <c r="M37" s="84"/>
      <c r="N37" s="84"/>
      <c r="O37" s="84"/>
    </row>
    <row r="38" spans="2:15" ht="11.25" customHeight="1">
      <c r="D38" s="20"/>
      <c r="J38" s="2"/>
    </row>
    <row r="39" spans="2:15" s="8" customFormat="1" ht="12" customHeight="1">
      <c r="B39" s="23" t="s">
        <v>95</v>
      </c>
      <c r="J39" s="18"/>
      <c r="K39" s="18"/>
    </row>
    <row r="40" spans="2:15" s="21" customFormat="1" ht="11.25" customHeight="1">
      <c r="H40" s="22"/>
      <c r="J40" s="208" t="str">
        <f>"Based on "&amp;'Input | Reported Capex'!$L$17&amp;" "&amp;'Input | General'!$H$15&amp;" Capex"</f>
        <v>Based on AER Final Decision 2020–21 Capex</v>
      </c>
      <c r="K40" s="209"/>
    </row>
    <row r="41" spans="2:15" s="24" customFormat="1" ht="11.25" customHeight="1">
      <c r="C41" s="81"/>
      <c r="D41" s="159" t="str">
        <f>'Input | General'!D20</f>
        <v>2021-22</v>
      </c>
      <c r="E41" s="159" t="str">
        <f>'Input | General'!E20</f>
        <v>2022–23</v>
      </c>
      <c r="F41" s="159" t="str">
        <f>'Input | General'!F20</f>
        <v>2023–24</v>
      </c>
      <c r="G41" s="159" t="str">
        <f>'Input | General'!G20</f>
        <v>2024–25</v>
      </c>
      <c r="H41" s="159" t="str">
        <f>'Input | General'!H20</f>
        <v>2025–26</v>
      </c>
      <c r="J41" s="159" t="str">
        <f>D41</f>
        <v>2021-22</v>
      </c>
      <c r="K41" s="159" t="str">
        <f t="shared" ref="K41:N42" si="5">E41</f>
        <v>2022–23</v>
      </c>
      <c r="L41" s="159" t="str">
        <f t="shared" si="5"/>
        <v>2023–24</v>
      </c>
      <c r="M41" s="159" t="str">
        <f t="shared" si="5"/>
        <v>2024–25</v>
      </c>
      <c r="N41" s="159" t="str">
        <f t="shared" si="5"/>
        <v>2025–26</v>
      </c>
    </row>
    <row r="42" spans="2:15" s="24" customFormat="1" ht="11.25" customHeight="1">
      <c r="C42" s="87" t="s">
        <v>96</v>
      </c>
      <c r="D42" s="148">
        <f>1/(1+'Input | Inflation and Disc Rate'!M21)</f>
        <v>0.97297163559567379</v>
      </c>
      <c r="E42" s="148">
        <f>D42/(1+'Input | Inflation and Disc Rate'!N21)</f>
        <v>0.9483545610992854</v>
      </c>
      <c r="F42" s="148">
        <f>E42/(1+'Input | Inflation and Disc Rate'!O21)</f>
        <v>0.92600438137706931</v>
      </c>
      <c r="G42" s="148">
        <f>F42/(1+'Input | Inflation and Disc Rate'!P21)</f>
        <v>0.90579197028473879</v>
      </c>
      <c r="H42" s="149">
        <f>G42/(1+'Input | Inflation and Disc Rate'!Q21)</f>
        <v>0.88760224211156924</v>
      </c>
      <c r="J42" s="165">
        <f>D42</f>
        <v>0.97297163559567379</v>
      </c>
      <c r="K42" s="148">
        <f>E42</f>
        <v>0.9483545610992854</v>
      </c>
      <c r="L42" s="148">
        <f t="shared" si="5"/>
        <v>0.92600438137706931</v>
      </c>
      <c r="M42" s="148">
        <f t="shared" si="5"/>
        <v>0.90579197028473879</v>
      </c>
      <c r="N42" s="149">
        <f t="shared" si="5"/>
        <v>0.88760224211156924</v>
      </c>
    </row>
    <row r="43" spans="2:15" s="24" customFormat="1" ht="11.25" customHeight="1">
      <c r="C43" s="164" t="str">
        <f>CONCATENATE("CESS Payment Per Year ($", 'Output | Models'!$F$8," million)")</f>
        <v>CESS Payment Per Year ($2020–21 million)</v>
      </c>
      <c r="D43" s="95">
        <f>D37/(SUM(D42:H42))</f>
        <v>14.754301920525483</v>
      </c>
      <c r="E43" s="95">
        <f>D43</f>
        <v>14.754301920525483</v>
      </c>
      <c r="F43" s="95">
        <f t="shared" ref="F43:H43" si="6">E43</f>
        <v>14.754301920525483</v>
      </c>
      <c r="G43" s="95">
        <f t="shared" si="6"/>
        <v>14.754301920525483</v>
      </c>
      <c r="H43" s="129">
        <f t="shared" si="6"/>
        <v>14.754301920525483</v>
      </c>
      <c r="J43" s="201">
        <v>15.116135500170964</v>
      </c>
      <c r="K43" s="202">
        <v>15.116135500170964</v>
      </c>
      <c r="L43" s="202">
        <v>15.116135500170964</v>
      </c>
      <c r="M43" s="202">
        <v>15.116135500170964</v>
      </c>
      <c r="N43" s="203">
        <v>15.116135500170964</v>
      </c>
    </row>
    <row r="44" spans="2:15" s="24" customFormat="1" ht="11.25" customHeight="1">
      <c r="C44" s="69"/>
      <c r="D44" s="69"/>
      <c r="E44" s="69"/>
      <c r="F44" s="69"/>
      <c r="G44" s="69"/>
      <c r="H44" s="69"/>
      <c r="I44" s="69"/>
      <c r="J44" s="166">
        <f>D36/(SUM(J42:N42))</f>
        <v>14.404467230656813</v>
      </c>
      <c r="K44" s="95">
        <f>J44</f>
        <v>14.404467230656813</v>
      </c>
      <c r="L44" s="95">
        <f t="shared" ref="L44" si="7">K44</f>
        <v>14.404467230656813</v>
      </c>
      <c r="M44" s="95">
        <f t="shared" ref="M44" si="8">L44</f>
        <v>14.404467230656813</v>
      </c>
      <c r="N44" s="129">
        <f t="shared" ref="N44" si="9">M44</f>
        <v>14.404467230656813</v>
      </c>
      <c r="O44" s="69"/>
    </row>
    <row r="45" spans="2:15" s="69" customFormat="1" ht="11.25" customHeight="1">
      <c r="K45" s="24"/>
      <c r="L45" s="24"/>
      <c r="M45" s="24"/>
    </row>
    <row r="46" spans="2:15" s="24" customFormat="1" ht="11.25" customHeight="1">
      <c r="C46" s="164" t="str">
        <f>CONCATENATE("Total CESS Payment ($", 'Output | Models'!$F$8," million)")</f>
        <v>Total CESS Payment ($2020–21 million)</v>
      </c>
      <c r="D46" s="135">
        <f>SUM(D43:H43)</f>
        <v>73.771509602627418</v>
      </c>
      <c r="E46" s="60"/>
      <c r="F46" s="60"/>
      <c r="G46" s="60"/>
      <c r="H46" s="60"/>
      <c r="J46" s="135">
        <f>SUM(J43:N43)</f>
        <v>75.580677500854819</v>
      </c>
    </row>
    <row r="47" spans="2:15" s="24" customFormat="1" ht="11.25" customHeight="1">
      <c r="C47" s="59"/>
      <c r="D47" s="86"/>
      <c r="E47" s="60"/>
      <c r="F47" s="60"/>
      <c r="G47" s="60"/>
      <c r="H47" s="60"/>
    </row>
    <row r="48" spans="2:15" s="24" customFormat="1" ht="11.25" customHeight="1">
      <c r="C48" s="91"/>
      <c r="D48" s="91"/>
      <c r="E48" s="91"/>
      <c r="F48" s="91"/>
      <c r="G48" s="91"/>
      <c r="H48" s="91"/>
      <c r="I48" s="91"/>
      <c r="J48" s="167">
        <f>D46-J46</f>
        <v>-1.8091678982274004</v>
      </c>
      <c r="K48" s="91" t="s">
        <v>97</v>
      </c>
      <c r="L48" s="91"/>
      <c r="M48" s="91"/>
      <c r="N48" s="91"/>
      <c r="O48" s="91"/>
    </row>
    <row r="49" spans="1:16" ht="12" customHeight="1">
      <c r="A49" s="23"/>
      <c r="B49" s="23" t="s">
        <v>14</v>
      </c>
      <c r="C49" s="53"/>
      <c r="D49" s="53"/>
      <c r="E49" s="53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8" customHeight="1">
      <c r="C50" s="2"/>
      <c r="J50" s="2"/>
    </row>
    <row r="51" spans="1:16" ht="18" customHeight="1"/>
    <row r="52" spans="1:16" ht="18" customHeight="1"/>
    <row r="53" spans="1:16" ht="18" customHeight="1"/>
    <row r="54" spans="1:16" ht="18" customHeight="1"/>
    <row r="55" spans="1:16" ht="18" customHeight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Q17"/>
  <sheetViews>
    <sheetView topLeftCell="A5" workbookViewId="0"/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54296875" style="44" bestFit="1" customWidth="1"/>
    <col min="5" max="5" width="13.54296875" style="44" customWidth="1"/>
    <col min="6" max="6" width="9.26953125" style="44" customWidth="1"/>
    <col min="7" max="9" width="2.7265625" style="44" customWidth="1"/>
    <col min="10" max="15" width="9.26953125" style="43" customWidth="1"/>
    <col min="16" max="17" width="3" style="43" customWidth="1"/>
    <col min="18" max="24" width="9.26953125" style="43" customWidth="1"/>
    <col min="25" max="27" width="8.7265625" style="43" customWidth="1"/>
    <col min="28" max="48" width="0" style="43" hidden="1" customWidth="1"/>
    <col min="49" max="16384" width="0" style="43" hidden="1"/>
  </cols>
  <sheetData>
    <row r="1" spans="1:17" s="28" customFormat="1" ht="15.5" hidden="1">
      <c r="B1" s="3" t="str">
        <f>'Input | General'!$B$1</f>
        <v>AusNet Services 2021-26 FY20 True-up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36" t="s">
        <v>16</v>
      </c>
      <c r="M1" s="141" t="s">
        <v>17</v>
      </c>
    </row>
    <row r="2" spans="1:17" s="31" customFormat="1" ht="13.5" hidden="1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17" s="34" customFormat="1" ht="10.5" hidden="1">
      <c r="D3" s="35"/>
      <c r="E3" s="35"/>
      <c r="F3" s="35"/>
      <c r="G3" s="35"/>
      <c r="H3" s="35"/>
      <c r="I3" s="35"/>
      <c r="J3" s="229"/>
      <c r="K3" s="229"/>
      <c r="L3" s="229"/>
      <c r="M3" s="35"/>
      <c r="N3" s="229"/>
      <c r="O3" s="229"/>
      <c r="P3" s="229"/>
      <c r="Q3" s="229"/>
    </row>
    <row r="4" spans="1:17" s="42" customFormat="1" ht="13" hidden="1">
      <c r="A4" s="36"/>
      <c r="B4" s="37" t="s">
        <v>98</v>
      </c>
      <c r="C4" s="36"/>
      <c r="D4" s="36"/>
      <c r="E4" s="36"/>
      <c r="F4" s="36"/>
      <c r="G4" s="38"/>
      <c r="H4" s="38"/>
      <c r="I4" s="38"/>
      <c r="J4" s="39" t="s">
        <v>99</v>
      </c>
      <c r="K4" s="40"/>
      <c r="L4" s="41"/>
      <c r="M4" s="40"/>
      <c r="N4" s="41"/>
      <c r="O4" s="41"/>
      <c r="P4" s="41"/>
      <c r="Q4" s="41"/>
    </row>
    <row r="5" spans="1:17" ht="11.25" customHeight="1">
      <c r="M5" s="45"/>
      <c r="N5" s="45"/>
      <c r="O5" s="45"/>
      <c r="P5" s="45"/>
      <c r="Q5" s="69"/>
    </row>
    <row r="6" spans="1:17" ht="11.25" customHeight="1">
      <c r="C6" s="46" t="s">
        <v>100</v>
      </c>
      <c r="D6" s="47" t="s">
        <v>38</v>
      </c>
      <c r="E6" s="47" t="s">
        <v>39</v>
      </c>
      <c r="F6" s="47" t="s">
        <v>53</v>
      </c>
      <c r="H6" s="47"/>
      <c r="I6" s="47"/>
      <c r="J6" s="160" t="str">
        <f>'Calc | CESS Revenue Increments'!D41</f>
        <v>2021-22</v>
      </c>
      <c r="K6" s="160" t="str">
        <f>'Calc | CESS Revenue Increments'!E41</f>
        <v>2022–23</v>
      </c>
      <c r="L6" s="160" t="str">
        <f>'Calc | CESS Revenue Increments'!F41</f>
        <v>2023–24</v>
      </c>
      <c r="M6" s="160" t="str">
        <f>'Calc | CESS Revenue Increments'!G41</f>
        <v>2024–25</v>
      </c>
      <c r="N6" s="160" t="str">
        <f>'Calc | CESS Revenue Increments'!H41</f>
        <v>2025–26</v>
      </c>
      <c r="O6" s="48" t="s">
        <v>101</v>
      </c>
      <c r="P6" s="117"/>
      <c r="Q6" s="69"/>
    </row>
    <row r="7" spans="1:17" ht="11.25" customHeight="1">
      <c r="C7" s="46"/>
      <c r="D7" s="47"/>
      <c r="E7" s="47"/>
      <c r="F7" s="47"/>
      <c r="H7" s="47"/>
      <c r="I7" s="47"/>
      <c r="O7" s="69"/>
      <c r="P7" s="69"/>
      <c r="Q7" s="69"/>
    </row>
    <row r="8" spans="1:17" ht="11.25" customHeight="1">
      <c r="C8" s="49" t="s">
        <v>102</v>
      </c>
      <c r="D8" s="94" t="s">
        <v>10</v>
      </c>
      <c r="E8" s="44" t="s">
        <v>55</v>
      </c>
      <c r="F8" s="161" t="str">
        <f>IF(LEN(J6)&gt;4,CONCATENATE(LEFT(J6,4)-1&amp;"–"&amp;IF(RIGHT(J6,2)="00","99",IF(RIGHT(J6,2)-1&lt;10,"0","")&amp;RIGHT(J6,2)-1)),J6-1)</f>
        <v>2020–21</v>
      </c>
      <c r="H8" s="47"/>
      <c r="I8" s="47"/>
      <c r="J8" s="115">
        <f>'Calc | CESS Revenue Increments'!D43</f>
        <v>14.754301920525483</v>
      </c>
      <c r="K8" s="115">
        <f>'Calc | CESS Revenue Increments'!E43</f>
        <v>14.754301920525483</v>
      </c>
      <c r="L8" s="115">
        <f>'Calc | CESS Revenue Increments'!F43</f>
        <v>14.754301920525483</v>
      </c>
      <c r="M8" s="115">
        <f>'Calc | CESS Revenue Increments'!G43</f>
        <v>14.754301920525483</v>
      </c>
      <c r="N8" s="115">
        <f>'Calc | CESS Revenue Increments'!H43</f>
        <v>14.754301920525483</v>
      </c>
      <c r="O8" s="51">
        <f>SUM(J8:N8)</f>
        <v>73.771509602627418</v>
      </c>
      <c r="P8" s="118"/>
      <c r="Q8" s="69"/>
    </row>
    <row r="9" spans="1:17" ht="11.25" customHeight="1">
      <c r="C9" s="49"/>
      <c r="D9" s="50"/>
      <c r="H9" s="47"/>
      <c r="I9" s="47"/>
      <c r="Q9" s="69"/>
    </row>
    <row r="10" spans="1:17" ht="11.25" customHeight="1">
      <c r="D10" s="50"/>
      <c r="H10" s="47"/>
      <c r="I10" s="47"/>
      <c r="J10" s="116"/>
      <c r="K10" s="116"/>
      <c r="L10" s="116"/>
      <c r="M10" s="116"/>
      <c r="N10" s="116"/>
      <c r="Q10" s="69"/>
    </row>
    <row r="11" spans="1:17" s="42" customFormat="1" ht="13" hidden="1">
      <c r="A11" s="36"/>
      <c r="B11" s="37" t="s">
        <v>14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</row>
    <row r="12" spans="1:17" ht="11.25" customHeight="1">
      <c r="D12" s="43"/>
      <c r="E12" s="43"/>
      <c r="F12" s="43"/>
      <c r="G12" s="43"/>
      <c r="H12" s="43"/>
      <c r="I12" s="43"/>
    </row>
    <row r="13" spans="1:17" ht="11.25" customHeight="1">
      <c r="D13" s="43"/>
      <c r="E13" s="43"/>
      <c r="F13" s="43"/>
      <c r="G13" s="43"/>
      <c r="H13" s="43"/>
      <c r="I13" s="43"/>
    </row>
    <row r="14" spans="1:17" ht="11.25" customHeight="1">
      <c r="D14" s="43"/>
      <c r="E14" s="43"/>
      <c r="F14" s="43"/>
      <c r="G14" s="43"/>
      <c r="H14" s="43"/>
      <c r="I14" s="43"/>
    </row>
    <row r="15" spans="1:17" ht="11.25" customHeight="1">
      <c r="D15" s="43"/>
      <c r="E15" s="43"/>
      <c r="F15" s="43"/>
      <c r="G15" s="43"/>
      <c r="H15" s="43"/>
      <c r="I15" s="43"/>
    </row>
    <row r="16" spans="1:17" ht="11.25" customHeight="1">
      <c r="D16" s="43"/>
      <c r="E16" s="43"/>
      <c r="F16" s="43"/>
      <c r="G16" s="43"/>
      <c r="H16" s="43"/>
      <c r="I16" s="43"/>
    </row>
    <row r="17" s="43" customFormat="1" ht="10" hidden="1"/>
  </sheetData>
  <mergeCells count="2">
    <mergeCell ref="J3:L3"/>
    <mergeCell ref="N3:Q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workbookViewId="0">
      <selection activeCell="R10" sqref="R10"/>
    </sheetView>
  </sheetViews>
  <sheetFormatPr defaultColWidth="0" defaultRowHeight="14.5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15.5">
      <c r="A1" s="69"/>
      <c r="B1" s="3" t="str">
        <f>'Input | General'!$B$1</f>
        <v>AusNet Services 2021-26 FY20 True-up - Capital expenditure sharing scheme model</v>
      </c>
      <c r="C1" s="69"/>
      <c r="D1" s="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3" t="s">
        <v>15</v>
      </c>
      <c r="Q1" s="136" t="s">
        <v>16</v>
      </c>
      <c r="R1" s="141" t="s">
        <v>17</v>
      </c>
      <c r="S1" s="205" t="str">
        <f>'Input | General'!$D$8</f>
        <v>FY20 True-up</v>
      </c>
    </row>
    <row r="2" spans="1:19" ht="15.5">
      <c r="A2" s="69"/>
      <c r="B2" s="69"/>
      <c r="C2" s="69"/>
      <c r="D2" s="69"/>
      <c r="E2" s="3"/>
      <c r="F2" s="3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23"/>
      <c r="B3" s="23" t="s">
        <v>103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>
      <c r="A4" s="69"/>
      <c r="B4" s="69"/>
      <c r="C4" s="174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>
      <c r="A5" s="69"/>
      <c r="B5" s="69"/>
      <c r="C5" s="69"/>
      <c r="D5" s="65" t="s">
        <v>38</v>
      </c>
      <c r="E5" s="65" t="s">
        <v>39</v>
      </c>
      <c r="F5" s="65" t="s">
        <v>53</v>
      </c>
      <c r="G5" s="175"/>
      <c r="H5" s="176" t="str">
        <f>'Input | General'!D20</f>
        <v>2021-22</v>
      </c>
      <c r="I5" s="176" t="str">
        <f>'Input | General'!E20</f>
        <v>2022–23</v>
      </c>
      <c r="J5" s="176" t="str">
        <f>'Input | General'!F20</f>
        <v>2023–24</v>
      </c>
      <c r="K5" s="176" t="str">
        <f>'Input | General'!G20</f>
        <v>2024–25</v>
      </c>
      <c r="L5" s="176" t="str">
        <f>'Input | General'!H20</f>
        <v>2025–26</v>
      </c>
      <c r="M5" s="176" t="str">
        <f>'Input | General'!D23</f>
        <v>2026–27</v>
      </c>
      <c r="N5" s="176" t="str">
        <f>'Input | General'!E23</f>
        <v>2027–28</v>
      </c>
      <c r="O5" s="176" t="str">
        <f>'Input | General'!F23</f>
        <v>2028–29</v>
      </c>
      <c r="P5" s="176" t="str">
        <f>'Input | General'!G23</f>
        <v>2029–30</v>
      </c>
      <c r="Q5" s="176" t="str">
        <f>'Input | General'!H23</f>
        <v>2030–31</v>
      </c>
      <c r="R5" s="69"/>
      <c r="S5" s="69"/>
    </row>
    <row r="6" spans="1:19">
      <c r="A6" s="69"/>
      <c r="B6" s="69"/>
      <c r="C6" s="177" t="s">
        <v>104</v>
      </c>
      <c r="D6" s="177" t="str">
        <f>"AER FD PTRM "&amp;'Input | General'!$D$9&amp;", latest version"</f>
        <v>AER FD PTRM 2021-26, latest version</v>
      </c>
      <c r="E6" s="68" t="s">
        <v>42</v>
      </c>
      <c r="F6" s="69"/>
      <c r="G6" s="69"/>
      <c r="H6" s="206">
        <v>2.7779190487684468E-2</v>
      </c>
      <c r="I6" s="206">
        <v>2.6951847031228972E-2</v>
      </c>
      <c r="J6" s="206">
        <v>2.7480962755957836E-2</v>
      </c>
      <c r="K6" s="206">
        <v>2.8030311010958139E-2</v>
      </c>
      <c r="L6" s="206">
        <v>2.8237653085749589E-2</v>
      </c>
      <c r="M6" s="168"/>
      <c r="N6" s="168"/>
      <c r="O6" s="168"/>
      <c r="P6" s="168"/>
      <c r="Q6" s="168"/>
      <c r="R6" s="69"/>
      <c r="S6" s="69"/>
    </row>
    <row r="7" spans="1:19">
      <c r="A7" s="69"/>
      <c r="B7" s="69"/>
      <c r="C7" s="177" t="s">
        <v>105</v>
      </c>
      <c r="D7" s="177" t="str">
        <f>'Input | General'!$D$6&amp;" "&amp;'Input | General'!$D$11&amp;" PTRM"</f>
        <v>AusNet Services 2026-31 PTRM</v>
      </c>
      <c r="E7" s="68" t="s">
        <v>42</v>
      </c>
      <c r="F7" s="69"/>
      <c r="G7" s="69"/>
      <c r="H7" s="168"/>
      <c r="I7" s="168"/>
      <c r="J7" s="168"/>
      <c r="K7" s="168"/>
      <c r="L7" s="168"/>
      <c r="M7" s="206">
        <v>3.4245195880784653E-2</v>
      </c>
      <c r="N7" s="206">
        <v>3.476247475014245E-2</v>
      </c>
      <c r="O7" s="206">
        <v>3.5334420273774911E-2</v>
      </c>
      <c r="P7" s="206">
        <v>3.6376260961538343E-2</v>
      </c>
      <c r="Q7" s="206">
        <v>3.8005386302738045E-2</v>
      </c>
      <c r="R7" s="69"/>
      <c r="S7" s="69"/>
    </row>
    <row r="8" spans="1:19">
      <c r="A8" s="69"/>
      <c r="B8" s="69"/>
      <c r="C8" s="177" t="s">
        <v>106</v>
      </c>
      <c r="D8" s="177" t="str">
        <f>"Actual/estimated inflation from "&amp;'Input | General'!$D$11&amp; " RFM"</f>
        <v>Actual/estimated inflation from 2026-31 RFM</v>
      </c>
      <c r="E8" s="68" t="s">
        <v>42</v>
      </c>
      <c r="F8" s="69"/>
      <c r="G8" s="179"/>
      <c r="H8" s="206">
        <v>8.6058519793459354E-3</v>
      </c>
      <c r="I8" s="206">
        <v>3.4982935153583528E-2</v>
      </c>
      <c r="J8" s="206">
        <v>7.8318219291014124E-2</v>
      </c>
      <c r="K8" s="206">
        <v>4.0519877675840865E-2</v>
      </c>
      <c r="L8" s="206">
        <v>2.4246877296105973E-2</v>
      </c>
      <c r="M8" s="169"/>
      <c r="N8" s="169"/>
      <c r="O8" s="169"/>
      <c r="P8" s="169"/>
      <c r="Q8" s="169"/>
      <c r="R8" s="69"/>
      <c r="S8" s="69"/>
    </row>
    <row r="9" spans="1:19">
      <c r="A9" s="69"/>
      <c r="B9" s="69"/>
      <c r="C9" s="177" t="s">
        <v>107</v>
      </c>
      <c r="D9" s="177"/>
      <c r="E9" s="68" t="s">
        <v>0</v>
      </c>
      <c r="F9" s="69"/>
      <c r="G9" s="180"/>
      <c r="H9" s="170">
        <f>(1+H8)</f>
        <v>1.0086058519793459</v>
      </c>
      <c r="I9" s="170">
        <f>H9*(1+I8)</f>
        <v>1.0438898450946643</v>
      </c>
      <c r="J9" s="170">
        <f t="shared" ref="J9:L9" si="0">I9*(1+J8)</f>
        <v>1.1256454388984509</v>
      </c>
      <c r="K9" s="170">
        <f t="shared" si="0"/>
        <v>1.1712564543889843</v>
      </c>
      <c r="L9" s="170">
        <f t="shared" si="0"/>
        <v>1.1996557659208262</v>
      </c>
      <c r="M9" s="168"/>
      <c r="N9" s="168"/>
      <c r="O9" s="168"/>
      <c r="P9" s="168"/>
      <c r="Q9" s="168"/>
      <c r="R9" s="69"/>
      <c r="S9" s="69"/>
    </row>
    <row r="10" spans="1:19">
      <c r="A10" s="69"/>
      <c r="B10" s="69"/>
      <c r="C10" s="177" t="s">
        <v>108</v>
      </c>
      <c r="D10" s="177"/>
      <c r="E10" s="68" t="s">
        <v>42</v>
      </c>
      <c r="F10" s="69"/>
      <c r="G10" s="69"/>
      <c r="H10" s="171">
        <f>(1+H6)*(1+H8)-1</f>
        <v>3.662410606847355E-2</v>
      </c>
      <c r="I10" s="171">
        <f t="shared" ref="I10:L10" si="1">(1+I6)*(1+I8)-1</f>
        <v>6.2877636901775169E-2</v>
      </c>
      <c r="J10" s="171">
        <f t="shared" si="1"/>
        <v>0.1079514421144212</v>
      </c>
      <c r="K10" s="171">
        <f t="shared" si="1"/>
        <v>6.9685973460178685E-2</v>
      </c>
      <c r="L10" s="171">
        <f t="shared" si="1"/>
        <v>5.3169205291355714E-2</v>
      </c>
      <c r="M10" s="168"/>
      <c r="N10" s="168"/>
      <c r="O10" s="168"/>
      <c r="P10" s="168"/>
      <c r="Q10" s="168"/>
      <c r="R10" s="69"/>
      <c r="S10" s="69"/>
    </row>
    <row r="11" spans="1:19">
      <c r="A11" s="69"/>
      <c r="B11" s="69"/>
      <c r="C11" s="69"/>
      <c r="D11" s="69"/>
      <c r="E11" s="177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177" t="s">
        <v>102</v>
      </c>
      <c r="D12" s="68" t="str">
        <f>"AER Final Decision ("&amp;'Input | General'!$H$15&amp;" Forecast Capex)"</f>
        <v>AER Final Decision (2020–21 Forecast Capex)</v>
      </c>
      <c r="E12" s="68" t="s">
        <v>55</v>
      </c>
      <c r="F12" s="68" t="str">
        <f>'Input | General'!H15</f>
        <v>2020–21</v>
      </c>
      <c r="G12" s="69"/>
      <c r="H12" s="181">
        <f>'Calc | CESS Revenue Increments'!D43</f>
        <v>14.754301920525483</v>
      </c>
      <c r="I12" s="181">
        <f>'Calc | CESS Revenue Increments'!E43</f>
        <v>14.754301920525483</v>
      </c>
      <c r="J12" s="181">
        <f>'Calc | CESS Revenue Increments'!F43</f>
        <v>14.754301920525483</v>
      </c>
      <c r="K12" s="181">
        <f>'Calc | CESS Revenue Increments'!G43</f>
        <v>14.754301920525483</v>
      </c>
      <c r="L12" s="181">
        <f>'Calc | CESS Revenue Increments'!H43</f>
        <v>14.754301920525483</v>
      </c>
      <c r="M12" s="69"/>
      <c r="N12" s="69"/>
      <c r="O12" s="69"/>
      <c r="P12" s="69"/>
      <c r="Q12" s="69"/>
      <c r="R12" s="69"/>
      <c r="S12" s="69"/>
    </row>
    <row r="13" spans="1:19">
      <c r="A13" s="69"/>
      <c r="B13" s="69"/>
      <c r="C13" s="177" t="s">
        <v>102</v>
      </c>
      <c r="D13" s="68" t="str">
        <f>"Adjusted for "&amp;'Input | General'!H15&amp;" Actual Capex"</f>
        <v>Adjusted for 2020–21 Actual Capex</v>
      </c>
      <c r="E13" s="68" t="s">
        <v>55</v>
      </c>
      <c r="F13" s="68" t="str">
        <f>F12</f>
        <v>2020–21</v>
      </c>
      <c r="G13" s="69"/>
      <c r="H13" s="181">
        <f>'Calc | CESS Revenue Increments'!J43</f>
        <v>15.116135500170964</v>
      </c>
      <c r="I13" s="181">
        <f>'Calc | CESS Revenue Increments'!K43</f>
        <v>15.116135500170964</v>
      </c>
      <c r="J13" s="181">
        <f>'Calc | CESS Revenue Increments'!L43</f>
        <v>15.116135500170964</v>
      </c>
      <c r="K13" s="181">
        <f>'Calc | CESS Revenue Increments'!M43</f>
        <v>15.116135500170964</v>
      </c>
      <c r="L13" s="181">
        <f>'Calc | CESS Revenue Increments'!N43</f>
        <v>15.116135500170964</v>
      </c>
      <c r="M13" s="69"/>
      <c r="N13" s="69"/>
      <c r="O13" s="69"/>
      <c r="P13" s="69"/>
      <c r="Q13" s="69"/>
      <c r="R13" s="69"/>
      <c r="S13" s="69"/>
    </row>
    <row r="14" spans="1:19">
      <c r="A14" s="69"/>
      <c r="B14" s="69"/>
      <c r="C14" s="177"/>
      <c r="D14" s="17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>
      <c r="A15" s="69"/>
      <c r="B15" s="69"/>
      <c r="C15" s="177" t="s">
        <v>109</v>
      </c>
      <c r="D15" s="68"/>
      <c r="E15" s="68" t="s">
        <v>55</v>
      </c>
      <c r="F15" s="68" t="str">
        <f>F13</f>
        <v>2020–21</v>
      </c>
      <c r="G15" s="69"/>
      <c r="H15" s="181">
        <f>H13-H12</f>
        <v>0.3618335796454808</v>
      </c>
      <c r="I15" s="181">
        <f t="shared" ref="I15:L15" si="2">I13-I12</f>
        <v>0.3618335796454808</v>
      </c>
      <c r="J15" s="181">
        <f t="shared" si="2"/>
        <v>0.3618335796454808</v>
      </c>
      <c r="K15" s="181">
        <f t="shared" si="2"/>
        <v>0.3618335796454808</v>
      </c>
      <c r="L15" s="181">
        <f t="shared" si="2"/>
        <v>0.3618335796454808</v>
      </c>
      <c r="M15" s="69"/>
      <c r="N15" s="69"/>
      <c r="O15" s="69"/>
      <c r="P15" s="69"/>
      <c r="Q15" s="69"/>
      <c r="R15" s="69"/>
      <c r="S15" s="69"/>
    </row>
    <row r="16" spans="1:19">
      <c r="A16" s="69"/>
      <c r="B16" s="69"/>
      <c r="C16" s="177" t="s">
        <v>109</v>
      </c>
      <c r="D16" s="68"/>
      <c r="E16" s="182" t="s">
        <v>55</v>
      </c>
      <c r="F16" s="182" t="s">
        <v>56</v>
      </c>
      <c r="G16" s="69"/>
      <c r="H16" s="181">
        <f>H15*H9</f>
        <v>0.3649474658730667</v>
      </c>
      <c r="I16" s="181">
        <f>I15*I9</f>
        <v>0.37771439940616885</v>
      </c>
      <c r="J16" s="181">
        <f>J15*J9</f>
        <v>0.40729631856823484</v>
      </c>
      <c r="K16" s="181">
        <f>K15*K9</f>
        <v>0.42379991557443997</v>
      </c>
      <c r="L16" s="181">
        <f>L15*L9</f>
        <v>0.43407574012547356</v>
      </c>
      <c r="M16" s="69"/>
      <c r="N16" s="69"/>
      <c r="O16" s="69"/>
      <c r="P16" s="69"/>
      <c r="Q16" s="69"/>
      <c r="R16" s="69"/>
      <c r="S16" s="69"/>
    </row>
    <row r="17" spans="1:19">
      <c r="A17" s="69"/>
      <c r="B17" s="69"/>
      <c r="C17" s="177" t="s">
        <v>77</v>
      </c>
      <c r="D17" s="177"/>
      <c r="E17" s="182"/>
      <c r="F17" s="182"/>
      <c r="G17" s="69"/>
      <c r="H17" s="181"/>
      <c r="I17" s="181">
        <f>$H$16*I$6</f>
        <v>9.8360082746455496E-3</v>
      </c>
      <c r="J17" s="181">
        <f>$H$16*I$9/$H$9*J$6</f>
        <v>1.0379955342469908E-2</v>
      </c>
      <c r="K17" s="181">
        <f>$H$16*J$9/$H$9*K$6</f>
        <v>1.1416642483085907E-2</v>
      </c>
      <c r="L17" s="181">
        <f>$H$16*K$9/$H$9*L$6</f>
        <v>1.1967114993761001E-2</v>
      </c>
      <c r="M17" s="69"/>
      <c r="N17" s="69"/>
      <c r="O17" s="69"/>
      <c r="P17" s="69"/>
      <c r="Q17" s="69"/>
      <c r="R17" s="69"/>
      <c r="S17" s="69"/>
    </row>
    <row r="18" spans="1:19">
      <c r="A18" s="69"/>
      <c r="B18" s="69"/>
      <c r="C18" s="177" t="s">
        <v>78</v>
      </c>
      <c r="D18" s="177"/>
      <c r="E18" s="182"/>
      <c r="F18" s="182"/>
      <c r="G18" s="69"/>
      <c r="H18" s="181"/>
      <c r="I18" s="181"/>
      <c r="J18" s="181">
        <f>$I$16*J$6</f>
        <v>1.0379955342469908E-2</v>
      </c>
      <c r="K18" s="181">
        <f>$I$16*J$9/$I$9*K$6</f>
        <v>1.1416642483085907E-2</v>
      </c>
      <c r="L18" s="181">
        <f>$I$16*K$9/$I$9*L$6</f>
        <v>1.1967114993761001E-2</v>
      </c>
      <c r="M18" s="69"/>
      <c r="N18" s="69"/>
      <c r="O18" s="69"/>
      <c r="P18" s="69"/>
      <c r="Q18" s="69"/>
      <c r="R18" s="69"/>
      <c r="S18" s="69"/>
    </row>
    <row r="19" spans="1:19">
      <c r="A19" s="69"/>
      <c r="B19" s="69"/>
      <c r="C19" s="177" t="s">
        <v>79</v>
      </c>
      <c r="D19" s="177"/>
      <c r="E19" s="182"/>
      <c r="F19" s="182"/>
      <c r="G19" s="69"/>
      <c r="H19" s="181"/>
      <c r="I19" s="181"/>
      <c r="J19" s="181"/>
      <c r="K19" s="181">
        <f>$J$16*K$6</f>
        <v>1.1416642483085907E-2</v>
      </c>
      <c r="L19" s="181">
        <f>$J$16*K$9/$J$9*L$6</f>
        <v>1.1967114993761001E-2</v>
      </c>
      <c r="M19" s="69"/>
      <c r="N19" s="69"/>
      <c r="O19" s="69"/>
      <c r="P19" s="69"/>
      <c r="Q19" s="69"/>
      <c r="R19" s="69"/>
      <c r="S19" s="69"/>
    </row>
    <row r="20" spans="1:19">
      <c r="A20" s="69"/>
      <c r="B20" s="69"/>
      <c r="C20" s="177" t="s">
        <v>80</v>
      </c>
      <c r="D20" s="177"/>
      <c r="E20" s="182"/>
      <c r="F20" s="182"/>
      <c r="G20" s="69"/>
      <c r="H20" s="181"/>
      <c r="I20" s="181"/>
      <c r="J20" s="181"/>
      <c r="K20" s="181"/>
      <c r="L20" s="181">
        <f>$K$16*L$6</f>
        <v>1.1967114993761E-2</v>
      </c>
      <c r="M20" s="69"/>
      <c r="N20" s="69"/>
      <c r="O20" s="69"/>
      <c r="P20" s="69"/>
      <c r="Q20" s="69"/>
      <c r="R20" s="69"/>
      <c r="S20" s="69"/>
    </row>
    <row r="21" spans="1:19">
      <c r="A21" s="69"/>
      <c r="B21" s="69"/>
      <c r="C21" s="177" t="s">
        <v>81</v>
      </c>
      <c r="D21" s="177"/>
      <c r="E21" s="182"/>
      <c r="F21" s="182"/>
      <c r="G21" s="69"/>
      <c r="H21" s="178"/>
      <c r="I21" s="178"/>
      <c r="J21" s="178"/>
      <c r="K21" s="178"/>
      <c r="L21" s="178"/>
      <c r="M21" s="69"/>
      <c r="N21" s="69"/>
      <c r="O21" s="69"/>
      <c r="P21" s="69"/>
      <c r="Q21" s="69"/>
      <c r="R21" s="69"/>
      <c r="S21" s="69"/>
    </row>
    <row r="22" spans="1:19">
      <c r="A22" s="69"/>
      <c r="B22" s="69"/>
      <c r="C22" s="177" t="s">
        <v>82</v>
      </c>
      <c r="D22" s="68"/>
      <c r="E22" s="182" t="s">
        <v>55</v>
      </c>
      <c r="F22" s="182"/>
      <c r="G22" s="69"/>
      <c r="H22" s="181">
        <f>SUM(H17:H21)</f>
        <v>0</v>
      </c>
      <c r="I22" s="181">
        <f>SUM(I17:I21)</f>
        <v>9.8360082746455496E-3</v>
      </c>
      <c r="J22" s="181">
        <f t="shared" ref="J22:L22" si="3">SUM(J17:J21)</f>
        <v>2.0759910684939816E-2</v>
      </c>
      <c r="K22" s="181">
        <f t="shared" si="3"/>
        <v>3.4249927449257721E-2</v>
      </c>
      <c r="L22" s="181">
        <f t="shared" si="3"/>
        <v>4.7868459975043999E-2</v>
      </c>
      <c r="M22" s="69"/>
      <c r="N22" s="69"/>
      <c r="O22" s="69"/>
      <c r="P22" s="69"/>
      <c r="Q22" s="69"/>
      <c r="R22" s="69"/>
      <c r="S22" s="69"/>
    </row>
    <row r="23" spans="1:19">
      <c r="A23" s="69"/>
      <c r="B23" s="69"/>
      <c r="C23" s="177"/>
      <c r="D23" s="177"/>
      <c r="E23" s="182"/>
      <c r="F23" s="182"/>
      <c r="G23" s="69"/>
      <c r="H23" s="178"/>
      <c r="I23" s="178"/>
      <c r="J23" s="178"/>
      <c r="K23" s="178"/>
      <c r="L23" s="178"/>
      <c r="M23" s="69"/>
      <c r="N23" s="69"/>
      <c r="O23" s="69"/>
      <c r="P23" s="69"/>
      <c r="Q23" s="69"/>
      <c r="R23" s="69"/>
      <c r="S23" s="69"/>
    </row>
    <row r="24" spans="1:19">
      <c r="A24" s="69"/>
      <c r="B24" s="69"/>
      <c r="C24" s="177" t="s">
        <v>83</v>
      </c>
      <c r="D24" s="177"/>
      <c r="E24" s="182"/>
      <c r="F24" s="182"/>
      <c r="G24" s="69"/>
      <c r="H24" s="181">
        <f>I24*(1+I10)</f>
        <v>1.3266563787321115</v>
      </c>
      <c r="I24" s="181">
        <f>J24*(1+J10)</f>
        <v>1.2481741384636105</v>
      </c>
      <c r="J24" s="181">
        <f>K24*(1+K10)</f>
        <v>1.1265603265803665</v>
      </c>
      <c r="K24" s="183">
        <f>L24*(1+L10)</f>
        <v>1.0531692052913557</v>
      </c>
      <c r="L24" s="181">
        <v>1</v>
      </c>
      <c r="M24" s="69"/>
      <c r="N24" s="69"/>
      <c r="O24" s="69"/>
      <c r="P24" s="69"/>
      <c r="Q24" s="69"/>
      <c r="R24" s="69"/>
      <c r="S24" s="69"/>
    </row>
    <row r="25" spans="1:19">
      <c r="A25" s="69"/>
      <c r="B25" s="69"/>
      <c r="C25" s="177" t="s">
        <v>110</v>
      </c>
      <c r="D25" s="177"/>
      <c r="E25" s="182" t="s">
        <v>55</v>
      </c>
      <c r="F25" s="182"/>
      <c r="G25" s="69"/>
      <c r="H25" s="181">
        <f>H16*H24</f>
        <v>0.48415988350262351</v>
      </c>
      <c r="I25" s="181">
        <f t="shared" ref="I25:L25" si="4">I16*I24</f>
        <v>0.47145334506409486</v>
      </c>
      <c r="J25" s="181">
        <f t="shared" si="4"/>
        <v>0.45884387366121165</v>
      </c>
      <c r="K25" s="181">
        <f t="shared" si="4"/>
        <v>0.44633302028807659</v>
      </c>
      <c r="L25" s="181">
        <f t="shared" si="4"/>
        <v>0.43407574012547356</v>
      </c>
      <c r="M25" s="69"/>
      <c r="N25" s="69"/>
      <c r="O25" s="69"/>
      <c r="P25" s="69"/>
      <c r="Q25" s="69"/>
      <c r="R25" s="69"/>
      <c r="S25" s="69"/>
    </row>
    <row r="26" spans="1:19">
      <c r="A26" s="69"/>
      <c r="B26" s="69"/>
      <c r="C26" s="177" t="s">
        <v>84</v>
      </c>
      <c r="D26" s="177"/>
      <c r="E26" s="182" t="s">
        <v>55</v>
      </c>
      <c r="F26" s="182"/>
      <c r="G26" s="69"/>
      <c r="H26" s="184">
        <f>H22*H24</f>
        <v>0</v>
      </c>
      <c r="I26" s="184">
        <f t="shared" ref="I26:L26" si="5">I22*I24</f>
        <v>1.2277051154126653E-2</v>
      </c>
      <c r="J26" s="184">
        <f t="shared" si="5"/>
        <v>2.3387291761005041E-2</v>
      </c>
      <c r="K26" s="184">
        <f t="shared" si="5"/>
        <v>3.6070968873021345E-2</v>
      </c>
      <c r="L26" s="184">
        <f t="shared" si="5"/>
        <v>4.7868459975043999E-2</v>
      </c>
      <c r="M26" s="69"/>
      <c r="N26" s="69"/>
      <c r="O26" s="69"/>
      <c r="P26" s="69"/>
      <c r="Q26" s="69"/>
      <c r="R26" s="69"/>
      <c r="S26" s="69"/>
    </row>
    <row r="27" spans="1:19">
      <c r="A27" s="69"/>
      <c r="B27" s="69"/>
      <c r="C27" s="67" t="s">
        <v>111</v>
      </c>
      <c r="D27" s="185"/>
      <c r="E27" s="186" t="s">
        <v>55</v>
      </c>
      <c r="F27" s="172"/>
      <c r="G27" s="69"/>
      <c r="H27" s="67"/>
      <c r="I27" s="67"/>
      <c r="J27" s="67"/>
      <c r="K27" s="173"/>
      <c r="L27" s="191">
        <f>SUM(H25:L26)</f>
        <v>2.4144696344046777</v>
      </c>
      <c r="M27" s="69"/>
      <c r="N27" s="187"/>
      <c r="O27" s="69"/>
      <c r="P27" s="69"/>
      <c r="Q27" s="69"/>
      <c r="R27" s="69"/>
      <c r="S27" s="69"/>
    </row>
    <row r="28" spans="1:19">
      <c r="A28" s="69"/>
      <c r="B28" s="69"/>
      <c r="C28" s="69"/>
      <c r="D28" s="69"/>
      <c r="E28" s="69"/>
      <c r="F28" s="69"/>
      <c r="G28" s="69"/>
      <c r="H28" s="188"/>
      <c r="I28" s="188"/>
      <c r="J28" s="188"/>
      <c r="K28" s="188"/>
      <c r="L28" s="69"/>
      <c r="M28" s="69"/>
      <c r="N28" s="69"/>
      <c r="O28" s="69"/>
      <c r="P28" s="69"/>
      <c r="Q28" s="69"/>
      <c r="R28" s="69"/>
      <c r="S28" s="69"/>
    </row>
    <row r="29" spans="1:19">
      <c r="A29" s="23"/>
      <c r="B29" s="192"/>
      <c r="C29" s="193" t="s">
        <v>98</v>
      </c>
      <c r="D29" s="194"/>
      <c r="E29" s="194"/>
      <c r="F29" s="195" t="s">
        <v>99</v>
      </c>
      <c r="G29" s="195"/>
      <c r="H29" s="192"/>
      <c r="I29" s="192"/>
      <c r="J29" s="192"/>
      <c r="K29" s="196"/>
      <c r="L29" s="196"/>
      <c r="M29" s="196"/>
      <c r="N29" s="194"/>
      <c r="O29" s="197"/>
      <c r="P29" s="194"/>
      <c r="Q29" s="194"/>
      <c r="R29" s="194"/>
      <c r="S29" s="52"/>
    </row>
    <row r="30" spans="1:19">
      <c r="A30" s="69"/>
      <c r="B30" s="69"/>
      <c r="C30" s="189" t="str">
        <f>"Calc | Total "&amp;'Input | General'!$D$8&amp;" CESS Payment Adjustments"</f>
        <v>Calc | Total FY20 True-up CESS Payment Adjustments</v>
      </c>
      <c r="D30" s="69"/>
      <c r="E30" s="65" t="s">
        <v>39</v>
      </c>
      <c r="F30" s="65" t="s">
        <v>53</v>
      </c>
      <c r="G30" s="69"/>
      <c r="H30" s="176" t="str">
        <f>M5</f>
        <v>2026–27</v>
      </c>
      <c r="I30" s="176" t="str">
        <f t="shared" ref="I30:L30" si="6">N5</f>
        <v>2027–28</v>
      </c>
      <c r="J30" s="176" t="str">
        <f t="shared" si="6"/>
        <v>2028–29</v>
      </c>
      <c r="K30" s="176" t="str">
        <f t="shared" si="6"/>
        <v>2029–30</v>
      </c>
      <c r="L30" s="176" t="str">
        <f t="shared" si="6"/>
        <v>2030–31</v>
      </c>
      <c r="M30" s="176" t="s">
        <v>101</v>
      </c>
      <c r="N30" s="187"/>
      <c r="O30" s="69"/>
      <c r="P30" s="69"/>
      <c r="Q30" s="69"/>
      <c r="R30" s="69"/>
      <c r="S30" s="69"/>
    </row>
    <row r="31" spans="1:19">
      <c r="A31" s="69"/>
      <c r="B31" s="69"/>
      <c r="C31" s="177" t="s">
        <v>96</v>
      </c>
      <c r="D31" s="69"/>
      <c r="E31" s="68"/>
      <c r="F31" s="68"/>
      <c r="G31" s="69"/>
      <c r="H31" s="181">
        <f>1/(1+M7)</f>
        <v>0.96688870683936734</v>
      </c>
      <c r="I31" s="181">
        <f>H31/(1+N7)</f>
        <v>0.93440642701392496</v>
      </c>
      <c r="J31" s="181">
        <f>I31/(1+O7)</f>
        <v>0.90251652868532917</v>
      </c>
      <c r="K31" s="181">
        <f>J31/(1+P7)</f>
        <v>0.87083867383066493</v>
      </c>
      <c r="L31" s="181">
        <f>K31/(1+Q7)</f>
        <v>0.83895390652306467</v>
      </c>
      <c r="M31" s="69"/>
      <c r="N31" s="69"/>
      <c r="O31" s="69"/>
      <c r="P31" s="69"/>
      <c r="Q31" s="69"/>
      <c r="R31" s="69"/>
      <c r="S31" s="69"/>
    </row>
    <row r="32" spans="1:19">
      <c r="A32" s="69"/>
      <c r="B32" s="69"/>
      <c r="C32" s="177"/>
      <c r="D32" s="69"/>
      <c r="E32" s="68"/>
      <c r="F32" s="68"/>
      <c r="G32" s="69"/>
      <c r="H32" s="198"/>
      <c r="I32" s="198"/>
      <c r="J32" s="198"/>
      <c r="K32" s="198"/>
      <c r="L32" s="198"/>
      <c r="M32" s="69"/>
      <c r="N32" s="69"/>
      <c r="O32" s="69"/>
      <c r="P32" s="69"/>
      <c r="Q32" s="69"/>
      <c r="R32" s="69"/>
      <c r="S32" s="69"/>
    </row>
    <row r="33" spans="1:19">
      <c r="A33" s="69"/>
      <c r="B33" s="69"/>
      <c r="C33" s="177" t="str">
        <f>CONCATENATE("CESS Payment per year ($", F33," million)")</f>
        <v>CESS Payment per year ($2025–26 million)</v>
      </c>
      <c r="D33" s="69"/>
      <c r="E33" s="68" t="s">
        <v>55</v>
      </c>
      <c r="F33" s="68" t="str">
        <f>'Input | General'!H20</f>
        <v>2025–26</v>
      </c>
      <c r="G33" s="69"/>
      <c r="H33" s="173">
        <f>$L$27/SUM($H$31:$L$31)</f>
        <v>0.53493162104470815</v>
      </c>
      <c r="I33" s="173">
        <f>H33</f>
        <v>0.53493162104470815</v>
      </c>
      <c r="J33" s="173">
        <f t="shared" ref="J33:L33" si="7">I33</f>
        <v>0.53493162104470815</v>
      </c>
      <c r="K33" s="173">
        <f t="shared" si="7"/>
        <v>0.53493162104470815</v>
      </c>
      <c r="L33" s="173">
        <f t="shared" si="7"/>
        <v>0.53493162104470815</v>
      </c>
      <c r="M33" s="173">
        <f>SUM(H33:L33)</f>
        <v>2.674658105223541</v>
      </c>
      <c r="N33" s="69"/>
      <c r="O33" s="69"/>
      <c r="P33" s="69"/>
      <c r="Q33" s="69"/>
      <c r="R33" s="69"/>
      <c r="S33" s="69"/>
    </row>
    <row r="34" spans="1:19">
      <c r="A34" s="69"/>
      <c r="B34" s="69"/>
      <c r="C34" s="177"/>
      <c r="D34" s="69"/>
      <c r="E34" s="69"/>
      <c r="F34" s="69"/>
      <c r="G34" s="69"/>
      <c r="H34" s="188"/>
      <c r="I34" s="188"/>
      <c r="J34" s="188"/>
      <c r="K34" s="188"/>
      <c r="L34" s="188"/>
      <c r="M34" s="188"/>
      <c r="N34" s="69"/>
      <c r="O34" s="69"/>
      <c r="P34" s="69"/>
      <c r="Q34" s="69"/>
      <c r="R34" s="69"/>
      <c r="S34" s="69"/>
    </row>
    <row r="35" spans="1:19">
      <c r="A35" s="69"/>
      <c r="B35" s="69"/>
      <c r="C35" s="177"/>
      <c r="D35" s="69"/>
      <c r="E35" s="69"/>
      <c r="F35" s="69"/>
      <c r="G35" s="69"/>
      <c r="H35" s="69"/>
      <c r="I35" s="190"/>
      <c r="J35" s="190"/>
      <c r="K35" s="190"/>
      <c r="L35" s="190"/>
      <c r="M35" s="69"/>
      <c r="N35" s="69"/>
      <c r="O35" s="69"/>
      <c r="P35" s="69"/>
      <c r="Q35" s="69"/>
      <c r="R35" s="69"/>
      <c r="S35" s="69"/>
    </row>
    <row r="36" spans="1:19">
      <c r="A36" s="69"/>
      <c r="B36" s="69"/>
      <c r="C36" s="69"/>
      <c r="D36" s="69"/>
      <c r="E36" s="69"/>
      <c r="F36" s="69"/>
      <c r="G36" s="69"/>
      <c r="H36" s="69"/>
      <c r="I36" s="188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>
      <c r="A37" s="23"/>
      <c r="B37" s="23" t="s">
        <v>14</v>
      </c>
      <c r="C37" s="23"/>
      <c r="D37" s="53"/>
      <c r="E37" s="53"/>
      <c r="F37" s="53"/>
      <c r="G37" s="53"/>
      <c r="H37" s="53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Models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2025-09-24T08:09:04Z</dcterms:created>
  <dcterms:modified xsi:type="dcterms:W3CDTF">2025-09-24T08:09:24Z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