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0BEA4A51-7BA9-466A-8F3D-094A828C55AA}" xr6:coauthVersionLast="47" xr6:coauthVersionMax="47" xr10:uidLastSave="{00000000-0000-0000-0000-000000000000}"/>
  <bookViews>
    <workbookView xWindow="28680" yWindow="-120" windowWidth="29040" windowHeight="15840" xr2:uid="{4546E5E0-B8D3-4F93-AB40-021BC56C6278}"/>
  </bookViews>
  <sheets>
    <sheet name="Draft decision" sheetId="1" r:id="rId1"/>
  </sheets>
  <definedNames>
    <definedName name="dms_PRCP_BaseYear">'Draft decision'!$C$14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I41" i="1"/>
  <c r="B37" i="1"/>
  <c r="B36" i="1"/>
  <c r="B35" i="1"/>
  <c r="N32" i="1"/>
  <c r="M32" i="1"/>
  <c r="L32" i="1"/>
  <c r="C32" i="1"/>
  <c r="N19" i="1"/>
  <c r="M19" i="1"/>
  <c r="L19" i="1"/>
  <c r="C19" i="1"/>
  <c r="L7" i="1"/>
  <c r="K7" i="1"/>
  <c r="J7" i="1"/>
  <c r="I7" i="1"/>
  <c r="H7" i="1"/>
  <c r="G7" i="1"/>
  <c r="F7" i="1"/>
  <c r="E7" i="1"/>
  <c r="D7" i="1"/>
  <c r="N7" i="1" l="1"/>
  <c r="M8" i="1" s="1"/>
  <c r="M7" i="1"/>
  <c r="R37" i="1" l="1"/>
  <c r="R33" i="1"/>
  <c r="L8" i="1"/>
  <c r="R36" i="1"/>
  <c r="R40" i="1"/>
  <c r="R39" i="1"/>
  <c r="R38" i="1"/>
  <c r="R35" i="1"/>
  <c r="Q37" i="1" l="1"/>
  <c r="K8" i="1"/>
  <c r="Q40" i="1"/>
  <c r="Q38" i="1"/>
  <c r="R41" i="1"/>
  <c r="P37" i="1" l="1"/>
  <c r="P40" i="1"/>
  <c r="J8" i="1"/>
  <c r="P38" i="1"/>
  <c r="O38" i="1" l="1"/>
  <c r="O37" i="1"/>
  <c r="O40" i="1"/>
  <c r="I8" i="1"/>
  <c r="Q25" i="1" l="1"/>
  <c r="P25" i="1"/>
  <c r="H8" i="1"/>
  <c r="S26" i="1"/>
  <c r="O25" i="1"/>
  <c r="R26" i="1"/>
  <c r="Q26" i="1"/>
  <c r="P26" i="1"/>
  <c r="N38" i="1"/>
  <c r="Q24" i="1"/>
  <c r="P24" i="1"/>
  <c r="R25" i="1"/>
  <c r="N40" i="1"/>
  <c r="O26" i="1"/>
  <c r="S24" i="1"/>
  <c r="R24" i="1"/>
  <c r="S25" i="1"/>
  <c r="O24" i="1"/>
  <c r="G8" i="1" l="1"/>
  <c r="N26" i="1"/>
  <c r="N25" i="1"/>
  <c r="N24" i="1"/>
  <c r="M37" i="1"/>
  <c r="M40" i="1"/>
  <c r="M38" i="1"/>
  <c r="F8" i="1" l="1"/>
  <c r="E8" i="1" s="1"/>
  <c r="D8" i="1" s="1"/>
  <c r="C8" i="1" s="1"/>
  <c r="L40" i="1"/>
  <c r="L37" i="1"/>
  <c r="L38" i="1"/>
  <c r="M24" i="1" l="1"/>
  <c r="L24" i="1"/>
  <c r="M25" i="1"/>
  <c r="L25" i="1"/>
  <c r="L26" i="1"/>
  <c r="M26" i="1"/>
  <c r="N39" i="1" l="1"/>
  <c r="Q39" i="1" l="1"/>
  <c r="O39" i="1"/>
  <c r="P39" i="1"/>
  <c r="M39" i="1"/>
  <c r="L39" i="1"/>
  <c r="L33" i="1" l="1"/>
  <c r="M33" i="1"/>
  <c r="Q33" i="1"/>
  <c r="N23" i="1"/>
  <c r="O33" i="1"/>
  <c r="P33" i="1"/>
  <c r="N22" i="1"/>
  <c r="L23" i="1" l="1"/>
  <c r="M23" i="1" l="1"/>
  <c r="P36" i="1" l="1"/>
  <c r="C41" i="1"/>
  <c r="L35" i="1"/>
  <c r="H41" i="1"/>
  <c r="Q35" i="1"/>
  <c r="Q36" i="1"/>
  <c r="M35" i="1"/>
  <c r="D41" i="1"/>
  <c r="O35" i="1"/>
  <c r="F41" i="1"/>
  <c r="L36" i="1"/>
  <c r="P35" i="1"/>
  <c r="G41" i="1"/>
  <c r="M36" i="1"/>
  <c r="O36" i="1"/>
  <c r="S23" i="1"/>
  <c r="J27" i="1"/>
  <c r="S20" i="1"/>
  <c r="O22" i="1"/>
  <c r="P22" i="1"/>
  <c r="Q22" i="1"/>
  <c r="R22" i="1"/>
  <c r="S22" i="1"/>
  <c r="C27" i="1"/>
  <c r="L20" i="1"/>
  <c r="M20" i="1"/>
  <c r="D27" i="1"/>
  <c r="O20" i="1"/>
  <c r="F27" i="1"/>
  <c r="E27" i="1"/>
  <c r="N20" i="1"/>
  <c r="I27" i="1"/>
  <c r="R20" i="1"/>
  <c r="R23" i="1"/>
  <c r="M22" i="1"/>
  <c r="O23" i="1"/>
  <c r="P20" i="1"/>
  <c r="G27" i="1"/>
  <c r="P23" i="1"/>
  <c r="H27" i="1"/>
  <c r="Q20" i="1"/>
  <c r="Q23" i="1"/>
  <c r="L22" i="1"/>
  <c r="M41" i="1" l="1"/>
  <c r="P41" i="1"/>
  <c r="Q41" i="1"/>
  <c r="L41" i="1"/>
  <c r="O41" i="1"/>
  <c r="O27" i="1"/>
  <c r="L27" i="1"/>
  <c r="S27" i="1"/>
  <c r="M27" i="1"/>
  <c r="Q27" i="1"/>
  <c r="R27" i="1"/>
  <c r="N27" i="1"/>
  <c r="P27" i="1"/>
  <c r="Q44" i="1" l="1"/>
  <c r="R44" i="1"/>
  <c r="M44" i="1"/>
  <c r="S41" i="1"/>
  <c r="P44" i="1"/>
  <c r="S44" i="1" l="1"/>
  <c r="T54" i="1"/>
  <c r="R54" i="1"/>
  <c r="S54" i="1"/>
  <c r="V54" i="1"/>
  <c r="U54" i="1"/>
  <c r="S50" i="1"/>
  <c r="T53" i="1"/>
  <c r="S53" i="1"/>
  <c r="Q53" i="1"/>
  <c r="U53" i="1"/>
  <c r="R53" i="1"/>
  <c r="U55" i="1"/>
  <c r="V55" i="1"/>
  <c r="W55" i="1"/>
  <c r="S55" i="1"/>
  <c r="T55" i="1"/>
  <c r="S57" i="1" l="1"/>
  <c r="V56" i="1"/>
  <c r="T56" i="1"/>
  <c r="U56" i="1"/>
  <c r="X56" i="1"/>
  <c r="W56" i="1"/>
  <c r="U57" i="1" l="1"/>
  <c r="V57" i="1"/>
  <c r="V61" i="1" s="1"/>
  <c r="W57" i="1"/>
  <c r="W61" i="1" s="1"/>
  <c r="X57" i="1"/>
  <c r="U61" i="1"/>
  <c r="X61" i="1" l="1"/>
  <c r="N37" i="1" l="1"/>
  <c r="N33" i="1" l="1"/>
  <c r="E41" i="1"/>
  <c r="N35" i="1"/>
  <c r="N36" i="1"/>
  <c r="N41" i="1" l="1"/>
  <c r="N44" i="1" l="1"/>
  <c r="O44" i="1"/>
  <c r="P52" i="1" l="1"/>
  <c r="T52" i="1"/>
  <c r="R52" i="1"/>
  <c r="Q52" i="1"/>
  <c r="S52" i="1"/>
  <c r="T51" i="1"/>
  <c r="T57" i="1" l="1"/>
  <c r="T61" i="1" l="1"/>
  <c r="Y57" i="1"/>
  <c r="Y61" i="1" l="1"/>
</calcChain>
</file>

<file path=xl/sharedStrings.xml><?xml version="1.0" encoding="utf-8"?>
<sst xmlns="http://schemas.openxmlformats.org/spreadsheetml/2006/main" count="96" uniqueCount="53">
  <si>
    <t>Actual and estimated inflation</t>
  </si>
  <si>
    <t>Actual</t>
  </si>
  <si>
    <t>Estimated</t>
  </si>
  <si>
    <t>HY2021</t>
  </si>
  <si>
    <t>ABS CPI index - December/June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</si>
  <si>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</si>
  <si>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</si>
  <si>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</si>
  <si>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</si>
  <si>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$m, real December 2015</t>
  </si>
  <si>
    <t>$m, real December 2020</t>
  </si>
  <si>
    <t>$m, real June 2021</t>
  </si>
  <si>
    <t>Previous period</t>
  </si>
  <si>
    <t>Current regulatory control period</t>
  </si>
  <si>
    <t>Total opex allowance</t>
  </si>
  <si>
    <t xml:space="preserve">Approved excludable costs - allowance </t>
  </si>
  <si>
    <t>Approved opex, pass throughs and contingent projects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</si>
  <si>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</si>
  <si>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</si>
  <si>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</si>
  <si>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</si>
  <si>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</si>
  <si>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</si>
  <si>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Capitalised opex that has been excluded from the regulatory asset base</t>
  </si>
  <si>
    <t>Movements in provisions related to opex</t>
  </si>
  <si>
    <t>Actual opex for EBSS purposes</t>
  </si>
  <si>
    <t>2023-24</t>
  </si>
  <si>
    <t>Carryover</t>
  </si>
  <si>
    <t>Forthcoming regulatory control period</t>
  </si>
  <si>
    <t>Total</t>
  </si>
  <si>
    <t>2020 true-up</t>
  </si>
  <si>
    <t>HY2021 true-up</t>
  </si>
  <si>
    <t>WACC</t>
  </si>
  <si>
    <t>2021-22</t>
  </si>
  <si>
    <t>2022-23</t>
  </si>
  <si>
    <t>2024-25</t>
  </si>
  <si>
    <t>2025-26</t>
  </si>
  <si>
    <t>2026-27</t>
  </si>
  <si>
    <t>2027-28</t>
  </si>
  <si>
    <t>2028-29</t>
  </si>
  <si>
    <t>2029-30</t>
  </si>
  <si>
    <t>2030-31</t>
  </si>
  <si>
    <t>Total Carryover Amount ($m, June 2026)</t>
  </si>
  <si>
    <t>PTRM inputs ($m, June 2026)</t>
  </si>
  <si>
    <t>Non-recurrent efficiency adjustment made to 2019 opex, $m, real June 2021</t>
  </si>
  <si>
    <t>Reconstructed cumulative index (2025-26=1)</t>
  </si>
  <si>
    <t>$m, real June 2026</t>
  </si>
  <si>
    <t>Incremental gain $m, real June 2026</t>
  </si>
  <si>
    <t>Base year non-recurrent efficiency gain $m, real June 2026</t>
  </si>
  <si>
    <t>Base year used to forecast opex 
(drop down menu)</t>
  </si>
  <si>
    <t>Debt raising costs</t>
  </si>
  <si>
    <t>GSL payments</t>
  </si>
  <si>
    <t>DMIA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</si>
</sst>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#,##0;\(#,##0\)"/>
    <numFmt numFmtId="169" formatCode="#,##0.0_ ;\-#,##0.0\ "/>
    <numFmt numFmtId="170" formatCode="0.0%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4" borderId="0">
      <alignment horizontal="left" vertical="center"/>
      <protection locked="0"/>
    </xf>
    <xf numFmtId="0" fontId="11" fillId="3" borderId="0">
      <alignment vertical="center"/>
      <protection locked="0"/>
    </xf>
    <xf numFmtId="49" fontId="4" fillId="7" borderId="53" applyAlignment="0">
      <alignment horizontal="left" vertical="center" wrapText="1"/>
      <protection locked="0"/>
    </xf>
    <xf numFmtId="0" fontId="1" fillId="0" borderId="0"/>
  </cellStyleXfs>
  <cellXfs count="271">
    <xf numFmtId="0" fontId="0" fillId="0" borderId="0" xfId="0"/>
    <xf numFmtId="0" fontId="5" fillId="2" borderId="0" xfId="2" applyFont="1" applyFill="1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Continuous" vertical="center"/>
    </xf>
    <xf numFmtId="164" fontId="7" fillId="6" borderId="8" xfId="0" applyNumberFormat="1" applyFont="1" applyFill="1" applyBorder="1" applyAlignment="1">
      <alignment horizontal="centerContinuous" vertical="center"/>
    </xf>
    <xf numFmtId="164" fontId="7" fillId="6" borderId="9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9" fillId="6" borderId="10" xfId="0" quotePrefix="1" applyFont="1" applyFill="1" applyBorder="1" applyAlignment="1">
      <alignment horizontal="right" vertical="center"/>
    </xf>
    <xf numFmtId="0" fontId="9" fillId="6" borderId="11" xfId="0" quotePrefix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 indent="1"/>
    </xf>
    <xf numFmtId="164" fontId="4" fillId="7" borderId="15" xfId="1" applyNumberFormat="1" applyFont="1" applyFill="1" applyBorder="1" applyAlignment="1" applyProtection="1">
      <alignment horizontal="right" vertical="center" wrapText="1"/>
      <protection locked="0"/>
    </xf>
    <xf numFmtId="164" fontId="4" fillId="7" borderId="16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>
      <alignment horizontal="left" vertical="center" wrapText="1" indent="1"/>
    </xf>
    <xf numFmtId="164" fontId="7" fillId="5" borderId="17" xfId="0" applyNumberFormat="1" applyFont="1" applyFill="1" applyBorder="1" applyAlignment="1">
      <alignment vertical="center"/>
    </xf>
    <xf numFmtId="10" fontId="4" fillId="2" borderId="18" xfId="1" applyNumberFormat="1" applyFont="1" applyFill="1" applyBorder="1" applyAlignment="1" applyProtection="1">
      <alignment horizontal="right" vertical="center" wrapText="1"/>
    </xf>
    <xf numFmtId="10" fontId="4" fillId="2" borderId="19" xfId="1" applyNumberFormat="1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2" fontId="4" fillId="2" borderId="23" xfId="1" applyNumberFormat="1" applyFont="1" applyFill="1" applyBorder="1" applyAlignment="1" applyProtection="1">
      <alignment horizontal="right" vertical="center" wrapText="1"/>
    </xf>
    <xf numFmtId="2" fontId="4" fillId="2" borderId="24" xfId="1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2" fillId="3" borderId="0" xfId="4" applyFont="1" applyProtection="1">
      <alignment vertical="center"/>
    </xf>
    <xf numFmtId="0" fontId="13" fillId="3" borderId="0" xfId="4" applyFont="1" applyProtection="1">
      <alignment vertical="center"/>
    </xf>
    <xf numFmtId="0" fontId="14" fillId="2" borderId="0" xfId="0" applyFont="1" applyFill="1"/>
    <xf numFmtId="0" fontId="15" fillId="0" borderId="25" xfId="0" applyFont="1" applyBorder="1"/>
    <xf numFmtId="0" fontId="3" fillId="7" borderId="25" xfId="0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7" fillId="2" borderId="0" xfId="0" applyFont="1" applyFill="1"/>
    <xf numFmtId="0" fontId="7" fillId="8" borderId="2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7" fillId="5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0" fontId="7" fillId="9" borderId="39" xfId="0" applyFont="1" applyFill="1" applyBorder="1" applyAlignment="1">
      <alignment horizontal="right" vertical="center"/>
    </xf>
    <xf numFmtId="0" fontId="7" fillId="9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0" fontId="18" fillId="10" borderId="49" xfId="0" applyFont="1" applyFill="1" applyBorder="1" applyAlignment="1">
      <alignment horizontal="left" vertical="center" wrapText="1" indent="1"/>
    </xf>
    <xf numFmtId="0" fontId="4" fillId="0" borderId="49" xfId="6" applyFont="1" applyBorder="1" applyAlignment="1">
      <alignment horizontal="left" vertical="center" indent="1"/>
    </xf>
    <xf numFmtId="166" fontId="7" fillId="0" borderId="0" xfId="0" applyNumberFormat="1" applyFont="1"/>
    <xf numFmtId="0" fontId="4" fillId="0" borderId="64" xfId="0" applyFont="1" applyBorder="1" applyAlignment="1">
      <alignment horizontal="left" vertical="center" wrapText="1" indent="1"/>
    </xf>
    <xf numFmtId="167" fontId="7" fillId="12" borderId="71" xfId="1" applyNumberFormat="1" applyFont="1" applyFill="1" applyBorder="1" applyAlignment="1" applyProtection="1">
      <alignment horizontal="right" wrapText="1"/>
      <protection locked="0"/>
    </xf>
    <xf numFmtId="167" fontId="7" fillId="12" borderId="72" xfId="1" applyNumberFormat="1" applyFont="1" applyFill="1" applyBorder="1" applyAlignment="1" applyProtection="1">
      <alignment horizontal="right" wrapText="1"/>
      <protection locked="0"/>
    </xf>
    <xf numFmtId="167" fontId="7" fillId="12" borderId="73" xfId="1" applyNumberFormat="1" applyFont="1" applyFill="1" applyBorder="1" applyAlignment="1" applyProtection="1">
      <alignment horizontal="right" wrapText="1"/>
    </xf>
    <xf numFmtId="167" fontId="7" fillId="12" borderId="71" xfId="1" applyNumberFormat="1" applyFont="1" applyFill="1" applyBorder="1" applyAlignment="1" applyProtection="1">
      <alignment horizontal="right" wrapText="1"/>
    </xf>
    <xf numFmtId="167" fontId="7" fillId="12" borderId="72" xfId="1" applyNumberFormat="1" applyFont="1" applyFill="1" applyBorder="1" applyAlignment="1" applyProtection="1">
      <alignment horizontal="right" wrapText="1"/>
    </xf>
    <xf numFmtId="0" fontId="18" fillId="0" borderId="74" xfId="0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/>
    <xf numFmtId="0" fontId="5" fillId="0" borderId="74" xfId="0" applyFont="1" applyBorder="1"/>
    <xf numFmtId="0" fontId="20" fillId="2" borderId="75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76" xfId="0" applyFont="1" applyBorder="1" applyAlignment="1">
      <alignment horizontal="left" vertical="center" wrapText="1" indent="1"/>
    </xf>
    <xf numFmtId="2" fontId="7" fillId="5" borderId="79" xfId="0" applyNumberFormat="1" applyFont="1" applyFill="1" applyBorder="1" applyProtection="1">
      <protection locked="0"/>
    </xf>
    <xf numFmtId="2" fontId="7" fillId="5" borderId="83" xfId="0" applyNumberFormat="1" applyFont="1" applyFill="1" applyBorder="1" applyProtection="1">
      <protection locked="0"/>
    </xf>
    <xf numFmtId="0" fontId="4" fillId="0" borderId="49" xfId="0" applyFont="1" applyBorder="1" applyAlignment="1">
      <alignment horizontal="left" vertical="center" wrapText="1" indent="3"/>
    </xf>
    <xf numFmtId="0" fontId="4" fillId="0" borderId="49" xfId="0" applyFont="1" applyBorder="1" applyAlignment="1">
      <alignment horizontal="left" vertical="center" wrapText="1" indent="1"/>
    </xf>
    <xf numFmtId="166" fontId="5" fillId="0" borderId="0" xfId="0" applyNumberFormat="1" applyFont="1"/>
    <xf numFmtId="2" fontId="7" fillId="5" borderId="87" xfId="0" applyNumberFormat="1" applyFont="1" applyFill="1" applyBorder="1" applyProtection="1">
      <protection locked="0"/>
    </xf>
    <xf numFmtId="167" fontId="7" fillId="12" borderId="39" xfId="1" applyNumberFormat="1" applyFont="1" applyFill="1" applyBorder="1" applyAlignment="1" applyProtection="1">
      <alignment horizontal="right" wrapText="1"/>
      <protection locked="0"/>
    </xf>
    <xf numFmtId="164" fontId="7" fillId="12" borderId="40" xfId="1" applyNumberFormat="1" applyFont="1" applyFill="1" applyBorder="1" applyAlignment="1" applyProtection="1">
      <alignment horizontal="right" wrapText="1"/>
      <protection locked="0"/>
    </xf>
    <xf numFmtId="167" fontId="22" fillId="14" borderId="90" xfId="0" applyNumberFormat="1" applyFont="1" applyFill="1" applyBorder="1" applyProtection="1">
      <protection locked="0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5" borderId="91" xfId="0" applyFont="1" applyFill="1" applyBorder="1" applyAlignment="1">
      <alignment horizontal="left" vertical="center"/>
    </xf>
    <xf numFmtId="0" fontId="20" fillId="15" borderId="26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8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92" xfId="0" applyFill="1" applyBorder="1"/>
    <xf numFmtId="167" fontId="24" fillId="10" borderId="73" xfId="0" applyNumberFormat="1" applyFont="1" applyFill="1" applyBorder="1" applyAlignment="1">
      <alignment horizontal="right" vertical="center"/>
    </xf>
    <xf numFmtId="167" fontId="4" fillId="10" borderId="71" xfId="0" applyNumberFormat="1" applyFont="1" applyFill="1" applyBorder="1" applyAlignment="1">
      <alignment horizontal="right" vertical="center"/>
    </xf>
    <xf numFmtId="167" fontId="4" fillId="10" borderId="73" xfId="0" applyNumberFormat="1" applyFont="1" applyFill="1" applyBorder="1" applyAlignment="1">
      <alignment horizontal="right" vertical="center"/>
    </xf>
    <xf numFmtId="167" fontId="4" fillId="10" borderId="7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3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80" xfId="0" applyFont="1" applyFill="1" applyBorder="1" applyAlignment="1">
      <alignment horizontal="left" vertical="center"/>
    </xf>
    <xf numFmtId="0" fontId="7" fillId="2" borderId="91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9" fillId="10" borderId="96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100" xfId="0" applyFont="1" applyFill="1" applyBorder="1" applyAlignment="1">
      <alignment horizontal="right" vertical="center"/>
    </xf>
    <xf numFmtId="0" fontId="7" fillId="9" borderId="101" xfId="0" applyFont="1" applyFill="1" applyBorder="1" applyAlignment="1">
      <alignment horizontal="right" vertical="center"/>
    </xf>
    <xf numFmtId="0" fontId="7" fillId="16" borderId="101" xfId="0" applyFont="1" applyFill="1" applyBorder="1" applyAlignment="1">
      <alignment horizontal="right" vertical="center"/>
    </xf>
    <xf numFmtId="0" fontId="3" fillId="10" borderId="102" xfId="0" applyFont="1" applyFill="1" applyBorder="1"/>
    <xf numFmtId="169" fontId="4" fillId="18" borderId="103" xfId="0" applyNumberFormat="1" applyFont="1" applyFill="1" applyBorder="1" applyAlignment="1">
      <alignment horizontal="right" vertical="center"/>
    </xf>
    <xf numFmtId="169" fontId="4" fillId="18" borderId="0" xfId="0" applyNumberFormat="1" applyFont="1" applyFill="1" applyAlignment="1">
      <alignment horizontal="right" vertical="center"/>
    </xf>
    <xf numFmtId="169" fontId="4" fillId="2" borderId="25" xfId="0" applyNumberFormat="1" applyFont="1" applyFill="1" applyBorder="1" applyAlignment="1">
      <alignment horizontal="right" vertical="center"/>
    </xf>
    <xf numFmtId="0" fontId="3" fillId="10" borderId="75" xfId="0" applyFont="1" applyFill="1" applyBorder="1"/>
    <xf numFmtId="169" fontId="4" fillId="18" borderId="84" xfId="0" applyNumberFormat="1" applyFont="1" applyFill="1" applyBorder="1" applyAlignment="1">
      <alignment horizontal="left" vertical="center"/>
    </xf>
    <xf numFmtId="169" fontId="4" fillId="18" borderId="0" xfId="0" applyNumberFormat="1" applyFont="1" applyFill="1" applyAlignment="1">
      <alignment horizontal="left" vertical="center"/>
    </xf>
    <xf numFmtId="169" fontId="4" fillId="18" borderId="74" xfId="0" applyNumberFormat="1" applyFont="1" applyFill="1" applyBorder="1" applyAlignment="1">
      <alignment horizontal="left" vertical="center"/>
    </xf>
    <xf numFmtId="169" fontId="4" fillId="2" borderId="104" xfId="0" applyNumberFormat="1" applyFont="1" applyFill="1" applyBorder="1" applyAlignment="1">
      <alignment horizontal="right" vertical="center"/>
    </xf>
    <xf numFmtId="169" fontId="4" fillId="2" borderId="73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105" xfId="0" applyNumberFormat="1" applyFont="1" applyFill="1" applyBorder="1" applyAlignment="1">
      <alignment horizontal="right" vertical="center"/>
    </xf>
    <xf numFmtId="169" fontId="4" fillId="2" borderId="106" xfId="0" applyNumberFormat="1" applyFont="1" applyFill="1" applyBorder="1" applyAlignment="1">
      <alignment horizontal="right" vertical="center"/>
    </xf>
    <xf numFmtId="169" fontId="4" fillId="18" borderId="92" xfId="0" applyNumberFormat="1" applyFont="1" applyFill="1" applyBorder="1" applyAlignment="1">
      <alignment horizontal="right" vertical="center"/>
    </xf>
    <xf numFmtId="0" fontId="0" fillId="10" borderId="75" xfId="0" applyFill="1" applyBorder="1"/>
    <xf numFmtId="169" fontId="4" fillId="2" borderId="21" xfId="0" applyNumberFormat="1" applyFont="1" applyFill="1" applyBorder="1" applyAlignment="1">
      <alignment horizontal="right" vertical="center"/>
    </xf>
    <xf numFmtId="169" fontId="4" fillId="2" borderId="107" xfId="0" applyNumberFormat="1" applyFont="1" applyFill="1" applyBorder="1" applyAlignment="1">
      <alignment horizontal="right" vertical="center"/>
    </xf>
    <xf numFmtId="169" fontId="4" fillId="2" borderId="58" xfId="0" applyNumberFormat="1" applyFont="1" applyFill="1" applyBorder="1" applyAlignment="1">
      <alignment horizontal="right" vertical="center"/>
    </xf>
    <xf numFmtId="169" fontId="4" fillId="2" borderId="16" xfId="0" applyNumberFormat="1" applyFont="1" applyFill="1" applyBorder="1" applyAlignment="1">
      <alignment horizontal="right" vertical="center"/>
    </xf>
    <xf numFmtId="169" fontId="4" fillId="2" borderId="20" xfId="0" applyNumberFormat="1" applyFont="1" applyFill="1" applyBorder="1" applyAlignment="1">
      <alignment horizontal="right" vertical="center"/>
    </xf>
    <xf numFmtId="169" fontId="4" fillId="2" borderId="108" xfId="0" applyNumberFormat="1" applyFont="1" applyFill="1" applyBorder="1" applyAlignment="1">
      <alignment horizontal="right" vertical="center"/>
    </xf>
    <xf numFmtId="169" fontId="4" fillId="2" borderId="109" xfId="0" applyNumberFormat="1" applyFont="1" applyFill="1" applyBorder="1" applyAlignment="1">
      <alignment horizontal="right" vertical="center"/>
    </xf>
    <xf numFmtId="169" fontId="4" fillId="2" borderId="110" xfId="0" applyNumberFormat="1" applyFont="1" applyFill="1" applyBorder="1" applyAlignment="1">
      <alignment horizontal="right" vertical="center"/>
    </xf>
    <xf numFmtId="169" fontId="4" fillId="2" borderId="111" xfId="0" applyNumberFormat="1" applyFont="1" applyFill="1" applyBorder="1" applyAlignment="1">
      <alignment horizontal="right" vertical="center"/>
    </xf>
    <xf numFmtId="169" fontId="4" fillId="2" borderId="112" xfId="0" applyNumberFormat="1" applyFont="1" applyFill="1" applyBorder="1" applyAlignment="1">
      <alignment horizontal="right" vertical="center"/>
    </xf>
    <xf numFmtId="169" fontId="4" fillId="2" borderId="113" xfId="0" applyNumberFormat="1" applyFont="1" applyFill="1" applyBorder="1" applyAlignment="1">
      <alignment horizontal="right" vertical="center"/>
    </xf>
    <xf numFmtId="169" fontId="4" fillId="2" borderId="114" xfId="0" applyNumberFormat="1" applyFont="1" applyFill="1" applyBorder="1" applyAlignment="1">
      <alignment horizontal="right" vertical="center"/>
    </xf>
    <xf numFmtId="0" fontId="25" fillId="19" borderId="3" xfId="0" applyFont="1" applyFill="1" applyBorder="1"/>
    <xf numFmtId="0" fontId="25" fillId="19" borderId="4" xfId="0" applyFont="1" applyFill="1" applyBorder="1" applyAlignment="1">
      <alignment wrapText="1"/>
    </xf>
    <xf numFmtId="169" fontId="25" fillId="19" borderId="4" xfId="0" applyNumberFormat="1" applyFont="1" applyFill="1" applyBorder="1" applyAlignment="1">
      <alignment horizontal="right"/>
    </xf>
    <xf numFmtId="167" fontId="25" fillId="19" borderId="115" xfId="0" applyNumberFormat="1" applyFont="1" applyFill="1" applyBorder="1" applyAlignment="1">
      <alignment horizontal="right"/>
    </xf>
    <xf numFmtId="167" fontId="25" fillId="19" borderId="116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vertical="center"/>
    </xf>
    <xf numFmtId="169" fontId="7" fillId="2" borderId="0" xfId="0" applyNumberFormat="1" applyFont="1" applyFill="1" applyAlignment="1">
      <alignment horizontal="right" vertical="center"/>
    </xf>
    <xf numFmtId="0" fontId="25" fillId="19" borderId="3" xfId="0" applyFont="1" applyFill="1" applyBorder="1" applyAlignment="1">
      <alignment vertical="center"/>
    </xf>
    <xf numFmtId="0" fontId="25" fillId="19" borderId="4" xfId="0" applyFont="1" applyFill="1" applyBorder="1" applyAlignment="1">
      <alignment vertical="center"/>
    </xf>
    <xf numFmtId="2" fontId="7" fillId="19" borderId="4" xfId="0" applyNumberFormat="1" applyFont="1" applyFill="1" applyBorder="1" applyAlignment="1">
      <alignment horizontal="right"/>
    </xf>
    <xf numFmtId="164" fontId="7" fillId="5" borderId="117" xfId="0" applyNumberFormat="1" applyFont="1" applyFill="1" applyBorder="1" applyProtection="1">
      <protection locked="0"/>
    </xf>
    <xf numFmtId="164" fontId="7" fillId="5" borderId="4" xfId="0" applyNumberFormat="1" applyFont="1" applyFill="1" applyBorder="1" applyProtection="1">
      <protection locked="0"/>
    </xf>
    <xf numFmtId="164" fontId="7" fillId="5" borderId="118" xfId="0" applyNumberFormat="1" applyFont="1" applyFill="1" applyBorder="1" applyProtection="1">
      <protection locked="0"/>
    </xf>
    <xf numFmtId="170" fontId="4" fillId="7" borderId="71" xfId="1" applyNumberFormat="1" applyFont="1" applyFill="1" applyBorder="1" applyAlignment="1" applyProtection="1">
      <alignment vertical="center" wrapText="1"/>
      <protection locked="0"/>
    </xf>
    <xf numFmtId="164" fontId="7" fillId="5" borderId="5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" fillId="0" borderId="0" xfId="0" applyFont="1"/>
    <xf numFmtId="168" fontId="9" fillId="7" borderId="3" xfId="0" applyNumberFormat="1" applyFont="1" applyFill="1" applyBorder="1" applyAlignment="1" applyProtection="1">
      <alignment horizontal="center"/>
      <protection locked="0"/>
    </xf>
    <xf numFmtId="164" fontId="4" fillId="5" borderId="14" xfId="1" applyNumberFormat="1" applyFont="1" applyFill="1" applyBorder="1" applyAlignment="1" applyProtection="1">
      <alignment horizontal="right" vertical="center" wrapText="1"/>
      <protection locked="0"/>
    </xf>
    <xf numFmtId="164" fontId="4" fillId="5" borderId="15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60" xfId="5" applyBorder="1" applyAlignment="1">
      <alignment horizontal="left" indent="3"/>
      <protection locked="0"/>
    </xf>
    <xf numFmtId="49" fontId="4" fillId="7" borderId="62" xfId="5" applyBorder="1" applyAlignment="1">
      <alignment horizontal="left" indent="3"/>
      <protection locked="0"/>
    </xf>
    <xf numFmtId="49" fontId="4" fillId="7" borderId="63" xfId="5" applyBorder="1" applyAlignment="1">
      <alignment horizontal="left" indent="3"/>
      <protection locked="0"/>
    </xf>
    <xf numFmtId="167" fontId="3" fillId="7" borderId="25" xfId="0" applyNumberFormat="1" applyFont="1" applyFill="1" applyBorder="1" applyProtection="1">
      <protection locked="0"/>
    </xf>
    <xf numFmtId="167" fontId="4" fillId="7" borderId="42" xfId="0" applyNumberFormat="1" applyFont="1" applyFill="1" applyBorder="1" applyAlignment="1" applyProtection="1">
      <alignment vertical="center" wrapText="1"/>
      <protection locked="0"/>
    </xf>
    <xf numFmtId="167" fontId="4" fillId="7" borderId="43" xfId="0" applyNumberFormat="1" applyFont="1" applyFill="1" applyBorder="1" applyAlignment="1" applyProtection="1">
      <alignment vertical="center" wrapText="1"/>
      <protection locked="0"/>
    </xf>
    <xf numFmtId="167" fontId="4" fillId="7" borderId="44" xfId="0" applyNumberFormat="1" applyFont="1" applyFill="1" applyBorder="1" applyAlignment="1" applyProtection="1">
      <alignment vertical="center" wrapText="1"/>
      <protection locked="0"/>
    </xf>
    <xf numFmtId="167" fontId="4" fillId="7" borderId="45" xfId="0" applyNumberFormat="1" applyFont="1" applyFill="1" applyBorder="1" applyAlignment="1" applyProtection="1">
      <alignment vertical="center" wrapText="1"/>
      <protection locked="0"/>
    </xf>
    <xf numFmtId="167" fontId="4" fillId="7" borderId="46" xfId="0" applyNumberFormat="1" applyFont="1" applyFill="1" applyBorder="1" applyAlignment="1" applyProtection="1">
      <alignment vertical="center" wrapText="1"/>
      <protection locked="0"/>
    </xf>
    <xf numFmtId="167" fontId="7" fillId="5" borderId="50" xfId="0" applyNumberFormat="1" applyFont="1" applyFill="1" applyBorder="1" applyAlignment="1" applyProtection="1">
      <alignment vertical="center"/>
      <protection locked="0"/>
    </xf>
    <xf numFmtId="167" fontId="7" fillId="5" borderId="51" xfId="0" applyNumberFormat="1" applyFont="1" applyFill="1" applyBorder="1" applyAlignment="1" applyProtection="1">
      <alignment vertical="center"/>
      <protection locked="0"/>
    </xf>
    <xf numFmtId="167" fontId="7" fillId="5" borderId="52" xfId="0" applyNumberFormat="1" applyFont="1" applyFill="1" applyBorder="1" applyAlignment="1" applyProtection="1">
      <alignment vertical="center"/>
      <protection locked="0"/>
    </xf>
    <xf numFmtId="167" fontId="7" fillId="5" borderId="53" xfId="0" applyNumberFormat="1" applyFont="1" applyFill="1" applyBorder="1" applyAlignment="1" applyProtection="1">
      <alignment vertical="center"/>
      <protection locked="0"/>
    </xf>
    <xf numFmtId="167" fontId="7" fillId="5" borderId="54" xfId="0" applyNumberFormat="1" applyFont="1" applyFill="1" applyBorder="1" applyAlignment="1" applyProtection="1">
      <alignment vertical="center"/>
      <protection locked="0"/>
    </xf>
    <xf numFmtId="167" fontId="4" fillId="7" borderId="50" xfId="0" applyNumberFormat="1" applyFont="1" applyFill="1" applyBorder="1" applyAlignment="1" applyProtection="1">
      <alignment vertical="center" wrapText="1"/>
      <protection locked="0"/>
    </xf>
    <xf numFmtId="167" fontId="4" fillId="7" borderId="51" xfId="0" applyNumberFormat="1" applyFont="1" applyFill="1" applyBorder="1" applyAlignment="1" applyProtection="1">
      <alignment vertical="center" wrapText="1"/>
      <protection locked="0"/>
    </xf>
    <xf numFmtId="167" fontId="4" fillId="7" borderId="52" xfId="0" applyNumberFormat="1" applyFont="1" applyFill="1" applyBorder="1" applyAlignment="1" applyProtection="1">
      <alignment vertical="center" wrapText="1"/>
      <protection locked="0"/>
    </xf>
    <xf numFmtId="167" fontId="4" fillId="7" borderId="53" xfId="0" applyNumberFormat="1" applyFont="1" applyFill="1" applyBorder="1" applyAlignment="1" applyProtection="1">
      <alignment vertical="center" wrapText="1"/>
      <protection locked="0"/>
    </xf>
    <xf numFmtId="167" fontId="4" fillId="7" borderId="54" xfId="0" applyNumberFormat="1" applyFont="1" applyFill="1" applyBorder="1" applyAlignment="1" applyProtection="1">
      <alignment vertical="center" wrapText="1"/>
      <protection locked="0"/>
    </xf>
    <xf numFmtId="167" fontId="0" fillId="11" borderId="53" xfId="0" applyNumberFormat="1" applyFill="1" applyBorder="1" applyAlignment="1" applyProtection="1">
      <alignment vertical="center" wrapText="1"/>
      <protection locked="0"/>
    </xf>
    <xf numFmtId="167" fontId="4" fillId="7" borderId="65" xfId="0" applyNumberFormat="1" applyFont="1" applyFill="1" applyBorder="1" applyAlignment="1" applyProtection="1">
      <alignment vertical="center" wrapText="1"/>
      <protection locked="0"/>
    </xf>
    <xf numFmtId="167" fontId="4" fillId="7" borderId="66" xfId="0" applyNumberFormat="1" applyFont="1" applyFill="1" applyBorder="1" applyAlignment="1" applyProtection="1">
      <alignment vertical="center" wrapText="1"/>
      <protection locked="0"/>
    </xf>
    <xf numFmtId="167" fontId="4" fillId="7" borderId="67" xfId="0" applyNumberFormat="1" applyFont="1" applyFill="1" applyBorder="1" applyAlignment="1" applyProtection="1">
      <alignment vertical="center" wrapText="1"/>
      <protection locked="0"/>
    </xf>
    <xf numFmtId="167" fontId="4" fillId="7" borderId="68" xfId="0" applyNumberFormat="1" applyFont="1" applyFill="1" applyBorder="1" applyAlignment="1" applyProtection="1">
      <alignment vertical="center" wrapText="1"/>
      <protection locked="0"/>
    </xf>
    <xf numFmtId="167" fontId="4" fillId="7" borderId="69" xfId="0" applyNumberFormat="1" applyFont="1" applyFill="1" applyBorder="1" applyAlignment="1" applyProtection="1">
      <alignment vertical="center" wrapText="1"/>
      <protection locked="0"/>
    </xf>
    <xf numFmtId="167" fontId="4" fillId="7" borderId="48" xfId="0" applyNumberFormat="1" applyFont="1" applyFill="1" applyBorder="1" applyAlignment="1" applyProtection="1">
      <alignment vertical="center" wrapText="1"/>
      <protection locked="0"/>
    </xf>
    <xf numFmtId="167" fontId="4" fillId="7" borderId="77" xfId="0" applyNumberFormat="1" applyFont="1" applyFill="1" applyBorder="1" applyAlignment="1" applyProtection="1">
      <alignment vertical="center" wrapText="1"/>
      <protection locked="0"/>
    </xf>
    <xf numFmtId="167" fontId="4" fillId="7" borderId="78" xfId="0" applyNumberFormat="1" applyFont="1" applyFill="1" applyBorder="1" applyAlignment="1" applyProtection="1">
      <alignment vertical="center" wrapText="1"/>
      <protection locked="0"/>
    </xf>
    <xf numFmtId="167" fontId="4" fillId="7" borderId="15" xfId="0" applyNumberFormat="1" applyFont="1" applyFill="1" applyBorder="1" applyAlignment="1" applyProtection="1">
      <alignment vertical="center" wrapText="1"/>
      <protection locked="0"/>
    </xf>
    <xf numFmtId="167" fontId="7" fillId="5" borderId="57" xfId="0" applyNumberFormat="1" applyFont="1" applyFill="1" applyBorder="1" applyProtection="1">
      <protection locked="0"/>
    </xf>
    <xf numFmtId="167" fontId="7" fillId="5" borderId="81" xfId="0" applyNumberFormat="1" applyFont="1" applyFill="1" applyBorder="1" applyProtection="1">
      <protection locked="0"/>
    </xf>
    <xf numFmtId="167" fontId="7" fillId="5" borderId="82" xfId="0" applyNumberFormat="1" applyFont="1" applyFill="1" applyBorder="1" applyProtection="1">
      <protection locked="0"/>
    </xf>
    <xf numFmtId="167" fontId="7" fillId="5" borderId="58" xfId="0" applyNumberFormat="1" applyFont="1" applyFill="1" applyBorder="1" applyProtection="1">
      <protection locked="0"/>
    </xf>
    <xf numFmtId="167" fontId="7" fillId="5" borderId="56" xfId="0" applyNumberFormat="1" applyFont="1" applyFill="1" applyBorder="1" applyProtection="1">
      <protection locked="0"/>
    </xf>
    <xf numFmtId="167" fontId="4" fillId="7" borderId="58" xfId="0" applyNumberFormat="1" applyFont="1" applyFill="1" applyBorder="1" applyAlignment="1" applyProtection="1">
      <alignment vertical="center" wrapText="1"/>
      <protection locked="0"/>
    </xf>
    <xf numFmtId="167" fontId="4" fillId="7" borderId="56" xfId="0" applyNumberFormat="1" applyFont="1" applyFill="1" applyBorder="1" applyAlignment="1" applyProtection="1">
      <alignment vertical="center" wrapText="1"/>
      <protection locked="0"/>
    </xf>
    <xf numFmtId="167" fontId="4" fillId="7" borderId="82" xfId="0" applyNumberFormat="1" applyFont="1" applyFill="1" applyBorder="1" applyAlignment="1" applyProtection="1">
      <alignment vertical="center" wrapText="1"/>
      <protection locked="0"/>
    </xf>
    <xf numFmtId="167" fontId="4" fillId="7" borderId="57" xfId="0" applyNumberFormat="1" applyFont="1" applyFill="1" applyBorder="1" applyAlignment="1" applyProtection="1">
      <alignment vertical="center" wrapText="1"/>
      <protection locked="0"/>
    </xf>
    <xf numFmtId="167" fontId="4" fillId="7" borderId="23" xfId="0" applyNumberFormat="1" applyFont="1" applyFill="1" applyBorder="1" applyAlignment="1" applyProtection="1">
      <alignment vertical="center" wrapText="1"/>
      <protection locked="0"/>
    </xf>
    <xf numFmtId="167" fontId="4" fillId="7" borderId="36" xfId="0" applyNumberFormat="1" applyFont="1" applyFill="1" applyBorder="1" applyAlignment="1" applyProtection="1">
      <alignment vertical="center" wrapText="1"/>
      <protection locked="0"/>
    </xf>
    <xf numFmtId="167" fontId="4" fillId="7" borderId="86" xfId="0" applyNumberFormat="1" applyFont="1" applyFill="1" applyBorder="1" applyAlignment="1" applyProtection="1">
      <alignment vertical="center" wrapText="1"/>
      <protection locked="0"/>
    </xf>
    <xf numFmtId="167" fontId="4" fillId="7" borderId="22" xfId="0" applyNumberFormat="1" applyFont="1" applyFill="1" applyBorder="1" applyAlignment="1" applyProtection="1">
      <alignment vertical="center" wrapText="1"/>
      <protection locked="0"/>
    </xf>
    <xf numFmtId="0" fontId="7" fillId="12" borderId="89" xfId="0" applyFont="1" applyFill="1" applyBorder="1" applyAlignment="1">
      <alignment horizontal="left" wrapText="1" indent="1"/>
    </xf>
    <xf numFmtId="0" fontId="7" fillId="12" borderId="3" xfId="0" applyFont="1" applyFill="1" applyBorder="1" applyAlignment="1">
      <alignment horizontal="left" vertical="center" wrapText="1" indent="1"/>
    </xf>
    <xf numFmtId="167" fontId="4" fillId="8" borderId="14" xfId="1" applyNumberFormat="1" applyFont="1" applyFill="1" applyBorder="1" applyAlignment="1" applyProtection="1">
      <alignment horizontal="right" vertical="center" wrapText="1"/>
    </xf>
    <xf numFmtId="167" fontId="4" fillId="8" borderId="47" xfId="1" applyNumberFormat="1" applyFont="1" applyFill="1" applyBorder="1" applyAlignment="1" applyProtection="1">
      <alignment horizontal="right" vertical="center" wrapText="1"/>
    </xf>
    <xf numFmtId="167" fontId="4" fillId="2" borderId="48" xfId="1" applyNumberFormat="1" applyFont="1" applyFill="1" applyBorder="1" applyAlignment="1" applyProtection="1">
      <alignment horizontal="right" vertical="center" wrapText="1"/>
    </xf>
    <xf numFmtId="167" fontId="4" fillId="2" borderId="15" xfId="1" applyNumberFormat="1" applyFont="1" applyFill="1" applyBorder="1" applyAlignment="1" applyProtection="1">
      <alignment horizontal="right" vertical="center" wrapText="1"/>
    </xf>
    <xf numFmtId="167" fontId="4" fillId="2" borderId="16" xfId="1" applyNumberFormat="1" applyFont="1" applyFill="1" applyBorder="1" applyAlignment="1" applyProtection="1">
      <alignment horizontal="right" vertical="center" wrapText="1"/>
    </xf>
    <xf numFmtId="167" fontId="7" fillId="5" borderId="55" xfId="0" applyNumberFormat="1" applyFont="1" applyFill="1" applyBorder="1" applyAlignment="1">
      <alignment horizontal="left"/>
    </xf>
    <xf numFmtId="167" fontId="7" fillId="5" borderId="56" xfId="0" applyNumberFormat="1" applyFont="1" applyFill="1" applyBorder="1" applyAlignment="1">
      <alignment horizontal="left"/>
    </xf>
    <xf numFmtId="167" fontId="7" fillId="5" borderId="57" xfId="0" applyNumberFormat="1" applyFont="1" applyFill="1" applyBorder="1" applyAlignment="1">
      <alignment horizontal="left"/>
    </xf>
    <xf numFmtId="167" fontId="7" fillId="5" borderId="58" xfId="0" applyNumberFormat="1" applyFont="1" applyFill="1" applyBorder="1" applyAlignment="1">
      <alignment horizontal="left"/>
    </xf>
    <xf numFmtId="167" fontId="7" fillId="5" borderId="59" xfId="0" applyNumberFormat="1" applyFont="1" applyFill="1" applyBorder="1" applyAlignment="1">
      <alignment horizontal="left"/>
    </xf>
    <xf numFmtId="167" fontId="4" fillId="8" borderId="55" xfId="1" applyNumberFormat="1" applyFont="1" applyFill="1" applyBorder="1" applyAlignment="1" applyProtection="1">
      <alignment horizontal="right" wrapText="1"/>
    </xf>
    <xf numFmtId="167" fontId="4" fillId="8" borderId="56" xfId="1" applyNumberFormat="1" applyFont="1" applyFill="1" applyBorder="1" applyAlignment="1" applyProtection="1">
      <alignment horizontal="right" wrapText="1"/>
    </xf>
    <xf numFmtId="167" fontId="4" fillId="2" borderId="57" xfId="1" applyNumberFormat="1" applyFont="1" applyFill="1" applyBorder="1" applyAlignment="1" applyProtection="1">
      <alignment horizontal="right" wrapText="1"/>
    </xf>
    <xf numFmtId="167" fontId="4" fillId="2" borderId="61" xfId="1" applyNumberFormat="1" applyFont="1" applyFill="1" applyBorder="1" applyAlignment="1" applyProtection="1">
      <alignment horizontal="right" wrapText="1"/>
    </xf>
    <xf numFmtId="167" fontId="4" fillId="8" borderId="21" xfId="1" applyNumberFormat="1" applyFont="1" applyFill="1" applyBorder="1" applyAlignment="1" applyProtection="1">
      <alignment horizontal="right" wrapText="1"/>
    </xf>
    <xf numFmtId="167" fontId="4" fillId="8" borderId="36" xfId="1" applyNumberFormat="1" applyFont="1" applyFill="1" applyBorder="1" applyAlignment="1" applyProtection="1">
      <alignment horizontal="right" wrapText="1"/>
    </xf>
    <xf numFmtId="167" fontId="4" fillId="2" borderId="22" xfId="1" applyNumberFormat="1" applyFont="1" applyFill="1" applyBorder="1" applyAlignment="1" applyProtection="1">
      <alignment horizontal="right" wrapText="1"/>
    </xf>
    <xf numFmtId="167" fontId="4" fillId="2" borderId="70" xfId="1" applyNumberFormat="1" applyFont="1" applyFill="1" applyBorder="1" applyAlignment="1" applyProtection="1">
      <alignment horizontal="right" wrapText="1"/>
    </xf>
    <xf numFmtId="167" fontId="4" fillId="2" borderId="14" xfId="0" applyNumberFormat="1" applyFont="1" applyFill="1" applyBorder="1" applyAlignment="1">
      <alignment horizontal="right" vertical="center"/>
    </xf>
    <xf numFmtId="167" fontId="4" fillId="2" borderId="47" xfId="0" applyNumberFormat="1" applyFont="1" applyFill="1" applyBorder="1" applyAlignment="1">
      <alignment horizontal="right" vertical="center"/>
    </xf>
    <xf numFmtId="167" fontId="4" fillId="2" borderId="77" xfId="0" applyNumberFormat="1" applyFont="1" applyFill="1" applyBorder="1" applyAlignment="1">
      <alignment horizontal="right" vertical="center"/>
    </xf>
    <xf numFmtId="167" fontId="4" fillId="2" borderId="48" xfId="0" applyNumberFormat="1" applyFont="1" applyFill="1" applyBorder="1" applyAlignment="1">
      <alignment horizontal="right" vertical="center"/>
    </xf>
    <xf numFmtId="167" fontId="4" fillId="2" borderId="15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left"/>
    </xf>
    <xf numFmtId="167" fontId="7" fillId="5" borderId="81" xfId="0" applyNumberFormat="1" applyFont="1" applyFill="1" applyBorder="1" applyAlignment="1">
      <alignment horizontal="left"/>
    </xf>
    <xf numFmtId="167" fontId="7" fillId="5" borderId="75" xfId="0" applyNumberFormat="1" applyFont="1" applyFill="1" applyBorder="1" applyAlignment="1">
      <alignment horizontal="right"/>
    </xf>
    <xf numFmtId="167" fontId="4" fillId="2" borderId="55" xfId="0" applyNumberFormat="1" applyFont="1" applyFill="1" applyBorder="1" applyAlignment="1">
      <alignment horizontal="right" vertical="center"/>
    </xf>
    <xf numFmtId="167" fontId="4" fillId="2" borderId="56" xfId="0" applyNumberFormat="1" applyFont="1" applyFill="1" applyBorder="1" applyAlignment="1">
      <alignment horizontal="right" vertical="center"/>
    </xf>
    <xf numFmtId="167" fontId="4" fillId="2" borderId="81" xfId="0" applyNumberFormat="1" applyFont="1" applyFill="1" applyBorder="1" applyAlignment="1">
      <alignment horizontal="right" vertical="center"/>
    </xf>
    <xf numFmtId="167" fontId="4" fillId="2" borderId="57" xfId="0" applyNumberFormat="1" applyFont="1" applyFill="1" applyBorder="1" applyAlignment="1">
      <alignment horizontal="right" vertical="center"/>
    </xf>
    <xf numFmtId="167" fontId="5" fillId="5" borderId="75" xfId="0" applyNumberFormat="1" applyFont="1" applyFill="1" applyBorder="1"/>
    <xf numFmtId="167" fontId="4" fillId="2" borderId="21" xfId="0" applyNumberFormat="1" applyFont="1" applyFill="1" applyBorder="1" applyAlignment="1">
      <alignment horizontal="right" vertical="center"/>
    </xf>
    <xf numFmtId="167" fontId="4" fillId="2" borderId="88" xfId="0" applyNumberFormat="1" applyFont="1" applyFill="1" applyBorder="1" applyAlignment="1">
      <alignment horizontal="right" vertical="center"/>
    </xf>
    <xf numFmtId="167" fontId="4" fillId="2" borderId="22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7" fontId="5" fillId="5" borderId="76" xfId="0" applyNumberFormat="1" applyFont="1" applyFill="1" applyBorder="1"/>
    <xf numFmtId="0" fontId="7" fillId="8" borderId="7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1" fillId="13" borderId="119" xfId="0" applyFont="1" applyFill="1" applyBorder="1" applyAlignment="1">
      <alignment horizontal="center" vertical="center" wrapText="1"/>
    </xf>
    <xf numFmtId="0" fontId="21" fillId="13" borderId="120" xfId="0" applyFont="1" applyFill="1" applyBorder="1" applyAlignment="1">
      <alignment horizontal="center" vertical="center" wrapText="1"/>
    </xf>
    <xf numFmtId="0" fontId="21" fillId="13" borderId="121" xfId="0" applyFont="1" applyFill="1" applyBorder="1" applyAlignment="1">
      <alignment horizontal="center" vertical="center" wrapText="1"/>
    </xf>
    <xf numFmtId="0" fontId="21" fillId="13" borderId="122" xfId="0" applyFont="1" applyFill="1" applyBorder="1" applyAlignment="1">
      <alignment horizontal="center" vertical="center" wrapText="1"/>
    </xf>
    <xf numFmtId="0" fontId="21" fillId="13" borderId="123" xfId="0" applyFont="1" applyFill="1" applyBorder="1" applyAlignment="1">
      <alignment horizontal="center" vertical="center" wrapText="1"/>
    </xf>
    <xf numFmtId="0" fontId="21" fillId="13" borderId="1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9" fillId="9" borderId="93" xfId="0" applyFont="1" applyFill="1" applyBorder="1" applyAlignment="1">
      <alignment horizontal="center" vertical="center"/>
    </xf>
    <xf numFmtId="0" fontId="9" fillId="9" borderId="94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16" borderId="95" xfId="0" applyFont="1" applyFill="1" applyBorder="1" applyAlignment="1">
      <alignment horizontal="center" vertical="center" wrapText="1"/>
    </xf>
    <xf numFmtId="0" fontId="9" fillId="16" borderId="94" xfId="0" applyFont="1" applyFill="1" applyBorder="1" applyAlignment="1">
      <alignment horizontal="center" vertical="center" wrapText="1"/>
    </xf>
    <xf numFmtId="0" fontId="7" fillId="17" borderId="97" xfId="0" applyFont="1" applyFill="1" applyBorder="1" applyAlignment="1">
      <alignment horizontal="center" vertical="center"/>
    </xf>
    <xf numFmtId="0" fontId="7" fillId="17" borderId="98" xfId="0" applyFont="1" applyFill="1" applyBorder="1" applyAlignment="1">
      <alignment horizontal="center" vertical="center"/>
    </xf>
    <xf numFmtId="0" fontId="7" fillId="17" borderId="99" xfId="0" applyFont="1" applyFill="1" applyBorder="1" applyAlignment="1">
      <alignment horizontal="center" vertical="center"/>
    </xf>
  </cellXfs>
  <cellStyles count="7">
    <cellStyle name="dms_Row1" xfId="5" xr:uid="{61B7172A-540E-48D0-A818-B3C1EC0A5391}"/>
    <cellStyle name="Normal" xfId="0" builtinId="0"/>
    <cellStyle name="Normal 10" xfId="2" xr:uid="{359AAC14-2D94-42B0-8726-B4C23955D978}"/>
    <cellStyle name="Normal 3 5" xfId="6" xr:uid="{1D5909F0-93D3-42DE-A98B-392BF909B688}"/>
    <cellStyle name="Percent" xfId="1" builtinId="5"/>
    <cellStyle name="TableLvl2" xfId="3" xr:uid="{7ACC03AC-9C09-4DA1-9FD4-110C6A8C22F4}"/>
    <cellStyle name="TableLvl3" xfId="4" xr:uid="{BFB7688E-8905-42E2-8A8F-CC87BF1434DC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B69-EBF9-408B-9C42-8967C5AEC887}">
  <sheetPr codeName="Sheet1"/>
  <dimension ref="A1:KA77"/>
  <sheetViews>
    <sheetView showGridLines="0" tabSelected="1" zoomScale="55" zoomScaleNormal="55" workbookViewId="0">
      <selection activeCell="C23" sqref="C23"/>
    </sheetView>
  </sheetViews>
  <sheetFormatPr defaultColWidth="0" defaultRowHeight="0" customHeight="1" zeroHeight="1"/>
  <cols>
    <col min="1" max="1" width="4.54296875" style="1" customWidth="1"/>
    <col min="2" max="2" width="76.54296875" style="2" customWidth="1"/>
    <col min="3" max="25" width="12.36328125" style="2" customWidth="1"/>
    <col min="26" max="27" width="12.36328125" customWidth="1"/>
    <col min="28" max="30" width="12.36328125" hidden="1" customWidth="1"/>
    <col min="31" max="31" width="0" hidden="1" customWidth="1"/>
    <col min="32" max="287" width="0" style="2" hidden="1" customWidth="1"/>
    <col min="288" max="16384" width="9.08984375" style="2" hidden="1"/>
  </cols>
  <sheetData>
    <row r="1" spans="1:287" ht="14.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7" customFormat="1" ht="15" thickBot="1">
      <c r="A2" s="1"/>
    </row>
    <row r="3" spans="1:287" customFormat="1" ht="16" thickBot="1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</row>
    <row r="4" spans="1:287" s="11" customFormat="1" ht="15.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" thickBot="1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33</v>
      </c>
      <c r="K5" s="14" t="s">
        <v>34</v>
      </c>
      <c r="L5" s="14" t="s">
        <v>26</v>
      </c>
      <c r="M5" s="14" t="s">
        <v>35</v>
      </c>
      <c r="N5" s="15" t="s">
        <v>36</v>
      </c>
      <c r="P5"/>
      <c r="Q5"/>
      <c r="R5"/>
      <c r="S5"/>
      <c r="T5"/>
      <c r="U5"/>
      <c r="V5"/>
      <c r="W5"/>
      <c r="X5"/>
      <c r="Y5"/>
      <c r="AH5"/>
    </row>
    <row r="6" spans="1:287" ht="14.5">
      <c r="B6" s="16" t="s">
        <v>4</v>
      </c>
      <c r="C6" s="150">
        <v>108.4</v>
      </c>
      <c r="D6" s="151">
        <v>110</v>
      </c>
      <c r="E6" s="151">
        <v>112.1</v>
      </c>
      <c r="F6" s="151">
        <v>114.1</v>
      </c>
      <c r="G6" s="151">
        <v>116.2</v>
      </c>
      <c r="H6" s="151">
        <v>117.2</v>
      </c>
      <c r="I6" s="151">
        <v>118.8</v>
      </c>
      <c r="J6" s="151">
        <v>126.1</v>
      </c>
      <c r="K6" s="151">
        <v>133.69999999999999</v>
      </c>
      <c r="L6" s="17">
        <v>138.80000000000001</v>
      </c>
      <c r="M6" s="17">
        <v>141.69999999999999</v>
      </c>
      <c r="N6" s="18">
        <f>M6*(1+3.1%)</f>
        <v>146.09269999999998</v>
      </c>
      <c r="P6"/>
      <c r="Q6"/>
      <c r="R6"/>
      <c r="S6"/>
      <c r="T6"/>
      <c r="U6"/>
      <c r="V6"/>
      <c r="W6"/>
      <c r="X6"/>
      <c r="Y6"/>
      <c r="AH6"/>
      <c r="AI6"/>
    </row>
    <row r="7" spans="1:287" ht="14.5">
      <c r="B7" s="19" t="s">
        <v>5</v>
      </c>
      <c r="C7" s="20"/>
      <c r="D7" s="21">
        <f>+D6/C6-1</f>
        <v>1.4760147601476037E-2</v>
      </c>
      <c r="E7" s="21">
        <f>+E6/D6-1</f>
        <v>1.9090909090909047E-2</v>
      </c>
      <c r="F7" s="21">
        <f t="shared" ref="F7:I7" si="0">+F6/E6-1</f>
        <v>1.7841213202497874E-2</v>
      </c>
      <c r="G7" s="21">
        <f t="shared" si="0"/>
        <v>1.8404907975460238E-2</v>
      </c>
      <c r="H7" s="21">
        <f t="shared" si="0"/>
        <v>8.6058519793459354E-3</v>
      </c>
      <c r="I7" s="21">
        <f t="shared" si="0"/>
        <v>1.3651877133105783E-2</v>
      </c>
      <c r="J7" s="21">
        <f>+J6/I6-1</f>
        <v>6.1447811447811418E-2</v>
      </c>
      <c r="K7" s="21">
        <f>+K6/J6-1</f>
        <v>6.0269627279936566E-2</v>
      </c>
      <c r="L7" s="21">
        <f>+L6/K6-1</f>
        <v>3.8145100972326373E-2</v>
      </c>
      <c r="M7" s="21">
        <f>+M6/L6-1</f>
        <v>2.0893371757924939E-2</v>
      </c>
      <c r="N7" s="22">
        <f>+N6/M6-1</f>
        <v>3.0999999999999917E-2</v>
      </c>
      <c r="P7"/>
      <c r="Q7"/>
      <c r="R7"/>
      <c r="S7"/>
      <c r="T7"/>
      <c r="U7"/>
      <c r="V7"/>
      <c r="W7"/>
      <c r="X7"/>
      <c r="Y7"/>
    </row>
    <row r="8" spans="1:287" ht="15" thickBot="1">
      <c r="B8" s="23" t="s">
        <v>45</v>
      </c>
      <c r="C8" s="24">
        <f>D8/(1+D7)</f>
        <v>0.74199463765129947</v>
      </c>
      <c r="D8" s="25">
        <f>E8/(1+E7)</f>
        <v>0.75294658802253633</v>
      </c>
      <c r="E8" s="26">
        <f t="shared" ref="E8:H8" si="1">F8/(1+F7)</f>
        <v>0.76732102288478476</v>
      </c>
      <c r="F8" s="26">
        <f t="shared" si="1"/>
        <v>0.78101096084883093</v>
      </c>
      <c r="G8" s="26">
        <f t="shared" si="1"/>
        <v>0.79538539571107947</v>
      </c>
      <c r="H8" s="26">
        <f t="shared" si="1"/>
        <v>0.80223036469310249</v>
      </c>
      <c r="I8" s="26">
        <f>J8/(1+J7)</f>
        <v>0.81318231506433936</v>
      </c>
      <c r="J8" s="26">
        <f>K8/(1+K7)</f>
        <v>0.86315058863310767</v>
      </c>
      <c r="K8" s="26">
        <f>L8/(1+L7)</f>
        <v>0.91517235289648291</v>
      </c>
      <c r="L8" s="26">
        <f>M8/(1+M7)</f>
        <v>0.95008169470480075</v>
      </c>
      <c r="M8" s="26">
        <f>N8/(1+N7)</f>
        <v>0.96993210475266745</v>
      </c>
      <c r="N8" s="27">
        <v>1</v>
      </c>
      <c r="P8"/>
      <c r="Q8"/>
      <c r="R8"/>
      <c r="S8"/>
      <c r="T8"/>
      <c r="U8"/>
      <c r="V8"/>
      <c r="W8"/>
      <c r="X8"/>
      <c r="Y8"/>
    </row>
    <row r="9" spans="1:287" ht="14.5">
      <c r="B9" s="28"/>
      <c r="C9" s="29"/>
      <c r="D9" s="29"/>
      <c r="E9" s="29"/>
      <c r="F9" s="30"/>
      <c r="G9" s="30"/>
      <c r="H9" s="30"/>
      <c r="I9" s="30"/>
      <c r="J9" s="30"/>
      <c r="K9" s="31"/>
      <c r="L9" s="32"/>
      <c r="M9" s="31"/>
      <c r="N9" s="33"/>
      <c r="O9" s="32"/>
      <c r="P9" s="31"/>
      <c r="Q9" s="31"/>
      <c r="R9" s="31"/>
      <c r="S9" s="31"/>
      <c r="T9" s="32"/>
      <c r="U9" s="32"/>
      <c r="V9" s="32"/>
      <c r="W9" s="32"/>
      <c r="X9" s="32"/>
    </row>
    <row r="10" spans="1:287" ht="14.5">
      <c r="B10" s="28"/>
      <c r="C10" s="29"/>
      <c r="D10" s="29"/>
      <c r="E10" s="29"/>
      <c r="F10" s="29"/>
      <c r="G10" s="29"/>
      <c r="H10" s="29"/>
      <c r="I10" s="29"/>
      <c r="J10" s="29"/>
      <c r="K10" s="31"/>
      <c r="L10"/>
      <c r="M10"/>
      <c r="N10"/>
      <c r="O10"/>
      <c r="P10"/>
      <c r="Q10"/>
      <c r="R10"/>
      <c r="S10" s="31"/>
      <c r="T10" s="32"/>
      <c r="U10" s="32"/>
      <c r="V10" s="32"/>
      <c r="W10" s="32"/>
      <c r="X10" s="32"/>
    </row>
    <row r="11" spans="1:287" ht="14.5">
      <c r="B11" s="28"/>
      <c r="C11" s="29"/>
      <c r="D11" s="29"/>
      <c r="E11" s="29"/>
      <c r="F11" s="29"/>
      <c r="G11" s="29"/>
      <c r="H11" s="29"/>
      <c r="I11" s="29"/>
      <c r="J11" s="29"/>
      <c r="K11" s="31"/>
      <c r="L11" s="32"/>
      <c r="M11" s="31"/>
      <c r="N11" s="33"/>
      <c r="O11" s="32"/>
      <c r="P11" s="31"/>
      <c r="Q11" s="31"/>
      <c r="R11" s="31"/>
      <c r="S11" s="31"/>
      <c r="T11" s="32"/>
      <c r="U11" s="32"/>
      <c r="V11" s="32"/>
      <c r="W11" s="32"/>
      <c r="X11" s="32"/>
    </row>
    <row r="12" spans="1:287" s="36" customFormat="1" ht="18.5">
      <c r="A12" s="1"/>
      <c r="B12" s="34" t="s">
        <v>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/>
      <c r="AA12"/>
      <c r="AB12"/>
      <c r="AC12"/>
      <c r="AD12"/>
      <c r="AE12"/>
    </row>
    <row r="13" spans="1:287" customFormat="1" ht="15" thickBot="1">
      <c r="A13" s="1"/>
    </row>
    <row r="14" spans="1:287" customFormat="1" ht="15" thickBot="1">
      <c r="A14" s="1"/>
      <c r="B14" s="37" t="s">
        <v>7</v>
      </c>
      <c r="C14" s="38">
        <v>2019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</row>
    <row r="15" spans="1:287" customFormat="1" ht="15" thickBot="1">
      <c r="A15" s="1"/>
      <c r="B15" s="37" t="s">
        <v>44</v>
      </c>
      <c r="C15" s="155">
        <v>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</row>
    <row r="16" spans="1:287" s="43" customFormat="1" ht="21" customHeight="1" thickBot="1">
      <c r="A16" s="1"/>
      <c r="B16" s="39" t="s">
        <v>8</v>
      </c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1"/>
      <c r="N16" s="41"/>
      <c r="O16" s="41"/>
      <c r="P16" s="41"/>
      <c r="Q16" s="41"/>
      <c r="R16" s="41"/>
      <c r="S16" s="42"/>
      <c r="T16"/>
      <c r="U16"/>
      <c r="V16"/>
      <c r="W16"/>
      <c r="X16"/>
      <c r="Z16"/>
      <c r="AA16"/>
      <c r="AB16"/>
      <c r="AC16"/>
      <c r="AD16"/>
      <c r="AE16"/>
    </row>
    <row r="17" spans="1:31" ht="14.5">
      <c r="B17"/>
      <c r="C17" s="232" t="s">
        <v>9</v>
      </c>
      <c r="D17" s="233"/>
      <c r="E17" s="44" t="s">
        <v>10</v>
      </c>
      <c r="F17" s="234" t="s">
        <v>11</v>
      </c>
      <c r="G17" s="234"/>
      <c r="H17" s="234"/>
      <c r="I17" s="234"/>
      <c r="J17" s="235"/>
      <c r="K17" s="33"/>
      <c r="L17" s="236" t="s">
        <v>46</v>
      </c>
      <c r="M17" s="237"/>
      <c r="N17" s="237"/>
      <c r="O17" s="237"/>
      <c r="P17" s="237"/>
      <c r="Q17" s="237"/>
      <c r="R17" s="237"/>
      <c r="S17" s="238"/>
      <c r="T17"/>
      <c r="U17"/>
      <c r="V17"/>
      <c r="W17"/>
      <c r="X17"/>
      <c r="Y17"/>
    </row>
    <row r="18" spans="1:31" ht="21.75" customHeight="1">
      <c r="B18"/>
      <c r="C18" s="239" t="s">
        <v>12</v>
      </c>
      <c r="D18" s="240"/>
      <c r="E18" s="241"/>
      <c r="F18" s="242" t="s">
        <v>13</v>
      </c>
      <c r="G18" s="243"/>
      <c r="H18" s="243"/>
      <c r="I18" s="243"/>
      <c r="J18" s="244"/>
      <c r="K18" s="33"/>
      <c r="L18" s="245" t="s">
        <v>12</v>
      </c>
      <c r="M18" s="246"/>
      <c r="N18" s="247"/>
      <c r="O18" s="248" t="s">
        <v>13</v>
      </c>
      <c r="P18" s="249"/>
      <c r="Q18" s="249"/>
      <c r="R18" s="249"/>
      <c r="S18" s="250"/>
      <c r="T18"/>
      <c r="U18"/>
      <c r="V18"/>
      <c r="W18"/>
      <c r="X18"/>
      <c r="Y18"/>
    </row>
    <row r="19" spans="1:31" ht="21.75" customHeight="1" thickBot="1">
      <c r="B19"/>
      <c r="C19" s="45">
        <f>dms_PRCP_BaseYear</f>
        <v>2019</v>
      </c>
      <c r="D19" s="46">
        <v>2020</v>
      </c>
      <c r="E19" s="47" t="s">
        <v>3</v>
      </c>
      <c r="F19" s="48" t="s">
        <v>33</v>
      </c>
      <c r="G19" s="49" t="s">
        <v>34</v>
      </c>
      <c r="H19" s="49" t="s">
        <v>26</v>
      </c>
      <c r="I19" s="49" t="s">
        <v>35</v>
      </c>
      <c r="J19" s="50" t="s">
        <v>36</v>
      </c>
      <c r="K19" s="33"/>
      <c r="L19" s="45">
        <f>dms_PRCP_BaseYear</f>
        <v>2019</v>
      </c>
      <c r="M19" s="46">
        <f>D19</f>
        <v>2020</v>
      </c>
      <c r="N19" s="46" t="str">
        <f>E19</f>
        <v>HY2021</v>
      </c>
      <c r="O19" s="48" t="s">
        <v>33</v>
      </c>
      <c r="P19" s="49" t="s">
        <v>34</v>
      </c>
      <c r="Q19" s="49" t="s">
        <v>26</v>
      </c>
      <c r="R19" s="49" t="s">
        <v>35</v>
      </c>
      <c r="S19" s="50" t="s">
        <v>36</v>
      </c>
      <c r="T19"/>
      <c r="U19"/>
      <c r="V19"/>
      <c r="W19"/>
      <c r="X19"/>
      <c r="Y19"/>
    </row>
    <row r="20" spans="1:31" ht="14.5">
      <c r="B20" s="51" t="s">
        <v>14</v>
      </c>
      <c r="C20" s="156">
        <v>245.72964969332074</v>
      </c>
      <c r="D20" s="157">
        <v>251.19971114109933</v>
      </c>
      <c r="E20" s="158">
        <v>138.73097438447601</v>
      </c>
      <c r="F20" s="156">
        <v>273.20002376154002</v>
      </c>
      <c r="G20" s="159">
        <v>279.85880086534638</v>
      </c>
      <c r="H20" s="159">
        <v>286.95009346864458</v>
      </c>
      <c r="I20" s="159">
        <v>293.24852489490246</v>
      </c>
      <c r="J20" s="160">
        <v>298.73528596116762</v>
      </c>
      <c r="K20" s="33"/>
      <c r="L20" s="196">
        <f>+C20/$C$8</f>
        <v>331.17442798663654</v>
      </c>
      <c r="M20" s="197">
        <f>+D20/$C$8</f>
        <v>338.54653173268713</v>
      </c>
      <c r="N20" s="197">
        <f>+E20/$H$8</f>
        <v>172.93159233326739</v>
      </c>
      <c r="O20" s="198">
        <f>+F20/$I$8</f>
        <v>335.96404975915431</v>
      </c>
      <c r="P20" s="199">
        <f>+G20/$I$8</f>
        <v>344.15259122206049</v>
      </c>
      <c r="Q20" s="199">
        <f>+H20/$I$8</f>
        <v>352.87301279534216</v>
      </c>
      <c r="R20" s="199">
        <f>+I20/$I$8</f>
        <v>360.61842401442351</v>
      </c>
      <c r="S20" s="200">
        <f>+J20/$I$8</f>
        <v>367.36569453989114</v>
      </c>
      <c r="T20"/>
      <c r="U20"/>
      <c r="V20"/>
      <c r="W20"/>
      <c r="X20"/>
      <c r="Y20"/>
    </row>
    <row r="21" spans="1:31" ht="14.5">
      <c r="B21" s="52" t="s">
        <v>15</v>
      </c>
      <c r="C21" s="161"/>
      <c r="D21" s="162"/>
      <c r="E21" s="163"/>
      <c r="F21" s="161"/>
      <c r="G21" s="164"/>
      <c r="H21" s="164"/>
      <c r="I21" s="164"/>
      <c r="J21" s="165"/>
      <c r="K21" s="29"/>
      <c r="L21" s="201"/>
      <c r="M21" s="202"/>
      <c r="N21" s="202"/>
      <c r="O21" s="203"/>
      <c r="P21" s="204"/>
      <c r="Q21" s="204"/>
      <c r="R21" s="204"/>
      <c r="S21" s="205"/>
      <c r="T21"/>
      <c r="U21"/>
      <c r="V21"/>
      <c r="W21"/>
      <c r="X21"/>
      <c r="Y21"/>
    </row>
    <row r="22" spans="1:31" ht="14.5">
      <c r="B22" s="152" t="s">
        <v>50</v>
      </c>
      <c r="C22" s="166">
        <v>-1.97120921131774</v>
      </c>
      <c r="D22" s="167">
        <v>-2.0619088757803499</v>
      </c>
      <c r="E22" s="168">
        <v>-1.0857735077898099</v>
      </c>
      <c r="F22" s="166">
        <v>-2.1344123468423404</v>
      </c>
      <c r="G22" s="169">
        <v>-2.2238988721098298</v>
      </c>
      <c r="H22" s="169">
        <v>-2.3230125820822103</v>
      </c>
      <c r="I22" s="169">
        <v>-2.3809343305509101</v>
      </c>
      <c r="J22" s="170">
        <v>-2.4134084569666898</v>
      </c>
      <c r="K22" s="29"/>
      <c r="L22" s="206">
        <f t="shared" ref="L22:M26" si="2">+C22/$C$8</f>
        <v>-2.6566353869582953</v>
      </c>
      <c r="M22" s="207">
        <f t="shared" si="2"/>
        <v>-2.7788730149143537</v>
      </c>
      <c r="N22" s="207">
        <f t="shared" ref="N22:N26" si="3">+E22/$H$8</f>
        <v>-1.3534435438693202</v>
      </c>
      <c r="O22" s="208">
        <f t="shared" ref="O22:S26" si="4">F22/$I$8</f>
        <v>-2.6247648372351344</v>
      </c>
      <c r="P22" s="208">
        <f t="shared" si="4"/>
        <v>-2.7348096864771021</v>
      </c>
      <c r="Q22" s="208">
        <f t="shared" si="4"/>
        <v>-2.8566934364508558</v>
      </c>
      <c r="R22" s="208">
        <f t="shared" si="4"/>
        <v>-2.927921926539351</v>
      </c>
      <c r="S22" s="209">
        <f t="shared" si="4"/>
        <v>-2.9678565461371842</v>
      </c>
      <c r="T22"/>
      <c r="U22"/>
      <c r="V22"/>
      <c r="W22"/>
      <c r="X22"/>
      <c r="Y22"/>
    </row>
    <row r="23" spans="1:31" ht="14.5">
      <c r="B23" s="153" t="s">
        <v>51</v>
      </c>
      <c r="C23" s="166">
        <v>-3.0996437859920776</v>
      </c>
      <c r="D23" s="167">
        <v>-3.0996437859920776</v>
      </c>
      <c r="E23" s="168">
        <v>-1.6821071980232101</v>
      </c>
      <c r="F23" s="166">
        <v>-2.8944685902264</v>
      </c>
      <c r="G23" s="171">
        <v>-2.8944685902264</v>
      </c>
      <c r="H23" s="169">
        <v>-2.8944685902264</v>
      </c>
      <c r="I23" s="169">
        <v>-2.8944685902264</v>
      </c>
      <c r="J23" s="170">
        <v>-2.8944685902264</v>
      </c>
      <c r="K23" s="29"/>
      <c r="L23" s="206">
        <f t="shared" si="2"/>
        <v>-4.1774476912712624</v>
      </c>
      <c r="M23" s="207">
        <f t="shared" si="2"/>
        <v>-4.1774476912712624</v>
      </c>
      <c r="N23" s="207">
        <f t="shared" si="3"/>
        <v>-2.0967882444423669</v>
      </c>
      <c r="O23" s="208">
        <f t="shared" si="4"/>
        <v>-3.5594337660889592</v>
      </c>
      <c r="P23" s="208">
        <f t="shared" si="4"/>
        <v>-3.5594337660889592</v>
      </c>
      <c r="Q23" s="208">
        <f t="shared" si="4"/>
        <v>-3.5594337660889592</v>
      </c>
      <c r="R23" s="208">
        <f t="shared" si="4"/>
        <v>-3.5594337660889592</v>
      </c>
      <c r="S23" s="209">
        <f t="shared" si="4"/>
        <v>-3.5594337660889592</v>
      </c>
      <c r="T23"/>
      <c r="U23"/>
      <c r="V23"/>
      <c r="W23"/>
      <c r="X23"/>
      <c r="Y23"/>
    </row>
    <row r="24" spans="1:31" ht="14.5">
      <c r="B24" s="154" t="s">
        <v>52</v>
      </c>
      <c r="C24" s="166">
        <v>0</v>
      </c>
      <c r="D24" s="167">
        <v>0</v>
      </c>
      <c r="E24" s="168">
        <v>0</v>
      </c>
      <c r="F24" s="166">
        <v>0</v>
      </c>
      <c r="G24" s="169">
        <v>0</v>
      </c>
      <c r="H24" s="169">
        <v>0</v>
      </c>
      <c r="I24" s="169">
        <v>0</v>
      </c>
      <c r="J24" s="170">
        <v>0</v>
      </c>
      <c r="K24" s="29"/>
      <c r="L24" s="206">
        <f t="shared" si="2"/>
        <v>0</v>
      </c>
      <c r="M24" s="207">
        <f t="shared" si="2"/>
        <v>0</v>
      </c>
      <c r="N24" s="207">
        <f t="shared" si="3"/>
        <v>0</v>
      </c>
      <c r="O24" s="208">
        <f t="shared" si="4"/>
        <v>0</v>
      </c>
      <c r="P24" s="208">
        <f t="shared" si="4"/>
        <v>0</v>
      </c>
      <c r="Q24" s="208">
        <f t="shared" si="4"/>
        <v>0</v>
      </c>
      <c r="R24" s="208">
        <f t="shared" si="4"/>
        <v>0</v>
      </c>
      <c r="S24" s="209">
        <f t="shared" si="4"/>
        <v>0</v>
      </c>
      <c r="T24"/>
      <c r="U24"/>
      <c r="V24"/>
      <c r="W24"/>
      <c r="X24"/>
      <c r="Y24"/>
    </row>
    <row r="25" spans="1:31" ht="14.5">
      <c r="B25" s="53" t="s">
        <v>16</v>
      </c>
      <c r="C25" s="166"/>
      <c r="D25" s="167"/>
      <c r="E25" s="168"/>
      <c r="F25" s="166"/>
      <c r="G25" s="169"/>
      <c r="H25" s="169"/>
      <c r="I25" s="169"/>
      <c r="J25" s="170"/>
      <c r="K25" s="54"/>
      <c r="L25" s="206">
        <f t="shared" si="2"/>
        <v>0</v>
      </c>
      <c r="M25" s="207">
        <f t="shared" si="2"/>
        <v>0</v>
      </c>
      <c r="N25" s="207">
        <f t="shared" si="3"/>
        <v>0</v>
      </c>
      <c r="O25" s="208">
        <f t="shared" si="4"/>
        <v>0</v>
      </c>
      <c r="P25" s="208">
        <f t="shared" si="4"/>
        <v>0</v>
      </c>
      <c r="Q25" s="208">
        <f t="shared" si="4"/>
        <v>0</v>
      </c>
      <c r="R25" s="208">
        <f t="shared" si="4"/>
        <v>0</v>
      </c>
      <c r="S25" s="209">
        <f t="shared" si="4"/>
        <v>0</v>
      </c>
      <c r="T25"/>
      <c r="U25"/>
      <c r="V25"/>
      <c r="W25"/>
      <c r="X25"/>
      <c r="Y25"/>
    </row>
    <row r="26" spans="1:31" ht="15" thickBot="1">
      <c r="B26" s="55" t="s">
        <v>17</v>
      </c>
      <c r="C26" s="172"/>
      <c r="D26" s="173"/>
      <c r="E26" s="174"/>
      <c r="F26" s="172"/>
      <c r="G26" s="175"/>
      <c r="H26" s="175"/>
      <c r="I26" s="175"/>
      <c r="J26" s="176"/>
      <c r="K26" s="29"/>
      <c r="L26" s="210">
        <f t="shared" si="2"/>
        <v>0</v>
      </c>
      <c r="M26" s="211">
        <f t="shared" si="2"/>
        <v>0</v>
      </c>
      <c r="N26" s="211">
        <f t="shared" si="3"/>
        <v>0</v>
      </c>
      <c r="O26" s="212">
        <f t="shared" si="4"/>
        <v>0</v>
      </c>
      <c r="P26" s="212">
        <f t="shared" si="4"/>
        <v>0</v>
      </c>
      <c r="Q26" s="212">
        <f t="shared" si="4"/>
        <v>0</v>
      </c>
      <c r="R26" s="212">
        <f t="shared" si="4"/>
        <v>0</v>
      </c>
      <c r="S26" s="213">
        <f t="shared" si="4"/>
        <v>0</v>
      </c>
      <c r="T26"/>
      <c r="U26"/>
      <c r="V26"/>
      <c r="W26"/>
      <c r="X26"/>
      <c r="Y26"/>
    </row>
    <row r="27" spans="1:31" ht="15" thickBot="1">
      <c r="B27" s="195" t="s">
        <v>18</v>
      </c>
      <c r="C27" s="56">
        <f t="shared" ref="C27:J27" si="5">SUM(C20:C26)</f>
        <v>240.65879669601094</v>
      </c>
      <c r="D27" s="56">
        <f t="shared" si="5"/>
        <v>246.03815847932691</v>
      </c>
      <c r="E27" s="56">
        <f t="shared" si="5"/>
        <v>135.963093678663</v>
      </c>
      <c r="F27" s="56">
        <f t="shared" si="5"/>
        <v>268.1711428244713</v>
      </c>
      <c r="G27" s="56">
        <f t="shared" si="5"/>
        <v>274.74043340301017</v>
      </c>
      <c r="H27" s="56">
        <f t="shared" si="5"/>
        <v>281.73261229633601</v>
      </c>
      <c r="I27" s="56">
        <f t="shared" si="5"/>
        <v>287.97312197412515</v>
      </c>
      <c r="J27" s="57">
        <f t="shared" si="5"/>
        <v>293.42740891397455</v>
      </c>
      <c r="K27" s="29"/>
      <c r="L27" s="58">
        <f t="shared" ref="L27:M27" si="6">+SUM(L20:L26)</f>
        <v>324.34034490840702</v>
      </c>
      <c r="M27" s="59">
        <f t="shared" si="6"/>
        <v>331.59021102650149</v>
      </c>
      <c r="N27" s="59">
        <f t="shared" ref="N27:S27" si="7">+SUM(N20:N26)</f>
        <v>169.48136054495569</v>
      </c>
      <c r="O27" s="59">
        <f t="shared" si="7"/>
        <v>329.77985115583022</v>
      </c>
      <c r="P27" s="59">
        <f t="shared" si="7"/>
        <v>337.85834776949446</v>
      </c>
      <c r="Q27" s="59">
        <f t="shared" si="7"/>
        <v>346.45688559280234</v>
      </c>
      <c r="R27" s="59">
        <f t="shared" si="7"/>
        <v>354.13106832179523</v>
      </c>
      <c r="S27" s="60">
        <f t="shared" si="7"/>
        <v>360.83840422766502</v>
      </c>
      <c r="T27"/>
      <c r="U27"/>
      <c r="V27"/>
      <c r="W27"/>
      <c r="X27"/>
      <c r="Y27"/>
    </row>
    <row r="28" spans="1:31" ht="15" thickBot="1">
      <c r="B28" s="61"/>
      <c r="C28" s="62"/>
      <c r="D28" s="63"/>
      <c r="E28" s="63"/>
      <c r="F28" s="63"/>
      <c r="G28" s="63"/>
      <c r="H28" s="63"/>
      <c r="I28" s="63"/>
      <c r="J28" s="63"/>
      <c r="K28" s="64"/>
      <c r="L28" s="62"/>
      <c r="N28" s="62"/>
      <c r="O28" s="62"/>
      <c r="P28" s="62"/>
      <c r="Q28" s="62"/>
      <c r="R28" s="62"/>
      <c r="S28" s="62"/>
      <c r="T28"/>
      <c r="U28"/>
      <c r="V28"/>
      <c r="W28"/>
      <c r="X28"/>
      <c r="Y28"/>
    </row>
    <row r="29" spans="1:31" s="43" customFormat="1" ht="16.5" thickBot="1">
      <c r="A29" s="1"/>
      <c r="B29" s="39" t="s">
        <v>19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4.5">
      <c r="B30" s="65"/>
      <c r="C30" s="251" t="s">
        <v>20</v>
      </c>
      <c r="D30" s="252"/>
      <c r="E30" s="252"/>
      <c r="F30" s="252"/>
      <c r="G30" s="252"/>
      <c r="H30" s="252"/>
      <c r="I30" s="252"/>
      <c r="J30" s="253"/>
      <c r="K30" s="66"/>
      <c r="L30" s="236" t="s">
        <v>46</v>
      </c>
      <c r="M30" s="237"/>
      <c r="N30" s="237"/>
      <c r="O30" s="237"/>
      <c r="P30" s="237"/>
      <c r="Q30" s="237"/>
      <c r="R30" s="237"/>
      <c r="S30" s="238"/>
      <c r="T30"/>
      <c r="U30"/>
      <c r="V30"/>
      <c r="W30"/>
      <c r="X30"/>
      <c r="Y30"/>
    </row>
    <row r="31" spans="1:31" ht="14.5">
      <c r="B31" s="65"/>
      <c r="C31" s="239" t="s">
        <v>12</v>
      </c>
      <c r="D31" s="240"/>
      <c r="E31" s="241"/>
      <c r="F31" s="242" t="s">
        <v>13</v>
      </c>
      <c r="G31" s="243"/>
      <c r="H31" s="243"/>
      <c r="I31" s="243"/>
      <c r="J31" s="244"/>
      <c r="K31" s="66"/>
      <c r="L31" s="239" t="s">
        <v>12</v>
      </c>
      <c r="M31" s="240"/>
      <c r="N31" s="241"/>
      <c r="O31" s="248" t="s">
        <v>13</v>
      </c>
      <c r="P31" s="249"/>
      <c r="Q31" s="249"/>
      <c r="R31" s="249"/>
      <c r="S31" s="250"/>
      <c r="T31"/>
      <c r="U31"/>
      <c r="V31"/>
      <c r="W31"/>
      <c r="X31"/>
      <c r="Y31"/>
    </row>
    <row r="32" spans="1:31" ht="15" thickBot="1">
      <c r="B32" s="67"/>
      <c r="C32" s="45">
        <f>dms_PRCP_BaseYear</f>
        <v>2019</v>
      </c>
      <c r="D32" s="46">
        <v>2020</v>
      </c>
      <c r="E32" s="47" t="s">
        <v>3</v>
      </c>
      <c r="F32" s="48" t="s">
        <v>33</v>
      </c>
      <c r="G32" s="49" t="s">
        <v>34</v>
      </c>
      <c r="H32" s="49" t="s">
        <v>26</v>
      </c>
      <c r="I32" s="49" t="s">
        <v>35</v>
      </c>
      <c r="J32" s="50" t="s">
        <v>36</v>
      </c>
      <c r="K32" s="54"/>
      <c r="L32" s="45">
        <f>dms_PRCP_BaseYear</f>
        <v>2019</v>
      </c>
      <c r="M32" s="46">
        <f>D32</f>
        <v>2020</v>
      </c>
      <c r="N32" s="46" t="str">
        <f>E32</f>
        <v>HY2021</v>
      </c>
      <c r="O32" s="48" t="s">
        <v>33</v>
      </c>
      <c r="P32" s="49" t="s">
        <v>34</v>
      </c>
      <c r="Q32" s="49" t="s">
        <v>26</v>
      </c>
      <c r="R32" s="49" t="s">
        <v>35</v>
      </c>
      <c r="S32" s="50" t="s">
        <v>36</v>
      </c>
      <c r="T32"/>
      <c r="U32"/>
      <c r="V32"/>
      <c r="W32"/>
      <c r="X32"/>
      <c r="Y32"/>
    </row>
    <row r="33" spans="1:31" ht="14.5">
      <c r="B33" s="51" t="s">
        <v>21</v>
      </c>
      <c r="C33" s="177">
        <v>225.69319940000003</v>
      </c>
      <c r="D33" s="178">
        <v>219.87184324</v>
      </c>
      <c r="E33" s="179">
        <v>121.13300376438997</v>
      </c>
      <c r="F33" s="177">
        <v>235.611018</v>
      </c>
      <c r="G33" s="180">
        <v>274.16791264</v>
      </c>
      <c r="H33" s="180">
        <v>298.982215</v>
      </c>
      <c r="I33" s="180">
        <v>309.04280021296859</v>
      </c>
      <c r="J33" s="68"/>
      <c r="K33" s="54"/>
      <c r="L33" s="214">
        <f>+C33/LOOKUP(dms_PRCP_BaseYear,$D$5:$N$5,$D$8:$N$8)*(1+LOOKUP(dms_PRCP_BaseYear,$D$5:$N$5,$D$7:$N$7))^0.5</f>
        <v>286.35258130531031</v>
      </c>
      <c r="M33" s="215">
        <f t="shared" ref="M33:R33" si="8">+D33/H$8*(1+H$7)^0.5</f>
        <v>275.2524941166327</v>
      </c>
      <c r="N33" s="216">
        <f t="shared" si="8"/>
        <v>149.97503640412404</v>
      </c>
      <c r="O33" s="217">
        <f t="shared" si="8"/>
        <v>281.2278635857212</v>
      </c>
      <c r="P33" s="218">
        <f t="shared" si="8"/>
        <v>308.47636468165865</v>
      </c>
      <c r="Q33" s="218">
        <f t="shared" si="8"/>
        <v>320.63685043318003</v>
      </c>
      <c r="R33" s="215">
        <f t="shared" si="8"/>
        <v>321.93447584372313</v>
      </c>
      <c r="S33" s="219"/>
      <c r="T33"/>
      <c r="U33"/>
      <c r="V33"/>
      <c r="W33"/>
      <c r="X33"/>
      <c r="Y33"/>
    </row>
    <row r="34" spans="1:31" ht="14.5">
      <c r="B34" s="52" t="s">
        <v>22</v>
      </c>
      <c r="C34" s="181"/>
      <c r="D34" s="182"/>
      <c r="E34" s="183"/>
      <c r="F34" s="181"/>
      <c r="G34" s="184"/>
      <c r="H34" s="184"/>
      <c r="I34" s="185"/>
      <c r="J34" s="69"/>
      <c r="K34" s="29"/>
      <c r="L34" s="201"/>
      <c r="M34" s="202"/>
      <c r="N34" s="220"/>
      <c r="O34" s="203"/>
      <c r="P34" s="204"/>
      <c r="Q34" s="204"/>
      <c r="R34" s="202"/>
      <c r="S34" s="221"/>
      <c r="T34"/>
      <c r="U34"/>
      <c r="V34"/>
      <c r="W34"/>
      <c r="X34"/>
      <c r="Y34"/>
    </row>
    <row r="35" spans="1:31" ht="14.5">
      <c r="B35" s="70" t="str">
        <f>IF(ISBLANK(B22),"",B22)</f>
        <v>Debt raising costs</v>
      </c>
      <c r="C35" s="186">
        <v>0</v>
      </c>
      <c r="D35" s="187">
        <v>0</v>
      </c>
      <c r="E35" s="188">
        <v>0</v>
      </c>
      <c r="F35" s="189">
        <v>0</v>
      </c>
      <c r="G35" s="186">
        <v>0</v>
      </c>
      <c r="H35" s="186">
        <v>0</v>
      </c>
      <c r="I35" s="186">
        <v>0</v>
      </c>
      <c r="J35" s="69"/>
      <c r="K35" s="54"/>
      <c r="L35" s="222">
        <f t="shared" ref="L35:L40" si="9">+C35/LOOKUP(dms_PRCP_BaseYear,$D$5:$N$5,$D$8:$N$8)*(1+LOOKUP(dms_PRCP_BaseYear,$D$5:$N$5,$D$7:$N$7))^0.5</f>
        <v>0</v>
      </c>
      <c r="M35" s="223">
        <f t="shared" ref="M35:N40" si="10">+D35/H$8*(1+H$7)^0.5</f>
        <v>0</v>
      </c>
      <c r="N35" s="224">
        <f t="shared" si="10"/>
        <v>0</v>
      </c>
      <c r="O35" s="225">
        <f t="shared" ref="O35:R40" si="11">F35/J$8*(1+J$7)^0.5</f>
        <v>0</v>
      </c>
      <c r="P35" s="225">
        <f t="shared" si="11"/>
        <v>0</v>
      </c>
      <c r="Q35" s="225">
        <f t="shared" si="11"/>
        <v>0</v>
      </c>
      <c r="R35" s="223">
        <f t="shared" si="11"/>
        <v>0</v>
      </c>
      <c r="S35" s="221"/>
      <c r="T35"/>
      <c r="U35"/>
      <c r="V35"/>
      <c r="W35"/>
      <c r="X35"/>
      <c r="Y35"/>
    </row>
    <row r="36" spans="1:31" ht="14.5">
      <c r="B36" s="70" t="str">
        <f t="shared" ref="B36:B37" si="12">IF(ISBLANK(B23),"",B23)</f>
        <v>GSL payments</v>
      </c>
      <c r="C36" s="186">
        <v>-1.412155</v>
      </c>
      <c r="D36" s="187">
        <v>-2.6799599999999999</v>
      </c>
      <c r="E36" s="188">
        <v>-3.6604449999999993</v>
      </c>
      <c r="F36" s="189">
        <v>-2.9651200000000002</v>
      </c>
      <c r="G36" s="186">
        <v>-3.566452</v>
      </c>
      <c r="H36" s="186">
        <v>-2.3626399999999999</v>
      </c>
      <c r="I36" s="186">
        <v>-3.8740581374344982</v>
      </c>
      <c r="J36" s="69"/>
      <c r="K36" s="29"/>
      <c r="L36" s="222">
        <f t="shared" si="9"/>
        <v>-1.7916987774918325</v>
      </c>
      <c r="M36" s="223">
        <f t="shared" si="10"/>
        <v>-3.3549801705515145</v>
      </c>
      <c r="N36" s="224">
        <f t="shared" si="10"/>
        <v>-4.5320049455562046</v>
      </c>
      <c r="O36" s="225">
        <f t="shared" si="11"/>
        <v>-3.5391993547402509</v>
      </c>
      <c r="P36" s="225">
        <f t="shared" si="11"/>
        <v>-4.0127458285617079</v>
      </c>
      <c r="Q36" s="225">
        <f t="shared" si="11"/>
        <v>-2.5337609071745235</v>
      </c>
      <c r="R36" s="223">
        <f t="shared" si="11"/>
        <v>-4.0356639112887134</v>
      </c>
      <c r="S36" s="221"/>
      <c r="T36"/>
      <c r="U36"/>
      <c r="V36"/>
      <c r="W36"/>
      <c r="X36"/>
      <c r="Y36"/>
    </row>
    <row r="37" spans="1:31" ht="15" customHeight="1">
      <c r="B37" s="70" t="str">
        <f t="shared" si="12"/>
        <v>DMIA</v>
      </c>
      <c r="C37" s="186">
        <v>0</v>
      </c>
      <c r="D37" s="187">
        <v>0</v>
      </c>
      <c r="E37" s="188">
        <v>0</v>
      </c>
      <c r="F37" s="189">
        <v>-0.10167551999999999</v>
      </c>
      <c r="G37" s="186">
        <v>0</v>
      </c>
      <c r="H37" s="186">
        <v>0</v>
      </c>
      <c r="I37" s="186">
        <v>0</v>
      </c>
      <c r="J37" s="69"/>
      <c r="K37" s="29"/>
      <c r="L37" s="222">
        <f t="shared" si="9"/>
        <v>0</v>
      </c>
      <c r="M37" s="223">
        <f t="shared" si="10"/>
        <v>0</v>
      </c>
      <c r="N37" s="224">
        <f t="shared" si="10"/>
        <v>0</v>
      </c>
      <c r="O37" s="225">
        <f t="shared" si="11"/>
        <v>-0.1213610021776115</v>
      </c>
      <c r="P37" s="225">
        <f t="shared" si="11"/>
        <v>0</v>
      </c>
      <c r="Q37" s="225">
        <f t="shared" si="11"/>
        <v>0</v>
      </c>
      <c r="R37" s="223">
        <f t="shared" si="11"/>
        <v>0</v>
      </c>
      <c r="S37" s="221"/>
      <c r="T37"/>
      <c r="U37" s="254" t="s">
        <v>49</v>
      </c>
      <c r="V37" s="255"/>
      <c r="W37"/>
      <c r="X37"/>
      <c r="Y37"/>
    </row>
    <row r="38" spans="1:31" ht="15" customHeight="1">
      <c r="B38" s="71" t="s">
        <v>23</v>
      </c>
      <c r="C38" s="186"/>
      <c r="D38" s="187"/>
      <c r="E38" s="188"/>
      <c r="F38" s="189"/>
      <c r="G38" s="186"/>
      <c r="H38" s="186"/>
      <c r="I38" s="186"/>
      <c r="J38" s="69"/>
      <c r="K38" s="72"/>
      <c r="L38" s="222">
        <f t="shared" si="9"/>
        <v>0</v>
      </c>
      <c r="M38" s="223">
        <f t="shared" si="10"/>
        <v>0</v>
      </c>
      <c r="N38" s="224">
        <f t="shared" si="10"/>
        <v>0</v>
      </c>
      <c r="O38" s="225">
        <f t="shared" si="11"/>
        <v>0</v>
      </c>
      <c r="P38" s="225">
        <f t="shared" si="11"/>
        <v>0</v>
      </c>
      <c r="Q38" s="225">
        <f t="shared" si="11"/>
        <v>0</v>
      </c>
      <c r="R38" s="223">
        <f t="shared" si="11"/>
        <v>0</v>
      </c>
      <c r="S38" s="226"/>
      <c r="T38"/>
      <c r="U38" s="256"/>
      <c r="V38" s="257"/>
      <c r="W38"/>
      <c r="X38"/>
      <c r="Y38"/>
    </row>
    <row r="39" spans="1:31" ht="15" customHeight="1">
      <c r="B39" s="71" t="s">
        <v>24</v>
      </c>
      <c r="C39" s="186">
        <v>9.8760068600000004</v>
      </c>
      <c r="D39" s="187">
        <v>-0.9210013099999973</v>
      </c>
      <c r="E39" s="188">
        <v>-2.0255516282838011</v>
      </c>
      <c r="F39" s="189">
        <v>-2.8257533299999973</v>
      </c>
      <c r="G39" s="186">
        <v>-3.6164512099999993</v>
      </c>
      <c r="H39" s="186">
        <v>-1.6201954999999988</v>
      </c>
      <c r="I39" s="186">
        <v>0</v>
      </c>
      <c r="J39" s="69"/>
      <c r="K39" s="72"/>
      <c r="L39" s="222">
        <f t="shared" si="9"/>
        <v>12.530373377966972</v>
      </c>
      <c r="M39" s="223">
        <f t="shared" si="10"/>
        <v>-1.152980317654726</v>
      </c>
      <c r="N39" s="224">
        <f t="shared" si="10"/>
        <v>-2.507839892926027</v>
      </c>
      <c r="O39" s="225">
        <f t="shared" si="11"/>
        <v>-3.3728497875941295</v>
      </c>
      <c r="P39" s="225">
        <f t="shared" si="11"/>
        <v>-4.069001771823773</v>
      </c>
      <c r="Q39" s="225">
        <f t="shared" si="11"/>
        <v>-1.7375427572038391</v>
      </c>
      <c r="R39" s="223">
        <f t="shared" si="11"/>
        <v>0</v>
      </c>
      <c r="S39" s="226"/>
      <c r="T39"/>
      <c r="U39" s="256"/>
      <c r="V39" s="257"/>
      <c r="W39"/>
      <c r="X39"/>
      <c r="Y39"/>
    </row>
    <row r="40" spans="1:31" ht="15.75" customHeight="1" thickBot="1">
      <c r="B40" s="55" t="s">
        <v>17</v>
      </c>
      <c r="C40" s="190"/>
      <c r="D40" s="191"/>
      <c r="E40" s="192"/>
      <c r="F40" s="193"/>
      <c r="G40" s="190"/>
      <c r="H40" s="190"/>
      <c r="I40" s="190"/>
      <c r="J40" s="73"/>
      <c r="K40" s="72"/>
      <c r="L40" s="227">
        <f t="shared" si="9"/>
        <v>0</v>
      </c>
      <c r="M40" s="228">
        <f t="shared" si="10"/>
        <v>0</v>
      </c>
      <c r="N40" s="228">
        <f t="shared" si="10"/>
        <v>0</v>
      </c>
      <c r="O40" s="229">
        <f t="shared" si="11"/>
        <v>0</v>
      </c>
      <c r="P40" s="229">
        <f t="shared" si="11"/>
        <v>0</v>
      </c>
      <c r="Q40" s="229">
        <f t="shared" si="11"/>
        <v>0</v>
      </c>
      <c r="R40" s="230">
        <f t="shared" si="11"/>
        <v>0</v>
      </c>
      <c r="S40" s="231"/>
      <c r="T40"/>
      <c r="U40" s="256"/>
      <c r="V40" s="257"/>
      <c r="W40"/>
      <c r="X40"/>
      <c r="Y40"/>
    </row>
    <row r="41" spans="1:31" ht="15.75" customHeight="1" thickBot="1">
      <c r="B41" s="194" t="s">
        <v>25</v>
      </c>
      <c r="C41" s="74">
        <f t="shared" ref="C41:E41" si="13">SUM(C33:C40)</f>
        <v>234.15705126</v>
      </c>
      <c r="D41" s="74">
        <f t="shared" si="13"/>
        <v>216.27088193</v>
      </c>
      <c r="E41" s="74">
        <f t="shared" si="13"/>
        <v>115.44700713610617</v>
      </c>
      <c r="F41" s="74">
        <f>SUM(F33:F40)</f>
        <v>229.71846915</v>
      </c>
      <c r="G41" s="74">
        <f>SUM(G33:G40)</f>
        <v>266.98500942999999</v>
      </c>
      <c r="H41" s="74">
        <f>SUM(H33:H40)</f>
        <v>294.99937949999997</v>
      </c>
      <c r="I41" s="74">
        <f>SUM(I33:I40)</f>
        <v>305.16874207553411</v>
      </c>
      <c r="J41" s="75"/>
      <c r="K41" s="29"/>
      <c r="L41" s="58">
        <f t="shared" ref="L41" si="14">L33+SUM(L35:L40)</f>
        <v>297.09125590578543</v>
      </c>
      <c r="M41" s="59">
        <f t="shared" ref="M41" si="15">M33+SUM(M35:M40)</f>
        <v>270.74453362842644</v>
      </c>
      <c r="N41" s="59">
        <f t="shared" ref="N41:R41" si="16">N33+SUM(N35:N40)</f>
        <v>142.93519156564182</v>
      </c>
      <c r="O41" s="59">
        <f t="shared" si="16"/>
        <v>274.19445344120919</v>
      </c>
      <c r="P41" s="59">
        <f t="shared" si="16"/>
        <v>300.39461708127317</v>
      </c>
      <c r="Q41" s="59">
        <f t="shared" si="16"/>
        <v>316.36554676880166</v>
      </c>
      <c r="R41" s="59">
        <f t="shared" si="16"/>
        <v>317.8988119324344</v>
      </c>
      <c r="S41" s="60">
        <f>S27-(LOOKUP($T$41,O19:R19,O27:R27)-LOOKUP($T$41,O32:R32,O41:R41))+T42</f>
        <v>338.93312073637924</v>
      </c>
      <c r="T41" s="149" t="s">
        <v>35</v>
      </c>
      <c r="U41" s="258"/>
      <c r="V41" s="259"/>
      <c r="W41"/>
      <c r="X41"/>
      <c r="Y41"/>
    </row>
    <row r="42" spans="1:31" customFormat="1" ht="15.65" customHeight="1" thickBot="1">
      <c r="A42" s="1"/>
      <c r="M42" s="2"/>
      <c r="T42" s="76">
        <v>14.326972898075027</v>
      </c>
      <c r="U42" s="77" t="s">
        <v>48</v>
      </c>
    </row>
    <row r="43" spans="1:31" s="85" customFormat="1" ht="18.5" thickBot="1">
      <c r="A43" s="1"/>
      <c r="B43" s="78"/>
      <c r="C43" s="78"/>
      <c r="D43" s="78"/>
      <c r="E43" s="78"/>
      <c r="F43" s="78"/>
      <c r="G43" s="78"/>
      <c r="H43" s="79"/>
      <c r="I43" s="79"/>
      <c r="J43" s="79"/>
      <c r="K43" s="79"/>
      <c r="L43" s="80" t="s">
        <v>47</v>
      </c>
      <c r="M43" s="81"/>
      <c r="N43" s="82"/>
      <c r="O43" s="83"/>
      <c r="P43" s="82"/>
      <c r="Q43" s="82"/>
      <c r="R43" s="82"/>
      <c r="S43" s="84"/>
      <c r="U43"/>
      <c r="V43"/>
      <c r="W43"/>
      <c r="X43"/>
      <c r="Y43"/>
      <c r="Z43"/>
      <c r="AA43"/>
      <c r="AB43"/>
      <c r="AC43"/>
      <c r="AD43"/>
      <c r="AE43"/>
    </row>
    <row r="44" spans="1:31" ht="15" thickBot="1">
      <c r="B44" s="78"/>
      <c r="C44" s="78"/>
      <c r="D44" s="78"/>
      <c r="E44" s="78"/>
      <c r="F44" s="78"/>
      <c r="G44" s="78"/>
      <c r="H44" s="79"/>
      <c r="I44" s="79"/>
      <c r="J44" s="79"/>
      <c r="K44" s="79"/>
      <c r="L44" s="86"/>
      <c r="M44" s="87">
        <f>(M27-M41)-(L27-L41)+C15/$I$8</f>
        <v>33.596588395453466</v>
      </c>
      <c r="N44" s="88">
        <f>(N27-N41)-(M27-M41)/2</f>
        <v>-3.876669719723651</v>
      </c>
      <c r="O44" s="89">
        <f>(O27-O41)-(2*(N27-N41)-(L27-L41))-C15/$I$8</f>
        <v>29.74214875861486</v>
      </c>
      <c r="P44" s="88">
        <f>(P27-P41)-(O27-O41)</f>
        <v>-18.121667026399734</v>
      </c>
      <c r="Q44" s="88">
        <f>(Q27-Q41)-(P27-P41)</f>
        <v>-7.3723918642206172</v>
      </c>
      <c r="R44" s="88">
        <f>(R27-R41)-(Q27-Q41)</f>
        <v>6.1409175653601551</v>
      </c>
      <c r="S44" s="90">
        <f>(S27-S41)-(R27-R41)</f>
        <v>-14.326972898075041</v>
      </c>
      <c r="T44"/>
      <c r="U44"/>
      <c r="V44"/>
      <c r="W44"/>
      <c r="X44"/>
      <c r="Y44"/>
    </row>
    <row r="45" spans="1:31" ht="23.25" customHeight="1" thickBot="1">
      <c r="B45" s="78"/>
      <c r="C45" s="78"/>
      <c r="D45" s="78"/>
      <c r="E45" s="78"/>
      <c r="F45" s="78"/>
      <c r="G45" s="78"/>
      <c r="H45" s="79"/>
      <c r="I45" s="79"/>
      <c r="J45" s="79"/>
      <c r="K45" s="79"/>
      <c r="L45" s="91"/>
      <c r="N45" s="91"/>
      <c r="O45" s="91"/>
      <c r="P45" s="91"/>
      <c r="Q45" s="91"/>
      <c r="R45" s="91"/>
      <c r="S45" s="91"/>
      <c r="T45"/>
      <c r="U45"/>
      <c r="V45"/>
      <c r="W45"/>
      <c r="X45"/>
      <c r="Y45"/>
    </row>
    <row r="46" spans="1:31" s="85" customFormat="1" ht="18.5" thickBot="1">
      <c r="A46" s="1"/>
      <c r="B46" s="78"/>
      <c r="C46" s="78"/>
      <c r="D46" s="78"/>
      <c r="E46" s="78"/>
      <c r="F46" s="78"/>
      <c r="G46" s="78"/>
      <c r="H46" s="79"/>
      <c r="I46" s="79"/>
      <c r="J46" s="79"/>
      <c r="K46" s="79"/>
      <c r="L46" s="92" t="s">
        <v>27</v>
      </c>
      <c r="M46" s="93"/>
      <c r="N46" s="93"/>
      <c r="O46" s="82"/>
      <c r="P46" s="82"/>
      <c r="Q46" s="82"/>
      <c r="R46" s="82"/>
      <c r="S46" s="82"/>
      <c r="T46" s="82"/>
      <c r="U46" s="82"/>
      <c r="V46" s="82"/>
      <c r="W46" s="82"/>
      <c r="X46" s="94"/>
      <c r="Y46" s="95"/>
      <c r="Z46"/>
      <c r="AA46"/>
      <c r="AB46"/>
      <c r="AC46"/>
    </row>
    <row r="47" spans="1:31" ht="30.15" customHeight="1">
      <c r="B47" s="78"/>
      <c r="C47" s="78"/>
      <c r="D47" s="78"/>
      <c r="E47" s="78"/>
      <c r="F47" s="78"/>
      <c r="G47" s="78"/>
      <c r="H47" s="79"/>
      <c r="I47" s="79"/>
      <c r="J47" s="79"/>
      <c r="K47" s="79"/>
      <c r="L47" s="96"/>
      <c r="N47" s="97"/>
      <c r="O47" s="263" t="s">
        <v>13</v>
      </c>
      <c r="P47" s="264"/>
      <c r="Q47" s="264"/>
      <c r="R47" s="264"/>
      <c r="S47" s="265"/>
      <c r="T47" s="266" t="s">
        <v>28</v>
      </c>
      <c r="U47" s="267"/>
      <c r="V47" s="267"/>
      <c r="W47" s="267"/>
      <c r="X47" s="267"/>
      <c r="Y47" s="98"/>
    </row>
    <row r="48" spans="1:31" ht="14.5">
      <c r="B48" s="78"/>
      <c r="C48" s="78"/>
      <c r="D48" s="78"/>
      <c r="E48" s="78"/>
      <c r="F48" s="78"/>
      <c r="G48" s="78"/>
      <c r="H48" s="79"/>
      <c r="I48" s="79"/>
      <c r="J48" s="79"/>
      <c r="K48" s="79"/>
      <c r="L48" s="99"/>
      <c r="N48" s="100"/>
      <c r="O48" s="268" t="s">
        <v>46</v>
      </c>
      <c r="P48" s="269"/>
      <c r="Q48" s="269"/>
      <c r="R48" s="269"/>
      <c r="S48" s="269"/>
      <c r="T48" s="269"/>
      <c r="U48" s="269"/>
      <c r="V48" s="269"/>
      <c r="W48" s="269"/>
      <c r="X48" s="269"/>
      <c r="Y48" s="270"/>
    </row>
    <row r="49" spans="2:31" ht="15" thickBot="1">
      <c r="B49" s="78"/>
      <c r="C49" s="78"/>
      <c r="D49" s="78"/>
      <c r="E49" s="78"/>
      <c r="F49" s="78"/>
      <c r="G49" s="78"/>
      <c r="H49" s="79"/>
      <c r="I49" s="79"/>
      <c r="J49" s="79"/>
      <c r="K49" s="79"/>
      <c r="L49" s="99"/>
      <c r="N49" s="100"/>
      <c r="O49" s="101" t="s">
        <v>33</v>
      </c>
      <c r="P49" s="102" t="s">
        <v>34</v>
      </c>
      <c r="Q49" s="102" t="s">
        <v>26</v>
      </c>
      <c r="R49" s="102" t="s">
        <v>35</v>
      </c>
      <c r="S49" s="102" t="s">
        <v>36</v>
      </c>
      <c r="T49" s="103" t="s">
        <v>37</v>
      </c>
      <c r="U49" s="103" t="s">
        <v>38</v>
      </c>
      <c r="V49" s="103" t="s">
        <v>39</v>
      </c>
      <c r="W49" s="103" t="s">
        <v>40</v>
      </c>
      <c r="X49" s="103" t="s">
        <v>41</v>
      </c>
      <c r="Y49" s="104" t="s">
        <v>29</v>
      </c>
    </row>
    <row r="50" spans="2:31" ht="15" thickBot="1">
      <c r="B50" s="78"/>
      <c r="C50" s="78"/>
      <c r="D50" s="78"/>
      <c r="E50" s="78"/>
      <c r="F50" s="78"/>
      <c r="G50" s="78"/>
      <c r="H50" s="79"/>
      <c r="I50" s="79"/>
      <c r="J50" s="79"/>
      <c r="K50" s="79"/>
      <c r="L50" s="260" t="s">
        <v>30</v>
      </c>
      <c r="M50" s="261"/>
      <c r="N50" s="262"/>
      <c r="O50" s="105"/>
      <c r="P50" s="106"/>
      <c r="Q50" s="106"/>
      <c r="R50" s="106"/>
      <c r="S50" s="107">
        <f>-M44/2</f>
        <v>-16.798294197726733</v>
      </c>
      <c r="T50" s="106"/>
      <c r="U50" s="106"/>
      <c r="V50" s="106"/>
      <c r="W50" s="106"/>
      <c r="X50" s="106"/>
      <c r="Y50" s="108"/>
    </row>
    <row r="51" spans="2:31" ht="15" thickBot="1">
      <c r="B51" s="78"/>
      <c r="C51" s="78"/>
      <c r="D51" s="78"/>
      <c r="E51" s="78"/>
      <c r="F51" s="78"/>
      <c r="G51" s="78"/>
      <c r="H51" s="79"/>
      <c r="I51" s="79"/>
      <c r="J51" s="79"/>
      <c r="K51" s="79"/>
      <c r="L51" s="260" t="s">
        <v>31</v>
      </c>
      <c r="M51" s="261"/>
      <c r="N51" s="262"/>
      <c r="O51" s="109"/>
      <c r="P51" s="110"/>
      <c r="Q51" s="111"/>
      <c r="R51" s="111"/>
      <c r="S51" s="111"/>
      <c r="T51" s="112">
        <f>N44</f>
        <v>-3.876669719723651</v>
      </c>
      <c r="U51" s="106"/>
      <c r="V51" s="106"/>
      <c r="W51" s="106"/>
      <c r="X51" s="106"/>
      <c r="Y51" s="108"/>
    </row>
    <row r="52" spans="2:31" ht="15" thickBot="1">
      <c r="B52" s="78"/>
      <c r="C52" s="78"/>
      <c r="D52" s="78"/>
      <c r="E52" s="78"/>
      <c r="F52" s="78"/>
      <c r="G52" s="78"/>
      <c r="H52" s="79"/>
      <c r="I52" s="79"/>
      <c r="J52" s="79"/>
      <c r="K52" s="79"/>
      <c r="L52" s="260" t="s">
        <v>33</v>
      </c>
      <c r="M52" s="261"/>
      <c r="N52" s="262"/>
      <c r="O52" s="110"/>
      <c r="P52" s="113">
        <f>$O$44</f>
        <v>29.74214875861486</v>
      </c>
      <c r="Q52" s="114">
        <f>$O$44</f>
        <v>29.74214875861486</v>
      </c>
      <c r="R52" s="115">
        <f>$O$44</f>
        <v>29.74214875861486</v>
      </c>
      <c r="S52" s="114">
        <f>$O$44</f>
        <v>29.74214875861486</v>
      </c>
      <c r="T52" s="116">
        <f>$O$44</f>
        <v>29.74214875861486</v>
      </c>
      <c r="U52" s="117"/>
      <c r="V52" s="106"/>
      <c r="W52" s="106"/>
      <c r="X52" s="106"/>
      <c r="Y52" s="118"/>
      <c r="AD52" s="2"/>
      <c r="AE52" s="2"/>
    </row>
    <row r="53" spans="2:31" ht="15" thickBot="1">
      <c r="B53" s="78"/>
      <c r="C53" s="78"/>
      <c r="D53" s="78"/>
      <c r="E53" s="78"/>
      <c r="F53" s="78"/>
      <c r="G53" s="78"/>
      <c r="H53" s="79"/>
      <c r="I53" s="79"/>
      <c r="J53" s="79"/>
      <c r="K53" s="79"/>
      <c r="L53" s="260" t="s">
        <v>34</v>
      </c>
      <c r="M53" s="261"/>
      <c r="N53" s="262"/>
      <c r="O53" s="110"/>
      <c r="P53" s="110"/>
      <c r="Q53" s="119">
        <f>$P$44</f>
        <v>-18.121667026399734</v>
      </c>
      <c r="R53" s="120">
        <f>$P$44</f>
        <v>-18.121667026399734</v>
      </c>
      <c r="S53" s="121">
        <f>$P$44</f>
        <v>-18.121667026399734</v>
      </c>
      <c r="T53" s="120">
        <f>$P$44</f>
        <v>-18.121667026399734</v>
      </c>
      <c r="U53" s="122">
        <f>$P$44</f>
        <v>-18.121667026399734</v>
      </c>
      <c r="V53" s="106"/>
      <c r="W53" s="106"/>
      <c r="X53" s="106"/>
      <c r="Y53" s="118"/>
      <c r="AD53" s="2"/>
      <c r="AE53" s="2"/>
    </row>
    <row r="54" spans="2:31" ht="15" thickBot="1">
      <c r="B54" s="78"/>
      <c r="C54" s="78"/>
      <c r="D54" s="78"/>
      <c r="E54" s="78"/>
      <c r="F54" s="78"/>
      <c r="G54" s="78"/>
      <c r="H54" s="79"/>
      <c r="I54" s="79"/>
      <c r="J54" s="79"/>
      <c r="K54" s="79"/>
      <c r="L54" s="260" t="s">
        <v>26</v>
      </c>
      <c r="M54" s="261"/>
      <c r="N54" s="262"/>
      <c r="O54" s="106"/>
      <c r="P54" s="106"/>
      <c r="Q54" s="110"/>
      <c r="R54" s="123">
        <f>$Q$44</f>
        <v>-7.3723918642206172</v>
      </c>
      <c r="S54" s="121">
        <f>$Q$44</f>
        <v>-7.3723918642206172</v>
      </c>
      <c r="T54" s="120">
        <f>$Q$44</f>
        <v>-7.3723918642206172</v>
      </c>
      <c r="U54" s="121">
        <f>$Q$44</f>
        <v>-7.3723918642206172</v>
      </c>
      <c r="V54" s="124">
        <f>$Q$44</f>
        <v>-7.3723918642206172</v>
      </c>
      <c r="W54" s="117"/>
      <c r="X54" s="106"/>
      <c r="Y54" s="118"/>
      <c r="AD54" s="2"/>
      <c r="AE54" s="2"/>
    </row>
    <row r="55" spans="2:31" ht="15" thickBot="1">
      <c r="B55" s="78"/>
      <c r="C55" s="78"/>
      <c r="D55" s="78"/>
      <c r="E55" s="78"/>
      <c r="F55" s="78"/>
      <c r="G55" s="78"/>
      <c r="H55" s="79"/>
      <c r="I55" s="79"/>
      <c r="J55" s="79"/>
      <c r="K55" s="79"/>
      <c r="L55" s="260" t="s">
        <v>35</v>
      </c>
      <c r="M55" s="261"/>
      <c r="N55" s="262"/>
      <c r="O55" s="106"/>
      <c r="P55" s="106"/>
      <c r="Q55" s="106"/>
      <c r="R55" s="110"/>
      <c r="S55" s="119">
        <f>$R$44</f>
        <v>6.1409175653601551</v>
      </c>
      <c r="T55" s="121">
        <f>$R$44</f>
        <v>6.1409175653601551</v>
      </c>
      <c r="U55" s="125">
        <f>$R$44</f>
        <v>6.1409175653601551</v>
      </c>
      <c r="V55" s="120">
        <f>$R$44</f>
        <v>6.1409175653601551</v>
      </c>
      <c r="W55" s="126">
        <f>$R$44</f>
        <v>6.1409175653601551</v>
      </c>
      <c r="X55" s="117"/>
      <c r="Y55" s="118"/>
      <c r="AD55" s="2"/>
      <c r="AE55" s="2"/>
    </row>
    <row r="56" spans="2:31" ht="15" thickBot="1">
      <c r="B56" s="78"/>
      <c r="C56" s="78"/>
      <c r="D56" s="78"/>
      <c r="E56" s="78"/>
      <c r="F56" s="78"/>
      <c r="G56" s="78"/>
      <c r="H56" s="79"/>
      <c r="I56" s="79"/>
      <c r="J56" s="79"/>
      <c r="K56" s="79"/>
      <c r="L56" s="260" t="s">
        <v>36</v>
      </c>
      <c r="M56" s="261"/>
      <c r="N56" s="262"/>
      <c r="O56" s="106"/>
      <c r="P56" s="106"/>
      <c r="Q56" s="106"/>
      <c r="R56" s="106"/>
      <c r="S56" s="110"/>
      <c r="T56" s="127">
        <f>+$S$44</f>
        <v>-14.326972898075041</v>
      </c>
      <c r="U56" s="125">
        <f>+$S$44</f>
        <v>-14.326972898075041</v>
      </c>
      <c r="V56" s="128">
        <f>+$S$44</f>
        <v>-14.326972898075041</v>
      </c>
      <c r="W56" s="129">
        <f>+$S$44</f>
        <v>-14.326972898075041</v>
      </c>
      <c r="X56" s="130">
        <f>+$S$44</f>
        <v>-14.326972898075041</v>
      </c>
      <c r="Y56" s="118"/>
      <c r="AD56" s="2"/>
      <c r="AE56" s="2"/>
    </row>
    <row r="57" spans="2:31" ht="15" thickBot="1">
      <c r="B57" s="78"/>
      <c r="C57" s="78"/>
      <c r="D57" s="78"/>
      <c r="E57" s="78"/>
      <c r="F57" s="78"/>
      <c r="G57" s="78"/>
      <c r="H57" s="79"/>
      <c r="I57" s="79"/>
      <c r="J57" s="79"/>
      <c r="K57" s="79"/>
      <c r="L57" s="131" t="s">
        <v>42</v>
      </c>
      <c r="M57" s="132"/>
      <c r="N57" s="132"/>
      <c r="O57" s="133"/>
      <c r="P57" s="133"/>
      <c r="Q57" s="133"/>
      <c r="R57" s="133"/>
      <c r="S57" s="134">
        <f>S50</f>
        <v>-16.798294197726733</v>
      </c>
      <c r="T57" s="134">
        <f>+SUM(T51:T56)</f>
        <v>-7.8146351844440289</v>
      </c>
      <c r="U57" s="134">
        <f>+SUM(U53:U56)</f>
        <v>-33.680114223335238</v>
      </c>
      <c r="V57" s="134">
        <f>+SUM(V54:V56)</f>
        <v>-15.558447196935504</v>
      </c>
      <c r="W57" s="134">
        <f>+SUM(W55:W56)</f>
        <v>-8.1860553327148864</v>
      </c>
      <c r="X57" s="134">
        <f>+SUM(X56)</f>
        <v>-14.326972898075041</v>
      </c>
      <c r="Y57" s="135">
        <f>+SUM(T57:X57)</f>
        <v>-79.566224835504698</v>
      </c>
      <c r="AE57" s="2"/>
    </row>
    <row r="58" spans="2:31" ht="18.5" thickBot="1">
      <c r="B58" s="78"/>
      <c r="C58" s="78"/>
      <c r="D58" s="78"/>
      <c r="E58" s="78"/>
      <c r="F58" s="78"/>
      <c r="G58" s="78"/>
      <c r="H58" s="79"/>
      <c r="I58" s="79"/>
      <c r="J58" s="79"/>
      <c r="K58" s="136"/>
      <c r="L58" s="136"/>
      <c r="M58" s="136"/>
      <c r="N58" s="136"/>
      <c r="O58" s="136"/>
      <c r="P58" s="136"/>
      <c r="Q58" s="136"/>
      <c r="R58" s="136"/>
      <c r="S58" s="136"/>
      <c r="T58" s="137"/>
      <c r="U58" s="137"/>
      <c r="V58" s="137"/>
      <c r="W58" s="137"/>
      <c r="X58" s="137"/>
      <c r="Y58"/>
      <c r="AE58" s="2"/>
    </row>
    <row r="59" spans="2:31" ht="18.5" thickBot="1">
      <c r="B59" s="78"/>
      <c r="C59" s="78"/>
      <c r="D59" s="78"/>
      <c r="E59" s="78"/>
      <c r="F59" s="78"/>
      <c r="G59" s="78"/>
      <c r="H59" s="79"/>
      <c r="I59" s="79"/>
      <c r="J59" s="79"/>
      <c r="K59" s="136"/>
      <c r="L59" s="138" t="s">
        <v>32</v>
      </c>
      <c r="M59" s="139"/>
      <c r="N59" s="140"/>
      <c r="O59" s="141"/>
      <c r="P59" s="142"/>
      <c r="Q59" s="142"/>
      <c r="R59" s="143"/>
      <c r="S59" s="144">
        <v>2.6721537837025709E-2</v>
      </c>
      <c r="T59" s="144">
        <v>3.3005481534855496E-2</v>
      </c>
      <c r="U59" s="142"/>
      <c r="V59" s="142"/>
      <c r="W59" s="142"/>
      <c r="X59" s="142"/>
      <c r="Y59" s="145"/>
      <c r="AE59" s="2"/>
    </row>
    <row r="60" spans="2:31" ht="18.5" thickBot="1">
      <c r="B60" s="78"/>
      <c r="C60" s="78"/>
      <c r="D60" s="78"/>
      <c r="E60" s="78"/>
      <c r="F60" s="78"/>
      <c r="G60" s="78"/>
      <c r="H60" s="79"/>
      <c r="I60" s="79"/>
      <c r="J60" s="79"/>
      <c r="K60" s="136"/>
      <c r="L60" s="136"/>
      <c r="M60" s="136"/>
      <c r="N60" s="136"/>
      <c r="O60" s="136"/>
      <c r="P60" s="136"/>
      <c r="Q60" s="136"/>
      <c r="R60" s="136"/>
      <c r="S60" s="136"/>
      <c r="T60" s="137"/>
      <c r="U60" s="137"/>
      <c r="V60" s="137"/>
      <c r="W60" s="137"/>
      <c r="X60" s="137"/>
      <c r="Y60"/>
      <c r="AE60" s="2"/>
    </row>
    <row r="61" spans="2:31" ht="15" thickBot="1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138" t="s">
        <v>43</v>
      </c>
      <c r="M61" s="139"/>
      <c r="N61" s="139"/>
      <c r="O61" s="140"/>
      <c r="P61" s="140"/>
      <c r="Q61" s="140"/>
      <c r="R61" s="140"/>
      <c r="S61" s="140"/>
      <c r="T61" s="134">
        <f>T57+S57*(1+S59)^(6/12)*(1+T59)^(6/12)</f>
        <v>-25.114504891560721</v>
      </c>
      <c r="U61" s="134">
        <f>U57</f>
        <v>-33.680114223335238</v>
      </c>
      <c r="V61" s="134">
        <f>V57</f>
        <v>-15.558447196935504</v>
      </c>
      <c r="W61" s="134">
        <f>W57</f>
        <v>-8.1860553327148864</v>
      </c>
      <c r="X61" s="134">
        <f>X57</f>
        <v>-14.326972898075041</v>
      </c>
      <c r="Y61" s="135">
        <f>+SUM(T61:X61)</f>
        <v>-96.866094542621397</v>
      </c>
      <c r="AE61" s="2"/>
    </row>
    <row r="62" spans="2:31" ht="14.5">
      <c r="B62"/>
      <c r="C62"/>
      <c r="D62"/>
      <c r="E62"/>
      <c r="F62"/>
      <c r="G62"/>
      <c r="H62"/>
      <c r="I62"/>
      <c r="J62" s="146"/>
      <c r="K62" s="146"/>
      <c r="L62" s="146"/>
      <c r="M62" s="146"/>
      <c r="N62" s="147"/>
      <c r="O62" s="146"/>
      <c r="P62" s="146"/>
      <c r="Q62" s="146"/>
      <c r="R62" s="147"/>
      <c r="S62" s="147"/>
      <c r="T62" s="147"/>
      <c r="U62" s="148"/>
      <c r="V62" s="148"/>
      <c r="W62"/>
      <c r="X62"/>
      <c r="Y62"/>
    </row>
    <row r="63" spans="2:31" customFormat="1" ht="14.5" hidden="1"/>
    <row r="64" spans="2:31" customFormat="1" ht="14.5" hidden="1"/>
    <row r="65" spans="1:287" customFormat="1" ht="14.5" hidden="1"/>
    <row r="66" spans="1:287" customFormat="1" ht="14.5" hidden="1"/>
    <row r="67" spans="1:287" customFormat="1" ht="14.5" hidden="1"/>
    <row r="68" spans="1:287" customFormat="1" ht="14.5" hidden="1"/>
    <row r="69" spans="1:287" customFormat="1" ht="14.5" hidden="1"/>
    <row r="70" spans="1:287" customFormat="1" ht="14.5" hidden="1"/>
    <row r="71" spans="1:287" customFormat="1" ht="14.5" hidden="1"/>
    <row r="72" spans="1:287" customFormat="1" ht="14.5" hidden="1"/>
    <row r="73" spans="1:287" customFormat="1" ht="14.5" hidden="1"/>
    <row r="74" spans="1:287" customFormat="1" ht="14.5" hidden="1"/>
    <row r="75" spans="1:287" customFormat="1" ht="14.5" hidden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</row>
    <row r="76" spans="1:287" customFormat="1" ht="14.5" hidden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</row>
    <row r="77" spans="1:287" customFormat="1" ht="14.5" hidden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</row>
  </sheetData>
  <mergeCells count="24">
    <mergeCell ref="U37:V41"/>
    <mergeCell ref="L53:N53"/>
    <mergeCell ref="L54:N54"/>
    <mergeCell ref="L55:N55"/>
    <mergeCell ref="L56:N56"/>
    <mergeCell ref="O47:S47"/>
    <mergeCell ref="T47:X47"/>
    <mergeCell ref="O48:Y48"/>
    <mergeCell ref="L50:N50"/>
    <mergeCell ref="L51:N51"/>
    <mergeCell ref="L52:N52"/>
    <mergeCell ref="C30:J30"/>
    <mergeCell ref="L30:S30"/>
    <mergeCell ref="C31:E31"/>
    <mergeCell ref="F31:J31"/>
    <mergeCell ref="L31:N31"/>
    <mergeCell ref="O31:S31"/>
    <mergeCell ref="C17:D17"/>
    <mergeCell ref="F17:J17"/>
    <mergeCell ref="L17:S17"/>
    <mergeCell ref="C18:E18"/>
    <mergeCell ref="F18:J18"/>
    <mergeCell ref="L18:N18"/>
    <mergeCell ref="O18:S18"/>
  </mergeCells>
  <conditionalFormatting sqref="C20:J20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C22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C14" xr:uid="{B99EF3B6-10DE-42C0-8AA2-3D1746662C35}">
      <formula1>$D$5:$H$5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B0D52F70-5B59-44CC-9BBF-253B3010564C}">
      <formula1>ISNUMBER(C20)</formula1>
    </dataValidation>
    <dataValidation type="list" allowBlank="1" showInputMessage="1" showErrorMessage="1" sqref="T41" xr:uid="{1E979764-E0E4-4E7D-9EC3-A4BFA7BC7097}">
      <formula1>$O$32:$R$32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decision</vt:lpstr>
      <vt:lpstr>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2025-09-25T02:31:47Z</dcterms:created>
  <dcterms:modified xsi:type="dcterms:W3CDTF">2025-09-25T02:32:04Z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