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monk\AppData\Roaming\iManage\Work\Recent\AER23008250 - United Energy - Victorian Electricity Distribution Determination - 2026-31\"/>
    </mc:Choice>
  </mc:AlternateContent>
  <xr:revisionPtr revIDLastSave="0" documentId="13_ncr:1_{17844B2B-5EA4-418D-9011-EA02C664B8CB}" xr6:coauthVersionLast="47" xr6:coauthVersionMax="47" xr10:uidLastSave="{00000000-0000-0000-0000-000000000000}"/>
  <bookViews>
    <workbookView xWindow="28680" yWindow="-120" windowWidth="29040" windowHeight="15840" xr2:uid="{E6CD642D-BC2D-47D3-B6AF-E23152C43DE5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42" l="1"/>
  <c r="C79" i="42"/>
  <c r="C80" i="42"/>
  <c r="C81" i="42"/>
  <c r="C82" i="42"/>
  <c r="C83" i="42"/>
  <c r="C84" i="42"/>
  <c r="C85" i="42"/>
  <c r="C86" i="42"/>
  <c r="C87" i="42"/>
  <c r="E14" i="53" l="1"/>
  <c r="E79" i="42"/>
  <c r="E78" i="42"/>
  <c r="E13" i="53"/>
  <c r="K93" i="2" l="1"/>
  <c r="L93" i="2"/>
  <c r="M93" i="2"/>
  <c r="J93" i="2"/>
  <c r="H73" i="55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6" i="55"/>
  <c r="H75" i="55"/>
  <c r="X93" i="2" l="1"/>
  <c r="H78" i="55"/>
  <c r="H80" i="55"/>
  <c r="H84" i="55" s="1"/>
  <c r="H88" i="55" s="1"/>
  <c r="H77" i="55"/>
  <c r="H79" i="55" l="1"/>
  <c r="H82" i="55"/>
  <c r="H83" i="55" l="1"/>
  <c r="H86" i="55"/>
  <c r="H81" i="55"/>
  <c r="H85" i="55" l="1"/>
  <c r="H87" i="55"/>
  <c r="V87" i="55"/>
  <c r="V88" i="55"/>
  <c r="W34" i="53" l="1"/>
  <c r="W33" i="53"/>
  <c r="V66" i="58"/>
  <c r="V67" i="58"/>
  <c r="I85" i="55" l="1"/>
  <c r="V85" i="55" s="1"/>
  <c r="I86" i="55"/>
  <c r="V45" i="58"/>
  <c r="V44" i="58"/>
  <c r="V26" i="58"/>
  <c r="V27" i="58"/>
  <c r="B2" i="55"/>
  <c r="V86" i="55" l="1"/>
  <c r="I87" i="55"/>
  <c r="I88" i="55"/>
  <c r="T40" i="2" l="1"/>
  <c r="S40" i="2"/>
  <c r="R40" i="2"/>
  <c r="Q40" i="2"/>
  <c r="P40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P67" i="42" s="1"/>
  <c r="C7" i="4"/>
  <c r="S15" i="54"/>
  <c r="F42" i="53"/>
  <c r="E34" i="53"/>
  <c r="E33" i="53"/>
  <c r="E32" i="53"/>
  <c r="E31" i="53"/>
  <c r="E30" i="53"/>
  <c r="F34" i="53"/>
  <c r="F33" i="53"/>
  <c r="F32" i="53"/>
  <c r="F30" i="53"/>
  <c r="E22" i="53"/>
  <c r="E21" i="53"/>
  <c r="E20" i="53"/>
  <c r="E19" i="53"/>
  <c r="E18" i="53"/>
  <c r="E17" i="53"/>
  <c r="E16" i="53"/>
  <c r="E15" i="53"/>
  <c r="E12" i="53"/>
  <c r="F13" i="58"/>
  <c r="F24" i="58" s="1"/>
  <c r="F69" i="58"/>
  <c r="F28" i="42" s="1"/>
  <c r="F67" i="58"/>
  <c r="F49" i="42" s="1"/>
  <c r="F66" i="58"/>
  <c r="F46" i="42" s="1"/>
  <c r="F43" i="42"/>
  <c r="F40" i="42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5" i="42" s="1"/>
  <c r="L4" i="42"/>
  <c r="L105" i="42" s="1"/>
  <c r="M4" i="42"/>
  <c r="M93" i="42" s="1"/>
  <c r="N4" i="42"/>
  <c r="N105" i="42" s="1"/>
  <c r="O4" i="42"/>
  <c r="O105" i="42" s="1"/>
  <c r="P4" i="42"/>
  <c r="P58" i="42" s="1"/>
  <c r="Q4" i="42"/>
  <c r="Q105" i="42" s="1"/>
  <c r="R4" i="42"/>
  <c r="R105" i="42" s="1"/>
  <c r="S4" i="42"/>
  <c r="S105" i="42" s="1"/>
  <c r="T4" i="42"/>
  <c r="T93" i="42" s="1"/>
  <c r="J4" i="58"/>
  <c r="J10" i="58" s="1"/>
  <c r="F8" i="42"/>
  <c r="E18" i="44"/>
  <c r="C18" i="44"/>
  <c r="C98" i="42"/>
  <c r="E98" i="42"/>
  <c r="C99" i="42"/>
  <c r="E99" i="42"/>
  <c r="E16" i="44"/>
  <c r="C15" i="44"/>
  <c r="C16" i="44"/>
  <c r="C17" i="44"/>
  <c r="C97" i="42"/>
  <c r="C96" i="42"/>
  <c r="T4" i="44"/>
  <c r="T11" i="44" s="1"/>
  <c r="T64" i="42"/>
  <c r="T67" i="42"/>
  <c r="U79" i="2"/>
  <c r="U80" i="2"/>
  <c r="U4" i="2"/>
  <c r="U104" i="2" s="1"/>
  <c r="H78" i="4"/>
  <c r="G78" i="4" s="1"/>
  <c r="T4" i="53"/>
  <c r="T40" i="53" s="1"/>
  <c r="T44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J4" i="44"/>
  <c r="J11" i="44" s="1"/>
  <c r="S4" i="53"/>
  <c r="S10" i="53" s="1"/>
  <c r="R4" i="53"/>
  <c r="R40" i="53" s="1"/>
  <c r="R44" i="53" s="1"/>
  <c r="Q4" i="53"/>
  <c r="Q40" i="53" s="1"/>
  <c r="Q44" i="53" s="1"/>
  <c r="P4" i="53"/>
  <c r="O4" i="53"/>
  <c r="O40" i="53" s="1"/>
  <c r="O44" i="53" s="1"/>
  <c r="N4" i="53"/>
  <c r="N10" i="53" s="1"/>
  <c r="N24" i="53" s="1"/>
  <c r="M4" i="53"/>
  <c r="M40" i="53" s="1"/>
  <c r="M44" i="53" s="1"/>
  <c r="L4" i="53"/>
  <c r="L40" i="53" s="1"/>
  <c r="L44" i="53" s="1"/>
  <c r="K4" i="53"/>
  <c r="J4" i="53"/>
  <c r="J40" i="53" s="1"/>
  <c r="J44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S8" i="54"/>
  <c r="C49" i="42"/>
  <c r="C50" i="42" s="1"/>
  <c r="C46" i="42"/>
  <c r="C47" i="42" s="1"/>
  <c r="C43" i="42"/>
  <c r="C44" i="42" s="1"/>
  <c r="C40" i="42"/>
  <c r="C41" i="42" s="1"/>
  <c r="F37" i="42"/>
  <c r="C37" i="42"/>
  <c r="C38" i="42" s="1"/>
  <c r="F12" i="42"/>
  <c r="V75" i="2"/>
  <c r="C2" i="58"/>
  <c r="C1" i="58"/>
  <c r="E17" i="44"/>
  <c r="E15" i="44"/>
  <c r="E14" i="44"/>
  <c r="C13" i="44"/>
  <c r="C14" i="44"/>
  <c r="E107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9" i="42"/>
  <c r="E109" i="42"/>
  <c r="C95" i="42"/>
  <c r="E54" i="42"/>
  <c r="E52" i="42"/>
  <c r="E13" i="42"/>
  <c r="E15" i="42"/>
  <c r="E13" i="44"/>
  <c r="E108" i="42"/>
  <c r="E17" i="42"/>
  <c r="E77" i="42"/>
  <c r="E80" i="42"/>
  <c r="E81" i="42"/>
  <c r="E82" i="42"/>
  <c r="E83" i="42"/>
  <c r="E84" i="42"/>
  <c r="E85" i="42"/>
  <c r="E86" i="42"/>
  <c r="E87" i="42"/>
  <c r="E95" i="42"/>
  <c r="E96" i="42"/>
  <c r="E97" i="42"/>
  <c r="E101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57" i="58"/>
  <c r="L16" i="42" l="1"/>
  <c r="T75" i="42"/>
  <c r="L75" i="42"/>
  <c r="L12" i="42"/>
  <c r="K12" i="42"/>
  <c r="K49" i="42"/>
  <c r="S31" i="42"/>
  <c r="S40" i="42"/>
  <c r="S37" i="42"/>
  <c r="K40" i="42"/>
  <c r="K19" i="42"/>
  <c r="S14" i="42"/>
  <c r="S49" i="42"/>
  <c r="K16" i="42"/>
  <c r="S12" i="42"/>
  <c r="S93" i="42"/>
  <c r="S16" i="42"/>
  <c r="S33" i="42"/>
  <c r="K93" i="42"/>
  <c r="S10" i="42"/>
  <c r="S19" i="42"/>
  <c r="S75" i="42"/>
  <c r="S46" i="42"/>
  <c r="S21" i="42"/>
  <c r="S43" i="42"/>
  <c r="K31" i="42"/>
  <c r="S23" i="42"/>
  <c r="R93" i="42"/>
  <c r="F24" i="42"/>
  <c r="F79" i="42"/>
  <c r="F78" i="42"/>
  <c r="R23" i="42"/>
  <c r="O64" i="2"/>
  <c r="O73" i="2" s="1"/>
  <c r="O24" i="2"/>
  <c r="O14" i="2"/>
  <c r="O10" i="2"/>
  <c r="O12" i="2" s="1"/>
  <c r="L10" i="42"/>
  <c r="L49" i="42"/>
  <c r="L40" i="42"/>
  <c r="S35" i="42"/>
  <c r="R10" i="53"/>
  <c r="M14" i="42"/>
  <c r="M43" i="42"/>
  <c r="U107" i="2"/>
  <c r="P21" i="42"/>
  <c r="E23" i="42"/>
  <c r="P16" i="42"/>
  <c r="J34" i="58"/>
  <c r="P23" i="42"/>
  <c r="L93" i="42"/>
  <c r="L46" i="42"/>
  <c r="L23" i="42"/>
  <c r="R46" i="42"/>
  <c r="P14" i="42"/>
  <c r="P43" i="42"/>
  <c r="L19" i="42"/>
  <c r="L43" i="42"/>
  <c r="R31" i="42"/>
  <c r="L37" i="42"/>
  <c r="F17" i="44"/>
  <c r="R43" i="42"/>
  <c r="R33" i="42"/>
  <c r="J93" i="42"/>
  <c r="R16" i="42"/>
  <c r="R14" i="42"/>
  <c r="R40" i="42"/>
  <c r="R10" i="42"/>
  <c r="R12" i="42"/>
  <c r="R19" i="42"/>
  <c r="R75" i="42"/>
  <c r="R37" i="42"/>
  <c r="R49" i="42"/>
  <c r="R21" i="42"/>
  <c r="O21" i="42"/>
  <c r="O43" i="42"/>
  <c r="O12" i="42"/>
  <c r="P75" i="42"/>
  <c r="M49" i="2"/>
  <c r="M60" i="2" s="1"/>
  <c r="R28" i="53"/>
  <c r="R36" i="53" s="1"/>
  <c r="P12" i="42"/>
  <c r="P93" i="42"/>
  <c r="P40" i="42"/>
  <c r="M24" i="2"/>
  <c r="J10" i="53"/>
  <c r="P49" i="42"/>
  <c r="Q93" i="42"/>
  <c r="E19" i="42"/>
  <c r="P10" i="42"/>
  <c r="J28" i="53"/>
  <c r="J36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93" i="42"/>
  <c r="O46" i="42"/>
  <c r="O37" i="42"/>
  <c r="O19" i="42"/>
  <c r="O49" i="42"/>
  <c r="O23" i="42"/>
  <c r="O16" i="42"/>
  <c r="T24" i="2"/>
  <c r="O75" i="42"/>
  <c r="O14" i="42"/>
  <c r="O40" i="42"/>
  <c r="O10" i="42"/>
  <c r="F80" i="42"/>
  <c r="F54" i="42"/>
  <c r="F89" i="42"/>
  <c r="N75" i="42"/>
  <c r="F107" i="42"/>
  <c r="F19" i="58"/>
  <c r="F41" i="42"/>
  <c r="F20" i="58"/>
  <c r="F13" i="42"/>
  <c r="F15" i="42"/>
  <c r="N93" i="42"/>
  <c r="F81" i="42"/>
  <c r="F95" i="42"/>
  <c r="P49" i="2"/>
  <c r="P60" i="2" s="1"/>
  <c r="P75" i="2"/>
  <c r="N12" i="42"/>
  <c r="F35" i="42"/>
  <c r="L21" i="42"/>
  <c r="F98" i="42"/>
  <c r="F96" i="42"/>
  <c r="N40" i="42"/>
  <c r="F99" i="42"/>
  <c r="F17" i="42"/>
  <c r="F82" i="42"/>
  <c r="N46" i="42"/>
  <c r="Q34" i="58"/>
  <c r="F33" i="42"/>
  <c r="F83" i="42"/>
  <c r="F97" i="42"/>
  <c r="F44" i="42"/>
  <c r="F47" i="42"/>
  <c r="F84" i="42"/>
  <c r="F101" i="42"/>
  <c r="N10" i="42"/>
  <c r="N19" i="42"/>
  <c r="F26" i="42"/>
  <c r="F29" i="42"/>
  <c r="N16" i="42"/>
  <c r="F20" i="42"/>
  <c r="F13" i="44"/>
  <c r="F85" i="42"/>
  <c r="F108" i="42"/>
  <c r="N21" i="42"/>
  <c r="F21" i="58"/>
  <c r="N49" i="42"/>
  <c r="F38" i="42"/>
  <c r="F50" i="42"/>
  <c r="F86" i="42"/>
  <c r="F109" i="42"/>
  <c r="F14" i="44"/>
  <c r="N43" i="42"/>
  <c r="N23" i="42"/>
  <c r="F31" i="42"/>
  <c r="L14" i="42"/>
  <c r="F52" i="42"/>
  <c r="N14" i="42"/>
  <c r="F77" i="42"/>
  <c r="F87" i="42"/>
  <c r="F15" i="44"/>
  <c r="M10" i="53"/>
  <c r="M24" i="53" s="1"/>
  <c r="M28" i="53"/>
  <c r="M36" i="53" s="1"/>
  <c r="N28" i="53"/>
  <c r="N36" i="53" s="1"/>
  <c r="S24" i="2"/>
  <c r="S10" i="2"/>
  <c r="S12" i="2" s="1"/>
  <c r="O10" i="53"/>
  <c r="T10" i="53"/>
  <c r="T24" i="53" s="1"/>
  <c r="O28" i="53"/>
  <c r="O36" i="53" s="1"/>
  <c r="F16" i="44"/>
  <c r="T12" i="42"/>
  <c r="L58" i="42"/>
  <c r="L68" i="42" s="1" a="1"/>
  <c r="L68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75" i="42"/>
  <c r="M113" i="2"/>
  <c r="M117" i="2" s="1"/>
  <c r="J14" i="2"/>
  <c r="L14" i="2"/>
  <c r="N10" i="58"/>
  <c r="N28" i="42" s="1"/>
  <c r="Q12" i="42"/>
  <c r="J105" i="42"/>
  <c r="Q46" i="42"/>
  <c r="J46" i="42"/>
  <c r="J10" i="42"/>
  <c r="J19" i="42"/>
  <c r="F22" i="42"/>
  <c r="M36" i="2"/>
  <c r="M47" i="2" s="1"/>
  <c r="J10" i="2"/>
  <c r="J12" i="2" s="1"/>
  <c r="J12" i="42"/>
  <c r="Q19" i="42"/>
  <c r="J21" i="42"/>
  <c r="J61" i="58"/>
  <c r="Q10" i="42"/>
  <c r="J40" i="42"/>
  <c r="Q31" i="42"/>
  <c r="L49" i="2"/>
  <c r="L60" i="2" s="1"/>
  <c r="Q21" i="42"/>
  <c r="J23" i="42"/>
  <c r="F25" i="58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5" i="42"/>
  <c r="M34" i="58"/>
  <c r="M14" i="2"/>
  <c r="Q23" i="42"/>
  <c r="N34" i="58"/>
  <c r="N58" i="42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F26" i="58"/>
  <c r="L36" i="2"/>
  <c r="L47" i="2" s="1"/>
  <c r="L10" i="53"/>
  <c r="L24" i="53" s="1"/>
  <c r="T64" i="2"/>
  <c r="T73" i="2" s="1"/>
  <c r="J113" i="2"/>
  <c r="J117" i="2" s="1"/>
  <c r="K21" i="42"/>
  <c r="U113" i="2"/>
  <c r="U117" i="2" s="1"/>
  <c r="Q58" i="42"/>
  <c r="Q65" i="42" s="1" a="1"/>
  <c r="Q65" i="42" s="1"/>
  <c r="F27" i="58"/>
  <c r="K75" i="42"/>
  <c r="K43" i="42"/>
  <c r="K37" i="42"/>
  <c r="P36" i="2"/>
  <c r="P47" i="2" s="1"/>
  <c r="Q75" i="2"/>
  <c r="M64" i="2"/>
  <c r="M73" i="2" s="1"/>
  <c r="K23" i="42"/>
  <c r="J107" i="2"/>
  <c r="N40" i="53"/>
  <c r="N44" i="53" s="1"/>
  <c r="K35" i="42"/>
  <c r="U75" i="2"/>
  <c r="K58" i="42"/>
  <c r="R58" i="42"/>
  <c r="R65" i="42" s="1" a="1"/>
  <c r="R65" i="42" s="1"/>
  <c r="T105" i="42"/>
  <c r="Q36" i="2"/>
  <c r="Q47" i="2" s="1"/>
  <c r="Q64" i="2"/>
  <c r="Q73" i="2" s="1"/>
  <c r="R10" i="58"/>
  <c r="R28" i="42" s="1"/>
  <c r="F15" i="58"/>
  <c r="S28" i="53"/>
  <c r="S36" i="53" s="1"/>
  <c r="R35" i="42"/>
  <c r="T58" i="42"/>
  <c r="F22" i="58"/>
  <c r="K46" i="42"/>
  <c r="Q113" i="2"/>
  <c r="Q117" i="2" s="1"/>
  <c r="S40" i="53"/>
  <c r="S44" i="53" s="1"/>
  <c r="O75" i="2"/>
  <c r="K33" i="42"/>
  <c r="R34" i="58"/>
  <c r="L28" i="53"/>
  <c r="L36" i="53" s="1"/>
  <c r="K14" i="42"/>
  <c r="K10" i="42"/>
  <c r="Q24" i="2"/>
  <c r="Q10" i="2"/>
  <c r="Q12" i="2" s="1"/>
  <c r="Q14" i="2"/>
  <c r="O61" i="58"/>
  <c r="O10" i="58"/>
  <c r="O34" i="58"/>
  <c r="P40" i="53"/>
  <c r="P44" i="53" s="1"/>
  <c r="P10" i="53"/>
  <c r="P28" i="53"/>
  <c r="P36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8" i="53"/>
  <c r="K36" i="53" s="1"/>
  <c r="K10" i="53"/>
  <c r="K24" i="53" s="1"/>
  <c r="K40" i="53"/>
  <c r="K44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2" i="2" s="1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5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8" i="53"/>
  <c r="T36" i="53" s="1"/>
  <c r="O113" i="2"/>
  <c r="O117" i="2" s="1"/>
  <c r="L10" i="2"/>
  <c r="M10" i="58"/>
  <c r="M28" i="42" s="1"/>
  <c r="Q61" i="58"/>
  <c r="Q28" i="42" s="1"/>
  <c r="L104" i="2"/>
  <c r="P104" i="2"/>
  <c r="T104" i="2"/>
  <c r="S14" i="2"/>
  <c r="U64" i="2"/>
  <c r="U73" i="2" s="1"/>
  <c r="Q10" i="53"/>
  <c r="T113" i="2"/>
  <c r="T117" i="2" s="1"/>
  <c r="P24" i="2"/>
  <c r="T10" i="2"/>
  <c r="T12" i="2" s="1"/>
  <c r="L75" i="2"/>
  <c r="O36" i="2"/>
  <c r="O47" i="2" s="1"/>
  <c r="Q28" i="53"/>
  <c r="Q36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W32" i="53" l="1"/>
  <c r="V65" i="58"/>
  <c r="W14" i="53"/>
  <c r="W13" i="53"/>
  <c r="W16" i="53"/>
  <c r="W17" i="53"/>
  <c r="W19" i="53"/>
  <c r="W30" i="53"/>
  <c r="W15" i="53"/>
  <c r="W18" i="53"/>
  <c r="W20" i="53"/>
  <c r="W31" i="53"/>
  <c r="W22" i="53"/>
  <c r="J24" i="53"/>
  <c r="W12" i="53"/>
  <c r="J28" i="42"/>
  <c r="V64" i="58"/>
  <c r="V55" i="58"/>
  <c r="V54" i="58"/>
  <c r="V53" i="58"/>
  <c r="V20" i="58"/>
  <c r="V25" i="58"/>
  <c r="V23" i="58"/>
  <c r="V22" i="58"/>
  <c r="V24" i="58"/>
  <c r="V21" i="58"/>
  <c r="V52" i="58"/>
  <c r="P61" i="42"/>
  <c r="J68" i="42" a="1"/>
  <c r="J68" i="42" s="1"/>
  <c r="L61" i="42"/>
  <c r="L70" i="42" s="1"/>
  <c r="N68" i="42" a="1"/>
  <c r="N68" i="42" s="1"/>
  <c r="T20" i="42"/>
  <c r="S68" i="42" a="1"/>
  <c r="S68" i="42" s="1"/>
  <c r="V37" i="58"/>
  <c r="T13" i="42"/>
  <c r="J65" i="42" a="1"/>
  <c r="J65" i="42" s="1"/>
  <c r="V41" i="58"/>
  <c r="L65" i="42" a="1"/>
  <c r="L65" i="42" s="1"/>
  <c r="V13" i="58"/>
  <c r="T68" i="42" a="1"/>
  <c r="T68" i="42" s="1"/>
  <c r="V42" i="58"/>
  <c r="V51" i="58"/>
  <c r="O68" i="42" a="1"/>
  <c r="O68" i="42" s="1"/>
  <c r="V19" i="58"/>
  <c r="V71" i="58"/>
  <c r="V69" i="58"/>
  <c r="W36" i="53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5" i="42" a="1"/>
  <c r="K65" i="42" s="1"/>
  <c r="K68" i="42" a="1"/>
  <c r="K68" i="42" s="1"/>
  <c r="F16" i="42"/>
  <c r="F14" i="42"/>
  <c r="W44" i="53"/>
  <c r="X60" i="2"/>
  <c r="L106" i="2"/>
  <c r="K61" i="42" s="1"/>
  <c r="K70" i="42" s="1"/>
  <c r="L108" i="2"/>
  <c r="L109" i="2"/>
  <c r="L107" i="2"/>
  <c r="O28" i="42"/>
  <c r="K108" i="2"/>
  <c r="K107" i="2"/>
  <c r="K106" i="2"/>
  <c r="K109" i="2"/>
  <c r="C16" i="2" a="1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J61" i="42" l="1"/>
  <c r="J70" i="42" s="1"/>
  <c r="N61" i="42"/>
  <c r="N70" i="42" s="1"/>
  <c r="M61" i="42"/>
  <c r="M62" i="42" s="1" a="1"/>
  <c r="M62" i="42" s="1"/>
  <c r="K62" i="42" a="1"/>
  <c r="K62" i="42" s="1"/>
  <c r="J62" i="42" a="1"/>
  <c r="J62" i="42" s="1"/>
  <c r="L62" i="42" a="1"/>
  <c r="L62" i="42" s="1"/>
  <c r="O61" i="42"/>
  <c r="Q61" i="42"/>
  <c r="R61" i="42"/>
  <c r="S61" i="42"/>
  <c r="P70" i="42"/>
  <c r="N62" i="42" a="1"/>
  <c r="N62" i="42" s="1"/>
  <c r="T1" i="2"/>
  <c r="G13" i="16" s="1"/>
  <c r="C31" i="2"/>
  <c r="C27" i="2"/>
  <c r="C26" i="2"/>
  <c r="C29" i="2"/>
  <c r="C32" i="2"/>
  <c r="C30" i="2"/>
  <c r="C28" i="2"/>
  <c r="C16" i="2"/>
  <c r="C17" i="2"/>
  <c r="C18" i="2"/>
  <c r="C21" i="2"/>
  <c r="O21" i="2" s="1"/>
  <c r="C19" i="2"/>
  <c r="C20" i="2"/>
  <c r="C22" i="2"/>
  <c r="M70" i="42" l="1"/>
  <c r="N71" i="42" s="1" a="1"/>
  <c r="N71" i="42" s="1"/>
  <c r="T62" i="42" a="1"/>
  <c r="T62" i="42" s="1"/>
  <c r="M71" i="42" a="1"/>
  <c r="M71" i="42" s="1"/>
  <c r="J71" i="42" a="1"/>
  <c r="J71" i="42" s="1"/>
  <c r="L71" i="42" a="1"/>
  <c r="L71" i="42" s="1"/>
  <c r="K71" i="42" a="1"/>
  <c r="K71" i="42" s="1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R27" i="2"/>
  <c r="P21" i="2"/>
  <c r="P31" i="2" s="1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O22" i="2" s="1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P32" i="2" l="1"/>
  <c r="T71" i="42" a="1"/>
  <c r="T71" i="42" s="1"/>
  <c r="K29" i="42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5" i="42"/>
  <c r="Q87" i="42"/>
  <c r="J29" i="42"/>
  <c r="T29" i="42"/>
  <c r="Q47" i="42"/>
  <c r="J47" i="42"/>
  <c r="N99" i="42"/>
  <c r="N18" i="44" s="1"/>
  <c r="R85" i="42"/>
  <c r="O85" i="42"/>
  <c r="P85" i="42"/>
  <c r="K98" i="42"/>
  <c r="K17" i="44" s="1"/>
  <c r="T47" i="42"/>
  <c r="S82" i="42"/>
  <c r="O97" i="42"/>
  <c r="O16" i="44" s="1"/>
  <c r="P29" i="42"/>
  <c r="L99" i="42"/>
  <c r="L18" i="44" s="1"/>
  <c r="M84" i="42"/>
  <c r="R47" i="42"/>
  <c r="J87" i="42"/>
  <c r="K95" i="42"/>
  <c r="K14" i="44" s="1"/>
  <c r="S84" i="42"/>
  <c r="L29" i="42"/>
  <c r="N47" i="42"/>
  <c r="Q29" i="42"/>
  <c r="P47" i="42"/>
  <c r="P99" i="42"/>
  <c r="P18" i="44" s="1"/>
  <c r="Q99" i="42"/>
  <c r="Q18" i="44" s="1"/>
  <c r="O84" i="42"/>
  <c r="M98" i="42"/>
  <c r="M17" i="44" s="1"/>
  <c r="L95" i="42"/>
  <c r="L14" i="44" s="1"/>
  <c r="J83" i="42"/>
  <c r="N50" i="42"/>
  <c r="L50" i="42"/>
  <c r="N85" i="42"/>
  <c r="M85" i="42"/>
  <c r="N84" i="42"/>
  <c r="R99" i="42"/>
  <c r="R18" i="44" s="1"/>
  <c r="S50" i="42"/>
  <c r="S99" i="42"/>
  <c r="S18" i="44" s="1"/>
  <c r="L84" i="42"/>
  <c r="L98" i="42"/>
  <c r="L17" i="44" s="1"/>
  <c r="T87" i="42"/>
  <c r="P95" i="42"/>
  <c r="P14" i="44" s="1"/>
  <c r="M29" i="42"/>
  <c r="R50" i="42"/>
  <c r="J84" i="42"/>
  <c r="K47" i="42"/>
  <c r="S29" i="42"/>
  <c r="T99" i="42"/>
  <c r="T18" i="44" s="1"/>
  <c r="N29" i="42"/>
  <c r="Q84" i="42"/>
  <c r="R84" i="42"/>
  <c r="T98" i="42"/>
  <c r="T17" i="44" s="1"/>
  <c r="O98" i="42"/>
  <c r="O17" i="44" s="1"/>
  <c r="P87" i="42"/>
  <c r="O29" i="42"/>
  <c r="J99" i="42"/>
  <c r="J18" i="44" s="1"/>
  <c r="P98" i="42"/>
  <c r="P17" i="44" s="1"/>
  <c r="J85" i="42"/>
  <c r="M47" i="42"/>
  <c r="M99" i="42"/>
  <c r="M18" i="44" s="1"/>
  <c r="R29" i="42"/>
  <c r="K99" i="42"/>
  <c r="K18" i="44" s="1"/>
  <c r="K85" i="42"/>
  <c r="N83" i="42"/>
  <c r="J95" i="42"/>
  <c r="J14" i="44" s="1"/>
  <c r="O87" i="42"/>
  <c r="M50" i="42"/>
  <c r="L85" i="42"/>
  <c r="P84" i="42"/>
  <c r="S85" i="42"/>
  <c r="O99" i="42"/>
  <c r="O18" i="44" s="1"/>
  <c r="K83" i="42"/>
  <c r="N97" i="42"/>
  <c r="N16" i="44" s="1"/>
  <c r="R98" i="42"/>
  <c r="R17" i="44" s="1"/>
  <c r="J17" i="2"/>
  <c r="J27" i="2" s="1"/>
  <c r="K82" i="42"/>
  <c r="S98" i="42"/>
  <c r="S17" i="44" s="1"/>
  <c r="N95" i="42"/>
  <c r="N14" i="44" s="1"/>
  <c r="L82" i="42"/>
  <c r="N98" i="42"/>
  <c r="N17" i="44" s="1"/>
  <c r="S95" i="42"/>
  <c r="S14" i="44" s="1"/>
  <c r="T50" i="42"/>
  <c r="L47" i="42"/>
  <c r="R95" i="42"/>
  <c r="R14" i="44" s="1"/>
  <c r="P82" i="42"/>
  <c r="R83" i="42"/>
  <c r="S87" i="42"/>
  <c r="K50" i="42"/>
  <c r="Q97" i="42"/>
  <c r="Q16" i="44" s="1"/>
  <c r="O50" i="42"/>
  <c r="Q82" i="42"/>
  <c r="K97" i="42"/>
  <c r="K16" i="44" s="1"/>
  <c r="T84" i="42"/>
  <c r="N87" i="42"/>
  <c r="S47" i="42"/>
  <c r="M95" i="42"/>
  <c r="M14" i="44" s="1"/>
  <c r="M97" i="42"/>
  <c r="L87" i="42"/>
  <c r="Q50" i="42"/>
  <c r="R82" i="42"/>
  <c r="O95" i="42"/>
  <c r="S83" i="42"/>
  <c r="N82" i="42"/>
  <c r="Q98" i="42"/>
  <c r="Q17" i="44" s="1"/>
  <c r="J98" i="42"/>
  <c r="J17" i="44" s="1"/>
  <c r="S97" i="42"/>
  <c r="S16" i="44" s="1"/>
  <c r="O47" i="42"/>
  <c r="J82" i="42"/>
  <c r="L83" i="42"/>
  <c r="P83" i="42"/>
  <c r="O82" i="42"/>
  <c r="J26" i="2"/>
  <c r="T83" i="42"/>
  <c r="K84" i="42"/>
  <c r="R87" i="42"/>
  <c r="Q95" i="42"/>
  <c r="Q14" i="44" s="1"/>
  <c r="M87" i="42"/>
  <c r="T97" i="42"/>
  <c r="T16" i="44" s="1"/>
  <c r="T95" i="42"/>
  <c r="T14" i="44" s="1"/>
  <c r="P50" i="42"/>
  <c r="T82" i="42"/>
  <c r="O83" i="42"/>
  <c r="Q83" i="42"/>
  <c r="Q85" i="42"/>
  <c r="M82" i="42"/>
  <c r="M83" i="42"/>
  <c r="L97" i="42"/>
  <c r="L16" i="44" s="1"/>
  <c r="J97" i="42"/>
  <c r="K87" i="42"/>
  <c r="P97" i="42"/>
  <c r="P16" i="44" s="1"/>
  <c r="R97" i="42"/>
  <c r="R16" i="44" s="1"/>
  <c r="J50" i="42"/>
  <c r="K26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J16" i="44" l="1"/>
  <c r="M16" i="44"/>
  <c r="O14" i="44"/>
  <c r="I71" i="55" l="1"/>
  <c r="V71" i="55" s="1"/>
  <c r="I72" i="55" l="1"/>
  <c r="V72" i="55" s="1"/>
  <c r="I76" i="55" l="1"/>
  <c r="V76" i="55" s="1"/>
  <c r="I84" i="55" l="1"/>
  <c r="I80" i="55"/>
  <c r="V80" i="55" s="1"/>
  <c r="V84" i="55" l="1"/>
  <c r="I75" i="55"/>
  <c r="V75" i="55" s="1"/>
  <c r="I73" i="55"/>
  <c r="V73" i="55" s="1"/>
  <c r="I74" i="55"/>
  <c r="L12" i="2" s="1"/>
  <c r="I79" i="55"/>
  <c r="V79" i="55" s="1"/>
  <c r="K18" i="2" l="1"/>
  <c r="L28" i="2"/>
  <c r="L16" i="2"/>
  <c r="L17" i="2"/>
  <c r="L27" i="2" s="1"/>
  <c r="V74" i="55"/>
  <c r="I81" i="55"/>
  <c r="V81" i="55" s="1"/>
  <c r="I83" i="55"/>
  <c r="V83" i="55" s="1"/>
  <c r="I78" i="55"/>
  <c r="M12" i="2" s="1"/>
  <c r="L26" i="2" l="1"/>
  <c r="J18" i="2"/>
  <c r="J28" i="2" s="1"/>
  <c r="K28" i="2"/>
  <c r="M18" i="2"/>
  <c r="M28" i="2" s="1"/>
  <c r="M29" i="2"/>
  <c r="L19" i="2"/>
  <c r="M16" i="2"/>
  <c r="M17" i="2"/>
  <c r="M27" i="2" s="1"/>
  <c r="I82" i="55"/>
  <c r="I77" i="55"/>
  <c r="V77" i="55" s="1"/>
  <c r="V78" i="55"/>
  <c r="O20" i="2" l="1"/>
  <c r="O30" i="2" s="1"/>
  <c r="N12" i="2"/>
  <c r="N18" i="2" s="1"/>
  <c r="O18" i="2" s="1"/>
  <c r="M26" i="2"/>
  <c r="V82" i="55"/>
  <c r="V1" i="55" s="1"/>
  <c r="G11" i="16" s="1"/>
  <c r="N22" i="2"/>
  <c r="O32" i="2"/>
  <c r="K19" i="2"/>
  <c r="L29" i="2"/>
  <c r="N21" i="2"/>
  <c r="O31" i="2"/>
  <c r="N47" i="58" s="1"/>
  <c r="R44" i="42" l="1"/>
  <c r="M44" i="42"/>
  <c r="J44" i="42"/>
  <c r="S44" i="42"/>
  <c r="T44" i="42"/>
  <c r="P44" i="42"/>
  <c r="Q44" i="42"/>
  <c r="K44" i="42"/>
  <c r="O44" i="42"/>
  <c r="L44" i="42"/>
  <c r="N44" i="42"/>
  <c r="O79" i="42"/>
  <c r="S79" i="42"/>
  <c r="P79" i="42"/>
  <c r="R79" i="42"/>
  <c r="Q79" i="42"/>
  <c r="O28" i="2"/>
  <c r="N17" i="2"/>
  <c r="O17" i="2" s="1"/>
  <c r="O27" i="2" s="1"/>
  <c r="M20" i="2"/>
  <c r="N30" i="2"/>
  <c r="N19" i="2"/>
  <c r="N16" i="2"/>
  <c r="P17" i="2"/>
  <c r="P27" i="2" s="1"/>
  <c r="P18" i="2"/>
  <c r="P28" i="2" s="1"/>
  <c r="N20" i="42"/>
  <c r="P20" i="2"/>
  <c r="P30" i="2" s="1"/>
  <c r="M22" i="2"/>
  <c r="N32" i="2"/>
  <c r="N28" i="2"/>
  <c r="K29" i="2"/>
  <c r="J19" i="2"/>
  <c r="J29" i="2" s="1"/>
  <c r="N31" i="2"/>
  <c r="M21" i="2"/>
  <c r="N37" i="42" l="1"/>
  <c r="V63" i="58"/>
  <c r="V43" i="58"/>
  <c r="M47" i="58"/>
  <c r="M12" i="42" s="1"/>
  <c r="M13" i="42" s="1"/>
  <c r="M26" i="42" s="1"/>
  <c r="N26" i="2"/>
  <c r="O16" i="2"/>
  <c r="L15" i="42" s="1"/>
  <c r="N27" i="2"/>
  <c r="O19" i="2"/>
  <c r="N29" i="2"/>
  <c r="M30" i="2"/>
  <c r="L20" i="2"/>
  <c r="N13" i="42"/>
  <c r="N26" i="42" s="1"/>
  <c r="O20" i="42"/>
  <c r="O13" i="42"/>
  <c r="O26" i="42" s="1"/>
  <c r="P16" i="2"/>
  <c r="L22" i="2"/>
  <c r="M32" i="2"/>
  <c r="L31" i="42"/>
  <c r="M31" i="2"/>
  <c r="L21" i="2"/>
  <c r="M20" i="42"/>
  <c r="S1" i="58" l="1"/>
  <c r="G12" i="16" s="1"/>
  <c r="K17" i="42"/>
  <c r="S78" i="42"/>
  <c r="Q78" i="42"/>
  <c r="O78" i="42"/>
  <c r="R78" i="42"/>
  <c r="P78" i="42"/>
  <c r="T15" i="42"/>
  <c r="S24" i="42"/>
  <c r="M86" i="42"/>
  <c r="J86" i="42"/>
  <c r="N86" i="42"/>
  <c r="K86" i="42"/>
  <c r="T86" i="42"/>
  <c r="L86" i="42"/>
  <c r="P19" i="2"/>
  <c r="R81" i="42"/>
  <c r="T81" i="42"/>
  <c r="O81" i="42"/>
  <c r="P96" i="42"/>
  <c r="N96" i="42"/>
  <c r="J81" i="42"/>
  <c r="S96" i="42"/>
  <c r="Q96" i="42"/>
  <c r="L81" i="42"/>
  <c r="T96" i="42"/>
  <c r="R96" i="42"/>
  <c r="P81" i="42"/>
  <c r="S81" i="42"/>
  <c r="M81" i="42"/>
  <c r="J96" i="42"/>
  <c r="L96" i="42"/>
  <c r="K96" i="42"/>
  <c r="M96" i="42"/>
  <c r="O96" i="42"/>
  <c r="K81" i="42"/>
  <c r="N81" i="42"/>
  <c r="Q81" i="42"/>
  <c r="J24" i="42"/>
  <c r="T17" i="42"/>
  <c r="M17" i="42"/>
  <c r="K24" i="42"/>
  <c r="P17" i="42"/>
  <c r="O17" i="42"/>
  <c r="P29" i="2"/>
  <c r="L79" i="42"/>
  <c r="K38" i="42"/>
  <c r="P41" i="42"/>
  <c r="L38" i="42"/>
  <c r="R41" i="42"/>
  <c r="L41" i="42"/>
  <c r="K79" i="42"/>
  <c r="N79" i="42"/>
  <c r="T79" i="42"/>
  <c r="S41" i="42"/>
  <c r="J41" i="42"/>
  <c r="T41" i="42"/>
  <c r="R38" i="42"/>
  <c r="R52" i="42" s="1"/>
  <c r="R54" i="42" s="1"/>
  <c r="Q38" i="42"/>
  <c r="N41" i="42"/>
  <c r="J38" i="42"/>
  <c r="P38" i="42"/>
  <c r="M79" i="42"/>
  <c r="T38" i="42"/>
  <c r="O41" i="42"/>
  <c r="O38" i="42"/>
  <c r="J79" i="42"/>
  <c r="K41" i="42"/>
  <c r="Q41" i="42"/>
  <c r="M38" i="42"/>
  <c r="N38" i="42"/>
  <c r="S38" i="42"/>
  <c r="M41" i="42"/>
  <c r="O26" i="2"/>
  <c r="K22" i="42"/>
  <c r="R15" i="42"/>
  <c r="M24" i="42"/>
  <c r="P15" i="42"/>
  <c r="S15" i="42"/>
  <c r="T24" i="42"/>
  <c r="O29" i="2"/>
  <c r="N78" i="42"/>
  <c r="K78" i="42"/>
  <c r="M78" i="42"/>
  <c r="J78" i="42"/>
  <c r="T78" i="42"/>
  <c r="L78" i="42"/>
  <c r="N80" i="42"/>
  <c r="K80" i="42"/>
  <c r="O77" i="42"/>
  <c r="K77" i="42"/>
  <c r="M80" i="42"/>
  <c r="Q77" i="42"/>
  <c r="Q80" i="42"/>
  <c r="S77" i="42"/>
  <c r="L80" i="42"/>
  <c r="J80" i="42"/>
  <c r="T77" i="42"/>
  <c r="L77" i="42"/>
  <c r="S80" i="42"/>
  <c r="T80" i="42"/>
  <c r="P77" i="42"/>
  <c r="P80" i="42"/>
  <c r="J77" i="42"/>
  <c r="R77" i="42"/>
  <c r="M77" i="42"/>
  <c r="N77" i="42"/>
  <c r="O80" i="42"/>
  <c r="R80" i="42"/>
  <c r="L24" i="42"/>
  <c r="R24" i="42"/>
  <c r="L30" i="2"/>
  <c r="K20" i="2"/>
  <c r="L32" i="2"/>
  <c r="K22" i="2"/>
  <c r="P26" i="2"/>
  <c r="R22" i="42"/>
  <c r="M15" i="42"/>
  <c r="J22" i="42"/>
  <c r="Q22" i="42"/>
  <c r="L17" i="42"/>
  <c r="T22" i="42"/>
  <c r="O24" i="42"/>
  <c r="J17" i="42"/>
  <c r="O22" i="42"/>
  <c r="S17" i="42"/>
  <c r="Q15" i="42"/>
  <c r="K15" i="42"/>
  <c r="M31" i="42" s="1"/>
  <c r="R17" i="42"/>
  <c r="N17" i="42"/>
  <c r="O15" i="42"/>
  <c r="P22" i="42"/>
  <c r="J15" i="42"/>
  <c r="P24" i="42"/>
  <c r="N15" i="42"/>
  <c r="N22" i="42"/>
  <c r="S22" i="42"/>
  <c r="Q24" i="42"/>
  <c r="M22" i="42"/>
  <c r="Q17" i="42"/>
  <c r="N24" i="42"/>
  <c r="L22" i="42"/>
  <c r="L31" i="2"/>
  <c r="K21" i="2"/>
  <c r="L13" i="42"/>
  <c r="L26" i="42" s="1"/>
  <c r="L20" i="42"/>
  <c r="P52" i="42" l="1"/>
  <c r="P54" i="42" s="1"/>
  <c r="L15" i="44"/>
  <c r="L101" i="42"/>
  <c r="J15" i="44"/>
  <c r="J101" i="42"/>
  <c r="S15" i="44"/>
  <c r="S101" i="42"/>
  <c r="N15" i="44"/>
  <c r="N101" i="42"/>
  <c r="P15" i="44"/>
  <c r="P101" i="42"/>
  <c r="O15" i="44"/>
  <c r="O101" i="42"/>
  <c r="R15" i="44"/>
  <c r="R101" i="42"/>
  <c r="M15" i="44"/>
  <c r="M101" i="42"/>
  <c r="T15" i="44"/>
  <c r="T101" i="42"/>
  <c r="K15" i="44"/>
  <c r="K101" i="42"/>
  <c r="Q15" i="44"/>
  <c r="Q101" i="42"/>
  <c r="O31" i="42"/>
  <c r="J52" i="42"/>
  <c r="J54" i="42" s="1"/>
  <c r="K52" i="42"/>
  <c r="K54" i="42" s="1"/>
  <c r="Q52" i="42"/>
  <c r="Q54" i="42" s="1"/>
  <c r="S52" i="42"/>
  <c r="S54" i="42" s="1"/>
  <c r="M89" i="42"/>
  <c r="J89" i="42"/>
  <c r="N89" i="42"/>
  <c r="L89" i="42"/>
  <c r="K89" i="42"/>
  <c r="T89" i="42"/>
  <c r="J20" i="2"/>
  <c r="J30" i="2" s="1"/>
  <c r="K30" i="2"/>
  <c r="N31" i="42"/>
  <c r="K32" i="2"/>
  <c r="J22" i="2"/>
  <c r="J32" i="2" s="1"/>
  <c r="K13" i="42"/>
  <c r="K26" i="42" s="1"/>
  <c r="K20" i="42"/>
  <c r="K31" i="2"/>
  <c r="J21" i="2"/>
  <c r="J31" i="2" s="1"/>
  <c r="J13" i="42" l="1"/>
  <c r="J26" i="42" s="1"/>
  <c r="O33" i="42" s="1"/>
  <c r="O52" i="42" s="1"/>
  <c r="J20" i="42"/>
  <c r="P24" i="53" l="1"/>
  <c r="P86" i="42"/>
  <c r="P89" i="42" s="1"/>
  <c r="L35" i="42"/>
  <c r="O35" i="42"/>
  <c r="O54" i="42" s="1"/>
  <c r="L33" i="42"/>
  <c r="L52" i="42" s="1"/>
  <c r="N35" i="42"/>
  <c r="M35" i="42"/>
  <c r="M33" i="42"/>
  <c r="M52" i="42" s="1"/>
  <c r="N33" i="42"/>
  <c r="Q24" i="53" l="1"/>
  <c r="Q86" i="42"/>
  <c r="Q89" i="42" s="1"/>
  <c r="O24" i="53"/>
  <c r="O86" i="42"/>
  <c r="L54" i="42"/>
  <c r="M54" i="42"/>
  <c r="N52" i="42"/>
  <c r="O89" i="42" l="1"/>
  <c r="S24" i="53"/>
  <c r="S86" i="42"/>
  <c r="J107" i="42"/>
  <c r="J13" i="44" s="1"/>
  <c r="L108" i="42"/>
  <c r="L109" i="42" s="1"/>
  <c r="K108" i="42"/>
  <c r="K109" i="42" s="1"/>
  <c r="N54" i="42"/>
  <c r="S89" i="42" l="1"/>
  <c r="R24" i="53"/>
  <c r="W24" i="53" s="1"/>
  <c r="R86" i="42"/>
  <c r="W21" i="53"/>
  <c r="T108" i="42"/>
  <c r="T107" i="42"/>
  <c r="T13" i="44" s="1"/>
  <c r="M108" i="42"/>
  <c r="M109" i="42" s="1"/>
  <c r="N108" i="42"/>
  <c r="N109" i="42" s="1"/>
  <c r="K107" i="42"/>
  <c r="K13" i="44" s="1"/>
  <c r="M107" i="42"/>
  <c r="M13" i="44" s="1"/>
  <c r="L107" i="42"/>
  <c r="L13" i="44" s="1"/>
  <c r="J108" i="42"/>
  <c r="J109" i="42" s="1"/>
  <c r="N107" i="42"/>
  <c r="N13" i="44" s="1"/>
  <c r="Q107" i="42"/>
  <c r="Q13" i="44" s="1"/>
  <c r="O107" i="42"/>
  <c r="O13" i="44" s="1"/>
  <c r="O108" i="42"/>
  <c r="O109" i="42" s="1"/>
  <c r="P108" i="42"/>
  <c r="P109" i="42" s="1"/>
  <c r="Q108" i="42"/>
  <c r="Q109" i="42" s="1"/>
  <c r="P107" i="42"/>
  <c r="P13" i="44" s="1"/>
  <c r="S107" i="42" l="1"/>
  <c r="S13" i="44" s="1"/>
  <c r="S108" i="42"/>
  <c r="S109" i="42" s="1"/>
  <c r="R89" i="42"/>
  <c r="S1" i="53"/>
  <c r="G14" i="16" s="1"/>
  <c r="S1" i="16" s="1"/>
  <c r="V1" i="4" s="1"/>
  <c r="R107" i="42" l="1"/>
  <c r="R13" i="44" s="1"/>
  <c r="R108" i="42"/>
  <c r="R109" i="42" s="1"/>
  <c r="Y1" i="55"/>
  <c r="V1" i="58"/>
  <c r="W1" i="44"/>
  <c r="V1" i="53"/>
  <c r="V1" i="54"/>
  <c r="X1" i="2"/>
  <c r="W1" i="42"/>
</calcChain>
</file>

<file path=xl/sharedStrings.xml><?xml version="1.0" encoding="utf-8"?>
<sst xmlns="http://schemas.openxmlformats.org/spreadsheetml/2006/main" count="765" uniqueCount="230">
  <si>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</si>
  <si>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</si>
  <si>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</si>
  <si>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</si>
  <si>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</si>
  <si>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</si>
  <si>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</si>
  <si>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</si>
  <si>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</si>
  <si>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</si>
  <si>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</si>
  <si>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</si>
  <si>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</si>
  <si>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</si>
  <si>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</si>
  <si>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</si>
  <si>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</si>
  <si>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</si>
  <si>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</si>
  <si>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</si>
  <si>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</si>
  <si>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</si>
  <si>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</si>
  <si>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</si>
  <si>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</si>
  <si>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</si>
  <si>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</si>
  <si>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</si>
  <si>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</si>
  <si>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</si>
  <si>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</si>
  <si>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</si>
  <si>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</si>
  <si>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</si>
  <si>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</si>
  <si>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</si>
  <si>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</si>
  <si>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</si>
  <si>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</si>
  <si>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</si>
  <si>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</si>
  <si>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</si>
  <si>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</si>
  <si>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</si>
  <si>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</si>
  <si>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</si>
  <si>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</si>
  <si>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</si>
  <si>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</si>
  <si>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</si>
  <si>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</si>
  <si>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</si>
  <si>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</si>
  <si>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</si>
  <si>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</si>
  <si>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</si>
  <si>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</si>
  <si>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</si>
  <si>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</si>
  <si>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</si>
  <si>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</si>
  <si>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</si>
  <si>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</si>
  <si>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</si>
  <si>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</si>
  <si>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</si>
  <si>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</si>
  <si>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</si>
  <si>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</si>
  <si>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</si>
  <si>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</si>
  <si>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</si>
  <si>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</si>
  <si>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</si>
  <si>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</si>
  <si>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</si>
  <si>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</si>
  <si>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</si>
  <si>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</si>
  <si>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</si>
  <si>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</si>
  <si>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</si>
  <si>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</si>
  <si>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</si>
  <si>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</si>
  <si>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</si>
  <si>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</si>
  <si>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</si>
  <si>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</si>
  <si>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</si>
  <si>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</si>
  <si>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</si>
  <si>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</si>
  <si>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</si>
  <si>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</si>
  <si>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</si>
  <si>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</si>
  <si>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</si>
  <si>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</si>
  <si>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</si>
  <si>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</si>
  <si>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</si>
  <si>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</si>
  <si>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</si>
  <si>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</si>
  <si>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</si>
  <si>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</si>
  <si>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</si>
  <si>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</si>
  <si>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</si>
  <si>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</si>
  <si>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</si>
  <si>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</si>
  <si>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</si>
  <si>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</si>
  <si>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</si>
  <si>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</si>
  <si>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</si>
  <si>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</si>
  <si>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</si>
  <si>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</si>
  <si>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</si>
  <si>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</si>
  <si>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</si>
  <si>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</si>
  <si>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</si>
  <si>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</si>
  <si>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</si>
  <si>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</si>
  <si>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</si>
  <si>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</si>
  <si>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</si>
  <si>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</si>
  <si>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</si>
  <si>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</si>
  <si>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</si>
  <si>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</si>
  <si>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</si>
  <si>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</si>
  <si>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</si>
  <si>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</si>
  <si>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</si>
  <si>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</si>
  <si>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</si>
  <si>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</si>
  <si>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</si>
  <si>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</si>
  <si>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</si>
  <si>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</si>
  <si>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</si>
  <si>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</si>
  <si>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</si>
  <si>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</si>
  <si>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</si>
  <si>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</si>
  <si>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</si>
  <si>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</si>
  <si>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</si>
  <si>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</si>
  <si>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</si>
  <si>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</si>
  <si>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</si>
  <si>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</si>
  <si>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</si>
  <si>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</si>
  <si>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</si>
  <si>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</si>
  <si>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</si>
  <si>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</si>
  <si>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</si>
  <si>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</si>
  <si>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</si>
  <si>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</si>
  <si>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</si>
  <si>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</si>
  <si>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</si>
  <si>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</si>
  <si>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</si>
  <si>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</si>
  <si>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</si>
  <si>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</si>
  <si>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</si>
  <si>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</si>
  <si>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</si>
  <si>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</si>
  <si>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</si>
  <si>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</si>
  <si>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</si>
  <si>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</si>
  <si>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</si>
  <si>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</si>
  <si>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</si>
  <si>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</si>
  <si>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</si>
  <si>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</si>
  <si>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</si>
  <si>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</si>
  <si>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</si>
  <si>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</si>
  <si>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</si>
  <si>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</si>
  <si>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</si>
  <si>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</si>
  <si>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</si>
  <si>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</si>
  <si>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</si>
  <si>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</si>
  <si>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</si>
  <si>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</si>
  <si>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</si>
  <si>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</si>
  <si>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</si>
  <si>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v2.4</t>
  </si>
  <si>
    <t>Note: Include a label for each output specification. Leave unused columns empty.</t>
  </si>
  <si>
    <t>GSL payments</t>
  </si>
  <si>
    <t>United Energy</t>
  </si>
  <si>
    <t>GSL  payments</t>
  </si>
  <si>
    <t>Licence fee</t>
  </si>
  <si>
    <t>Customer assistance package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</si>
  <si>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</si>
  <si>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</si>
  <si>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</si>
  <si>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</si>
  <si>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</si>
  <si>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Fleet electrification</t>
  </si>
  <si>
    <t>Network innovation fund</t>
  </si>
  <si>
    <t>Insurance step change</t>
  </si>
  <si>
    <t>WPI - Deloitte</t>
  </si>
  <si>
    <t xml:space="preserve">WPI - BIS Oxford </t>
  </si>
  <si>
    <t>https://www.rba.gov.au/publications/smp/2025/aug/outlook.html#3-5-detailed-forecast-information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</si>
</sst>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6" fillId="0" borderId="0" xfId="0" applyNumberFormat="1" applyFont="1" applyAlignment="1">
      <alignment horizontal="center"/>
    </xf>
    <xf numFmtId="193" fontId="6" fillId="52" borderId="3" xfId="0" applyNumberFormat="1" applyFont="1" applyFill="1" applyBorder="1" applyAlignment="1" applyProtection="1">
      <alignment horizontal="center"/>
      <protection locked="0"/>
    </xf>
    <xf numFmtId="174" fontId="23" fillId="0" borderId="0" xfId="5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168" fontId="14" fillId="0" borderId="0" xfId="3" applyNumberFormat="1" applyAlignment="1" applyProtection="1">
      <protection locked="0"/>
    </xf>
    <xf numFmtId="166" fontId="0" fillId="53" borderId="29" xfId="6" applyFont="1" applyFill="1" applyBorder="1"/>
    <xf numFmtId="166" fontId="0" fillId="53" borderId="7" xfId="6" applyFont="1" applyFill="1" applyBorder="1"/>
    <xf numFmtId="166" fontId="0" fillId="53" borderId="30" xfId="6" applyFont="1" applyFill="1" applyBorder="1"/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6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aug/outlook.html" TargetMode="External"/><Relationship Id="rId2" Type="http://schemas.openxmlformats.org/officeDocument/2006/relationships/hyperlink" Target="https://www.rba.gov.au/publications/smp/2025/aug/outlook.html" TargetMode="External"/><Relationship Id="rId1" Type="http://schemas.openxmlformats.org/officeDocument/2006/relationships/hyperlink" Target="https://www.rba.gov.au/publications/smp/2025/aug/outlook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tabSelected="1" workbookViewId="0"/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212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0</v>
      </c>
      <c r="D6" s="9" t="s">
        <v>1</v>
      </c>
    </row>
    <row r="7" spans="1:30">
      <c r="C7" s="187" t="s">
        <v>57</v>
      </c>
      <c r="D7" s="8" t="s">
        <v>196</v>
      </c>
    </row>
    <row r="8" spans="1:30">
      <c r="C8" s="187" t="s">
        <v>35</v>
      </c>
      <c r="D8" s="8" t="s">
        <v>91</v>
      </c>
    </row>
    <row r="9" spans="1:30">
      <c r="C9" s="187" t="s">
        <v>54</v>
      </c>
      <c r="D9" s="8" t="s">
        <v>204</v>
      </c>
    </row>
    <row r="10" spans="1:30">
      <c r="C10" s="187" t="s">
        <v>169</v>
      </c>
      <c r="D10" s="8" t="s">
        <v>197</v>
      </c>
    </row>
    <row r="11" spans="1:30">
      <c r="C11" s="187" t="s">
        <v>56</v>
      </c>
      <c r="D11" s="8" t="s">
        <v>198</v>
      </c>
    </row>
    <row r="12" spans="1:30">
      <c r="C12" s="187" t="s">
        <v>170</v>
      </c>
      <c r="D12" s="8" t="s">
        <v>199</v>
      </c>
    </row>
    <row r="13" spans="1:30">
      <c r="C13" s="200" t="s">
        <v>171</v>
      </c>
      <c r="D13" s="8" t="s">
        <v>200</v>
      </c>
    </row>
    <row r="14" spans="1:30">
      <c r="C14" s="187" t="s">
        <v>50</v>
      </c>
      <c r="D14" s="8" t="s">
        <v>55</v>
      </c>
    </row>
    <row r="15" spans="1:30">
      <c r="C15" s="187" t="s">
        <v>25</v>
      </c>
      <c r="D15" s="8" t="s">
        <v>201</v>
      </c>
    </row>
    <row r="16" spans="1:30" ht="12.75">
      <c r="C16" s="10"/>
      <c r="D16" s="7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189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>
      <c r="C7" s="8" t="s">
        <v>59</v>
      </c>
      <c r="D7" s="16" t="s">
        <v>63</v>
      </c>
      <c r="E7" s="8"/>
      <c r="F7" s="8"/>
      <c r="G7" s="39" t="s">
        <v>215</v>
      </c>
      <c r="H7" s="8"/>
      <c r="I7" s="8"/>
      <c r="S7" s="81" t="str">
        <f>IF(COUNTBLANK($G7),"Check","Ok")</f>
        <v>Ok</v>
      </c>
    </row>
    <row r="8" spans="1:30">
      <c r="C8" s="8" t="s">
        <v>125</v>
      </c>
      <c r="D8" s="16" t="s">
        <v>64</v>
      </c>
      <c r="E8" s="8"/>
      <c r="F8" s="8"/>
      <c r="G8" s="39" t="s">
        <v>181</v>
      </c>
      <c r="H8" s="8"/>
      <c r="I8" s="8"/>
      <c r="S8" s="81" t="str">
        <f>IF(COUNTBLANK($G8),"Check","Ok")</f>
        <v>Ok</v>
      </c>
    </row>
    <row r="9" spans="1:30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194</v>
      </c>
      <c r="D10" s="16" t="s">
        <v>63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66</v>
      </c>
      <c r="D11" s="16" t="s">
        <v>63</v>
      </c>
      <c r="E11" s="8"/>
      <c r="F11" s="8"/>
      <c r="G11" s="93">
        <v>2025</v>
      </c>
      <c r="H11" s="8"/>
      <c r="I11" s="8"/>
      <c r="S11" s="81" t="str">
        <f t="shared" si="0"/>
        <v>Ok</v>
      </c>
    </row>
    <row r="12" spans="1:30">
      <c r="C12" s="8" t="s">
        <v>195</v>
      </c>
      <c r="D12" s="16" t="s">
        <v>63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>
      <c r="C13" s="8" t="s">
        <v>60</v>
      </c>
      <c r="D13" s="16" t="s">
        <v>63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>
      <c r="C14" s="8" t="s">
        <v>61</v>
      </c>
      <c r="D14" s="16" t="s">
        <v>63</v>
      </c>
      <c r="E14" s="8"/>
      <c r="F14" s="8"/>
      <c r="G14" s="93">
        <v>2031</v>
      </c>
      <c r="H14" s="8"/>
      <c r="I14" s="8"/>
      <c r="S14" s="81" t="str">
        <f t="shared" si="0"/>
        <v>Ok</v>
      </c>
    </row>
    <row r="15" spans="1:30">
      <c r="C15" s="8" t="s">
        <v>172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 link="1"/>
  <conditionalFormatting sqref="S1">
    <cfRule type="cellIs" dxfId="168" priority="1" operator="equal">
      <formula>"Check"</formula>
    </cfRule>
    <cfRule type="cellIs" dxfId="167" priority="2" operator="equal">
      <formula>"Ok"</formula>
    </cfRule>
  </conditionalFormatting>
  <conditionalFormatting sqref="S7:S15">
    <cfRule type="cellIs" dxfId="166" priority="5" operator="equal">
      <formula>"Check"</formula>
    </cfRule>
    <cfRule type="cellIs" dxfId="165" priority="6" operator="equal">
      <formula>"Ok"</formula>
    </cfRule>
  </conditionalFormatting>
  <conditionalFormatting sqref="V1">
    <cfRule type="cellIs" dxfId="164" priority="3" operator="equal">
      <formula>"Check"</formula>
    </cfRule>
    <cfRule type="cellIs" dxfId="163" priority="4" operator="equal">
      <formula>"Ok"</formula>
    </cfRule>
  </conditionalFormatting>
  <conditionalFormatting sqref="W14:W16">
    <cfRule type="cellIs" dxfId="162" priority="13" operator="equal">
      <formula>"Check"</formula>
    </cfRule>
    <cfRule type="cellIs" dxfId="161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workbookViewId="0">
      <selection activeCell="M1" sqref="M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v2.4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8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189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92</v>
      </c>
      <c r="E6" s="47" t="s">
        <v>123</v>
      </c>
      <c r="F6" s="47" t="s">
        <v>92</v>
      </c>
      <c r="G6" s="47" t="s">
        <v>190</v>
      </c>
      <c r="H6" s="47" t="s">
        <v>191</v>
      </c>
      <c r="I6" s="47" t="s">
        <v>123</v>
      </c>
      <c r="J6" s="47"/>
      <c r="K6" s="8"/>
      <c r="L6" s="8"/>
    </row>
    <row r="7" spans="1:33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189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195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195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195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195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195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195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195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195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195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195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195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195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196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196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196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196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196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196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196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196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196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196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196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196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196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196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196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196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196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196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196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196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196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196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196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196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196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196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196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196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196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196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196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196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196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196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196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196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196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196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196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196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196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196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196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196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196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196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196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196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196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196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196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196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196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196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6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196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8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196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91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196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196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91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196">
        <v>139.1</v>
      </c>
      <c r="G79" s="110"/>
      <c r="H79" s="117">
        <f>IF(F79="",IF(COUNT(G79:G$88)=0,"",IF(ISBLANK(G79),AVERAGE(H78,H80),(1+G79)*H75)),F79)</f>
        <v>139.1</v>
      </c>
      <c r="I79" s="72">
        <f t="shared" si="2"/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196">
        <v>139.4</v>
      </c>
      <c r="G80" s="110"/>
      <c r="H80" s="117">
        <f>IF(F80="",IF(COUNT(G80:G$88)=0,"",IF(ISBLANK(G80),AVERAGE(H79,H81),(1+G80)*H76)),F80)</f>
        <v>139.4</v>
      </c>
      <c r="I80" s="72">
        <f t="shared" si="2"/>
        <v>2.4246877296105973E-2</v>
      </c>
      <c r="J80" s="191"/>
      <c r="K80" s="8"/>
      <c r="L80" s="8"/>
      <c r="V80" s="81" t="str">
        <f>IF(C80&gt;EOMONTH(DATE('Input|General'!$G$12,MONTH('Input|General'!$G$9),1),0),"Ok",IF(I80="","Check","Ok"))</f>
        <v>Ok</v>
      </c>
    </row>
    <row r="81" spans="1:50">
      <c r="C81" s="49">
        <v>45747</v>
      </c>
      <c r="D81" s="8"/>
      <c r="E81" s="8"/>
      <c r="F81" s="196">
        <v>140.69999999999999</v>
      </c>
      <c r="G81" s="110"/>
      <c r="H81" s="117">
        <f>IF(F81="",IF(COUNT(G81:G$88)=0,"",IF(ISBLANK(G81),AVERAGE(H80,H82),(1+G81)*H77)),F81)</f>
        <v>140.69999999999999</v>
      </c>
      <c r="I81" s="72">
        <f t="shared" si="2"/>
        <v>2.4017467248908186E-2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>
      <c r="C82" s="49">
        <v>45838</v>
      </c>
      <c r="D82" s="8"/>
      <c r="E82" s="8"/>
      <c r="F82" s="196">
        <v>141.69999999999999</v>
      </c>
      <c r="G82" s="110"/>
      <c r="H82" s="117">
        <f>IF(F82="",IF(COUNT(G82:G$88)=0,"",IF(ISBLANK(G82),AVERAGE(H81,H83),(1+G82)*H78)),F82)</f>
        <v>141.69999999999999</v>
      </c>
      <c r="I82" s="72">
        <f t="shared" si="2"/>
        <v>2.0893371757924939E-2</v>
      </c>
      <c r="J82" s="191"/>
      <c r="K82" s="8"/>
      <c r="L82" s="8"/>
      <c r="V82" s="81" t="str">
        <f>IF(C82&gt;EOMONTH(DATE('Input|General'!$G$12,MONTH('Input|General'!$G$9),1),0),"Ok",IF(I82="","Check","Ok"))</f>
        <v>Ok</v>
      </c>
    </row>
    <row r="83" spans="1:50">
      <c r="C83" s="49">
        <v>45930</v>
      </c>
      <c r="D83" s="8"/>
      <c r="E83" s="8"/>
      <c r="F83" s="196"/>
      <c r="G83" s="110"/>
      <c r="H83" s="117">
        <f>IF(F83="",IF(COUNT(G83:G$88)=0,"",IF(ISBLANK(G83),AVERAGE(H82,H84),(1+G83)*H79)),F83)</f>
        <v>142.64100000000002</v>
      </c>
      <c r="I83" s="72">
        <f t="shared" si="2"/>
        <v>2.5456506110711929E-2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>
      <c r="C84" s="49">
        <v>46022</v>
      </c>
      <c r="D84" s="8"/>
      <c r="E84" s="8"/>
      <c r="F84" s="196"/>
      <c r="G84" s="110">
        <v>0.03</v>
      </c>
      <c r="H84" s="117">
        <f>IF(F84="",IF(COUNT(G84:G$88)=0,"",IF(ISBLANK(G84),AVERAGE(H83,H85),(1+G84)*H80)),F84)</f>
        <v>143.58200000000002</v>
      </c>
      <c r="I84" s="72">
        <f t="shared" si="2"/>
        <v>3.0000000000000027E-2</v>
      </c>
      <c r="J84" s="191" t="s">
        <v>229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>
      <c r="C85" s="49">
        <v>46112</v>
      </c>
      <c r="D85" s="8"/>
      <c r="E85" s="8"/>
      <c r="F85" s="196"/>
      <c r="G85" s="110"/>
      <c r="H85" s="117">
        <f>IF(F85="",IF(COUNT(G85:G$88)=0,"",IF(ISBLANK(G85),AVERAGE(H84,H86),(1+G85)*H81)),F85)</f>
        <v>144.83735000000001</v>
      </c>
      <c r="I85" s="72">
        <f t="shared" si="2"/>
        <v>2.9405472636816032E-2</v>
      </c>
      <c r="J85" s="191"/>
      <c r="K85" s="8"/>
      <c r="L85" s="8"/>
      <c r="V85" s="81" t="str">
        <f>IF(C85&gt;EOMONTH(DATE('Input|General'!$G$12,MONTH('Input|General'!$G$9),1),0),"Ok",IF(I85="","Check","Ok"))</f>
        <v>Ok</v>
      </c>
    </row>
    <row r="86" spans="1:50">
      <c r="C86" s="49">
        <v>46203</v>
      </c>
      <c r="D86" s="8"/>
      <c r="E86" s="8"/>
      <c r="F86" s="196"/>
      <c r="G86" s="110">
        <v>3.1E-2</v>
      </c>
      <c r="H86" s="117">
        <f>IF(F86="",IF(COUNT(G86:G$88)=0,"",IF(ISBLANK(G86),AVERAGE(H85,H87),(1+G86)*H82)),F86)</f>
        <v>146.09269999999998</v>
      </c>
      <c r="I86" s="72">
        <f t="shared" si="2"/>
        <v>3.0999999999999917E-2</v>
      </c>
      <c r="J86" s="191" t="s">
        <v>229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1:50">
      <c r="C87" s="49">
        <v>46295</v>
      </c>
      <c r="D87" s="8"/>
      <c r="E87" s="8"/>
      <c r="F87" s="196"/>
      <c r="G87" s="110"/>
      <c r="H87" s="117">
        <f>IF(F87="",IF(COUNT(G87:G$88)=0,"",IF(ISBLANK(G87),AVERAGE(H86,H88),(1+G87)*H83)),F87)</f>
        <v>146.91928899999999</v>
      </c>
      <c r="I87" s="72">
        <f t="shared" si="2"/>
        <v>2.9993403018767184E-2</v>
      </c>
      <c r="J87" s="191"/>
      <c r="K87" s="8"/>
      <c r="L87" s="8"/>
      <c r="V87" s="81" t="str">
        <f>IF(C87&gt;EOMONTH(DATE('Input|General'!$G$12,MONTH('Input|General'!$G$9),1),0),"Ok",IF(I87="","Check","Ok"))</f>
        <v>Ok</v>
      </c>
    </row>
    <row r="88" spans="1:50">
      <c r="C88" s="49">
        <v>46387</v>
      </c>
      <c r="D88" s="8"/>
      <c r="E88" s="8"/>
      <c r="F88" s="196"/>
      <c r="G88" s="110">
        <v>2.9000000000000001E-2</v>
      </c>
      <c r="H88" s="117">
        <f>IF(F88="",IF(COUNT(G88:G$88)=0,"",IF(ISBLANK(G88),AVERAGE(H87,H89),(1+G88)*H84)),F88)</f>
        <v>147.745878</v>
      </c>
      <c r="I88" s="72">
        <f t="shared" si="2"/>
        <v>2.8999999999999915E-2</v>
      </c>
      <c r="J88" s="191" t="s">
        <v>229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1:50">
      <c r="F89" s="8"/>
      <c r="G89" s="8"/>
      <c r="H89" s="8"/>
      <c r="I89" s="8"/>
      <c r="J89" s="8"/>
      <c r="K89" s="8"/>
      <c r="L89" s="8"/>
      <c r="V89" s="82"/>
    </row>
    <row r="90" spans="1:50" customFormat="1" ht="12.75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idden="1">
      <c r="J91" s="20"/>
      <c r="K91" s="20"/>
    </row>
    <row r="92" spans="1:50" hidden="1">
      <c r="J92" s="20"/>
      <c r="K92" s="20"/>
    </row>
    <row r="93" spans="1:50" s="16" customFormat="1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conditionalFormatting sqref="G21:G88">
    <cfRule type="expression" dxfId="160" priority="1">
      <formula>F21=""</formula>
    </cfRule>
  </conditionalFormatting>
  <conditionalFormatting sqref="V1">
    <cfRule type="cellIs" dxfId="159" priority="6" operator="equal">
      <formula>"Check"</formula>
    </cfRule>
    <cfRule type="cellIs" dxfId="158" priority="7" operator="equal">
      <formula>"Ok"</formula>
    </cfRule>
  </conditionalFormatting>
  <conditionalFormatting sqref="V9:V88">
    <cfRule type="cellIs" dxfId="157" priority="12" operator="equal">
      <formula>"Check"</formula>
    </cfRule>
    <cfRule type="cellIs" dxfId="156" priority="13" operator="equal">
      <formula>"Ok"</formula>
    </cfRule>
  </conditionalFormatting>
  <conditionalFormatting sqref="Y1">
    <cfRule type="cellIs" dxfId="155" priority="8" operator="equal">
      <formula>"Check"</formula>
    </cfRule>
    <cfRule type="cellIs" dxfId="154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4" r:id="rId1" location="3-5-detailed-forecast-information" xr:uid="{3CB34489-0D27-46DB-B6C0-FEB567ADBFFA}"/>
    <hyperlink ref="J86" r:id="rId2" location="3-5-detailed-forecast-information" xr:uid="{1EFDA2A3-EFE8-4922-9BCA-FC20DB498D67}"/>
    <hyperlink ref="J88" r:id="rId3" location="3-5-detailed-forecast-information" xr:uid="{2FDAF4A2-40F7-4719-A014-BDC79AF7E677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zoomScaleNormal="100" workbookViewId="0">
      <selection activeCell="J1" sqref="J1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v2.4</v>
      </c>
      <c r="D1" s="25"/>
      <c r="E1" s="25"/>
      <c r="F1" s="26"/>
      <c r="G1" s="26"/>
      <c r="H1" s="26"/>
      <c r="I1" s="26"/>
      <c r="J1" s="188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189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8"/>
      <c r="B8" s="38" t="s">
        <v>205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44713</v>
      </c>
      <c r="K10" s="126">
        <f t="shared" si="0"/>
        <v>45078</v>
      </c>
      <c r="L10" s="126">
        <f t="shared" si="0"/>
        <v>45444</v>
      </c>
      <c r="M10" s="126">
        <f t="shared" si="0"/>
        <v>45809</v>
      </c>
      <c r="N10" s="126">
        <f t="shared" si="0"/>
        <v>46174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44348</v>
      </c>
      <c r="G13" s="124"/>
      <c r="H13" s="124"/>
      <c r="I13" s="123"/>
      <c r="J13" s="132">
        <v>143.202270923502</v>
      </c>
      <c r="K13" s="132">
        <v>142.79224346653382</v>
      </c>
      <c r="L13" s="132">
        <v>145.67432606877566</v>
      </c>
      <c r="M13" s="132">
        <v>148.62065111983014</v>
      </c>
      <c r="N13" s="132">
        <v>151.02490192064428</v>
      </c>
      <c r="O13" s="132"/>
      <c r="P13" s="132"/>
      <c r="Q13" s="132"/>
      <c r="R13" s="132"/>
      <c r="S13" s="132"/>
      <c r="T13" s="132"/>
      <c r="U13" s="122" t="s">
        <v>173</v>
      </c>
      <c r="V13" s="64" t="str">
        <f>IF(COUNT(J13:T13)=COUNT($J$10:$T$10),"Ok","Check")</f>
        <v>Ok</v>
      </c>
    </row>
    <row r="14" spans="1:22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44348</v>
      </c>
      <c r="G15" s="124"/>
      <c r="H15" s="124"/>
      <c r="I15" s="123"/>
      <c r="J15" s="136">
        <f>J13</f>
        <v>143.202270923502</v>
      </c>
      <c r="K15" s="136">
        <f t="shared" ref="K15:S15" si="1">K13</f>
        <v>142.79224346653382</v>
      </c>
      <c r="L15" s="136">
        <f t="shared" si="1"/>
        <v>145.67432606877566</v>
      </c>
      <c r="M15" s="136">
        <f t="shared" si="1"/>
        <v>148.62065111983014</v>
      </c>
      <c r="N15" s="136">
        <f t="shared" si="1"/>
        <v>151.02490192064428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>
      <c r="A17" s="122"/>
      <c r="B17" s="122"/>
      <c r="C17" s="125" t="s">
        <v>206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44348</v>
      </c>
      <c r="G19" s="124"/>
      <c r="H19" s="124"/>
      <c r="I19" s="123"/>
      <c r="J19" s="132">
        <v>1.16415518183836</v>
      </c>
      <c r="K19" s="132">
        <v>1.2101134294221598</v>
      </c>
      <c r="L19" s="132">
        <v>1.2278434917550101</v>
      </c>
      <c r="M19" s="132">
        <v>1.2336562852214701</v>
      </c>
      <c r="N19" s="132">
        <v>1.2373546668026401</v>
      </c>
      <c r="O19" s="132"/>
      <c r="P19" s="132"/>
      <c r="Q19" s="132"/>
      <c r="R19" s="132"/>
      <c r="S19" s="132"/>
      <c r="T19" s="132"/>
      <c r="U19" s="122" t="s">
        <v>207</v>
      </c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 t="s">
        <v>216</v>
      </c>
      <c r="D20" s="123" t="s">
        <v>64</v>
      </c>
      <c r="E20" s="123" t="str">
        <f t="shared" si="2"/>
        <v>$millions</v>
      </c>
      <c r="F20" s="137">
        <f t="shared" ref="F20:F29" si="3">$F$13</f>
        <v>44348</v>
      </c>
      <c r="G20" s="124"/>
      <c r="H20" s="124"/>
      <c r="I20" s="123"/>
      <c r="J20" s="132">
        <v>0.81501189500464499</v>
      </c>
      <c r="K20" s="132">
        <v>0.81501189500464499</v>
      </c>
      <c r="L20" s="132">
        <v>0.81501189500464499</v>
      </c>
      <c r="M20" s="132">
        <v>0.81501189500464499</v>
      </c>
      <c r="N20" s="132">
        <v>0.81501189500464499</v>
      </c>
      <c r="O20" s="132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130"/>
      <c r="D21" s="123" t="s">
        <v>64</v>
      </c>
      <c r="E21" s="123" t="str">
        <f t="shared" si="2"/>
        <v>$millions</v>
      </c>
      <c r="F21" s="137">
        <f t="shared" si="3"/>
        <v>44348</v>
      </c>
      <c r="G21" s="124"/>
      <c r="H21" s="124"/>
      <c r="I21" s="12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44348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44348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44348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44348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44348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44348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44348</v>
      </c>
      <c r="G29" s="124"/>
      <c r="H29" s="124"/>
      <c r="I29" s="123"/>
      <c r="J29" s="136">
        <f>SUM(J19:J27)</f>
        <v>1.979167076843005</v>
      </c>
      <c r="K29" s="136">
        <f t="shared" ref="K29:S29" si="5">SUM(K19:K27)</f>
        <v>2.0251253244268046</v>
      </c>
      <c r="L29" s="136">
        <f t="shared" si="5"/>
        <v>2.0428553867596548</v>
      </c>
      <c r="M29" s="136">
        <f t="shared" si="5"/>
        <v>2.0486681802261151</v>
      </c>
      <c r="N29" s="136">
        <f t="shared" si="5"/>
        <v>2.0523665618072853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2.75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23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44713</v>
      </c>
      <c r="K34" s="126">
        <f t="shared" si="6"/>
        <v>45078</v>
      </c>
      <c r="L34" s="126">
        <f t="shared" si="6"/>
        <v>45444</v>
      </c>
      <c r="M34" s="126">
        <f t="shared" si="6"/>
        <v>45809</v>
      </c>
      <c r="N34" s="126">
        <f t="shared" si="6"/>
        <v>46174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132">
        <v>128.98467199999999</v>
      </c>
      <c r="K37" s="132">
        <v>134.95891499999999</v>
      </c>
      <c r="L37" s="132">
        <v>150.88790670999998</v>
      </c>
      <c r="M37" s="132">
        <v>149.54141744488089</v>
      </c>
      <c r="N37" s="132">
        <v>155.50965525962499</v>
      </c>
      <c r="O37" s="132"/>
      <c r="P37" s="132"/>
      <c r="Q37" s="132"/>
      <c r="R37" s="132"/>
      <c r="S37" s="132"/>
      <c r="T37" s="132"/>
      <c r="U37" s="122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98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132">
        <v>0.42033803999999997</v>
      </c>
      <c r="K41" s="132">
        <v>3.0109300000000001</v>
      </c>
      <c r="L41" s="132">
        <v>3.0862032499999996</v>
      </c>
      <c r="M41" s="132">
        <v>0</v>
      </c>
      <c r="N41" s="132">
        <v>0</v>
      </c>
      <c r="O41" s="132"/>
      <c r="P41" s="132"/>
      <c r="Q41" s="132"/>
      <c r="R41" s="132"/>
      <c r="S41" s="132"/>
      <c r="T41" s="132"/>
      <c r="U41" s="122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193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132">
        <v>7.4630000000000002E-2</v>
      </c>
      <c r="K42" s="132">
        <v>0</v>
      </c>
      <c r="L42" s="132">
        <v>0</v>
      </c>
      <c r="M42" s="132">
        <v>0</v>
      </c>
      <c r="N42" s="132">
        <v>0</v>
      </c>
      <c r="O42" s="132"/>
      <c r="P42" s="132"/>
      <c r="Q42" s="132"/>
      <c r="R42" s="132"/>
      <c r="S42" s="132"/>
      <c r="T42" s="132"/>
      <c r="U42" s="122"/>
      <c r="V42" s="64" t="str">
        <f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/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22"/>
      <c r="V43" s="64" t="str">
        <f>IF(ISBLANK(C43),IF(COUNT(J43:T43)=0,"Ok","Check"),IF(AND(COUNT(J43:T43)&gt;=COUNTIF($J$33:$T$33,"Actual"),COUNT(J43:T43)&lt;=COUNT($J$34:$T$34)),"Ok","Check"))</f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22"/>
      <c r="V44" s="64" t="str">
        <f>IF(ISBLANK(C44),IF(COUNT(J44:T44)=0,"Ok","Check"),IF(AND(COUNT(J44:T44)&gt;=COUNTIF($J$33:$T$33,"Actual"),COUNT(J44:T44)&lt;=COUNT($J$34:$T$34)),"Ok","Check"))</f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22"/>
      <c r="V45" s="64" t="str">
        <f>IF(ISBLANK(C45),IF(COUNT(J45:T45)=0,"Ok","Check"),IF(AND(COUNT(J45:T45)&gt;=COUNTIF($J$33:$T$33,"Actual"),COUNT(J45:T45)&lt;=COUNT($J$34:$T$34)),"Ok","Check"))</f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128.48970395999999</v>
      </c>
      <c r="K47" s="136">
        <f>K37-SUM(K41:K45)</f>
        <v>131.94798499999999</v>
      </c>
      <c r="L47" s="136">
        <f t="shared" ref="L47:S47" si="7">L37-SUM(L41:L45)</f>
        <v>147.80170345999997</v>
      </c>
      <c r="M47" s="136">
        <f t="shared" si="7"/>
        <v>149.54141744488089</v>
      </c>
      <c r="N47" s="136">
        <f t="shared" si="7"/>
        <v>155.50965525962499</v>
      </c>
      <c r="O47" s="136">
        <f t="shared" si="7"/>
        <v>0</v>
      </c>
      <c r="P47" s="136">
        <f t="shared" si="7"/>
        <v>0</v>
      </c>
      <c r="Q47" s="136">
        <f t="shared" si="7"/>
        <v>0</v>
      </c>
      <c r="R47" s="136">
        <f t="shared" si="7"/>
        <v>0</v>
      </c>
      <c r="S47" s="136">
        <f t="shared" si="7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/>
      <c r="R51" s="132"/>
      <c r="S51" s="132"/>
      <c r="T51" s="132"/>
      <c r="U51" s="122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 t="s">
        <v>214</v>
      </c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132">
        <v>3.20241</v>
      </c>
      <c r="K52" s="132">
        <v>0.39895999999999998</v>
      </c>
      <c r="L52" s="132">
        <v>4.0754349999999997</v>
      </c>
      <c r="M52" s="132">
        <v>1.7425690395361566</v>
      </c>
      <c r="N52" s="132">
        <v>1.7425690395361566</v>
      </c>
      <c r="O52" s="132"/>
      <c r="P52" s="132"/>
      <c r="Q52" s="132"/>
      <c r="R52" s="132"/>
      <c r="S52" s="132"/>
      <c r="T52" s="132"/>
      <c r="U52" s="122"/>
      <c r="V52" s="64" t="str">
        <f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/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22"/>
      <c r="V53" s="64" t="str">
        <f>IF(ISBLANK(C53),IF(COUNT(J53:T53)=0,"Ok","Check"),IF(AND(COUNT(J53:T53)&gt;=COUNTIF($J$33:$T$33,"Actual"),COUNT(J53:T53)&lt;=COUNT($J$34:$T$34)),"Ok","Check"))</f>
        <v>Ok</v>
      </c>
    </row>
    <row r="54" spans="1:22">
      <c r="A54" s="122"/>
      <c r="B54" s="122"/>
      <c r="C54" s="130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132"/>
      <c r="K54" s="132"/>
      <c r="L54" s="132"/>
      <c r="M54" s="132"/>
      <c r="N54" s="132"/>
      <c r="O54" s="132"/>
      <c r="Q54" s="132"/>
      <c r="R54" s="132"/>
      <c r="S54" s="132"/>
      <c r="T54" s="132"/>
      <c r="U54" s="122"/>
      <c r="V54" s="64" t="str">
        <f>IF(ISBLANK(C54),IF(COUNT(J54:T54)=0,"Ok","Check"),IF(AND(COUNT(J54:T54)&gt;=COUNTIF($J$33:$T$33,"Actual"),COUNT(J54:T54)&lt;=COUNT($J$34:$T$34)),"Ok","Check"))</f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3.20241</v>
      </c>
      <c r="K57" s="140">
        <f t="shared" ref="K57:S57" si="8">SUM(K51:K55)</f>
        <v>0.39895999999999998</v>
      </c>
      <c r="L57" s="140">
        <f t="shared" si="8"/>
        <v>4.0754349999999997</v>
      </c>
      <c r="M57" s="140">
        <f t="shared" si="8"/>
        <v>1.7425690395361566</v>
      </c>
      <c r="N57" s="140">
        <f t="shared" si="8"/>
        <v>1.7425690395361566</v>
      </c>
      <c r="O57" s="140">
        <f t="shared" si="8"/>
        <v>0</v>
      </c>
      <c r="P57" s="140">
        <f t="shared" si="8"/>
        <v>0</v>
      </c>
      <c r="Q57" s="140">
        <f t="shared" si="8"/>
        <v>0</v>
      </c>
      <c r="R57" s="140">
        <f t="shared" si="8"/>
        <v>0</v>
      </c>
      <c r="S57" s="140">
        <f t="shared" si="8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2.75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9">IF(YEAR(J$4)=PPLastYear,J$4,"")</f>
        <v/>
      </c>
      <c r="K61" s="126" t="str">
        <f t="shared" si="9"/>
        <v/>
      </c>
      <c r="L61" s="126" t="str">
        <f t="shared" si="9"/>
        <v/>
      </c>
      <c r="M61" s="126" t="str">
        <f t="shared" si="9"/>
        <v/>
      </c>
      <c r="N61" s="126">
        <f t="shared" si="9"/>
        <v>46174</v>
      </c>
      <c r="O61" s="126" t="str">
        <f t="shared" si="9"/>
        <v/>
      </c>
      <c r="P61" s="126" t="str">
        <f t="shared" si="9"/>
        <v/>
      </c>
      <c r="Q61" s="126" t="str">
        <f t="shared" si="9"/>
        <v/>
      </c>
      <c r="R61" s="126" t="str">
        <f t="shared" si="9"/>
        <v/>
      </c>
      <c r="S61" s="126" t="str">
        <f t="shared" si="9"/>
        <v/>
      </c>
      <c r="T61" s="126"/>
      <c r="U61" s="122"/>
      <c r="V61" s="8"/>
    </row>
    <row r="62" spans="1:22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217</v>
      </c>
      <c r="D63" s="123" t="s">
        <v>34</v>
      </c>
      <c r="E63" s="123" t="str">
        <f>units</f>
        <v>$millions</v>
      </c>
      <c r="F63" s="142">
        <v>46174</v>
      </c>
      <c r="G63" s="124"/>
      <c r="H63" s="124"/>
      <c r="I63" s="124"/>
      <c r="J63" s="132"/>
      <c r="K63" s="132"/>
      <c r="L63" s="132"/>
      <c r="M63" s="132"/>
      <c r="N63" s="132">
        <v>-0.74928021871394357</v>
      </c>
      <c r="O63" s="132"/>
      <c r="P63" s="132"/>
      <c r="Q63" s="132"/>
      <c r="R63" s="132"/>
      <c r="S63" s="132"/>
      <c r="T63" s="132"/>
      <c r="U63" s="122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22"/>
      <c r="B64" s="122"/>
      <c r="C64" s="130"/>
      <c r="D64" s="123" t="s">
        <v>34</v>
      </c>
      <c r="E64" s="123" t="str">
        <f>units</f>
        <v>$millions</v>
      </c>
      <c r="F64" s="142">
        <v>46174</v>
      </c>
      <c r="G64" s="124"/>
      <c r="H64" s="124"/>
      <c r="I64" s="124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25"/>
      <c r="V64" s="64" t="str">
        <f>IF(ISBLANK(C64),IF(COUNT(J64:T64)=0,"Ok","Check"),IF(AND(NOT(ISBLANK(INDEX(J64:T64,1,MATCH(SUM($J$61:$T$61),J62:T62,0)))),COUNT(J64:T64)=COUNT($J$61:$T$61)),"Ok","Check"))</f>
        <v>Ok</v>
      </c>
    </row>
    <row r="65" spans="1:22">
      <c r="A65" s="122"/>
      <c r="B65" s="122"/>
      <c r="C65" s="130"/>
      <c r="D65" s="123" t="s">
        <v>34</v>
      </c>
      <c r="E65" s="123" t="str">
        <f>units</f>
        <v>$millions</v>
      </c>
      <c r="F65" s="142">
        <v>46174</v>
      </c>
      <c r="G65" s="124"/>
      <c r="H65" s="124"/>
      <c r="I65" s="124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25"/>
      <c r="V65" s="64" t="str">
        <f>IF(ISBLANK(C65),IF(COUNT(J65:T65)=0,"Ok","Check"),IF(AND(NOT(ISBLANK(INDEX(J65:T65,1,MATCH(SUM($J$61:$T$61),J63:T63,0)))),COUNT(J65:T65)=COUNT($J$61:$T$61)),"Ok","Check"))</f>
        <v>Ok</v>
      </c>
    </row>
    <row r="66" spans="1:22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46174</v>
      </c>
      <c r="G66" s="124"/>
      <c r="H66" s="124"/>
      <c r="I66" s="124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25"/>
      <c r="V66" s="64" t="str">
        <f>IF(ISBLANK(C66),IF(COUNT(J66:T66)=0,"Ok","Check"),IF(AND(NOT(ISBLANK(INDEX(J66:T66,1,MATCH(SUM($J$61:$T$61),J64:T64,0)))),COUNT(J66:T66)=COUNT($J$61:$T$61)),"Ok","Check"))</f>
        <v>Ok</v>
      </c>
    </row>
    <row r="67" spans="1:22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46174</v>
      </c>
      <c r="G67" s="124"/>
      <c r="H67" s="124"/>
      <c r="I67" s="124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25"/>
      <c r="V67" s="64" t="str">
        <f>IF(ISBLANK(C67),IF(COUNT(J67:T67)=0,"Ok","Check"),IF(AND(NOT(ISBLANK(INDEX(J67:T67,1,MATCH(SUM($J$61:$T$61),J65:T65,0)))),COUNT(J67:T67)=COUNT($J$61:$T$61)),"Ok","Check"))</f>
        <v>Ok</v>
      </c>
    </row>
    <row r="68" spans="1:22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46174</v>
      </c>
      <c r="G69" s="124"/>
      <c r="H69" s="124"/>
      <c r="I69" s="124"/>
      <c r="J69" s="132"/>
      <c r="K69" s="132"/>
      <c r="L69" s="132"/>
      <c r="M69" s="132"/>
      <c r="N69" s="132">
        <v>4.145830353503368</v>
      </c>
      <c r="O69" s="132"/>
      <c r="P69" s="132"/>
      <c r="Q69" s="132"/>
      <c r="R69" s="132"/>
      <c r="S69" s="132"/>
      <c r="T69" s="132"/>
      <c r="U69" s="122" t="s">
        <v>203</v>
      </c>
      <c r="V69" s="64" t="str">
        <f>IF(AND(NOT(ISBLANK(INDEX(J69:T69,1,MATCH(SUM($J$61:$T$61),J67:T67,0)))),COUNT(J69:T69)=COUNT($J$61:$T$61)),"Ok","Check")</f>
        <v>Ok</v>
      </c>
    </row>
    <row r="70" spans="1:22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146">
        <v>0</v>
      </c>
      <c r="O71" s="146"/>
      <c r="P71" s="146"/>
      <c r="Q71" s="146"/>
      <c r="R71" s="146"/>
      <c r="S71" s="146"/>
      <c r="T71" s="146"/>
      <c r="U71" s="122" t="s">
        <v>202</v>
      </c>
      <c r="V71" s="64" t="str">
        <f>IF(AND(NOT(ISBLANK(INDEX(J71:T71,1,MATCH(SUM($J$61:$T$61),J69:T69,0)))),COUNT(J71:T71)=COUNT($J$61:$T$61)),"Ok","Check")</f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2.75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conditionalFormatting sqref="J51:N55">
    <cfRule type="expression" dxfId="153" priority="22">
      <formula>J$34=J$4</formula>
    </cfRule>
  </conditionalFormatting>
  <conditionalFormatting sqref="J13:T13">
    <cfRule type="expression" dxfId="152" priority="31">
      <formula>J$10=J$4</formula>
    </cfRule>
  </conditionalFormatting>
  <conditionalFormatting sqref="J15:T15">
    <cfRule type="cellIs" dxfId="151" priority="34" operator="equal">
      <formula>0</formula>
    </cfRule>
  </conditionalFormatting>
  <conditionalFormatting sqref="J19:T27">
    <cfRule type="expression" dxfId="150" priority="26">
      <formula>J$10=J$4</formula>
    </cfRule>
  </conditionalFormatting>
  <conditionalFormatting sqref="J29:T29">
    <cfRule type="cellIs" dxfId="149" priority="27" operator="equal">
      <formula>0</formula>
    </cfRule>
  </conditionalFormatting>
  <conditionalFormatting sqref="J33:T33 N37:T37 O51:T51 P52:T53">
    <cfRule type="expression" dxfId="148" priority="32">
      <formula>J$34=J$4</formula>
    </cfRule>
  </conditionalFormatting>
  <conditionalFormatting sqref="J37:T37">
    <cfRule type="expression" dxfId="147" priority="30">
      <formula>J$10=J$4</formula>
    </cfRule>
  </conditionalFormatting>
  <conditionalFormatting sqref="J41:T45">
    <cfRule type="expression" dxfId="146" priority="24">
      <formula>J$34=J$4</formula>
    </cfRule>
  </conditionalFormatting>
  <conditionalFormatting sqref="J47:T47">
    <cfRule type="cellIs" dxfId="145" priority="29" operator="equal">
      <formula>0</formula>
    </cfRule>
  </conditionalFormatting>
  <conditionalFormatting sqref="J57:T57">
    <cfRule type="cellIs" dxfId="144" priority="33" operator="equal">
      <formula>0</formula>
    </cfRule>
  </conditionalFormatting>
  <conditionalFormatting sqref="J63:T67 J69:T69 J71:T71">
    <cfRule type="expression" dxfId="143" priority="63">
      <formula>J$61=J$4</formula>
    </cfRule>
  </conditionalFormatting>
  <conditionalFormatting sqref="O52:O54">
    <cfRule type="expression" dxfId="142" priority="25">
      <formula>O$34=O$4</formula>
    </cfRule>
  </conditionalFormatting>
  <conditionalFormatting sqref="Q54">
    <cfRule type="expression" dxfId="141" priority="184">
      <formula>P$34=P$4</formula>
    </cfRule>
  </conditionalFormatting>
  <conditionalFormatting sqref="R54:T54 O55:T55">
    <cfRule type="expression" dxfId="140" priority="72">
      <formula>O$34=O$4</formula>
    </cfRule>
  </conditionalFormatting>
  <conditionalFormatting sqref="S1:T1">
    <cfRule type="cellIs" dxfId="139" priority="52" operator="equal">
      <formula>"Ok"</formula>
    </cfRule>
    <cfRule type="cellIs" dxfId="138" priority="51" operator="equal">
      <formula>"Check"</formula>
    </cfRule>
  </conditionalFormatting>
  <conditionalFormatting sqref="V1">
    <cfRule type="cellIs" dxfId="137" priority="81" operator="equal">
      <formula>"Ok"</formula>
    </cfRule>
    <cfRule type="cellIs" dxfId="136" priority="80" operator="equal">
      <formula>"Check"</formula>
    </cfRule>
  </conditionalFormatting>
  <conditionalFormatting sqref="V13">
    <cfRule type="cellIs" dxfId="135" priority="19" operator="equal">
      <formula>"Check"</formula>
    </cfRule>
    <cfRule type="cellIs" dxfId="134" priority="20" operator="equal">
      <formula>"Ok"</formula>
    </cfRule>
  </conditionalFormatting>
  <conditionalFormatting sqref="V15">
    <cfRule type="cellIs" dxfId="133" priority="82" operator="equal">
      <formula>"Check"</formula>
    </cfRule>
    <cfRule type="cellIs" dxfId="132" priority="83" operator="equal">
      <formula>"Ok"</formula>
    </cfRule>
  </conditionalFormatting>
  <conditionalFormatting sqref="V19:V27">
    <cfRule type="cellIs" dxfId="131" priority="17" operator="equal">
      <formula>"Check"</formula>
    </cfRule>
    <cfRule type="cellIs" dxfId="130" priority="18" operator="equal">
      <formula>"Ok"</formula>
    </cfRule>
  </conditionalFormatting>
  <conditionalFormatting sqref="V29">
    <cfRule type="cellIs" dxfId="129" priority="59" operator="equal">
      <formula>"Check"</formula>
    </cfRule>
    <cfRule type="cellIs" dxfId="128" priority="60" operator="equal">
      <formula>"Ok"</formula>
    </cfRule>
  </conditionalFormatting>
  <conditionalFormatting sqref="V37">
    <cfRule type="cellIs" dxfId="127" priority="13" operator="equal">
      <formula>"Check"</formula>
    </cfRule>
    <cfRule type="cellIs" dxfId="126" priority="14" operator="equal">
      <formula>"Ok"</formula>
    </cfRule>
  </conditionalFormatting>
  <conditionalFormatting sqref="V41:V45">
    <cfRule type="cellIs" dxfId="125" priority="10" operator="equal">
      <formula>"Ok"</formula>
    </cfRule>
    <cfRule type="cellIs" dxfId="124" priority="9" operator="equal">
      <formula>"Check"</formula>
    </cfRule>
  </conditionalFormatting>
  <conditionalFormatting sqref="V47">
    <cfRule type="cellIs" dxfId="123" priority="66" operator="equal">
      <formula>"Check"</formula>
    </cfRule>
    <cfRule type="cellIs" dxfId="122" priority="67" operator="equal">
      <formula>"Ok"</formula>
    </cfRule>
  </conditionalFormatting>
  <conditionalFormatting sqref="V48:V50">
    <cfRule type="cellIs" dxfId="121" priority="75" operator="equal">
      <formula>"Ok"</formula>
    </cfRule>
    <cfRule type="cellIs" dxfId="120" priority="74" operator="equal">
      <formula>"Check"</formula>
    </cfRule>
  </conditionalFormatting>
  <conditionalFormatting sqref="V51:V55">
    <cfRule type="cellIs" dxfId="119" priority="8" operator="equal">
      <formula>"Ok"</formula>
    </cfRule>
    <cfRule type="cellIs" dxfId="118" priority="7" operator="equal">
      <formula>"Check"</formula>
    </cfRule>
  </conditionalFormatting>
  <conditionalFormatting sqref="V52:V55">
    <cfRule type="cellIs" dxfId="117" priority="86" operator="equal">
      <formula>"Check"</formula>
    </cfRule>
    <cfRule type="cellIs" dxfId="116" priority="87" operator="equal">
      <formula>"Ok"</formula>
    </cfRule>
  </conditionalFormatting>
  <conditionalFormatting sqref="V57">
    <cfRule type="cellIs" dxfId="115" priority="84" operator="equal">
      <formula>"Check"</formula>
    </cfRule>
    <cfRule type="cellIs" dxfId="114" priority="85" operator="equal">
      <formula>"Ok"</formula>
    </cfRule>
  </conditionalFormatting>
  <conditionalFormatting sqref="V63:V67">
    <cfRule type="cellIs" dxfId="113" priority="5" operator="equal">
      <formula>"Check"</formula>
    </cfRule>
    <cfRule type="cellIs" dxfId="112" priority="6" operator="equal">
      <formula>"Ok"</formula>
    </cfRule>
  </conditionalFormatting>
  <conditionalFormatting sqref="V69">
    <cfRule type="cellIs" dxfId="111" priority="3" operator="equal">
      <formula>"Check"</formula>
    </cfRule>
    <cfRule type="cellIs" dxfId="110" priority="4" operator="equal">
      <formula>"Ok"</formula>
    </cfRule>
  </conditionalFormatting>
  <conditionalFormatting sqref="V71">
    <cfRule type="cellIs" dxfId="109" priority="2" operator="equal">
      <formula>"Ok"</formula>
    </cfRule>
    <cfRule type="cellIs" dxfId="108" priority="1" operator="equal">
      <formula>"Check"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Q54:T54 J51:T53 J13:T13 J37:T37 J55:T55 J54:O54 J19:T27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workbookViewId="0">
      <selection activeCell="K1" sqref="K1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26"/>
      <c r="K1" s="188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189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109</v>
      </c>
      <c r="K3" s="204"/>
      <c r="L3" s="204"/>
      <c r="M3" s="204"/>
      <c r="N3" s="105"/>
      <c r="O3" s="204"/>
      <c r="P3" s="204"/>
      <c r="Q3" s="204"/>
      <c r="R3" s="204"/>
      <c r="S3" s="204"/>
      <c r="T3" s="204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2.75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44348</v>
      </c>
      <c r="K10" s="126">
        <f t="shared" si="0"/>
        <v>44713</v>
      </c>
      <c r="L10" s="126">
        <f t="shared" si="0"/>
        <v>45078</v>
      </c>
      <c r="M10" s="126">
        <f t="shared" si="0"/>
        <v>45444</v>
      </c>
      <c r="N10" s="126">
        <f t="shared" si="0"/>
        <v>45809</v>
      </c>
      <c r="O10" s="126">
        <f t="shared" si="0"/>
        <v>46174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IF(J10=J4,LOOKUP(EOMONTH(J4,0),'Input|Inflation'!$C$9:$C$88,'Input|Inflation'!$I$9:$I$88),"")</f>
        <v>3.8461538461538325E-2</v>
      </c>
      <c r="K12" s="151">
        <f>IF(K10=K4,LOOKUP(EOMONTH(K4,0),'Input|Inflation'!$C$9:$C$88,'Input|Inflation'!$I$9:$I$88),"")</f>
        <v>6.1447811447811418E-2</v>
      </c>
      <c r="L12" s="151">
        <f>IF(L10=L4,LOOKUP(EOMONTH(L4,0),'Input|Inflation'!$C$9:$C$88,'Input|Inflation'!$I$9:$I$88),"")</f>
        <v>6.0269627279936566E-2</v>
      </c>
      <c r="M12" s="151">
        <f>IF(M10=M4,LOOKUP(EOMONTH(M4,0),'Input|Inflation'!$C$9:$C$88,'Input|Inflation'!$I$9:$I$88),"")</f>
        <v>3.8145100972326373E-2</v>
      </c>
      <c r="N12" s="151">
        <f>IF(N10=N4,LOOKUP(EOMONTH(N4,0),'Input|Inflation'!$C$9:$C$88,'Input|Inflation'!$I$9:$I$88),"")</f>
        <v>2.0893371757924939E-2</v>
      </c>
      <c r="O12" s="151">
        <f>IF(O10=O4,LOOKUP(EOMONTH(O4,0),'Input|Inflation'!$C$9:$C$88,'Input|Inflation'!$I$9:$I$88),"")</f>
        <v>3.0999999999999917E-2</v>
      </c>
      <c r="P12" s="151" t="str">
        <f>IF(P10=P4,LOOKUP(EOMONTH(P4,0),'Input|Inflation'!$C$9:$C$88,'Input|Inflation'!$I$9:$I$88),"")</f>
        <v/>
      </c>
      <c r="Q12" s="151" t="str">
        <f>IF(Q10=Q4,LOOKUP(EOMONTH(Q4,0),'Input|Inflation'!$C$9:$C$88,'Input|Inflation'!$I$9:$I$88),"")</f>
        <v/>
      </c>
      <c r="R12" s="151" t="str">
        <f>IF(R10=R4,LOOKUP(EOMONTH(R4,0),'Input|Inflation'!$C$9:$C$88,'Input|Inflation'!$I$9:$I$88),"")</f>
        <v/>
      </c>
      <c r="S12" s="151" t="str">
        <f>IF(S10=S4,LOOKUP(EOMONTH(S4,0),'Input|Inflation'!$C$9:$C$88,'Input|Inflation'!$I$9:$I$88),"")</f>
        <v/>
      </c>
      <c r="T12" s="151" t="str">
        <f>IF(T10=T4,LOOKUP(EOMONTH(T4,0),'Input|Inflation'!$C$9:$C$88,'Input|Inflation'!$I$9:$I$88),"")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44348</v>
      </c>
      <c r="K14" s="126">
        <f t="shared" si="1"/>
        <v>44713</v>
      </c>
      <c r="L14" s="126">
        <f t="shared" si="1"/>
        <v>45078</v>
      </c>
      <c r="M14" s="126">
        <f t="shared" si="1"/>
        <v>45444</v>
      </c>
      <c r="N14" s="126">
        <f t="shared" si="1"/>
        <v>45809</v>
      </c>
      <c r="O14" s="126">
        <f t="shared" si="1"/>
        <v>46174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44348</v>
      </c>
      <c r="D16" s="153" t="str">
        <f t="shared" ref="D16:D22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O22" si="3">IF(AND($C16&gt;J$14,ISNONTEXT($C16)),K16/(1+K$12),IF(AND($C16=J$14,J$14=J$4),1,IF(AND($C16&lt;J$14,J$14=J$4),I16*(1+J$12),0)))</f>
        <v>1</v>
      </c>
      <c r="K16" s="157">
        <f t="shared" si="3"/>
        <v>1.0614478114478114</v>
      </c>
      <c r="L16" s="157">
        <f t="shared" si="3"/>
        <v>1.1254208754208754</v>
      </c>
      <c r="M16" s="157">
        <f t="shared" si="3"/>
        <v>1.1683501683501687</v>
      </c>
      <c r="N16" s="157">
        <f t="shared" si="3"/>
        <v>1.1927609427609429</v>
      </c>
      <c r="O16" s="157">
        <f t="shared" si="3"/>
        <v>1.2297365319865321</v>
      </c>
      <c r="P16" s="157">
        <f t="shared" ref="P16:P21" si="4">IF(AND($C16&gt;P$14,ISNONTEXT($C16)),Q16/(1+P$12),IF(AND($C16=P$14,P$14=P$4),1,IF(AND($C16&lt;P$14,P$14=P$4),O16*(1+P$12),0)))</f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44713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si="3"/>
        <v>0.94210943695479776</v>
      </c>
      <c r="K17" s="157">
        <f t="shared" si="3"/>
        <v>1</v>
      </c>
      <c r="L17" s="157">
        <f t="shared" si="3"/>
        <v>1.0602696272799366</v>
      </c>
      <c r="M17" s="157">
        <f t="shared" si="3"/>
        <v>1.1007137192704206</v>
      </c>
      <c r="N17" s="157">
        <f t="shared" si="3"/>
        <v>1.1237113402061858</v>
      </c>
      <c r="O17" s="157">
        <f t="shared" si="3"/>
        <v>1.1585463917525776</v>
      </c>
      <c r="P17" s="157">
        <f t="shared" si="4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45078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si="3"/>
        <v>0.88855646970830215</v>
      </c>
      <c r="K18" s="157">
        <f t="shared" si="3"/>
        <v>0.94315632011967088</v>
      </c>
      <c r="L18" s="157">
        <f t="shared" si="3"/>
        <v>1</v>
      </c>
      <c r="M18" s="157">
        <f t="shared" si="3"/>
        <v>1.0381451009723264</v>
      </c>
      <c r="N18" s="157">
        <f t="shared" si="3"/>
        <v>1.0598354525056097</v>
      </c>
      <c r="O18" s="157">
        <f t="shared" si="3"/>
        <v>1.0926903515332835</v>
      </c>
      <c r="P18" s="157">
        <f t="shared" si="4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45444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si="3"/>
        <v>0.85590778097982689</v>
      </c>
      <c r="K19" s="157">
        <f t="shared" si="3"/>
        <v>0.90850144092218998</v>
      </c>
      <c r="L19" s="157">
        <f t="shared" si="3"/>
        <v>0.96325648414985565</v>
      </c>
      <c r="M19" s="157">
        <f t="shared" si="3"/>
        <v>1</v>
      </c>
      <c r="N19" s="157">
        <f t="shared" si="3"/>
        <v>1.0208933717579249</v>
      </c>
      <c r="O19" s="157">
        <f t="shared" si="3"/>
        <v>1.0525410662824206</v>
      </c>
      <c r="P19" s="157">
        <f t="shared" si="4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45809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 t="shared" si="3"/>
        <v>0.83839096683133374</v>
      </c>
      <c r="K20" s="157">
        <f t="shared" si="3"/>
        <v>0.88990825688073383</v>
      </c>
      <c r="L20" s="157">
        <f t="shared" si="3"/>
        <v>0.9435426958362737</v>
      </c>
      <c r="M20" s="157">
        <f t="shared" si="3"/>
        <v>0.97953422724064942</v>
      </c>
      <c r="N20" s="157">
        <f t="shared" si="3"/>
        <v>1</v>
      </c>
      <c r="O20" s="157">
        <f t="shared" si="3"/>
        <v>1.0309999999999999</v>
      </c>
      <c r="P20" s="157">
        <f t="shared" si="4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46174</v>
      </c>
      <c r="D21" s="153" t="str">
        <f t="shared" si="2"/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 t="shared" si="3"/>
        <v>0.81318231506433936</v>
      </c>
      <c r="K21" s="157">
        <f t="shared" si="3"/>
        <v>0.86315058863310767</v>
      </c>
      <c r="L21" s="157">
        <f t="shared" si="3"/>
        <v>0.91517235289648291</v>
      </c>
      <c r="M21" s="157">
        <f t="shared" si="3"/>
        <v>0.95008169470480075</v>
      </c>
      <c r="N21" s="157">
        <f t="shared" si="3"/>
        <v>0.96993210475266745</v>
      </c>
      <c r="O21" s="157">
        <f t="shared" si="3"/>
        <v>1</v>
      </c>
      <c r="P21" s="157">
        <f t="shared" si="4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 t="shared" si="2"/>
        <v/>
      </c>
      <c r="E22" s="123" t="str">
        <f t="shared" si="5"/>
        <v/>
      </c>
      <c r="F22" s="123"/>
      <c r="G22" s="123"/>
      <c r="H22" s="123"/>
      <c r="I22" s="157"/>
      <c r="J22" s="157">
        <f t="shared" si="3"/>
        <v>0</v>
      </c>
      <c r="K22" s="157">
        <f t="shared" si="3"/>
        <v>0</v>
      </c>
      <c r="L22" s="157">
        <f t="shared" si="3"/>
        <v>0</v>
      </c>
      <c r="M22" s="157">
        <f t="shared" si="3"/>
        <v>0</v>
      </c>
      <c r="N22" s="157">
        <f t="shared" si="3"/>
        <v>0</v>
      </c>
      <c r="O22" s="157">
        <f t="shared" si="3"/>
        <v>0</v>
      </c>
      <c r="P22" s="157">
        <f>IF(AND($C22&gt;P$14,ISNONTEXT($C22)),Q22/(1+Q$12),IF(AND($C22=P$14,P$14=P$4),1,IF(AND($C22&lt;P$14,P$14=P$4),O22*(1+P$12),0)))</f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6">IF(YEAR(J$4)&lt;=PPLastYear,J$4,"")</f>
        <v>44348</v>
      </c>
      <c r="K24" s="126">
        <f t="shared" si="6"/>
        <v>44713</v>
      </c>
      <c r="L24" s="126">
        <f t="shared" si="6"/>
        <v>45078</v>
      </c>
      <c r="M24" s="126">
        <f t="shared" si="6"/>
        <v>45444</v>
      </c>
      <c r="N24" s="126">
        <f t="shared" si="6"/>
        <v>45809</v>
      </c>
      <c r="O24" s="126">
        <f t="shared" si="6"/>
        <v>46174</v>
      </c>
      <c r="P24" s="126" t="str">
        <f t="shared" si="6"/>
        <v/>
      </c>
      <c r="Q24" s="126" t="str">
        <f t="shared" si="6"/>
        <v/>
      </c>
      <c r="R24" s="126" t="str">
        <f t="shared" si="6"/>
        <v/>
      </c>
      <c r="S24" s="126" t="str">
        <f t="shared" si="6"/>
        <v/>
      </c>
      <c r="T24" s="126" t="str">
        <f t="shared" si="6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44348</v>
      </c>
      <c r="D26" s="153" t="str">
        <f t="shared" ref="D26:D32" si="7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1.019049330730136</v>
      </c>
      <c r="K26" s="157">
        <f t="shared" ref="K26:T26" si="8">IF(AND(K$24=K$4,ISNONTEXT($C26)),1/K16*(1+K$12)^0.5,0)</f>
        <v>0.970623220902322</v>
      </c>
      <c r="L26" s="157">
        <f t="shared" si="8"/>
        <v>0.9149412196307648</v>
      </c>
      <c r="M26" s="157">
        <f t="shared" si="8"/>
        <v>0.87207935204504272</v>
      </c>
      <c r="N26" s="157">
        <f t="shared" si="8"/>
        <v>0.84710409750758409</v>
      </c>
      <c r="O26" s="157">
        <f t="shared" ref="O26" si="9">IF(AND(O$24=O$4,ISNONTEXT($C26)),1/O16*(1+O$12)^0.5,0)</f>
        <v>0.82569044280343551</v>
      </c>
      <c r="P26" s="157">
        <f t="shared" si="8"/>
        <v>0</v>
      </c>
      <c r="Q26" s="157">
        <f t="shared" si="8"/>
        <v>0</v>
      </c>
      <c r="R26" s="157">
        <f t="shared" si="8"/>
        <v>0</v>
      </c>
      <c r="S26" s="157">
        <f t="shared" si="8"/>
        <v>0</v>
      </c>
      <c r="T26" s="157">
        <f t="shared" si="8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44713</v>
      </c>
      <c r="D27" s="153" t="str">
        <f t="shared" si="7"/>
        <v>calculated</v>
      </c>
      <c r="E27" s="123" t="str">
        <f t="shared" ref="E27:E32" si="10">IF(ISNONTEXT($C27),"index","")</f>
        <v>index</v>
      </c>
      <c r="F27" s="123"/>
      <c r="G27" s="123"/>
      <c r="H27" s="123"/>
      <c r="I27" s="157"/>
      <c r="J27" s="157">
        <f t="shared" ref="J27:T27" si="11">IF(AND(J$24=J$4,ISNONTEXT($C27)),1/J17*(1+J$12)^0.5,0)</f>
        <v>1.0816676818608599</v>
      </c>
      <c r="K27" s="157">
        <f t="shared" si="11"/>
        <v>1.0302658935671953</v>
      </c>
      <c r="L27" s="157">
        <f t="shared" si="11"/>
        <v>0.97116235518046667</v>
      </c>
      <c r="M27" s="157">
        <f t="shared" si="11"/>
        <v>0.92566671963703617</v>
      </c>
      <c r="N27" s="157">
        <f t="shared" si="11"/>
        <v>0.89915679036789842</v>
      </c>
      <c r="O27" s="157">
        <f t="shared" ref="O27" si="12">IF(AND(O$24=O$4,ISNONTEXT($C27)),1/O17*(1+O$12)^0.5,0)</f>
        <v>0.87642731344708091</v>
      </c>
      <c r="P27" s="157">
        <f t="shared" si="11"/>
        <v>0</v>
      </c>
      <c r="Q27" s="157">
        <f t="shared" si="11"/>
        <v>0</v>
      </c>
      <c r="R27" s="157">
        <f t="shared" si="11"/>
        <v>0</v>
      </c>
      <c r="S27" s="157">
        <f t="shared" si="11"/>
        <v>0</v>
      </c>
      <c r="T27" s="157">
        <f t="shared" si="11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45078</v>
      </c>
      <c r="D28" s="153" t="str">
        <f t="shared" si="7"/>
        <v>calculated</v>
      </c>
      <c r="E28" s="123" t="str">
        <f t="shared" si="10"/>
        <v>index</v>
      </c>
      <c r="F28" s="123"/>
      <c r="G28" s="123"/>
      <c r="H28" s="123"/>
      <c r="I28" s="157"/>
      <c r="J28" s="157">
        <f t="shared" ref="J28:T28" si="13">IF(AND(J$24=J$4,ISNONTEXT($C28)),1/J18*(1+J$12)^0.5,0)</f>
        <v>1.1468593898873669</v>
      </c>
      <c r="K28" s="157">
        <f t="shared" si="13"/>
        <v>1.0923596349717211</v>
      </c>
      <c r="L28" s="157">
        <f t="shared" si="13"/>
        <v>1.0296939483554988</v>
      </c>
      <c r="M28" s="157">
        <f t="shared" si="13"/>
        <v>0.98145630781500182</v>
      </c>
      <c r="N28" s="157">
        <f t="shared" si="13"/>
        <v>0.95334863498959588</v>
      </c>
      <c r="O28" s="157">
        <f t="shared" ref="O28" si="14">IF(AND(O$24=O$4,ISNONTEXT($C28)),1/O18*(1+O$12)^0.5,0)</f>
        <v>0.92924926096649274</v>
      </c>
      <c r="P28" s="157">
        <f t="shared" si="13"/>
        <v>0</v>
      </c>
      <c r="Q28" s="157">
        <f t="shared" si="13"/>
        <v>0</v>
      </c>
      <c r="R28" s="157">
        <f t="shared" si="13"/>
        <v>0</v>
      </c>
      <c r="S28" s="157">
        <f t="shared" si="13"/>
        <v>0</v>
      </c>
      <c r="T28" s="157">
        <f t="shared" si="13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45444</v>
      </c>
      <c r="D29" s="153" t="str">
        <f t="shared" si="7"/>
        <v>calculated</v>
      </c>
      <c r="E29" s="123" t="str">
        <f t="shared" si="10"/>
        <v>index</v>
      </c>
      <c r="F29" s="123"/>
      <c r="G29" s="123"/>
      <c r="H29" s="123"/>
      <c r="I29" s="157"/>
      <c r="J29" s="157">
        <f t="shared" ref="J29:T29" si="15">IF(AND(J$24=J$4,ISNONTEXT($C29)),1/J19*(1+J$12)^0.5,0)</f>
        <v>1.1906064571156811</v>
      </c>
      <c r="K29" s="157">
        <f t="shared" si="15"/>
        <v>1.1340278035458109</v>
      </c>
      <c r="L29" s="157">
        <f t="shared" si="15"/>
        <v>1.0689717279861126</v>
      </c>
      <c r="M29" s="157">
        <f t="shared" si="15"/>
        <v>1.0188940577765317</v>
      </c>
      <c r="N29" s="157">
        <f t="shared" si="15"/>
        <v>0.98971421493310363</v>
      </c>
      <c r="O29" s="157">
        <f t="shared" ref="O29" si="16">IF(AND(O$24=O$4,ISNONTEXT($C29)),1/O19*(1+O$12)^0.5,0)</f>
        <v>0.96469556785451915</v>
      </c>
      <c r="P29" s="157">
        <f t="shared" si="15"/>
        <v>0</v>
      </c>
      <c r="Q29" s="157">
        <f t="shared" si="15"/>
        <v>0</v>
      </c>
      <c r="R29" s="157">
        <f t="shared" si="15"/>
        <v>0</v>
      </c>
      <c r="S29" s="157">
        <f t="shared" si="15"/>
        <v>0</v>
      </c>
      <c r="T29" s="157">
        <f t="shared" si="15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45809</v>
      </c>
      <c r="D30" s="153" t="str">
        <f t="shared" si="7"/>
        <v>calculated</v>
      </c>
      <c r="E30" s="123" t="str">
        <f t="shared" si="10"/>
        <v>index</v>
      </c>
      <c r="F30" s="123"/>
      <c r="G30" s="123"/>
      <c r="H30" s="123"/>
      <c r="I30" s="157"/>
      <c r="J30" s="157">
        <f t="shared" ref="J30:T30" si="17">IF(AND(J$24=J$4,ISNONTEXT($C30)),1/J20*(1+J$12)^0.5,0)</f>
        <v>1.215482240441585</v>
      </c>
      <c r="K30" s="157">
        <f t="shared" si="17"/>
        <v>1.1577214680291166</v>
      </c>
      <c r="L30" s="157">
        <f t="shared" si="17"/>
        <v>1.0913061516976379</v>
      </c>
      <c r="M30" s="157">
        <f t="shared" si="17"/>
        <v>1.0401821901075974</v>
      </c>
      <c r="N30" s="157">
        <f t="shared" si="17"/>
        <v>1.0103926819598037</v>
      </c>
      <c r="O30" s="157">
        <f t="shared" ref="O30" si="18">IF(AND(O$24=O$4,ISNONTEXT($C30)),1/O20*(1+O$12)^0.5,0)</f>
        <v>0.98485131098692624</v>
      </c>
      <c r="P30" s="157">
        <f t="shared" si="17"/>
        <v>0</v>
      </c>
      <c r="Q30" s="157">
        <f t="shared" si="17"/>
        <v>0</v>
      </c>
      <c r="R30" s="157">
        <f t="shared" si="17"/>
        <v>0</v>
      </c>
      <c r="S30" s="157">
        <f t="shared" si="17"/>
        <v>0</v>
      </c>
      <c r="T30" s="157">
        <f t="shared" si="1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46174</v>
      </c>
      <c r="D31" s="153" t="str">
        <f t="shared" si="7"/>
        <v>calculated</v>
      </c>
      <c r="E31" s="123" t="str">
        <f t="shared" si="10"/>
        <v>index</v>
      </c>
      <c r="F31" s="123"/>
      <c r="G31" s="123"/>
      <c r="H31" s="123"/>
      <c r="I31" s="157"/>
      <c r="J31" s="157">
        <f t="shared" ref="J31:T32" si="19">IF(AND(J$24=J$4,ISNONTEXT($C31)),1/J21*(1+J$12)^0.5,0)</f>
        <v>1.2531621898952738</v>
      </c>
      <c r="K31" s="157">
        <f t="shared" si="19"/>
        <v>1.1936108335380191</v>
      </c>
      <c r="L31" s="157">
        <f t="shared" si="19"/>
        <v>1.1251366424002645</v>
      </c>
      <c r="M31" s="157">
        <f t="shared" si="19"/>
        <v>1.0724278380009327</v>
      </c>
      <c r="N31" s="157">
        <f t="shared" si="19"/>
        <v>1.0417148551005575</v>
      </c>
      <c r="O31" s="157">
        <f t="shared" si="19"/>
        <v>1.0153817016275208</v>
      </c>
      <c r="P31" s="157">
        <f t="shared" si="19"/>
        <v>0</v>
      </c>
      <c r="Q31" s="157">
        <f t="shared" si="19"/>
        <v>0</v>
      </c>
      <c r="R31" s="157">
        <f t="shared" si="19"/>
        <v>0</v>
      </c>
      <c r="S31" s="157">
        <f t="shared" si="19"/>
        <v>0</v>
      </c>
      <c r="T31" s="157">
        <f t="shared" si="19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7"/>
        <v/>
      </c>
      <c r="E32" s="123" t="str">
        <f t="shared" si="10"/>
        <v/>
      </c>
      <c r="F32" s="123"/>
      <c r="G32" s="123"/>
      <c r="H32" s="123"/>
      <c r="I32" s="157"/>
      <c r="J32" s="157">
        <f t="shared" si="19"/>
        <v>0</v>
      </c>
      <c r="K32" s="157">
        <f t="shared" si="19"/>
        <v>0</v>
      </c>
      <c r="L32" s="157">
        <f t="shared" si="19"/>
        <v>0</v>
      </c>
      <c r="M32" s="157">
        <f t="shared" si="19"/>
        <v>0</v>
      </c>
      <c r="N32" s="157">
        <f t="shared" si="19"/>
        <v>0</v>
      </c>
      <c r="O32" s="157">
        <f t="shared" si="19"/>
        <v>0</v>
      </c>
      <c r="P32" s="157">
        <f t="shared" si="19"/>
        <v>0</v>
      </c>
      <c r="Q32" s="157">
        <f t="shared" si="19"/>
        <v>0</v>
      </c>
      <c r="R32" s="157">
        <f t="shared" si="19"/>
        <v>0</v>
      </c>
      <c r="S32" s="157">
        <f t="shared" si="19"/>
        <v>0</v>
      </c>
      <c r="T32" s="157">
        <f t="shared" si="19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2.75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0">IF(YEAR(J$4)&gt;=FPFirstYear,IF(YEAR(J$4)&lt;=FPLastYear,J$4,""),"")</f>
        <v/>
      </c>
      <c r="K36" s="141" t="str">
        <f t="shared" si="20"/>
        <v/>
      </c>
      <c r="L36" s="141" t="str">
        <f t="shared" si="20"/>
        <v/>
      </c>
      <c r="M36" s="141" t="str">
        <f t="shared" si="20"/>
        <v/>
      </c>
      <c r="N36" s="141" t="str">
        <f t="shared" si="20"/>
        <v/>
      </c>
      <c r="O36" s="141" t="str">
        <f t="shared" si="20"/>
        <v/>
      </c>
      <c r="P36" s="141">
        <f t="shared" si="20"/>
        <v>46539</v>
      </c>
      <c r="Q36" s="141">
        <f t="shared" si="20"/>
        <v>46905</v>
      </c>
      <c r="R36" s="141">
        <f t="shared" si="20"/>
        <v>47270</v>
      </c>
      <c r="S36" s="141">
        <f t="shared" si="20"/>
        <v>47635</v>
      </c>
      <c r="T36" s="141">
        <f t="shared" si="20"/>
        <v>48000</v>
      </c>
      <c r="U36" s="141" t="str">
        <f t="shared" si="20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227</v>
      </c>
      <c r="D38" s="123" t="s">
        <v>96</v>
      </c>
      <c r="E38" s="123" t="str">
        <f t="shared" ref="E38:E45" si="21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6.6742534384085506E-3</v>
      </c>
      <c r="Q38" s="162">
        <v>9.1898693689420607E-3</v>
      </c>
      <c r="R38" s="162">
        <v>1.0844237001720769E-2</v>
      </c>
      <c r="S38" s="162">
        <v>1.0677567182329151E-2</v>
      </c>
      <c r="T38" s="162">
        <v>1.0220337553900727E-2</v>
      </c>
      <c r="U38" s="122"/>
      <c r="V38" s="122"/>
      <c r="W38" s="122"/>
    </row>
    <row r="39" spans="1:34" ht="11.25" customHeight="1" outlineLevel="1">
      <c r="A39" s="122"/>
      <c r="B39" s="122"/>
      <c r="C39" s="130" t="s">
        <v>228</v>
      </c>
      <c r="D39" s="123" t="s">
        <v>96</v>
      </c>
      <c r="E39" s="123" t="str">
        <f t="shared" si="21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2">
        <v>1.1627048788004135E-2</v>
      </c>
      <c r="Q39" s="162">
        <v>9.7167112576105781E-3</v>
      </c>
      <c r="R39" s="162">
        <v>1.2509981063376197E-2</v>
      </c>
      <c r="S39" s="162">
        <v>1.3480376168036013E-2</v>
      </c>
      <c r="T39" s="162">
        <v>1.1964706087105283E-2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174</v>
      </c>
      <c r="D40" s="123" t="s">
        <v>96</v>
      </c>
      <c r="E40" s="123" t="str">
        <f t="shared" si="21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9.1506511132063428E-3</v>
      </c>
      <c r="Q40" s="163">
        <f>AVERAGE(Q38:Q39)</f>
        <v>9.4532903132763194E-3</v>
      </c>
      <c r="R40" s="163">
        <f>AVERAGE(R38:R39)</f>
        <v>1.1677109032548483E-2</v>
      </c>
      <c r="S40" s="163">
        <f>AVERAGE(S38:S39)</f>
        <v>1.2078971675182581E-2</v>
      </c>
      <c r="T40" s="163">
        <f>AVERAGE(T38:T39)</f>
        <v>1.1092521820503005E-2</v>
      </c>
      <c r="U40" s="122"/>
      <c r="V40" s="122"/>
      <c r="W40" s="122"/>
    </row>
    <row r="41" spans="1:34" ht="11.25" customHeight="1" outlineLevel="1">
      <c r="A41" s="122"/>
      <c r="B41" s="122"/>
      <c r="C41" s="130"/>
      <c r="D41" s="123" t="s">
        <v>96</v>
      </c>
      <c r="E41" s="123" t="str">
        <f t="shared" si="21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3"/>
      <c r="Q41" s="163"/>
      <c r="R41" s="163"/>
      <c r="S41" s="163"/>
      <c r="T41" s="163"/>
      <c r="U41" s="164"/>
      <c r="V41" s="165"/>
      <c r="W41" s="122"/>
    </row>
    <row r="42" spans="1:34" ht="11.25" customHeight="1" outlineLevel="1">
      <c r="A42" s="122"/>
      <c r="B42" s="122"/>
      <c r="C42" s="130"/>
      <c r="D42" s="123" t="s">
        <v>96</v>
      </c>
      <c r="E42" s="123" t="str">
        <f t="shared" si="21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/>
      <c r="Q42" s="163"/>
      <c r="R42" s="163"/>
      <c r="S42" s="163"/>
      <c r="T42" s="163"/>
      <c r="U42" s="164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21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6"/>
      <c r="Q43" s="166"/>
      <c r="R43" s="166"/>
      <c r="S43" s="166"/>
      <c r="T43" s="166"/>
      <c r="U43" s="164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21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6"/>
      <c r="Q44" s="166"/>
      <c r="R44" s="166"/>
      <c r="S44" s="166"/>
      <c r="T44" s="166"/>
      <c r="U44" s="164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21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6">
        <v>0</v>
      </c>
      <c r="Q45" s="166">
        <v>0</v>
      </c>
      <c r="R45" s="166">
        <v>0</v>
      </c>
      <c r="S45" s="166">
        <v>0</v>
      </c>
      <c r="T45" s="166">
        <v>0</v>
      </c>
      <c r="U45" s="164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7" t="str">
        <f t="shared" ref="J47:S47" si="22">IF(J36=J4,IF(COUNTA($C38:$C45)=COUNT(J38:J45),"Ok","Check"),"")</f>
        <v/>
      </c>
      <c r="K47" s="167" t="str">
        <f t="shared" si="22"/>
        <v/>
      </c>
      <c r="L47" s="167" t="str">
        <f t="shared" si="22"/>
        <v/>
      </c>
      <c r="M47" s="167" t="str">
        <f t="shared" si="22"/>
        <v/>
      </c>
      <c r="N47" s="167" t="str">
        <f t="shared" si="22"/>
        <v/>
      </c>
      <c r="O47" s="167" t="str">
        <f t="shared" si="22"/>
        <v/>
      </c>
      <c r="P47" s="167" t="str">
        <f t="shared" si="22"/>
        <v>Ok</v>
      </c>
      <c r="Q47" s="167" t="str">
        <f t="shared" si="22"/>
        <v>Ok</v>
      </c>
      <c r="R47" s="167" t="str">
        <f t="shared" si="22"/>
        <v>Ok</v>
      </c>
      <c r="S47" s="167" t="str">
        <f t="shared" si="22"/>
        <v>Ok</v>
      </c>
      <c r="T47" s="167" t="str">
        <f>IF(T36=T4,IF(COUNTA($C38:$C45)=COUNT(T38:T45),"Ok","Check"),"")</f>
        <v>Ok</v>
      </c>
      <c r="U47" s="167" t="str">
        <f>IF(U36=U4,IF(COUNTA($C38:$C45)=COUNT(U38:U45),"Ok","Check"),"")</f>
        <v/>
      </c>
      <c r="V47" s="168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23">IF(YEAR(J$4)&gt;=FPFirstYear,IF(YEAR(J$4)&lt;=FPLastYear,J$4,""),"")</f>
        <v/>
      </c>
      <c r="K49" s="141" t="str">
        <f t="shared" si="23"/>
        <v/>
      </c>
      <c r="L49" s="141" t="str">
        <f t="shared" si="23"/>
        <v/>
      </c>
      <c r="M49" s="141" t="str">
        <f t="shared" si="23"/>
        <v/>
      </c>
      <c r="N49" s="141" t="str">
        <f t="shared" si="23"/>
        <v/>
      </c>
      <c r="O49" s="141" t="str">
        <f t="shared" si="23"/>
        <v/>
      </c>
      <c r="P49" s="141">
        <f t="shared" si="23"/>
        <v>46539</v>
      </c>
      <c r="Q49" s="141">
        <f t="shared" si="23"/>
        <v>46905</v>
      </c>
      <c r="R49" s="141">
        <f t="shared" si="23"/>
        <v>47270</v>
      </c>
      <c r="S49" s="141">
        <f t="shared" si="23"/>
        <v>47635</v>
      </c>
      <c r="T49" s="141">
        <f t="shared" si="23"/>
        <v>48000</v>
      </c>
      <c r="U49" s="141" t="str">
        <f t="shared" si="23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69" t="str">
        <f t="shared" ref="C51:C58" si="24">C38</f>
        <v>WPI - Deloitte</v>
      </c>
      <c r="D51" s="123" t="s">
        <v>96</v>
      </c>
      <c r="E51" s="123" t="str">
        <f t="shared" ref="E51:E58" si="25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0"/>
      <c r="V51" s="122"/>
      <c r="W51" s="122"/>
    </row>
    <row r="52" spans="1:34" ht="11.25" customHeight="1" outlineLevel="1">
      <c r="A52" s="122"/>
      <c r="B52" s="122"/>
      <c r="C52" s="169" t="str">
        <f t="shared" si="24"/>
        <v xml:space="preserve">WPI - BIS Oxford </v>
      </c>
      <c r="D52" s="123" t="s">
        <v>96</v>
      </c>
      <c r="E52" s="123" t="str">
        <f t="shared" si="25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0"/>
      <c r="V52" s="122"/>
      <c r="W52" s="122"/>
    </row>
    <row r="53" spans="1:34" ht="11.25" customHeight="1" outlineLevel="1">
      <c r="A53" s="122"/>
      <c r="B53" s="122"/>
      <c r="C53" s="169" t="str">
        <f t="shared" si="24"/>
        <v>WPI - average</v>
      </c>
      <c r="D53" s="123" t="s">
        <v>96</v>
      </c>
      <c r="E53" s="123" t="str">
        <f t="shared" si="25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71">
        <v>0.59199999999999997</v>
      </c>
      <c r="Q53" s="146">
        <v>0.59199999999999997</v>
      </c>
      <c r="R53" s="146">
        <v>0.59199999999999997</v>
      </c>
      <c r="S53" s="146">
        <v>0.59199999999999997</v>
      </c>
      <c r="T53" s="146">
        <v>0.59199999999999997</v>
      </c>
      <c r="U53" s="170"/>
      <c r="V53" s="122"/>
      <c r="W53" s="122"/>
    </row>
    <row r="54" spans="1:34" ht="11.25" customHeight="1" outlineLevel="1">
      <c r="A54" s="122"/>
      <c r="B54" s="122"/>
      <c r="C54" s="169">
        <f t="shared" si="24"/>
        <v>0</v>
      </c>
      <c r="D54" s="123" t="s">
        <v>96</v>
      </c>
      <c r="E54" s="123" t="str">
        <f t="shared" si="25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0"/>
      <c r="V54" s="165"/>
      <c r="W54" s="122"/>
    </row>
    <row r="55" spans="1:34" ht="11.25" customHeight="1" outlineLevel="1">
      <c r="A55" s="122"/>
      <c r="B55" s="122"/>
      <c r="C55" s="169">
        <f t="shared" si="24"/>
        <v>0</v>
      </c>
      <c r="D55" s="123" t="s">
        <v>96</v>
      </c>
      <c r="E55" s="123" t="str">
        <f t="shared" si="25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1"/>
      <c r="Q55" s="171"/>
      <c r="R55" s="171"/>
      <c r="S55" s="171"/>
      <c r="T55" s="171"/>
      <c r="U55" s="170"/>
      <c r="V55" s="122"/>
      <c r="W55" s="122"/>
    </row>
    <row r="56" spans="1:34" ht="11.25" customHeight="1" outlineLevel="1">
      <c r="A56" s="122"/>
      <c r="B56" s="122"/>
      <c r="C56" s="169">
        <f t="shared" si="24"/>
        <v>0</v>
      </c>
      <c r="D56" s="123" t="s">
        <v>96</v>
      </c>
      <c r="E56" s="123" t="str">
        <f t="shared" si="25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0"/>
      <c r="V56" s="122"/>
      <c r="W56" s="122"/>
    </row>
    <row r="57" spans="1:34" ht="11.25" customHeight="1" outlineLevel="1">
      <c r="A57" s="122"/>
      <c r="B57" s="122"/>
      <c r="C57" s="169">
        <f t="shared" si="24"/>
        <v>0</v>
      </c>
      <c r="D57" s="123" t="s">
        <v>96</v>
      </c>
      <c r="E57" s="123" t="str">
        <f t="shared" si="25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0"/>
      <c r="V57" s="122"/>
      <c r="W57" s="122"/>
    </row>
    <row r="58" spans="1:34" ht="11.25" customHeight="1" outlineLevel="1">
      <c r="A58" s="122"/>
      <c r="B58" s="122"/>
      <c r="C58" s="169" t="str">
        <f t="shared" si="24"/>
        <v>CPI</v>
      </c>
      <c r="D58" s="123" t="s">
        <v>96</v>
      </c>
      <c r="E58" s="123" t="str">
        <f t="shared" si="25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0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7" t="str">
        <f t="shared" ref="J60:S60" si="26">IF(J49=J$4,IF(SUM(J51:J58)=1,"Ok","Check"),"")</f>
        <v/>
      </c>
      <c r="K60" s="167" t="str">
        <f t="shared" si="26"/>
        <v/>
      </c>
      <c r="L60" s="167" t="str">
        <f t="shared" si="26"/>
        <v/>
      </c>
      <c r="M60" s="167" t="str">
        <f t="shared" si="26"/>
        <v/>
      </c>
      <c r="N60" s="167" t="str">
        <f t="shared" si="26"/>
        <v/>
      </c>
      <c r="O60" s="167" t="str">
        <f t="shared" si="26"/>
        <v/>
      </c>
      <c r="P60" s="167" t="str">
        <f t="shared" si="26"/>
        <v>Ok</v>
      </c>
      <c r="Q60" s="167" t="str">
        <f t="shared" si="26"/>
        <v>Ok</v>
      </c>
      <c r="R60" s="167" t="str">
        <f t="shared" si="26"/>
        <v>Ok</v>
      </c>
      <c r="S60" s="167" t="str">
        <f t="shared" si="26"/>
        <v>Ok</v>
      </c>
      <c r="T60" s="167" t="str">
        <f>IF(T49=T$4,IF(SUM(T51:T58)=1,"Ok","Check"),"")</f>
        <v>Ok</v>
      </c>
      <c r="U60" s="167" t="str">
        <f>IF(U49=U$4,IF(SUM(U51:U58)=1,"Ok","Check"),"")</f>
        <v/>
      </c>
      <c r="V60" s="168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2.75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27">IF(YEAR(J$4)&gt;=PPLastYear,IF(YEAR(J$4)&lt;=FPLastYear,J$4,""),"")</f>
        <v/>
      </c>
      <c r="K64" s="141" t="str">
        <f t="shared" si="27"/>
        <v/>
      </c>
      <c r="L64" s="141" t="str">
        <f t="shared" si="27"/>
        <v/>
      </c>
      <c r="M64" s="141" t="str">
        <f t="shared" si="27"/>
        <v/>
      </c>
      <c r="N64" s="141" t="str">
        <f t="shared" si="27"/>
        <v/>
      </c>
      <c r="O64" s="141">
        <f t="shared" si="27"/>
        <v>46174</v>
      </c>
      <c r="P64" s="141">
        <f t="shared" si="27"/>
        <v>46539</v>
      </c>
      <c r="Q64" s="141">
        <f t="shared" si="27"/>
        <v>46905</v>
      </c>
      <c r="R64" s="141">
        <f t="shared" si="27"/>
        <v>47270</v>
      </c>
      <c r="S64" s="141">
        <f t="shared" si="27"/>
        <v>47635</v>
      </c>
      <c r="T64" s="141">
        <f t="shared" si="27"/>
        <v>48000</v>
      </c>
      <c r="U64" s="141" t="str">
        <f t="shared" si="27"/>
        <v/>
      </c>
      <c r="V64" s="122"/>
      <c r="W64" s="122"/>
    </row>
    <row r="65" spans="1:24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175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2"/>
      <c r="L66" s="172"/>
      <c r="M66" s="172"/>
      <c r="N66" s="172"/>
      <c r="O66" s="144">
        <v>726198.4566251135</v>
      </c>
      <c r="P66" s="144">
        <v>731325.83823715511</v>
      </c>
      <c r="Q66" s="144">
        <v>736484.75810042454</v>
      </c>
      <c r="R66" s="144">
        <v>741592.13718538021</v>
      </c>
      <c r="S66" s="144">
        <v>746646.50453835353</v>
      </c>
      <c r="T66" s="144">
        <v>751623.75751647097</v>
      </c>
      <c r="U66" s="144"/>
      <c r="V66" s="122"/>
      <c r="W66" s="122"/>
    </row>
    <row r="67" spans="1:24" outlineLevel="1">
      <c r="A67" s="122"/>
      <c r="B67" s="122"/>
      <c r="C67" s="130" t="s">
        <v>176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2"/>
      <c r="L67" s="172"/>
      <c r="M67" s="172"/>
      <c r="N67" s="172"/>
      <c r="O67" s="144">
        <v>13585.496494806439</v>
      </c>
      <c r="P67" s="144">
        <v>13613.117611849748</v>
      </c>
      <c r="Q67" s="144">
        <v>13641.085005477435</v>
      </c>
      <c r="R67" s="144">
        <v>13669.401988190701</v>
      </c>
      <c r="S67" s="144">
        <v>13698.071904769797</v>
      </c>
      <c r="T67" s="144">
        <v>13727.098132588137</v>
      </c>
      <c r="U67" s="144"/>
      <c r="V67" s="122"/>
      <c r="W67" s="122"/>
    </row>
    <row r="68" spans="1:24" outlineLevel="1">
      <c r="A68" s="122"/>
      <c r="B68" s="122"/>
      <c r="C68" s="130" t="s">
        <v>177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2"/>
      <c r="L68" s="172"/>
      <c r="M68" s="172"/>
      <c r="N68" s="172"/>
      <c r="O68" s="144">
        <v>2142.611222</v>
      </c>
      <c r="P68" s="144">
        <v>2142.611222</v>
      </c>
      <c r="Q68" s="144">
        <v>2142.611222</v>
      </c>
      <c r="R68" s="144">
        <v>2142.611222</v>
      </c>
      <c r="S68" s="144">
        <v>2142.611222</v>
      </c>
      <c r="T68" s="144">
        <v>2154.5811828687397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2"/>
      <c r="L69" s="172"/>
      <c r="M69" s="172"/>
      <c r="N69" s="172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2"/>
      <c r="L70" s="172"/>
      <c r="M70" s="172"/>
      <c r="N70" s="172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2"/>
      <c r="L71" s="172"/>
      <c r="M71" s="172"/>
      <c r="N71" s="172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7" t="str">
        <f t="shared" ref="J73:S73" si="28">IF(J64=J$4,IF(COUNTA($C66:$C71)=COUNT(J66:J71),"Ok","Check"),"")</f>
        <v/>
      </c>
      <c r="K73" s="167" t="str">
        <f t="shared" si="28"/>
        <v/>
      </c>
      <c r="L73" s="167" t="str">
        <f t="shared" si="28"/>
        <v/>
      </c>
      <c r="M73" s="167" t="str">
        <f t="shared" si="28"/>
        <v/>
      </c>
      <c r="N73" s="167" t="str">
        <f t="shared" si="28"/>
        <v/>
      </c>
      <c r="O73" s="167" t="str">
        <f t="shared" si="28"/>
        <v>Ok</v>
      </c>
      <c r="P73" s="167" t="str">
        <f t="shared" si="28"/>
        <v>Ok</v>
      </c>
      <c r="Q73" s="167" t="str">
        <f t="shared" si="28"/>
        <v>Ok</v>
      </c>
      <c r="R73" s="167" t="str">
        <f t="shared" si="28"/>
        <v>Ok</v>
      </c>
      <c r="S73" s="167" t="str">
        <f t="shared" si="28"/>
        <v>Ok</v>
      </c>
      <c r="T73" s="167" t="str">
        <f>IF(T64=T$4,IF(COUNTA($C66:$C71)=COUNT(T66:T71),"Ok","Check"),"")</f>
        <v>Ok</v>
      </c>
      <c r="U73" s="167" t="str">
        <f>IF(U64=U$4,IF(COUNTA($C66:$C71)=COUNT(U66:U71),"Ok","Check"),"")</f>
        <v/>
      </c>
      <c r="V73" s="168"/>
      <c r="W73" s="122"/>
      <c r="X73" s="81" t="str">
        <f>IF(COUNTIF(J73:U73,"Check")=0,"Ok","Check")</f>
        <v>Ok</v>
      </c>
    </row>
    <row r="74" spans="1:24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29">IF(YEAR(J$4)&gt;=FPFirstYear,IF(YEAR(J$4)&lt;=FPLastYear,J$4,""),"")</f>
        <v/>
      </c>
      <c r="K75" s="141" t="str">
        <f t="shared" si="29"/>
        <v/>
      </c>
      <c r="L75" s="141" t="str">
        <f t="shared" si="29"/>
        <v/>
      </c>
      <c r="M75" s="141" t="str">
        <f t="shared" si="29"/>
        <v/>
      </c>
      <c r="N75" s="141" t="str">
        <f t="shared" si="29"/>
        <v/>
      </c>
      <c r="O75" s="141" t="str">
        <f t="shared" si="29"/>
        <v/>
      </c>
      <c r="P75" s="141">
        <f t="shared" si="29"/>
        <v>46539</v>
      </c>
      <c r="Q75" s="141">
        <f t="shared" si="29"/>
        <v>46905</v>
      </c>
      <c r="R75" s="141">
        <f t="shared" si="29"/>
        <v>47270</v>
      </c>
      <c r="S75" s="141">
        <f t="shared" si="29"/>
        <v>47635</v>
      </c>
      <c r="T75" s="141">
        <f t="shared" si="29"/>
        <v>48000</v>
      </c>
      <c r="U75" s="141" t="str">
        <f t="shared" si="29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69" t="str">
        <f t="shared" ref="C77:C82" si="30"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3" t="str">
        <f>IF(ISBLANK(I66),"",IF(ISBLANK(J66),"",LN(J66)-LN(I66)))</f>
        <v/>
      </c>
      <c r="K77" s="173" t="str">
        <f>IF(ISBLANK(J66),"",IF(ISBLANK(K66),"",LN(K66)-LN(J66)))</f>
        <v/>
      </c>
      <c r="L77" s="173" t="str">
        <f>IF(ISBLANK(K66),"",IF(ISBLANK(L66),"",LN(L66)-LN(K66)))</f>
        <v/>
      </c>
      <c r="M77" s="173" t="str">
        <f>IF(ISBLANK(L66),"",IF(ISBLANK(M66),"",LN(M66)-LN(L66)))</f>
        <v/>
      </c>
      <c r="N77" s="173" t="str">
        <f>IF(ISBLANK(M66),"",IF(ISBLANK(N66),"",LN(N66)-LN(M66)))</f>
        <v/>
      </c>
      <c r="O77" s="173" t="str">
        <f t="shared" ref="O77:U77" si="31">IF(ISBLANK(N66),"",IF(ISBLANK(O66),"",LN(O66)-LN(N66)))</f>
        <v/>
      </c>
      <c r="P77" s="173">
        <f t="shared" si="31"/>
        <v>7.0357698755714182E-3</v>
      </c>
      <c r="Q77" s="173">
        <f t="shared" si="31"/>
        <v>7.029437066689681E-3</v>
      </c>
      <c r="R77" s="173">
        <f t="shared" si="31"/>
        <v>6.9108710496141867E-3</v>
      </c>
      <c r="S77" s="173">
        <f t="shared" si="31"/>
        <v>6.7924412713704641E-3</v>
      </c>
      <c r="T77" s="173">
        <f t="shared" si="31"/>
        <v>6.6440233293239004E-3</v>
      </c>
      <c r="U77" s="173" t="str">
        <f t="shared" si="31"/>
        <v/>
      </c>
      <c r="V77" s="122"/>
      <c r="W77" s="122"/>
    </row>
    <row r="78" spans="1:24" outlineLevel="1">
      <c r="A78" s="122"/>
      <c r="B78" s="122"/>
      <c r="C78" s="169" t="str">
        <f t="shared" si="30"/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3" t="str">
        <f t="shared" ref="J78:U78" si="32">IF(ISBLANK(I67),"",IF(ISBLANK(J67),"",LN(J67)-LN(I67)))</f>
        <v/>
      </c>
      <c r="K78" s="173" t="str">
        <f t="shared" si="32"/>
        <v/>
      </c>
      <c r="L78" s="173" t="str">
        <f t="shared" si="32"/>
        <v/>
      </c>
      <c r="M78" s="173" t="str">
        <f t="shared" si="32"/>
        <v/>
      </c>
      <c r="N78" s="173" t="str">
        <f t="shared" si="32"/>
        <v/>
      </c>
      <c r="O78" s="173" t="str">
        <f t="shared" si="32"/>
        <v/>
      </c>
      <c r="P78" s="173">
        <f t="shared" si="32"/>
        <v>2.0310686735953709E-3</v>
      </c>
      <c r="Q78" s="173">
        <f t="shared" si="32"/>
        <v>2.0523369431959537E-3</v>
      </c>
      <c r="R78" s="173">
        <f t="shared" si="32"/>
        <v>2.0737083793029853E-3</v>
      </c>
      <c r="S78" s="173">
        <f t="shared" si="32"/>
        <v>2.0951825644655031E-3</v>
      </c>
      <c r="T78" s="173">
        <f t="shared" si="32"/>
        <v>2.1167590659878499E-3</v>
      </c>
      <c r="U78" s="173" t="str">
        <f t="shared" si="32"/>
        <v/>
      </c>
      <c r="V78" s="122"/>
      <c r="W78" s="122"/>
    </row>
    <row r="79" spans="1:24" outlineLevel="1">
      <c r="A79" s="122"/>
      <c r="B79" s="122"/>
      <c r="C79" s="169" t="str">
        <f t="shared" si="30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3" t="str">
        <f t="shared" ref="J79:U79" si="33">IF(ISBLANK(I68),"",IF(ISBLANK(J68),"",LN(J68)-LN(I68)))</f>
        <v/>
      </c>
      <c r="K79" s="173" t="str">
        <f t="shared" si="33"/>
        <v/>
      </c>
      <c r="L79" s="173" t="str">
        <f t="shared" si="33"/>
        <v/>
      </c>
      <c r="M79" s="173" t="str">
        <f t="shared" si="33"/>
        <v/>
      </c>
      <c r="N79" s="173" t="str">
        <f t="shared" si="33"/>
        <v/>
      </c>
      <c r="O79" s="173" t="str">
        <f t="shared" si="33"/>
        <v/>
      </c>
      <c r="P79" s="173">
        <f t="shared" si="33"/>
        <v>0</v>
      </c>
      <c r="Q79" s="173">
        <f t="shared" si="33"/>
        <v>0</v>
      </c>
      <c r="R79" s="173">
        <f t="shared" si="33"/>
        <v>0</v>
      </c>
      <c r="S79" s="173">
        <f t="shared" si="33"/>
        <v>0</v>
      </c>
      <c r="T79" s="173">
        <f t="shared" si="33"/>
        <v>5.5710755768583198E-3</v>
      </c>
      <c r="U79" s="173" t="str">
        <f t="shared" si="33"/>
        <v/>
      </c>
      <c r="V79" s="122"/>
      <c r="W79" s="122"/>
    </row>
    <row r="80" spans="1:24" outlineLevel="1">
      <c r="A80" s="122"/>
      <c r="B80" s="122"/>
      <c r="C80" s="169">
        <f t="shared" si="30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3" t="str">
        <f t="shared" ref="J80:U80" si="34">IF(ISBLANK(I69),"",IF(ISBLANK(J69),"",LN(J69)-LN(I69)))</f>
        <v/>
      </c>
      <c r="K80" s="173" t="str">
        <f t="shared" si="34"/>
        <v/>
      </c>
      <c r="L80" s="173" t="str">
        <f t="shared" si="34"/>
        <v/>
      </c>
      <c r="M80" s="173" t="str">
        <f t="shared" si="34"/>
        <v/>
      </c>
      <c r="N80" s="173" t="str">
        <f t="shared" si="34"/>
        <v/>
      </c>
      <c r="O80" s="173" t="str">
        <f t="shared" si="34"/>
        <v/>
      </c>
      <c r="P80" s="173" t="str">
        <f t="shared" si="34"/>
        <v/>
      </c>
      <c r="Q80" s="173" t="str">
        <f t="shared" si="34"/>
        <v/>
      </c>
      <c r="R80" s="173" t="str">
        <f t="shared" si="34"/>
        <v/>
      </c>
      <c r="S80" s="173" t="str">
        <f t="shared" si="34"/>
        <v/>
      </c>
      <c r="T80" s="173" t="str">
        <f t="shared" si="34"/>
        <v/>
      </c>
      <c r="U80" s="173" t="str">
        <f t="shared" si="34"/>
        <v/>
      </c>
      <c r="V80" s="122"/>
      <c r="W80" s="122"/>
    </row>
    <row r="81" spans="1:24" outlineLevel="1">
      <c r="A81" s="122"/>
      <c r="B81" s="122"/>
      <c r="C81" s="169">
        <f t="shared" si="30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3" t="str">
        <f t="shared" ref="J81:T81" si="35">IF(ISBLANK(I70),"",IF(ISBLANK(J70),"",LN(J70)-LN(I70)))</f>
        <v/>
      </c>
      <c r="K81" s="173" t="str">
        <f t="shared" si="35"/>
        <v/>
      </c>
      <c r="L81" s="173" t="str">
        <f t="shared" si="35"/>
        <v/>
      </c>
      <c r="M81" s="173" t="str">
        <f t="shared" si="35"/>
        <v/>
      </c>
      <c r="N81" s="173" t="str">
        <f t="shared" si="35"/>
        <v/>
      </c>
      <c r="O81" s="173" t="str">
        <f t="shared" si="35"/>
        <v/>
      </c>
      <c r="P81" s="173" t="str">
        <f t="shared" si="35"/>
        <v/>
      </c>
      <c r="Q81" s="173" t="str">
        <f t="shared" si="35"/>
        <v/>
      </c>
      <c r="R81" s="173" t="str">
        <f t="shared" si="35"/>
        <v/>
      </c>
      <c r="S81" s="173" t="str">
        <f t="shared" si="35"/>
        <v/>
      </c>
      <c r="T81" s="173" t="str">
        <f t="shared" si="35"/>
        <v/>
      </c>
      <c r="U81" s="173"/>
      <c r="V81" s="122"/>
      <c r="W81" s="122"/>
    </row>
    <row r="82" spans="1:24" outlineLevel="1">
      <c r="A82" s="122"/>
      <c r="B82" s="122"/>
      <c r="C82" s="169">
        <f t="shared" si="30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3" t="str">
        <f t="shared" ref="J82:T82" si="36">IF(ISBLANK(I71),"",IF(ISBLANK(J71),"",LN(J71)-LN(I71)))</f>
        <v/>
      </c>
      <c r="K82" s="173" t="str">
        <f t="shared" si="36"/>
        <v/>
      </c>
      <c r="L82" s="173" t="str">
        <f t="shared" si="36"/>
        <v/>
      </c>
      <c r="M82" s="173" t="str">
        <f t="shared" si="36"/>
        <v/>
      </c>
      <c r="N82" s="173" t="str">
        <f t="shared" si="36"/>
        <v/>
      </c>
      <c r="O82" s="173" t="str">
        <f t="shared" si="36"/>
        <v/>
      </c>
      <c r="P82" s="173" t="str">
        <f t="shared" si="36"/>
        <v/>
      </c>
      <c r="Q82" s="173" t="str">
        <f t="shared" si="36"/>
        <v/>
      </c>
      <c r="R82" s="173" t="str">
        <f t="shared" si="36"/>
        <v/>
      </c>
      <c r="S82" s="173" t="str">
        <f t="shared" si="36"/>
        <v/>
      </c>
      <c r="T82" s="173" t="str">
        <f t="shared" si="36"/>
        <v/>
      </c>
      <c r="U82" s="173"/>
      <c r="V82" s="122"/>
      <c r="W82" s="122"/>
    </row>
    <row r="83" spans="1:24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outlineLevel="1">
      <c r="A84" s="122"/>
      <c r="B84" s="122"/>
      <c r="C84" s="125" t="s">
        <v>192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4" t="s">
        <v>185</v>
      </c>
      <c r="K84" s="174" t="s">
        <v>186</v>
      </c>
      <c r="L84" s="174" t="s">
        <v>187</v>
      </c>
      <c r="M84" s="174" t="s">
        <v>188</v>
      </c>
      <c r="N84" s="129"/>
      <c r="O84" s="197" t="s">
        <v>213</v>
      </c>
      <c r="P84" s="122"/>
      <c r="Q84" s="122"/>
      <c r="R84" s="122"/>
      <c r="S84" s="122"/>
      <c r="T84" s="122"/>
      <c r="U84" s="122"/>
      <c r="V84" s="122"/>
      <c r="W84" s="122"/>
    </row>
    <row r="85" spans="1:24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outlineLevel="1">
      <c r="A86" s="122"/>
      <c r="B86" s="122"/>
      <c r="C86" s="169" t="str">
        <f t="shared" ref="C86:C91" si="37"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5">
        <v>0.28000000000000003</v>
      </c>
      <c r="K86" s="175">
        <v>0.53600000000000003</v>
      </c>
      <c r="L86" s="175">
        <v>0.35699999999999998</v>
      </c>
      <c r="M86" s="175">
        <v>0.318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outlineLevel="1">
      <c r="A87" s="122"/>
      <c r="B87" s="122"/>
      <c r="C87" s="169" t="str">
        <f t="shared" si="37"/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5">
        <v>0.129</v>
      </c>
      <c r="K87" s="175">
        <v>0.22800000000000001</v>
      </c>
      <c r="L87" s="175">
        <v>0.23799999999999999</v>
      </c>
      <c r="M87" s="175">
        <v>0.16600000000000001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outlineLevel="1">
      <c r="A88" s="122"/>
      <c r="B88" s="122"/>
      <c r="C88" s="169" t="str">
        <f t="shared" si="37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5">
        <v>0.55300000000000005</v>
      </c>
      <c r="K88" s="175">
        <v>0.19900000000000001</v>
      </c>
      <c r="L88" s="175">
        <v>0.36099999999999999</v>
      </c>
      <c r="M88" s="175">
        <v>0.443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outlineLevel="1">
      <c r="A89" s="122"/>
      <c r="B89" s="122"/>
      <c r="C89" s="169">
        <f t="shared" si="37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5"/>
      <c r="K89" s="176"/>
      <c r="L89" s="176"/>
      <c r="M89" s="175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outlineLevel="1">
      <c r="A90" s="122"/>
      <c r="B90" s="122"/>
      <c r="C90" s="169">
        <f t="shared" si="37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6"/>
      <c r="K90" s="176"/>
      <c r="L90" s="176"/>
      <c r="M90" s="176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outlineLevel="1">
      <c r="A91" s="122"/>
      <c r="B91" s="122"/>
      <c r="C91" s="169">
        <f t="shared" si="37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6"/>
      <c r="K91" s="176"/>
      <c r="L91" s="176"/>
      <c r="M91" s="176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7" t="str">
        <f>IF(AND(ISBLANK(J84),COUNT(J86:J91)=0),"Ok",IF(AND(COUNTA($C66:$C71)=COUNT(J86:J91),COUNTA(J84)=1),"Ok","Check"))</f>
        <v>Ok</v>
      </c>
      <c r="K93" s="167" t="str">
        <f>IF(AND(ISBLANK(K84),COUNT(K86:K91)=0),"Ok",IF(AND(COUNTA($C66:$C71)=COUNT(K86:K91),COUNTA(K84)=1),"Ok","Check"))</f>
        <v>Ok</v>
      </c>
      <c r="L93" s="167" t="str">
        <f>IF(AND(ISBLANK(L84),COUNT(L86:L91)=0),"Ok",IF(AND(COUNTA($C66:$C71)=COUNT(L86:L91),COUNTA(L84)=1),"Ok","Check"))</f>
        <v>Ok</v>
      </c>
      <c r="M93" s="167" t="str">
        <f>IF(AND(ISBLANK(M84),COUNT(M86:M91)=0),"Ok",IF(AND(COUNTA($C66:$C71)=COUNT(M86:M91),COUNTA(M84)=1),"Ok","Check"))</f>
        <v>Ok</v>
      </c>
      <c r="N93" s="167"/>
      <c r="O93" s="167"/>
      <c r="P93" s="167"/>
      <c r="Q93" s="167"/>
      <c r="R93" s="167"/>
      <c r="S93" s="167"/>
      <c r="T93" s="167"/>
      <c r="U93" s="167"/>
      <c r="V93" s="168"/>
      <c r="W93" s="122"/>
      <c r="X93" s="81" t="str">
        <f>IF(COUNTIF(J93:T93,"Check")=0,"Ok","Check")</f>
        <v>Ok</v>
      </c>
    </row>
    <row r="94" spans="1:24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192" t="str">
        <f>J84</f>
        <v>SFA CD</v>
      </c>
      <c r="K95" s="192" t="str">
        <f>K84</f>
        <v>LSE CD</v>
      </c>
      <c r="L95" s="192" t="str">
        <f>L84</f>
        <v>LSE TLG</v>
      </c>
      <c r="M95" s="192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193"/>
      <c r="K96" s="129"/>
      <c r="L96" s="129"/>
      <c r="M96" s="129"/>
      <c r="N96" s="129"/>
      <c r="O96" s="177"/>
      <c r="P96" s="177"/>
      <c r="Q96" s="177"/>
      <c r="R96" s="177"/>
      <c r="S96" s="177"/>
      <c r="T96" s="177"/>
      <c r="U96" s="177"/>
      <c r="V96" s="122"/>
      <c r="W96" s="122"/>
    </row>
    <row r="97" spans="1:34" outlineLevel="1">
      <c r="A97" s="122"/>
      <c r="B97" s="122"/>
      <c r="C97" s="169" t="str">
        <f t="shared" ref="C97:C102" si="38">C66</f>
        <v>Customer numbers (#)</v>
      </c>
      <c r="D97" s="123" t="s">
        <v>93</v>
      </c>
      <c r="E97" s="123" t="str">
        <f t="shared" ref="E97:E102" si="39">percent</f>
        <v>Per cent</v>
      </c>
      <c r="F97" s="123" t="s">
        <v>36</v>
      </c>
      <c r="G97" s="124"/>
      <c r="H97" s="124"/>
      <c r="I97" s="123"/>
      <c r="J97" s="194">
        <f t="shared" ref="J97:M102" si="40">J86/SUM(J$86:J$91)</f>
        <v>0.29106029106029108</v>
      </c>
      <c r="K97" s="194">
        <f t="shared" si="40"/>
        <v>0.55659397715472481</v>
      </c>
      <c r="L97" s="194">
        <f t="shared" si="40"/>
        <v>0.37343096234309625</v>
      </c>
      <c r="M97" s="194">
        <f t="shared" si="40"/>
        <v>0.34304207119741098</v>
      </c>
      <c r="N97" s="178"/>
      <c r="O97" s="178"/>
      <c r="P97" s="178"/>
      <c r="Q97" s="178"/>
      <c r="R97" s="178"/>
      <c r="S97" s="178"/>
      <c r="T97" s="178"/>
      <c r="U97" s="178"/>
      <c r="V97" s="122"/>
      <c r="W97" s="122"/>
    </row>
    <row r="98" spans="1:34" outlineLevel="1">
      <c r="A98" s="122"/>
      <c r="B98" s="122"/>
      <c r="C98" s="169" t="str">
        <f t="shared" si="38"/>
        <v>Circuit Length (km)</v>
      </c>
      <c r="D98" s="123" t="s">
        <v>93</v>
      </c>
      <c r="E98" s="123" t="str">
        <f t="shared" si="39"/>
        <v>Per cent</v>
      </c>
      <c r="F98" s="123" t="s">
        <v>36</v>
      </c>
      <c r="G98" s="124"/>
      <c r="H98" s="124"/>
      <c r="I98" s="123"/>
      <c r="J98" s="194">
        <f t="shared" si="40"/>
        <v>0.13409563409563408</v>
      </c>
      <c r="K98" s="194">
        <f t="shared" si="40"/>
        <v>0.2367601246105919</v>
      </c>
      <c r="L98" s="194">
        <f t="shared" si="40"/>
        <v>0.2489539748953975</v>
      </c>
      <c r="M98" s="194">
        <f t="shared" si="40"/>
        <v>0.17907227615965479</v>
      </c>
      <c r="N98" s="178"/>
      <c r="O98" s="178"/>
      <c r="P98" s="178"/>
      <c r="Q98" s="178"/>
      <c r="R98" s="178"/>
      <c r="S98" s="178"/>
      <c r="T98" s="178"/>
      <c r="U98" s="178"/>
      <c r="V98" s="122"/>
      <c r="W98" s="122"/>
    </row>
    <row r="99" spans="1:34" outlineLevel="1">
      <c r="A99" s="122"/>
      <c r="B99" s="122"/>
      <c r="C99" s="169" t="str">
        <f t="shared" si="38"/>
        <v xml:space="preserve">Ratcheted maximum demand </v>
      </c>
      <c r="D99" s="123" t="s">
        <v>93</v>
      </c>
      <c r="E99" s="123" t="str">
        <f t="shared" si="39"/>
        <v>Per cent</v>
      </c>
      <c r="F99" s="123" t="s">
        <v>36</v>
      </c>
      <c r="G99" s="124"/>
      <c r="H99" s="124"/>
      <c r="I99" s="123"/>
      <c r="J99" s="194">
        <f t="shared" si="40"/>
        <v>0.57484407484407485</v>
      </c>
      <c r="K99" s="194">
        <f t="shared" si="40"/>
        <v>0.20664589823468327</v>
      </c>
      <c r="L99" s="194">
        <f t="shared" si="40"/>
        <v>0.3776150627615063</v>
      </c>
      <c r="M99" s="194">
        <f t="shared" si="40"/>
        <v>0.4778856526429342</v>
      </c>
      <c r="N99" s="178"/>
      <c r="O99" s="178"/>
      <c r="P99" s="178"/>
      <c r="Q99" s="178"/>
      <c r="R99" s="178"/>
      <c r="S99" s="178"/>
      <c r="T99" s="178"/>
      <c r="U99" s="178"/>
      <c r="V99" s="122"/>
      <c r="W99" s="122"/>
    </row>
    <row r="100" spans="1:34" outlineLevel="1">
      <c r="A100" s="122"/>
      <c r="B100" s="122"/>
      <c r="C100" s="169">
        <f t="shared" si="38"/>
        <v>0</v>
      </c>
      <c r="D100" s="123" t="s">
        <v>93</v>
      </c>
      <c r="E100" s="123" t="str">
        <f t="shared" si="39"/>
        <v>Per cent</v>
      </c>
      <c r="F100" s="123" t="s">
        <v>36</v>
      </c>
      <c r="G100" s="124"/>
      <c r="H100" s="124"/>
      <c r="I100" s="123"/>
      <c r="J100" s="194">
        <f t="shared" si="40"/>
        <v>0</v>
      </c>
      <c r="K100" s="194">
        <f t="shared" si="40"/>
        <v>0</v>
      </c>
      <c r="L100" s="194">
        <f t="shared" si="40"/>
        <v>0</v>
      </c>
      <c r="M100" s="194">
        <f t="shared" si="40"/>
        <v>0</v>
      </c>
      <c r="N100" s="178"/>
      <c r="O100" s="178"/>
      <c r="P100" s="178"/>
      <c r="Q100" s="178"/>
      <c r="R100" s="178"/>
      <c r="S100" s="178"/>
      <c r="T100" s="178"/>
      <c r="U100" s="178"/>
      <c r="V100" s="122"/>
      <c r="W100" s="122"/>
    </row>
    <row r="101" spans="1:34" outlineLevel="1">
      <c r="A101" s="122"/>
      <c r="B101" s="122"/>
      <c r="C101" s="169">
        <f t="shared" si="38"/>
        <v>0</v>
      </c>
      <c r="D101" s="123" t="s">
        <v>93</v>
      </c>
      <c r="E101" s="123" t="str">
        <f t="shared" si="39"/>
        <v>Per cent</v>
      </c>
      <c r="F101" s="123" t="s">
        <v>36</v>
      </c>
      <c r="G101" s="124"/>
      <c r="H101" s="124"/>
      <c r="I101" s="123"/>
      <c r="J101" s="194">
        <f t="shared" si="40"/>
        <v>0</v>
      </c>
      <c r="K101" s="194">
        <f t="shared" si="40"/>
        <v>0</v>
      </c>
      <c r="L101" s="194">
        <f t="shared" si="40"/>
        <v>0</v>
      </c>
      <c r="M101" s="194">
        <f t="shared" si="40"/>
        <v>0</v>
      </c>
      <c r="N101" s="178"/>
      <c r="O101" s="178"/>
      <c r="P101" s="178"/>
      <c r="Q101" s="178"/>
      <c r="R101" s="178"/>
      <c r="S101" s="178"/>
      <c r="T101" s="178"/>
      <c r="U101" s="178"/>
      <c r="V101" s="122"/>
      <c r="W101" s="122"/>
    </row>
    <row r="102" spans="1:34" outlineLevel="1">
      <c r="A102" s="122"/>
      <c r="B102" s="122"/>
      <c r="C102" s="169">
        <f t="shared" si="38"/>
        <v>0</v>
      </c>
      <c r="D102" s="123" t="s">
        <v>93</v>
      </c>
      <c r="E102" s="123" t="str">
        <f t="shared" si="39"/>
        <v>Per cent</v>
      </c>
      <c r="F102" s="123" t="s">
        <v>36</v>
      </c>
      <c r="G102" s="124"/>
      <c r="H102" s="124"/>
      <c r="I102" s="123"/>
      <c r="J102" s="194">
        <f t="shared" si="40"/>
        <v>0</v>
      </c>
      <c r="K102" s="194">
        <f t="shared" si="40"/>
        <v>0</v>
      </c>
      <c r="L102" s="194">
        <f t="shared" si="40"/>
        <v>0</v>
      </c>
      <c r="M102" s="194">
        <f t="shared" si="40"/>
        <v>0</v>
      </c>
      <c r="N102" s="178"/>
      <c r="O102" s="178"/>
      <c r="P102" s="178"/>
      <c r="Q102" s="178"/>
      <c r="R102" s="178"/>
      <c r="S102" s="178"/>
      <c r="T102" s="178"/>
      <c r="U102" s="178"/>
      <c r="V102" s="122"/>
      <c r="W102" s="122"/>
    </row>
    <row r="103" spans="1:34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79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41">IF(YEAR(J$4)&gt;=FPFirstYear,IF(YEAR(J$4)&lt;=FPLastYear,J$4,""),"")</f>
        <v/>
      </c>
      <c r="K104" s="141" t="str">
        <f t="shared" si="41"/>
        <v/>
      </c>
      <c r="L104" s="141" t="str">
        <f t="shared" si="41"/>
        <v/>
      </c>
      <c r="M104" s="141" t="str">
        <f t="shared" si="41"/>
        <v/>
      </c>
      <c r="N104" s="141" t="str">
        <f t="shared" si="41"/>
        <v/>
      </c>
      <c r="O104" s="141" t="str">
        <f t="shared" si="41"/>
        <v/>
      </c>
      <c r="P104" s="141">
        <f t="shared" si="41"/>
        <v>46539</v>
      </c>
      <c r="Q104" s="141">
        <f t="shared" si="41"/>
        <v>46905</v>
      </c>
      <c r="R104" s="141">
        <f t="shared" si="41"/>
        <v>47270</v>
      </c>
      <c r="S104" s="141">
        <f t="shared" si="41"/>
        <v>47635</v>
      </c>
      <c r="T104" s="141">
        <f t="shared" si="41"/>
        <v>48000</v>
      </c>
      <c r="U104" s="141" t="str">
        <f t="shared" si="41"/>
        <v/>
      </c>
      <c r="V104" s="168"/>
      <c r="W104" s="122"/>
      <c r="X104" s="82"/>
    </row>
    <row r="105" spans="1:34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8"/>
      <c r="W105" s="122"/>
      <c r="X105" s="82"/>
    </row>
    <row r="106" spans="1:34" outlineLevel="1">
      <c r="A106" s="122"/>
      <c r="B106" s="122"/>
      <c r="C106" s="169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3" t="str">
        <f t="shared" ref="J106:U106" si="42">IF(J$104=J$4,SUMPRODUCT(J$77:J$82,$J$97:$J$102),"")</f>
        <v/>
      </c>
      <c r="K106" s="173" t="str">
        <f t="shared" si="42"/>
        <v/>
      </c>
      <c r="L106" s="173" t="str">
        <f t="shared" si="42"/>
        <v/>
      </c>
      <c r="M106" s="173" t="str">
        <f t="shared" si="42"/>
        <v/>
      </c>
      <c r="N106" s="173" t="str">
        <f t="shared" si="42"/>
        <v/>
      </c>
      <c r="O106" s="173" t="str">
        <f t="shared" si="42"/>
        <v/>
      </c>
      <c r="P106" s="173">
        <f t="shared" si="42"/>
        <v>2.3201906694945945E-3</v>
      </c>
      <c r="Q106" s="173">
        <f t="shared" si="42"/>
        <v>2.3211994223964541E-3</v>
      </c>
      <c r="R106" s="173">
        <f t="shared" si="42"/>
        <v>2.2895553792329076E-3</v>
      </c>
      <c r="S106" s="173">
        <f t="shared" si="42"/>
        <v>2.2579647679831392E-3</v>
      </c>
      <c r="T106" s="173">
        <f t="shared" si="42"/>
        <v>5.420159299091243E-3</v>
      </c>
      <c r="U106" s="173" t="str">
        <f t="shared" si="42"/>
        <v/>
      </c>
      <c r="V106" s="168"/>
      <c r="W106" s="122"/>
      <c r="X106" s="82"/>
    </row>
    <row r="107" spans="1:34" outlineLevel="1">
      <c r="A107" s="122"/>
      <c r="B107" s="122"/>
      <c r="C107" s="169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3" t="str">
        <f t="shared" ref="J107:U107" si="43">IF(J$104=J$4,SUMPRODUCT(J$77:J$82,$K$97:$K$102),"")</f>
        <v/>
      </c>
      <c r="K107" s="173" t="str">
        <f t="shared" si="43"/>
        <v/>
      </c>
      <c r="L107" s="173" t="str">
        <f t="shared" si="43"/>
        <v/>
      </c>
      <c r="M107" s="173" t="str">
        <f t="shared" si="43"/>
        <v/>
      </c>
      <c r="N107" s="173" t="str">
        <f t="shared" si="43"/>
        <v/>
      </c>
      <c r="O107" s="173" t="str">
        <f t="shared" si="43"/>
        <v/>
      </c>
      <c r="P107" s="173">
        <f t="shared" si="43"/>
        <v>4.3969432096428087E-3</v>
      </c>
      <c r="Q107" s="173">
        <f t="shared" si="43"/>
        <v>4.398453884521647E-3</v>
      </c>
      <c r="R107" s="173">
        <f t="shared" si="43"/>
        <v>4.3375206573980111E-3</v>
      </c>
      <c r="S107" s="173">
        <f t="shared" si="43"/>
        <v>4.2766875868667743E-3</v>
      </c>
      <c r="T107" s="173">
        <f t="shared" si="43"/>
        <v>5.3504274261242431E-3</v>
      </c>
      <c r="U107" s="173" t="str">
        <f t="shared" si="43"/>
        <v/>
      </c>
      <c r="V107" s="168"/>
      <c r="W107" s="122"/>
      <c r="X107" s="82"/>
    </row>
    <row r="108" spans="1:34" outlineLevel="1">
      <c r="A108" s="122"/>
      <c r="B108" s="122"/>
      <c r="C108" s="169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3" t="str">
        <f t="shared" ref="J108:U108" si="44">IF(J$104=J$4,SUMPRODUCT(J$77:J$82,$L$97:$L$102),"")</f>
        <v/>
      </c>
      <c r="K108" s="173" t="str">
        <f t="shared" si="44"/>
        <v/>
      </c>
      <c r="L108" s="173" t="str">
        <f t="shared" si="44"/>
        <v/>
      </c>
      <c r="M108" s="173" t="str">
        <f t="shared" si="44"/>
        <v/>
      </c>
      <c r="N108" s="173" t="str">
        <f t="shared" si="44"/>
        <v/>
      </c>
      <c r="O108" s="173" t="str">
        <f t="shared" si="44"/>
        <v/>
      </c>
      <c r="P108" s="173">
        <f t="shared" si="44"/>
        <v>3.1330169350362916E-3</v>
      </c>
      <c r="Q108" s="173">
        <f t="shared" si="44"/>
        <v>3.1359468883774616E-3</v>
      </c>
      <c r="R108" s="173">
        <f t="shared" si="44"/>
        <v>3.0969911704878403E-3</v>
      </c>
      <c r="S108" s="173">
        <f t="shared" si="44"/>
        <v>3.0581119081820561E-3</v>
      </c>
      <c r="T108" s="173">
        <f t="shared" si="44"/>
        <v>5.1117816626774001E-3</v>
      </c>
      <c r="U108" s="173" t="str">
        <f t="shared" si="44"/>
        <v/>
      </c>
      <c r="V108" s="168"/>
      <c r="W108" s="122"/>
      <c r="X108" s="82"/>
    </row>
    <row r="109" spans="1:34" outlineLevel="1">
      <c r="A109" s="122"/>
      <c r="B109" s="122"/>
      <c r="C109" s="169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3" t="str">
        <f t="shared" ref="J109:U109" si="45">IF(J$104=J$4,SUMPRODUCT(J$77:J$82,$M$97:$M$102),"")</f>
        <v/>
      </c>
      <c r="K109" s="173" t="str">
        <f t="shared" si="45"/>
        <v/>
      </c>
      <c r="L109" s="173" t="str">
        <f t="shared" si="45"/>
        <v/>
      </c>
      <c r="M109" s="173" t="str">
        <f t="shared" si="45"/>
        <v/>
      </c>
      <c r="N109" s="173" t="str">
        <f t="shared" si="45"/>
        <v/>
      </c>
      <c r="O109" s="173" t="str">
        <f t="shared" si="45"/>
        <v/>
      </c>
      <c r="P109" s="173">
        <f t="shared" si="45"/>
        <v>2.7772731610016636E-3</v>
      </c>
      <c r="Q109" s="173">
        <f t="shared" si="45"/>
        <v>2.7789092985737287E-3</v>
      </c>
      <c r="R109" s="173">
        <f t="shared" si="45"/>
        <v>2.7420631982110104E-3</v>
      </c>
      <c r="S109" s="173">
        <f t="shared" si="45"/>
        <v>2.7052822330065601E-3</v>
      </c>
      <c r="T109" s="173">
        <f t="shared" si="45"/>
        <v>5.3205694759732667E-3</v>
      </c>
      <c r="U109" s="173" t="str">
        <f t="shared" si="45"/>
        <v/>
      </c>
      <c r="V109" s="168"/>
      <c r="W109" s="122"/>
      <c r="X109" s="82"/>
    </row>
    <row r="110" spans="1:34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2.75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46">IF(YEAR(J$4)&gt;=FPFirstYear,IF(YEAR(J$4)&lt;=FPLastYear,J$4,""),"")</f>
        <v/>
      </c>
      <c r="K113" s="141" t="str">
        <f t="shared" si="46"/>
        <v/>
      </c>
      <c r="L113" s="141" t="str">
        <f t="shared" si="46"/>
        <v/>
      </c>
      <c r="M113" s="141" t="str">
        <f t="shared" si="46"/>
        <v/>
      </c>
      <c r="N113" s="141" t="str">
        <f t="shared" si="46"/>
        <v/>
      </c>
      <c r="O113" s="141" t="str">
        <f t="shared" si="46"/>
        <v/>
      </c>
      <c r="P113" s="141">
        <f t="shared" si="46"/>
        <v>46539</v>
      </c>
      <c r="Q113" s="141">
        <f t="shared" si="46"/>
        <v>46905</v>
      </c>
      <c r="R113" s="141">
        <f t="shared" si="46"/>
        <v>47270</v>
      </c>
      <c r="S113" s="141">
        <f t="shared" si="46"/>
        <v>47635</v>
      </c>
      <c r="T113" s="141">
        <f t="shared" si="46"/>
        <v>48000</v>
      </c>
      <c r="U113" s="141" t="str">
        <f t="shared" si="46"/>
        <v/>
      </c>
      <c r="V113" s="122"/>
      <c r="W113" s="122"/>
    </row>
    <row r="114" spans="1:34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0"/>
      <c r="L115" s="180"/>
      <c r="M115" s="180"/>
      <c r="N115" s="180"/>
      <c r="O115" s="170"/>
      <c r="P115" s="170">
        <v>5.0000000000000001E-3</v>
      </c>
      <c r="Q115" s="170">
        <f>$P$115</f>
        <v>5.0000000000000001E-3</v>
      </c>
      <c r="R115" s="170">
        <f>$P$115</f>
        <v>5.0000000000000001E-3</v>
      </c>
      <c r="S115" s="170">
        <f>$P$115</f>
        <v>5.0000000000000001E-3</v>
      </c>
      <c r="T115" s="170">
        <f>$P$115</f>
        <v>5.0000000000000001E-3</v>
      </c>
      <c r="U115" s="170"/>
      <c r="V115" s="122"/>
      <c r="W115" s="122"/>
    </row>
    <row r="116" spans="1:34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1"/>
      <c r="Q116" s="181"/>
      <c r="R116" s="181"/>
      <c r="S116" s="181"/>
      <c r="T116" s="181"/>
      <c r="U116" s="181"/>
      <c r="V116" s="122"/>
      <c r="W116" s="122"/>
    </row>
    <row r="117" spans="1:34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7" t="str">
        <f t="shared" ref="J117:S117" si="47">IF(J113=J$4,IF(ISBLANK(J115),"Check","Ok"),"")</f>
        <v/>
      </c>
      <c r="K117" s="167" t="str">
        <f t="shared" si="47"/>
        <v/>
      </c>
      <c r="L117" s="167" t="str">
        <f t="shared" si="47"/>
        <v/>
      </c>
      <c r="M117" s="167" t="str">
        <f t="shared" si="47"/>
        <v/>
      </c>
      <c r="N117" s="167" t="str">
        <f t="shared" si="47"/>
        <v/>
      </c>
      <c r="O117" s="167" t="str">
        <f t="shared" si="47"/>
        <v/>
      </c>
      <c r="P117" s="167" t="str">
        <f t="shared" si="47"/>
        <v>Ok</v>
      </c>
      <c r="Q117" s="167" t="str">
        <f t="shared" si="47"/>
        <v>Ok</v>
      </c>
      <c r="R117" s="167" t="str">
        <f t="shared" si="47"/>
        <v>Ok</v>
      </c>
      <c r="S117" s="167" t="str">
        <f t="shared" si="47"/>
        <v>Ok</v>
      </c>
      <c r="T117" s="167" t="str">
        <f>IF(T113=T$4,IF(ISBLANK(T115),"Check","Ok"),"")</f>
        <v>Ok</v>
      </c>
      <c r="U117" s="167" t="str">
        <f>IF(U113=U$4,IF(ISBLANK(U115),"Check","Ok"),"")</f>
        <v/>
      </c>
      <c r="V117" s="168"/>
      <c r="W117" s="122"/>
      <c r="X117" s="81" t="str">
        <f>IF(COUNTIF(J117:T117,"Check")=0,"Ok","Check")</f>
        <v>Ok</v>
      </c>
    </row>
    <row r="118" spans="1:34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2.75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O38 T38 J39:T40 J41:U45">
    <cfRule type="expression" dxfId="107" priority="57">
      <formula>J$36=J$4</formula>
    </cfRule>
  </conditionalFormatting>
  <conditionalFormatting sqref="J16:U22">
    <cfRule type="cellIs" dxfId="106" priority="24" operator="equal">
      <formula>0</formula>
    </cfRule>
  </conditionalFormatting>
  <conditionalFormatting sqref="J26:U32">
    <cfRule type="cellIs" dxfId="105" priority="25" operator="equal">
      <formula>0</formula>
    </cfRule>
  </conditionalFormatting>
  <conditionalFormatting sqref="J36:U36">
    <cfRule type="expression" dxfId="104" priority="59">
      <formula>J$36=J$4</formula>
    </cfRule>
  </conditionalFormatting>
  <conditionalFormatting sqref="J47:U47">
    <cfRule type="cellIs" dxfId="103" priority="45" operator="equal">
      <formula>"Ok"</formula>
    </cfRule>
    <cfRule type="cellIs" dxfId="102" priority="44" operator="equal">
      <formula>"Check"</formula>
    </cfRule>
  </conditionalFormatting>
  <conditionalFormatting sqref="J49:U49">
    <cfRule type="expression" dxfId="101" priority="29">
      <formula>J$36=J$4</formula>
    </cfRule>
  </conditionalFormatting>
  <conditionalFormatting sqref="J51:U58">
    <cfRule type="expression" dxfId="100" priority="1">
      <formula>J$49=J$4</formula>
    </cfRule>
  </conditionalFormatting>
  <conditionalFormatting sqref="J60:U60">
    <cfRule type="cellIs" dxfId="99" priority="68" operator="equal">
      <formula>"Check"</formula>
    </cfRule>
    <cfRule type="cellIs" dxfId="98" priority="69" operator="equal">
      <formula>"Ok"</formula>
    </cfRule>
  </conditionalFormatting>
  <conditionalFormatting sqref="J64:U64">
    <cfRule type="expression" dxfId="97" priority="34">
      <formula>J$64=J$4</formula>
    </cfRule>
  </conditionalFormatting>
  <conditionalFormatting sqref="J66:U71">
    <cfRule type="expression" dxfId="96" priority="32">
      <formula>J$64=J$4</formula>
    </cfRule>
  </conditionalFormatting>
  <conditionalFormatting sqref="J73:U73">
    <cfRule type="cellIs" dxfId="95" priority="40" operator="equal">
      <formula>"Check"</formula>
    </cfRule>
    <cfRule type="cellIs" dxfId="94" priority="41" operator="equal">
      <formula>"Ok"</formula>
    </cfRule>
  </conditionalFormatting>
  <conditionalFormatting sqref="J75:U75">
    <cfRule type="expression" dxfId="93" priority="28">
      <formula>J$36=J$4</formula>
    </cfRule>
  </conditionalFormatting>
  <conditionalFormatting sqref="J93:U93">
    <cfRule type="cellIs" dxfId="92" priority="4" operator="equal">
      <formula>"Check"</formula>
    </cfRule>
    <cfRule type="cellIs" dxfId="91" priority="5" operator="equal">
      <formula>"Ok"</formula>
    </cfRule>
  </conditionalFormatting>
  <conditionalFormatting sqref="J104:U104">
    <cfRule type="expression" dxfId="90" priority="179">
      <formula>J$104=J$4</formula>
    </cfRule>
  </conditionalFormatting>
  <conditionalFormatting sqref="J105:U105">
    <cfRule type="cellIs" dxfId="89" priority="17" operator="equal">
      <formula>"Check"</formula>
    </cfRule>
    <cfRule type="cellIs" dxfId="88" priority="18" operator="equal">
      <formula>"Ok"</formula>
    </cfRule>
  </conditionalFormatting>
  <conditionalFormatting sqref="J113:U113">
    <cfRule type="expression" dxfId="87" priority="27">
      <formula>J$36=J$4</formula>
    </cfRule>
  </conditionalFormatting>
  <conditionalFormatting sqref="J115:U115">
    <cfRule type="expression" dxfId="86" priority="180">
      <formula>J$113=J$4</formula>
    </cfRule>
  </conditionalFormatting>
  <conditionalFormatting sqref="J117:U117">
    <cfRule type="cellIs" dxfId="85" priority="48" operator="equal">
      <formula>"Check"</formula>
    </cfRule>
    <cfRule type="cellIs" dxfId="84" priority="49" operator="equal">
      <formula>"Ok"</formula>
    </cfRule>
  </conditionalFormatting>
  <conditionalFormatting sqref="K89:M91">
    <cfRule type="expression" dxfId="83" priority="176">
      <formula>K$95=K$4</formula>
    </cfRule>
  </conditionalFormatting>
  <conditionalFormatting sqref="P38:T45">
    <cfRule type="expression" dxfId="82" priority="12">
      <formula>P$36=P$4</formula>
    </cfRule>
  </conditionalFormatting>
  <conditionalFormatting sqref="T1:U1">
    <cfRule type="cellIs" dxfId="81" priority="88" operator="equal">
      <formula>"Check"</formula>
    </cfRule>
    <cfRule type="cellIs" dxfId="80" priority="89" operator="equal">
      <formula>"Ok"</formula>
    </cfRule>
  </conditionalFormatting>
  <conditionalFormatting sqref="X1 X104:X109">
    <cfRule type="cellIs" dxfId="79" priority="124" operator="equal">
      <formula>"Check"</formula>
    </cfRule>
    <cfRule type="cellIs" dxfId="78" priority="125" operator="equal">
      <formula>"Ok"</formula>
    </cfRule>
  </conditionalFormatting>
  <conditionalFormatting sqref="X47">
    <cfRule type="cellIs" dxfId="77" priority="46" operator="equal">
      <formula>"Check"</formula>
    </cfRule>
    <cfRule type="cellIs" dxfId="76" priority="47" operator="equal">
      <formula>"Ok"</formula>
    </cfRule>
  </conditionalFormatting>
  <conditionalFormatting sqref="X60">
    <cfRule type="cellIs" dxfId="75" priority="76" operator="equal">
      <formula>"Check"</formula>
    </cfRule>
    <cfRule type="cellIs" dxfId="74" priority="77" operator="equal">
      <formula>"Ok"</formula>
    </cfRule>
  </conditionalFormatting>
  <conditionalFormatting sqref="X73">
    <cfRule type="cellIs" dxfId="73" priority="43" operator="equal">
      <formula>"Ok"</formula>
    </cfRule>
    <cfRule type="cellIs" dxfId="72" priority="42" operator="equal">
      <formula>"Check"</formula>
    </cfRule>
  </conditionalFormatting>
  <conditionalFormatting sqref="X93">
    <cfRule type="cellIs" dxfId="71" priority="6" operator="equal">
      <formula>"Check"</formula>
    </cfRule>
    <cfRule type="cellIs" dxfId="70" priority="7" operator="equal">
      <formula>"Ok"</formula>
    </cfRule>
  </conditionalFormatting>
  <conditionalFormatting sqref="X117">
    <cfRule type="cellIs" dxfId="69" priority="50" operator="equal">
      <formula>"Check"</formula>
    </cfRule>
    <cfRule type="cellIs" dxfId="68" priority="51" operator="equal">
      <formula>"Ok"</formula>
    </cfRule>
  </conditionalFormatting>
  <dataValidations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6"/>
  <sheetViews>
    <sheetView workbookViewId="0">
      <selection activeCell="C42" sqref="C42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IF(COUNTA($W$8:$W$239)=COUNTIF($W$8:$W$239,"OK"),"OK","Check")</f>
        <v>OK</v>
      </c>
      <c r="U1" s="189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04"/>
      <c r="O3" s="204"/>
      <c r="P3" s="204"/>
      <c r="Q3" s="204"/>
      <c r="R3" s="204"/>
      <c r="S3" s="204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82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2.75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46539</v>
      </c>
      <c r="P10" s="141">
        <f t="shared" si="0"/>
        <v>46905</v>
      </c>
      <c r="Q10" s="141">
        <f t="shared" si="0"/>
        <v>47270</v>
      </c>
      <c r="R10" s="141">
        <f t="shared" si="0"/>
        <v>47635</v>
      </c>
      <c r="S10" s="141">
        <f t="shared" si="0"/>
        <v>48000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outlineLevel="1">
      <c r="A12" s="122"/>
      <c r="B12" s="122"/>
      <c r="C12" s="130" t="s">
        <v>218</v>
      </c>
      <c r="D12" s="123" t="s">
        <v>64</v>
      </c>
      <c r="E12" s="123" t="str">
        <f t="shared" ref="E12:E22" si="1">units</f>
        <v>$millions</v>
      </c>
      <c r="F12" s="199">
        <v>46174</v>
      </c>
      <c r="G12" s="124"/>
      <c r="H12" s="124"/>
      <c r="I12" s="123"/>
      <c r="J12" s="161"/>
      <c r="K12" s="161"/>
      <c r="L12" s="161"/>
      <c r="M12" s="161"/>
      <c r="N12" s="161"/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/>
      <c r="U12" s="122"/>
      <c r="V12" s="122"/>
      <c r="W12" s="81" t="str">
        <f>IF(ISBLANK(C12),IF(COUNT(J12:T12)=0,"Ok","Check"),IF(COUNT(J12:T12)=COUNT(J$10:T$10),"Ok","Check"))</f>
        <v>Ok</v>
      </c>
    </row>
    <row r="13" spans="1:30" outlineLevel="1">
      <c r="A13" s="122"/>
      <c r="B13" s="122"/>
      <c r="C13" s="130" t="s">
        <v>219</v>
      </c>
      <c r="D13" s="123" t="s">
        <v>64</v>
      </c>
      <c r="E13" s="123" t="str">
        <f t="shared" si="1"/>
        <v>$millions</v>
      </c>
      <c r="F13" s="199">
        <v>46174</v>
      </c>
      <c r="G13" s="124"/>
      <c r="H13" s="124"/>
      <c r="I13" s="123"/>
      <c r="J13" s="161"/>
      <c r="K13" s="161"/>
      <c r="L13" s="161"/>
      <c r="M13" s="161"/>
      <c r="N13" s="161"/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/>
      <c r="U13" s="122"/>
      <c r="V13" s="122"/>
      <c r="W13" s="81" t="str">
        <f t="shared" ref="W13:W14" si="2">IF(ISBLANK(C13),IF(COUNT(J13:T13)=0,"Ok","Check"),IF(COUNT(J13:T13)=COUNT(J$10:T$10),"Ok","Check"))</f>
        <v>Ok</v>
      </c>
    </row>
    <row r="14" spans="1:30" outlineLevel="1">
      <c r="A14" s="122"/>
      <c r="B14" s="122"/>
      <c r="C14" s="130" t="s">
        <v>220</v>
      </c>
      <c r="D14" s="123" t="s">
        <v>64</v>
      </c>
      <c r="E14" s="123" t="str">
        <f t="shared" si="1"/>
        <v>$millions</v>
      </c>
      <c r="F14" s="199">
        <v>46174</v>
      </c>
      <c r="G14" s="124"/>
      <c r="H14" s="124"/>
      <c r="I14" s="123"/>
      <c r="J14" s="161"/>
      <c r="K14" s="161"/>
      <c r="L14" s="161"/>
      <c r="M14" s="161"/>
      <c r="N14" s="161"/>
      <c r="O14" s="183">
        <v>0.86447501367222657</v>
      </c>
      <c r="P14" s="183">
        <v>2.8422274551029316</v>
      </c>
      <c r="Q14" s="183">
        <v>2.8872497483556487</v>
      </c>
      <c r="R14" s="183">
        <v>3.3369729461644977</v>
      </c>
      <c r="S14" s="183">
        <v>3.5493866894913988</v>
      </c>
      <c r="T14" s="183"/>
      <c r="U14" s="122"/>
      <c r="V14" s="122"/>
      <c r="W14" s="81" t="str">
        <f t="shared" si="2"/>
        <v>Ok</v>
      </c>
    </row>
    <row r="15" spans="1:30" outlineLevel="1">
      <c r="A15" s="122"/>
      <c r="B15" s="122"/>
      <c r="C15" s="130" t="s">
        <v>221</v>
      </c>
      <c r="D15" s="123" t="s">
        <v>64</v>
      </c>
      <c r="E15" s="123" t="str">
        <f t="shared" si="1"/>
        <v>$millions</v>
      </c>
      <c r="F15" s="199">
        <v>46174</v>
      </c>
      <c r="G15" s="124"/>
      <c r="H15" s="124"/>
      <c r="I15" s="123"/>
      <c r="J15" s="161"/>
      <c r="K15" s="161"/>
      <c r="L15" s="161"/>
      <c r="M15" s="161"/>
      <c r="N15" s="161"/>
      <c r="O15" s="183">
        <v>0.82115841406953061</v>
      </c>
      <c r="P15" s="183">
        <v>0.40649756804625042</v>
      </c>
      <c r="Q15" s="183">
        <v>0.58910800524251117</v>
      </c>
      <c r="R15" s="183">
        <v>1.3223666668993146</v>
      </c>
      <c r="S15" s="183">
        <v>0.75944998643528805</v>
      </c>
      <c r="T15" s="183"/>
      <c r="U15" s="122"/>
      <c r="V15" s="122"/>
      <c r="W15" s="81" t="str">
        <f t="shared" ref="W15:W22" si="3">IF(ISBLANK(C15),IF(COUNT(J15:T15)=0,"Ok","Check"),IF(COUNT(J15:T15)=COUNT(J$10:T$10),"Ok","Check"))</f>
        <v>Ok</v>
      </c>
    </row>
    <row r="16" spans="1:30" outlineLevel="1">
      <c r="A16" s="122"/>
      <c r="B16" s="122"/>
      <c r="C16" s="130" t="s">
        <v>222</v>
      </c>
      <c r="D16" s="123" t="s">
        <v>64</v>
      </c>
      <c r="E16" s="123" t="str">
        <f t="shared" si="1"/>
        <v>$millions</v>
      </c>
      <c r="F16" s="199">
        <v>46174</v>
      </c>
      <c r="G16" s="124"/>
      <c r="H16" s="124"/>
      <c r="I16" s="123"/>
      <c r="J16" s="161"/>
      <c r="K16" s="161"/>
      <c r="L16" s="161"/>
      <c r="M16" s="161"/>
      <c r="N16" s="161"/>
      <c r="O16" s="183">
        <v>1.8507529075206524</v>
      </c>
      <c r="P16" s="183">
        <v>4.8131537985104949</v>
      </c>
      <c r="Q16" s="183">
        <v>6.880523066747446</v>
      </c>
      <c r="R16" s="183">
        <v>7.0196352335513836</v>
      </c>
      <c r="S16" s="183">
        <v>8.3226605150413384</v>
      </c>
      <c r="T16" s="183"/>
      <c r="U16" s="122"/>
      <c r="V16" s="122"/>
      <c r="W16" s="81" t="str">
        <f t="shared" si="3"/>
        <v>Ok</v>
      </c>
    </row>
    <row r="17" spans="1:30" outlineLevel="1">
      <c r="A17" s="122"/>
      <c r="B17" s="122"/>
      <c r="C17" s="130" t="s">
        <v>223</v>
      </c>
      <c r="D17" s="123" t="s">
        <v>64</v>
      </c>
      <c r="E17" s="123" t="str">
        <f t="shared" si="1"/>
        <v>$millions</v>
      </c>
      <c r="F17" s="199">
        <v>46174</v>
      </c>
      <c r="G17" s="124"/>
      <c r="H17" s="124"/>
      <c r="I17" s="123"/>
      <c r="J17" s="161"/>
      <c r="K17" s="161"/>
      <c r="L17" s="161"/>
      <c r="M17" s="161"/>
      <c r="N17" s="161"/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/>
      <c r="U17" s="122"/>
      <c r="V17" s="122"/>
      <c r="W17" s="81" t="str">
        <f t="shared" si="3"/>
        <v>Ok</v>
      </c>
    </row>
    <row r="18" spans="1:30" outlineLevel="1">
      <c r="A18" s="122"/>
      <c r="B18" s="122"/>
      <c r="C18" s="130" t="s">
        <v>224</v>
      </c>
      <c r="D18" s="123" t="s">
        <v>64</v>
      </c>
      <c r="E18" s="123" t="str">
        <f t="shared" si="1"/>
        <v>$millions</v>
      </c>
      <c r="F18" s="199">
        <v>46174</v>
      </c>
      <c r="G18" s="124"/>
      <c r="H18" s="124"/>
      <c r="I18" s="123"/>
      <c r="J18" s="161"/>
      <c r="K18" s="161"/>
      <c r="L18" s="161"/>
      <c r="M18" s="161"/>
      <c r="N18" s="161"/>
      <c r="O18" s="183">
        <v>0</v>
      </c>
      <c r="P18" s="183">
        <v>-3.463126415118014E-2</v>
      </c>
      <c r="Q18" s="183">
        <v>-3.922360362655114E-2</v>
      </c>
      <c r="R18" s="183">
        <v>-5.1139236653130395E-2</v>
      </c>
      <c r="S18" s="183">
        <v>-6.3371892137794539E-2</v>
      </c>
      <c r="T18" s="183"/>
      <c r="U18" s="122"/>
      <c r="V18" s="122"/>
      <c r="W18" s="81" t="str">
        <f t="shared" si="3"/>
        <v>Ok</v>
      </c>
    </row>
    <row r="19" spans="1:30" outlineLevel="1">
      <c r="A19" s="122"/>
      <c r="B19" s="122"/>
      <c r="C19" s="130" t="s">
        <v>226</v>
      </c>
      <c r="D19" s="123" t="s">
        <v>64</v>
      </c>
      <c r="E19" s="123" t="str">
        <f t="shared" si="1"/>
        <v>$millions</v>
      </c>
      <c r="F19" s="199">
        <v>46174</v>
      </c>
      <c r="G19" s="124"/>
      <c r="H19" s="124"/>
      <c r="I19" s="123"/>
      <c r="J19" s="161"/>
      <c r="K19" s="161"/>
      <c r="L19" s="161"/>
      <c r="M19" s="161"/>
      <c r="N19" s="161"/>
      <c r="O19" s="183">
        <v>-4.5182201982471284</v>
      </c>
      <c r="P19" s="183">
        <v>-4.5182201982471284</v>
      </c>
      <c r="Q19" s="183">
        <v>-4.5182201982471284</v>
      </c>
      <c r="R19" s="183">
        <v>-4.5182201982471284</v>
      </c>
      <c r="S19" s="183">
        <v>-4.5182201982471284</v>
      </c>
      <c r="T19" s="183"/>
      <c r="U19" s="122"/>
      <c r="V19" s="122"/>
      <c r="W19" s="81" t="str">
        <f t="shared" si="3"/>
        <v>Ok</v>
      </c>
    </row>
    <row r="20" spans="1:30" outlineLevel="1">
      <c r="A20" s="122"/>
      <c r="B20" s="122"/>
      <c r="C20" s="130"/>
      <c r="D20" s="123" t="s">
        <v>64</v>
      </c>
      <c r="E20" s="123" t="str">
        <f t="shared" si="1"/>
        <v>$millions</v>
      </c>
      <c r="F20" s="199">
        <v>46174</v>
      </c>
      <c r="G20" s="124"/>
      <c r="H20" s="124"/>
      <c r="I20" s="123"/>
      <c r="J20" s="161"/>
      <c r="K20" s="161"/>
      <c r="L20" s="161"/>
      <c r="M20" s="161"/>
      <c r="N20" s="161"/>
      <c r="O20" s="183"/>
      <c r="P20" s="183"/>
      <c r="Q20" s="183"/>
      <c r="R20" s="183"/>
      <c r="S20" s="183"/>
      <c r="T20" s="183"/>
      <c r="U20" s="122"/>
      <c r="V20" s="122"/>
      <c r="W20" s="81" t="str">
        <f t="shared" si="3"/>
        <v>Ok</v>
      </c>
    </row>
    <row r="21" spans="1:30" outlineLevel="1">
      <c r="A21" s="122"/>
      <c r="B21" s="122"/>
      <c r="C21" s="130"/>
      <c r="D21" s="123" t="s">
        <v>64</v>
      </c>
      <c r="E21" s="123" t="str">
        <f t="shared" si="1"/>
        <v>$millions</v>
      </c>
      <c r="F21" s="199">
        <v>46174</v>
      </c>
      <c r="G21" s="124"/>
      <c r="H21" s="124"/>
      <c r="I21" s="123"/>
      <c r="J21" s="161"/>
      <c r="K21" s="161"/>
      <c r="L21" s="161"/>
      <c r="M21" s="161"/>
      <c r="N21" s="161"/>
      <c r="O21" s="183"/>
      <c r="P21" s="183"/>
      <c r="Q21" s="183"/>
      <c r="R21" s="183"/>
      <c r="S21" s="183"/>
      <c r="T21" s="183"/>
      <c r="U21" s="122"/>
      <c r="V21" s="122"/>
      <c r="W21" s="81" t="str">
        <f t="shared" si="3"/>
        <v>Ok</v>
      </c>
    </row>
    <row r="22" spans="1:30" outlineLevel="1">
      <c r="A22" s="122"/>
      <c r="B22" s="122"/>
      <c r="C22" s="130"/>
      <c r="D22" s="123" t="s">
        <v>64</v>
      </c>
      <c r="E22" s="123" t="str">
        <f t="shared" si="1"/>
        <v>$millions</v>
      </c>
      <c r="F22" s="199">
        <v>46174</v>
      </c>
      <c r="G22" s="124"/>
      <c r="H22" s="124"/>
      <c r="I22" s="123"/>
      <c r="J22" s="161"/>
      <c r="K22" s="161"/>
      <c r="L22" s="161"/>
      <c r="M22" s="161"/>
      <c r="N22" s="161"/>
      <c r="O22" s="183"/>
      <c r="P22" s="183"/>
      <c r="Q22" s="183"/>
      <c r="R22" s="183"/>
      <c r="S22" s="183"/>
      <c r="T22" s="183"/>
      <c r="U22" s="122"/>
      <c r="V22" s="122"/>
      <c r="W22" s="81" t="str">
        <f t="shared" si="3"/>
        <v>Ok</v>
      </c>
    </row>
    <row r="23" spans="1:30" outlineLevel="1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30" outlineLevel="1">
      <c r="A24" s="122"/>
      <c r="B24" s="122"/>
      <c r="C24" s="122" t="s">
        <v>40</v>
      </c>
      <c r="D24" s="123" t="s">
        <v>93</v>
      </c>
      <c r="E24" s="123" t="s">
        <v>28</v>
      </c>
      <c r="F24" s="123" t="s">
        <v>36</v>
      </c>
      <c r="G24" s="123"/>
      <c r="H24" s="123"/>
      <c r="I24" s="123"/>
      <c r="J24" s="167" t="str">
        <f t="shared" ref="J24:S24" si="4">IF(J10=J4,IF(COUNTA($C12:$C22)=COUNT(J12:J22),"Ok","Check"),"")</f>
        <v/>
      </c>
      <c r="K24" s="167" t="str">
        <f t="shared" si="4"/>
        <v/>
      </c>
      <c r="L24" s="167" t="str">
        <f t="shared" si="4"/>
        <v/>
      </c>
      <c r="M24" s="167" t="str">
        <f t="shared" si="4"/>
        <v/>
      </c>
      <c r="N24" s="167" t="str">
        <f t="shared" si="4"/>
        <v/>
      </c>
      <c r="O24" s="167" t="str">
        <f t="shared" si="4"/>
        <v>Ok</v>
      </c>
      <c r="P24" s="167" t="str">
        <f t="shared" si="4"/>
        <v>Ok</v>
      </c>
      <c r="Q24" s="167" t="str">
        <f t="shared" si="4"/>
        <v>Ok</v>
      </c>
      <c r="R24" s="167" t="str">
        <f t="shared" si="4"/>
        <v>Ok</v>
      </c>
      <c r="S24" s="167" t="str">
        <f t="shared" si="4"/>
        <v>Ok</v>
      </c>
      <c r="T24" s="167" t="str">
        <f>IF(T10=T4,IF(COUNTA($C12:$C22)=COUNT(T12:T22),"Ok","Check"),"")</f>
        <v/>
      </c>
      <c r="U24" s="168"/>
      <c r="V24" s="122"/>
      <c r="W24" s="81" t="str">
        <f>IF(COUNTIF(J24:T24,"Check")=0,"Ok","Check")</f>
        <v>Ok</v>
      </c>
    </row>
    <row r="25" spans="1:30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customFormat="1" ht="12.75">
      <c r="A26" s="118"/>
      <c r="B26" s="38" t="s">
        <v>106</v>
      </c>
      <c r="C26" s="118"/>
      <c r="D26" s="118"/>
      <c r="E26" s="118"/>
      <c r="F26" s="119"/>
      <c r="G26" s="119"/>
      <c r="H26" s="119"/>
      <c r="I26" s="119"/>
      <c r="J26" s="120"/>
      <c r="K26" s="121"/>
      <c r="L26" s="120"/>
      <c r="M26" s="121"/>
      <c r="N26" s="120"/>
      <c r="O26" s="120"/>
      <c r="P26" s="120"/>
      <c r="Q26" s="120"/>
      <c r="R26" s="120"/>
      <c r="S26" s="120"/>
      <c r="T26" s="120"/>
      <c r="U26" s="120"/>
      <c r="V26" s="121"/>
      <c r="W26" s="35"/>
      <c r="X26" s="36"/>
      <c r="Y26" s="36"/>
      <c r="Z26" s="36"/>
      <c r="AA26" s="36"/>
      <c r="AB26" s="36"/>
      <c r="AC26" s="37"/>
      <c r="AD26" s="37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outlineLevel="1">
      <c r="A28" s="122"/>
      <c r="B28" s="122"/>
      <c r="C28" s="125" t="s">
        <v>102</v>
      </c>
      <c r="D28" s="124" t="s">
        <v>7</v>
      </c>
      <c r="E28" s="124" t="s">
        <v>8</v>
      </c>
      <c r="F28" s="124" t="s">
        <v>22</v>
      </c>
      <c r="G28" s="124"/>
      <c r="H28" s="124"/>
      <c r="I28" s="123"/>
      <c r="J28" s="141" t="str">
        <f t="shared" ref="J28:T28" si="5">IF(YEAR(J$4)&gt;=FPFirstYear,IF(YEAR(J$4)&lt;=FPLastYear,J$4,""),"")</f>
        <v/>
      </c>
      <c r="K28" s="141" t="str">
        <f t="shared" si="5"/>
        <v/>
      </c>
      <c r="L28" s="141" t="str">
        <f t="shared" si="5"/>
        <v/>
      </c>
      <c r="M28" s="141" t="str">
        <f t="shared" si="5"/>
        <v/>
      </c>
      <c r="N28" s="141" t="str">
        <f t="shared" si="5"/>
        <v/>
      </c>
      <c r="O28" s="141">
        <f t="shared" si="5"/>
        <v>46539</v>
      </c>
      <c r="P28" s="141">
        <f t="shared" si="5"/>
        <v>46905</v>
      </c>
      <c r="Q28" s="141">
        <f t="shared" si="5"/>
        <v>47270</v>
      </c>
      <c r="R28" s="141">
        <f t="shared" si="5"/>
        <v>47635</v>
      </c>
      <c r="S28" s="141">
        <f t="shared" si="5"/>
        <v>48000</v>
      </c>
      <c r="T28" s="141" t="str">
        <f t="shared" si="5"/>
        <v/>
      </c>
      <c r="U28" s="122"/>
      <c r="V28" s="122"/>
    </row>
    <row r="29" spans="1:30" outlineLevel="1">
      <c r="A29" s="122"/>
      <c r="B29" s="122"/>
      <c r="C29" s="122"/>
      <c r="D29" s="123"/>
      <c r="E29" s="123"/>
      <c r="F29" s="123"/>
      <c r="G29" s="124"/>
      <c r="H29" s="124"/>
      <c r="I29" s="123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</row>
    <row r="30" spans="1:30" outlineLevel="1">
      <c r="A30" s="122"/>
      <c r="B30" s="122"/>
      <c r="C30" s="184" t="s">
        <v>214</v>
      </c>
      <c r="D30" s="123" t="s">
        <v>64</v>
      </c>
      <c r="E30" s="123" t="str">
        <f>units</f>
        <v>$millions</v>
      </c>
      <c r="F30" s="142">
        <f>DATE(PPLastYear,MONTH(month),1)</f>
        <v>46174</v>
      </c>
      <c r="G30" s="124"/>
      <c r="H30" s="124"/>
      <c r="I30" s="123"/>
      <c r="J30" s="161"/>
      <c r="K30" s="161"/>
      <c r="L30" s="161"/>
      <c r="M30" s="161"/>
      <c r="N30" s="183"/>
      <c r="O30" s="183">
        <v>1.6992385598222852</v>
      </c>
      <c r="P30" s="183">
        <v>1.6569855297988632</v>
      </c>
      <c r="Q30" s="183">
        <v>1.6157831577515327</v>
      </c>
      <c r="R30" s="183">
        <v>1.5756053181649852</v>
      </c>
      <c r="S30" s="183">
        <v>1.5364265351573472</v>
      </c>
      <c r="T30" s="183"/>
      <c r="U30" s="122"/>
      <c r="V30" s="122"/>
      <c r="W30" s="81" t="str">
        <f>IF(ISBLANK(C30),IF(COUNT(J30:T30)=0,"Ok","Check"),IF(COUNT(J30:T30)=COUNT(J$10:T$10),"Ok","Check"))</f>
        <v>Ok</v>
      </c>
    </row>
    <row r="31" spans="1:30" outlineLevel="1">
      <c r="A31" s="122"/>
      <c r="B31" s="122"/>
      <c r="C31" s="184" t="s">
        <v>225</v>
      </c>
      <c r="D31" s="123" t="s">
        <v>64</v>
      </c>
      <c r="E31" s="123" t="str">
        <f>units</f>
        <v>$millions</v>
      </c>
      <c r="F31" s="142">
        <v>45444</v>
      </c>
      <c r="G31" s="124"/>
      <c r="H31" s="124"/>
      <c r="I31" s="123"/>
      <c r="J31" s="161"/>
      <c r="K31" s="161"/>
      <c r="L31" s="161"/>
      <c r="M31" s="161"/>
      <c r="N31" s="183"/>
      <c r="O31" s="183">
        <v>0.32999999999999996</v>
      </c>
      <c r="P31" s="183">
        <v>0.32999999999999996</v>
      </c>
      <c r="Q31" s="183">
        <v>0.32999999999999996</v>
      </c>
      <c r="R31" s="183">
        <v>0.32999999999999996</v>
      </c>
      <c r="S31" s="183">
        <v>0.32999999999999996</v>
      </c>
      <c r="T31" s="183"/>
      <c r="U31" s="122"/>
      <c r="V31" s="122"/>
      <c r="W31" s="81" t="str">
        <f>IF(ISBLANK(C31),IF(COUNT(J31:T31)=0,"Ok","Check"),IF(COUNT(J31:T31)=COUNT(J$10:T$10),"Ok","Check"))</f>
        <v>Ok</v>
      </c>
    </row>
    <row r="32" spans="1:30" outlineLevel="1">
      <c r="A32" s="122"/>
      <c r="B32" s="122"/>
      <c r="C32" s="184" t="s">
        <v>218</v>
      </c>
      <c r="D32" s="123" t="s">
        <v>64</v>
      </c>
      <c r="E32" s="123" t="str">
        <f>units</f>
        <v>$millions</v>
      </c>
      <c r="F32" s="142">
        <f>DATE(PPLastYear,MONTH(month),1)</f>
        <v>46174</v>
      </c>
      <c r="G32" s="124"/>
      <c r="H32" s="124"/>
      <c r="I32" s="123"/>
      <c r="J32" s="161"/>
      <c r="K32" s="161"/>
      <c r="L32" s="161"/>
      <c r="M32" s="161"/>
      <c r="N32" s="183"/>
      <c r="O32" s="183">
        <v>1.7105411467276042</v>
      </c>
      <c r="P32" s="183">
        <v>1.7242499788848678</v>
      </c>
      <c r="Q32" s="183">
        <v>1.7400695948977483</v>
      </c>
      <c r="R32" s="183">
        <v>1.7577027844504141</v>
      </c>
      <c r="S32" s="183">
        <v>1.7747260890321206</v>
      </c>
      <c r="T32" s="183"/>
      <c r="U32" s="122"/>
      <c r="V32" s="122"/>
      <c r="W32" s="81" t="str">
        <f>IF(ISBLANK(C32),IF(COUNT(J32:T32)=0,"Ok","Check"),IF(COUNT(J32:T32)=COUNT(J$10:T$10),"Ok","Check"))</f>
        <v>Ok</v>
      </c>
    </row>
    <row r="33" spans="1:30" outlineLevel="1">
      <c r="A33" s="122"/>
      <c r="B33" s="122"/>
      <c r="C33" s="185"/>
      <c r="D33" s="123" t="s">
        <v>64</v>
      </c>
      <c r="E33" s="123" t="str">
        <f>units</f>
        <v>$millions</v>
      </c>
      <c r="F33" s="142">
        <f>DATE(PPLastYear,MONTH(month),1)</f>
        <v>46174</v>
      </c>
      <c r="G33" s="124"/>
      <c r="H33" s="124"/>
      <c r="I33" s="123"/>
      <c r="J33" s="161"/>
      <c r="K33" s="161"/>
      <c r="L33" s="161"/>
      <c r="M33" s="161"/>
      <c r="N33" s="183"/>
      <c r="O33" s="183"/>
      <c r="P33" s="183"/>
      <c r="Q33" s="183"/>
      <c r="R33" s="183"/>
      <c r="S33" s="183"/>
      <c r="T33" s="183"/>
      <c r="U33" s="122"/>
      <c r="V33" s="122"/>
      <c r="W33" s="81" t="str">
        <f>IF(ISBLANK(C33),IF(COUNT(J33:T33)=0,"Ok","Check"),IF(COUNT(J33:T33)=COUNT(J$10:T$10),"Ok","Check"))</f>
        <v>Ok</v>
      </c>
    </row>
    <row r="34" spans="1:30" outlineLevel="1">
      <c r="A34" s="122"/>
      <c r="B34" s="122"/>
      <c r="C34" s="130"/>
      <c r="D34" s="123" t="s">
        <v>64</v>
      </c>
      <c r="E34" s="123" t="str">
        <f>units</f>
        <v>$millions</v>
      </c>
      <c r="F34" s="142">
        <f>DATE(PPLastYear,MONTH(month),1)</f>
        <v>46174</v>
      </c>
      <c r="G34" s="124"/>
      <c r="H34" s="124"/>
      <c r="I34" s="123"/>
      <c r="J34" s="161"/>
      <c r="K34" s="161"/>
      <c r="L34" s="161"/>
      <c r="M34" s="161"/>
      <c r="N34" s="183"/>
      <c r="O34" s="183"/>
      <c r="P34" s="183"/>
      <c r="Q34" s="183"/>
      <c r="R34" s="183"/>
      <c r="S34" s="183"/>
      <c r="T34" s="183"/>
      <c r="U34" s="122"/>
      <c r="V34" s="122"/>
      <c r="W34" s="81" t="str">
        <f>IF(ISBLANK(C34),IF(COUNT(J34:T34)=0,"Ok","Check"),IF(COUNT(J34:T34)=COUNT(J$10:T$10),"Ok","Check"))</f>
        <v>Ok</v>
      </c>
    </row>
    <row r="35" spans="1:30" outlineLevel="1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outlineLevel="1">
      <c r="A36" s="122"/>
      <c r="B36" s="122"/>
      <c r="C36" s="122" t="s">
        <v>40</v>
      </c>
      <c r="D36" s="123" t="s">
        <v>93</v>
      </c>
      <c r="E36" s="123" t="s">
        <v>28</v>
      </c>
      <c r="F36" s="123" t="s">
        <v>36</v>
      </c>
      <c r="G36" s="123"/>
      <c r="H36" s="123"/>
      <c r="I36" s="123"/>
      <c r="J36" s="167" t="str">
        <f t="shared" ref="J36:T36" si="6">IF(J28=J4,IF(COUNTA($C30:$C34)=COUNT(J30:J34),"Ok","Check"),"")</f>
        <v/>
      </c>
      <c r="K36" s="167" t="str">
        <f t="shared" si="6"/>
        <v/>
      </c>
      <c r="L36" s="167" t="str">
        <f t="shared" si="6"/>
        <v/>
      </c>
      <c r="M36" s="167" t="str">
        <f t="shared" si="6"/>
        <v/>
      </c>
      <c r="N36" s="167" t="str">
        <f t="shared" si="6"/>
        <v/>
      </c>
      <c r="O36" s="167" t="str">
        <f t="shared" si="6"/>
        <v>Ok</v>
      </c>
      <c r="P36" s="167" t="str">
        <f t="shared" si="6"/>
        <v>Ok</v>
      </c>
      <c r="Q36" s="167" t="str">
        <f t="shared" si="6"/>
        <v>Ok</v>
      </c>
      <c r="R36" s="167" t="str">
        <f t="shared" si="6"/>
        <v>Ok</v>
      </c>
      <c r="S36" s="167" t="str">
        <f t="shared" si="6"/>
        <v>Ok</v>
      </c>
      <c r="T36" s="167" t="str">
        <f t="shared" si="6"/>
        <v/>
      </c>
      <c r="U36" s="168"/>
      <c r="V36" s="122"/>
      <c r="W36" s="81" t="str">
        <f>IF(COUNTIF(J36:T36,"Check")=0,"Ok","Check")</f>
        <v>Ok</v>
      </c>
    </row>
    <row r="37" spans="1:30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customFormat="1" ht="12.75">
      <c r="A38" s="118"/>
      <c r="B38" s="38" t="s">
        <v>44</v>
      </c>
      <c r="C38" s="118"/>
      <c r="D38" s="118"/>
      <c r="E38" s="118"/>
      <c r="F38" s="119"/>
      <c r="G38" s="119"/>
      <c r="H38" s="119"/>
      <c r="I38" s="119"/>
      <c r="J38" s="120"/>
      <c r="K38" s="121"/>
      <c r="L38" s="120"/>
      <c r="M38" s="121"/>
      <c r="N38" s="120"/>
      <c r="O38" s="120"/>
      <c r="P38" s="120"/>
      <c r="Q38" s="120"/>
      <c r="R38" s="120"/>
      <c r="S38" s="120"/>
      <c r="T38" s="120"/>
      <c r="U38" s="120"/>
      <c r="V38" s="121"/>
      <c r="W38" s="35"/>
      <c r="X38" s="36"/>
      <c r="Y38" s="36"/>
      <c r="Z38" s="36"/>
      <c r="AA38" s="36"/>
      <c r="AB38" s="36"/>
      <c r="AC38" s="37"/>
      <c r="AD38" s="37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outlineLevel="1">
      <c r="A40" s="122"/>
      <c r="B40" s="122"/>
      <c r="C40" s="125" t="s">
        <v>32</v>
      </c>
      <c r="D40" s="124" t="s">
        <v>7</v>
      </c>
      <c r="E40" s="124" t="s">
        <v>8</v>
      </c>
      <c r="F40" s="124" t="s">
        <v>22</v>
      </c>
      <c r="G40" s="124"/>
      <c r="H40" s="124"/>
      <c r="I40" s="123"/>
      <c r="J40" s="141" t="str">
        <f t="shared" ref="J40:T40" si="7">IF(YEAR(J$4)&gt;=FPFirstYear,IF(YEAR(J$4)&lt;=FPLastYear,J$4,""),"")</f>
        <v/>
      </c>
      <c r="K40" s="141" t="str">
        <f t="shared" si="7"/>
        <v/>
      </c>
      <c r="L40" s="141" t="str">
        <f t="shared" si="7"/>
        <v/>
      </c>
      <c r="M40" s="141" t="str">
        <f t="shared" si="7"/>
        <v/>
      </c>
      <c r="N40" s="141" t="str">
        <f t="shared" si="7"/>
        <v/>
      </c>
      <c r="O40" s="141">
        <f t="shared" si="7"/>
        <v>46539</v>
      </c>
      <c r="P40" s="141">
        <f t="shared" si="7"/>
        <v>46905</v>
      </c>
      <c r="Q40" s="141">
        <f t="shared" si="7"/>
        <v>47270</v>
      </c>
      <c r="R40" s="141">
        <f t="shared" si="7"/>
        <v>47635</v>
      </c>
      <c r="S40" s="141">
        <f t="shared" si="7"/>
        <v>48000</v>
      </c>
      <c r="T40" s="141" t="str">
        <f t="shared" si="7"/>
        <v/>
      </c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outlineLevel="1">
      <c r="A42" s="122"/>
      <c r="B42" s="122"/>
      <c r="C42" s="128" t="s">
        <v>39</v>
      </c>
      <c r="D42" s="123" t="s">
        <v>67</v>
      </c>
      <c r="E42" s="123" t="s">
        <v>15</v>
      </c>
      <c r="F42" s="142">
        <f>DATE(PPLastYear,MONTH(month),1)</f>
        <v>46174</v>
      </c>
      <c r="G42" s="124"/>
      <c r="H42" s="124"/>
      <c r="I42" s="124"/>
      <c r="J42" s="183"/>
      <c r="K42" s="183"/>
      <c r="L42" s="183"/>
      <c r="M42" s="183"/>
      <c r="N42" s="183"/>
      <c r="O42" s="201">
        <v>1.5566856465180174</v>
      </c>
      <c r="P42" s="202">
        <v>1.5544341857495627</v>
      </c>
      <c r="Q42" s="202">
        <v>1.5474859508729628</v>
      </c>
      <c r="R42" s="202">
        <v>1.534486730757912</v>
      </c>
      <c r="S42" s="203">
        <v>1.5221923010140455</v>
      </c>
      <c r="T42" s="183"/>
      <c r="U42" s="122"/>
      <c r="V42" s="122"/>
    </row>
    <row r="43" spans="1:30" outlineLevel="1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outlineLevel="1">
      <c r="A44" s="122"/>
      <c r="B44" s="122"/>
      <c r="C44" s="122" t="s">
        <v>40</v>
      </c>
      <c r="D44" s="123" t="s">
        <v>93</v>
      </c>
      <c r="E44" s="123" t="s">
        <v>28</v>
      </c>
      <c r="F44" s="123" t="s">
        <v>36</v>
      </c>
      <c r="G44" s="123"/>
      <c r="H44" s="123"/>
      <c r="I44" s="123"/>
      <c r="J44" s="167" t="str">
        <f t="shared" ref="J44:T44" si="8">IF(J40=J4,IF(ISBLANK(J42),"Check","Ok"),"")</f>
        <v/>
      </c>
      <c r="K44" s="167" t="str">
        <f t="shared" si="8"/>
        <v/>
      </c>
      <c r="L44" s="167" t="str">
        <f t="shared" si="8"/>
        <v/>
      </c>
      <c r="M44" s="167" t="str">
        <f t="shared" si="8"/>
        <v/>
      </c>
      <c r="N44" s="167" t="str">
        <f t="shared" si="8"/>
        <v/>
      </c>
      <c r="O44" s="167" t="str">
        <f t="shared" si="8"/>
        <v>Ok</v>
      </c>
      <c r="P44" s="167" t="str">
        <f t="shared" si="8"/>
        <v>Ok</v>
      </c>
      <c r="Q44" s="167" t="str">
        <f t="shared" si="8"/>
        <v>Ok</v>
      </c>
      <c r="R44" s="167" t="str">
        <f t="shared" si="8"/>
        <v>Ok</v>
      </c>
      <c r="S44" s="167" t="str">
        <f t="shared" si="8"/>
        <v>Ok</v>
      </c>
      <c r="T44" s="167" t="str">
        <f t="shared" si="8"/>
        <v/>
      </c>
      <c r="U44" s="168"/>
      <c r="V44" s="122"/>
      <c r="W44" s="81" t="str">
        <f>IF(COUNTIF(J44:T44,"Check")=0,"Ok","Check")</f>
        <v>Ok</v>
      </c>
    </row>
    <row r="45" spans="1:30">
      <c r="A45" s="122"/>
      <c r="B45" s="122"/>
      <c r="C45" s="122"/>
      <c r="D45" s="123"/>
      <c r="E45" s="123"/>
      <c r="F45" s="123"/>
      <c r="G45" s="124"/>
      <c r="H45" s="124"/>
      <c r="I45" s="123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</row>
    <row r="46" spans="1:30" customFormat="1" ht="12.75">
      <c r="A46" s="118"/>
      <c r="B46" s="38" t="s">
        <v>21</v>
      </c>
      <c r="C46" s="118"/>
      <c r="D46" s="118"/>
      <c r="E46" s="118"/>
      <c r="F46" s="119"/>
      <c r="G46" s="119"/>
      <c r="H46" s="119"/>
      <c r="I46" s="119"/>
      <c r="J46" s="120"/>
      <c r="K46" s="121"/>
      <c r="L46" s="120"/>
      <c r="M46" s="121"/>
      <c r="N46" s="120"/>
      <c r="O46" s="120"/>
      <c r="P46" s="120"/>
      <c r="Q46" s="120"/>
      <c r="R46" s="120"/>
      <c r="S46" s="120"/>
      <c r="T46" s="120"/>
      <c r="U46" s="120"/>
      <c r="V46" s="121"/>
      <c r="W46" s="35"/>
      <c r="X46" s="36"/>
      <c r="Y46" s="36"/>
      <c r="Z46" s="36"/>
      <c r="AA46" s="36"/>
      <c r="AB46" s="36"/>
      <c r="AC46" s="37"/>
      <c r="AD46" s="37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  <row r="55" spans="7:8" hidden="1">
      <c r="G55" s="20"/>
      <c r="H55" s="20"/>
    </row>
    <row r="56" spans="7:8" hidden="1">
      <c r="G56" s="20"/>
      <c r="H56" s="20"/>
    </row>
  </sheetData>
  <mergeCells count="1">
    <mergeCell ref="N3:S3"/>
  </mergeCells>
  <conditionalFormatting sqref="J30:M34 O33:O34">
    <cfRule type="expression" dxfId="67" priority="26">
      <formula>J$28=J$4</formula>
    </cfRule>
  </conditionalFormatting>
  <conditionalFormatting sqref="J10:T10">
    <cfRule type="expression" dxfId="66" priority="38">
      <formula>J$10=J$4</formula>
    </cfRule>
  </conditionalFormatting>
  <conditionalFormatting sqref="J12:T22">
    <cfRule type="expression" dxfId="65" priority="14">
      <formula>J$10=J$4</formula>
    </cfRule>
  </conditionalFormatting>
  <conditionalFormatting sqref="J24:T24">
    <cfRule type="cellIs" dxfId="64" priority="31" operator="equal">
      <formula>"Check"</formula>
    </cfRule>
    <cfRule type="cellIs" dxfId="63" priority="32" operator="equal">
      <formula>"Ok"</formula>
    </cfRule>
  </conditionalFormatting>
  <conditionalFormatting sqref="J28:T28">
    <cfRule type="expression" dxfId="62" priority="16">
      <formula>J$10=J$4</formula>
    </cfRule>
  </conditionalFormatting>
  <conditionalFormatting sqref="J36:T36">
    <cfRule type="cellIs" dxfId="61" priority="27" operator="equal">
      <formula>"Check"</formula>
    </cfRule>
    <cfRule type="cellIs" dxfId="60" priority="28" operator="equal">
      <formula>"Ok"</formula>
    </cfRule>
  </conditionalFormatting>
  <conditionalFormatting sqref="J40:T40">
    <cfRule type="expression" dxfId="59" priority="15">
      <formula>J$10=J$4</formula>
    </cfRule>
  </conditionalFormatting>
  <conditionalFormatting sqref="J42:T42">
    <cfRule type="expression" dxfId="58" priority="17">
      <formula>J$40=J$4</formula>
    </cfRule>
  </conditionalFormatting>
  <conditionalFormatting sqref="J44:T44">
    <cfRule type="cellIs" dxfId="57" priority="22" operator="equal">
      <formula>"Check"</formula>
    </cfRule>
    <cfRule type="cellIs" dxfId="56" priority="23" operator="equal">
      <formula>"Ok"</formula>
    </cfRule>
  </conditionalFormatting>
  <conditionalFormatting sqref="N30:N34">
    <cfRule type="expression" dxfId="55" priority="20">
      <formula>N$10=N$4</formula>
    </cfRule>
  </conditionalFormatting>
  <conditionalFormatting sqref="O30:T32">
    <cfRule type="expression" dxfId="54" priority="1">
      <formula>O$10=O$4</formula>
    </cfRule>
  </conditionalFormatting>
  <conditionalFormatting sqref="P33:T34">
    <cfRule type="expression" dxfId="53" priority="21">
      <formula>P$10=P$4</formula>
    </cfRule>
  </conditionalFormatting>
  <conditionalFormatting sqref="S1">
    <cfRule type="cellIs" dxfId="52" priority="40" operator="equal">
      <formula>"Check"</formula>
    </cfRule>
    <cfRule type="cellIs" dxfId="51" priority="41" operator="equal">
      <formula>"Ok"</formula>
    </cfRule>
  </conditionalFormatting>
  <conditionalFormatting sqref="V1">
    <cfRule type="cellIs" dxfId="50" priority="42" operator="equal">
      <formula>"Check"</formula>
    </cfRule>
    <cfRule type="cellIs" dxfId="49" priority="43" operator="equal">
      <formula>"Ok"</formula>
    </cfRule>
  </conditionalFormatting>
  <conditionalFormatting sqref="W12:W22">
    <cfRule type="cellIs" dxfId="48" priority="12" operator="equal">
      <formula>"Check"</formula>
    </cfRule>
    <cfRule type="cellIs" dxfId="47" priority="13" operator="equal">
      <formula>"Ok"</formula>
    </cfRule>
  </conditionalFormatting>
  <conditionalFormatting sqref="W24">
    <cfRule type="cellIs" dxfId="46" priority="33" operator="equal">
      <formula>"Check"</formula>
    </cfRule>
    <cfRule type="cellIs" dxfId="45" priority="34" operator="equal">
      <formula>"Ok"</formula>
    </cfRule>
  </conditionalFormatting>
  <conditionalFormatting sqref="W30:W34">
    <cfRule type="cellIs" dxfId="44" priority="2" operator="equal">
      <formula>"Check"</formula>
    </cfRule>
    <cfRule type="cellIs" dxfId="43" priority="3" operator="equal">
      <formula>"Ok"</formula>
    </cfRule>
  </conditionalFormatting>
  <conditionalFormatting sqref="W36">
    <cfRule type="cellIs" dxfId="42" priority="29" operator="equal">
      <formula>"Check"</formula>
    </cfRule>
    <cfRule type="cellIs" dxfId="41" priority="30" operator="equal">
      <formula>"Ok"</formula>
    </cfRule>
  </conditionalFormatting>
  <conditionalFormatting sqref="W44">
    <cfRule type="cellIs" dxfId="40" priority="24" operator="equal">
      <formula>"Check"</formula>
    </cfRule>
    <cfRule type="cellIs" dxfId="39" priority="25" operator="equal">
      <formula>"Ok"</formula>
    </cfRule>
  </conditionalFormatting>
  <dataValidations count="4">
    <dataValidation type="list" allowBlank="1" showInputMessage="1" showErrorMessage="1" sqref="F25 F35 F37 F45" xr:uid="{00000000-0002-0000-0600-000000000000}">
      <formula1>"Real 2010,Real 2011,Real 2012,Real 2013,Real 2014,Real 2015,Nominal"</formula1>
    </dataValidation>
    <dataValidation type="list" allowBlank="1" showInputMessage="1" showErrorMessage="1" sqref="U30:U35 I45 U25 I25 U45 I30:I35 U37 I37 U12:U23" xr:uid="{00000000-0002-0000-0600-000001000000}">
      <formula1>#REF!</formula1>
    </dataValidation>
    <dataValidation type="decimal" operator="greaterThanOrEqual" allowBlank="1" showInputMessage="1" showErrorMessage="1" sqref="J42:N42 T42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E42 E23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6"/>
  <sheetViews>
    <sheetView topLeftCell="A70" workbookViewId="0">
      <selection activeCell="C111" sqref="C11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89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4"/>
      <c r="O3" s="204"/>
      <c r="P3" s="204"/>
      <c r="Q3" s="204"/>
      <c r="R3" s="204"/>
      <c r="S3" s="204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149.54141744488089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155.77951600512608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208</v>
      </c>
      <c r="D14" s="65" t="s">
        <v>87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148.62065111983014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208</v>
      </c>
      <c r="D15" s="16" t="s">
        <v>30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182.76424408968023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209</v>
      </c>
      <c r="D16" s="65" t="s">
        <v>87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151.02490192064428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209</v>
      </c>
      <c r="D17" s="16" t="s">
        <v>30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185.72083913149925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1.7425690395361566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1.815260054523125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210</v>
      </c>
      <c r="D21" s="65" t="s">
        <v>87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2.0486681802261151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210</v>
      </c>
      <c r="D22" s="16" t="s">
        <v>30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2.5193221031424224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211</v>
      </c>
      <c r="D23" s="65" t="s">
        <v>87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2.0523665618072853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211</v>
      </c>
      <c r="D24" s="16" t="s">
        <v>30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2.5238701380820134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46174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155.77951600512608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4.145830353503368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4.145830353503368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2.9565950418190141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162.88194140044845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-1.819808089462716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Licence fee</v>
      </c>
      <c r="D37" s="65" t="s">
        <v>87</v>
      </c>
      <c r="E37" s="16" t="str">
        <f>'Input|Reported opex'!E63</f>
        <v>$millions</v>
      </c>
      <c r="F37" s="98">
        <f>'Input|Reported opex'!F63</f>
        <v>46174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-0.74928021871394357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Licence fee</v>
      </c>
      <c r="D38" s="16" t="s">
        <v>30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-0.74928021871394357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46174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46174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160.31285309227178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>
        <f>IF(YEAR(S$4)&gt;='Input|General'!$G$13,IF(YEAR(S$4)&lt;='Input|General'!$G$14,S$4,""),"")</f>
        <v>48000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163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change'!$J$84:$M$84),1)),0)</f>
        <v>0</v>
      </c>
      <c r="K61" s="72">
        <f ca="1">IF(K58=K4,AVERAGE(OFFSET('Input|Rate of change'!L106,0,0,COUNTA('Input|Rate of change'!$J$84:$M$84),1)),0)</f>
        <v>0</v>
      </c>
      <c r="L61" s="72">
        <f ca="1">IF(L58=L4,AVERAGE(OFFSET('Input|Rate of change'!M106,0,0,COUNTA('Input|Rate of change'!$J$84:$M$84),1)),0)</f>
        <v>0</v>
      </c>
      <c r="M61" s="72">
        <f ca="1">IF(M58=M4,AVERAGE(OFFSET('Input|Rate of change'!N106,0,0,COUNTA('Input|Rate of change'!$J$84:$M$84),1)),0)</f>
        <v>0</v>
      </c>
      <c r="N61" s="72">
        <f ca="1">IF(N58=N4,AVERAGE(OFFSET('Input|Rate of change'!O106,0,0,COUNTA('Input|Rate of change'!$J$84:$M$84),1)),0)</f>
        <v>0</v>
      </c>
      <c r="O61" s="72">
        <f ca="1">IF(O58=O4,AVERAGE(OFFSET('Input|Rate of change'!P106,0,0,COUNTA('Input|Rate of change'!$J$84:$M$84),1)),0)</f>
        <v>3.1568559937938398E-3</v>
      </c>
      <c r="P61" s="72">
        <f ca="1">IF(P58=P4,AVERAGE(OFFSET('Input|Rate of change'!Q106,0,0,COUNTA('Input|Rate of change'!$J$84:$M$84),1)),0)</f>
        <v>3.1586273734673228E-3</v>
      </c>
      <c r="Q61" s="72">
        <f ca="1">IF(Q58=Q4,AVERAGE(OFFSET('Input|Rate of change'!R106,0,0,COUNTA('Input|Rate of change'!$J$84:$M$84),1)),0)</f>
        <v>3.1165326013324422E-3</v>
      </c>
      <c r="R61" s="72">
        <f ca="1">IF(R58=R4,AVERAGE(OFFSET('Input|Rate of change'!S106,0,0,COUNTA('Input|Rate of change'!$J$84:$M$84),1)),0)</f>
        <v>3.0745116240096324E-3</v>
      </c>
      <c r="S61" s="72">
        <f ca="1">IF(S58=S4,AVERAGE(OFFSET('Input|Rate of change'!T106,0,0,COUNTA('Input|Rate of change'!$J$84:$M$84),1)),0)</f>
        <v>5.3007344659665376E-3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166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3.1568559937937835E-3</v>
      </c>
      <c r="P62" s="72">
        <f t="array" aca="1" ref="P62" ca="1">IF(P$58=P$4,PRODUCT(1+$J61:P61)-1,0)</f>
        <v>6.3254546990172411E-3</v>
      </c>
      <c r="Q62" s="72">
        <f t="array" aca="1" ref="Q62" ca="1">IF(Q$58=Q$4,PRODUCT(1+$J61:Q61)-1,0)</f>
        <v>9.4617007861375058E-3</v>
      </c>
      <c r="R62" s="72">
        <f t="array" aca="1" ref="R62" ca="1">IF(R$58=R$4,PRODUCT(1+$J61:R61)-1,0)</f>
        <v>1.2565302519196964E-2</v>
      </c>
      <c r="S62" s="72">
        <f t="array" aca="1" ref="S62" ca="1">IF(S$58=S$4,PRODUCT(1+$J61:S61)-1,0)</f>
        <v>1.7932642317302294E-2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164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5.4171854590181548E-3</v>
      </c>
      <c r="P64" s="72">
        <f>SUMPRODUCT('Input|Rate of change'!Q38:Q45,'Input|Rate of change'!Q51:Q58)</f>
        <v>5.5963478654595805E-3</v>
      </c>
      <c r="Q64" s="72">
        <f>SUMPRODUCT('Input|Rate of change'!R38:R45,'Input|Rate of change'!R51:R58)</f>
        <v>6.9128485472687018E-3</v>
      </c>
      <c r="R64" s="72">
        <f>SUMPRODUCT('Input|Rate of change'!S38:S45,'Input|Rate of change'!S51:S58)</f>
        <v>7.1507512317080871E-3</v>
      </c>
      <c r="S64" s="72">
        <f>SUMPRODUCT('Input|Rate of change'!T38:T45,'Input|Rate of change'!T51:T58)</f>
        <v>6.5667729177377784E-3</v>
      </c>
      <c r="T64" s="72">
        <f>SUMPRODUCT('Input|Rate of change'!U38:U45,'Input|Rate of change'!U51:U58)</f>
        <v>0</v>
      </c>
    </row>
    <row r="65" spans="1:31" outlineLevel="1">
      <c r="C65" s="15" t="s">
        <v>167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5.4171854590181479E-3</v>
      </c>
      <c r="P65" s="72">
        <f t="array" ref="P65">IF(P$58=P$4,PRODUCT(1+$J64:P64)-1,0)</f>
        <v>1.1043849778757941E-2</v>
      </c>
      <c r="Q65" s="72">
        <f t="array" ref="Q65">IF(Q$58=Q$4,PRODUCT(1+$J64:Q64)-1,0)</f>
        <v>1.8033042786925968E-2</v>
      </c>
      <c r="R65" s="72">
        <f t="array" ref="R65">IF(R$58=R$4,PRODUCT(1+$J64:R64)-1,0)</f>
        <v>2.5312743821554129E-2</v>
      </c>
      <c r="S65" s="72">
        <f t="array" ref="S65">IF(S$58=S$4,PRODUCT(1+$J64:S64)-1,0)</f>
        <v>3.2045739779893001E-2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165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168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3.5481870135616322E-3</v>
      </c>
      <c r="P70" s="88">
        <f t="shared" ca="1" si="6"/>
        <v>3.7287887564037003E-3</v>
      </c>
      <c r="Q70" s="88">
        <f t="shared" ca="1" si="6"/>
        <v>5.0006706401346523E-3</v>
      </c>
      <c r="R70" s="88">
        <f t="shared" ca="1" si="6"/>
        <v>5.1960116838825066E-3</v>
      </c>
      <c r="S70" s="88">
        <f t="shared" ca="1" si="6"/>
        <v>6.8428045227235668E-3</v>
      </c>
      <c r="T70" s="88">
        <f ca="1">(1+T61)*(1+T64)*(1-T67)-1</f>
        <v>0</v>
      </c>
    </row>
    <row r="71" spans="1:31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3.5481870135616322E-3</v>
      </c>
      <c r="P71" s="72">
        <f t="array" aca="1" ref="P71" ca="1">IF(P$58=P$4,PRODUCT(1+$J70:P70)-1,"")</f>
        <v>7.2902062098070264E-3</v>
      </c>
      <c r="Q71" s="72">
        <f t="array" aca="1" ref="Q71" ca="1">IF(Q$58=Q$4,PRODUCT(1+$J70:Q70)-1,"")</f>
        <v>1.2327332770095678E-2</v>
      </c>
      <c r="R71" s="72">
        <f t="array" aca="1" ref="R71" ca="1">IF(R$58=R$4,PRODUCT(1+$J70:R70)-1,"")</f>
        <v>1.7587397419082773E-2</v>
      </c>
      <c r="S71" s="72">
        <f t="array" aca="1" ref="S71" ca="1">IF(S$58=S$4,PRODUCT(1+$J70:S70)-1,"")</f>
        <v>2.4550549064408678E-2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>
        <f>IF(YEAR(S$4)&gt;='Input|General'!$G$13,IF(YEAR(S$4)&lt;='Input|General'!$G$14,S$4,""),"")</f>
        <v>48000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Customer assistance package</v>
      </c>
      <c r="D77" s="16" t="s">
        <v>30</v>
      </c>
      <c r="E77" s="16" t="str">
        <f t="shared" ref="E77:E99" si="7">$E$8</f>
        <v>$millions</v>
      </c>
      <c r="F77" s="98">
        <f t="shared" ref="F77:F89" si="8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Vegetation management</v>
      </c>
      <c r="D78" s="16" t="s">
        <v>30</v>
      </c>
      <c r="E78" s="16" t="str">
        <f t="shared" si="7"/>
        <v>$millions</v>
      </c>
      <c r="F78" s="98">
        <f t="shared" si="8"/>
        <v>46174</v>
      </c>
      <c r="J78" s="79">
        <f>'Input|Step changes'!J12*INDEX('Input|Rate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K78" s="79">
        <f>'Input|Step changes'!K12*INDEX('Input|Rate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L78" s="79">
        <f>'Input|Step changes'!L12*INDEX('Input|Rate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M78" s="79">
        <f>'Input|Step changes'!M12*INDEX('Input|Rate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N78" s="79">
        <f>'Input|Step changes'!N12*INDEX('Input|Rate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O78" s="79">
        <f>'Input|Step changes'!O13*INDEX('Input|Rate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P78" s="79">
        <f>'Input|Step changes'!P13*INDEX('Input|Rate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Q78" s="79">
        <f>'Input|Step changes'!Q13*INDEX('Input|Rate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R78" s="79">
        <f>'Input|Step changes'!R13*INDEX('Input|Rate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S78" s="79">
        <f>'Input|Step changes'!S13*INDEX('Input|Rate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T78" s="79">
        <f>'Input|Step changes'!T12*INDEX('Input|Rate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</row>
    <row r="79" spans="1:31" outlineLevel="1">
      <c r="C79" s="75" t="str">
        <f>'Input|Step changes'!C14</f>
        <v>CER integration</v>
      </c>
      <c r="D79" s="16" t="s">
        <v>30</v>
      </c>
      <c r="E79" s="16" t="str">
        <f t="shared" si="7"/>
        <v>$millions</v>
      </c>
      <c r="F79" s="98">
        <f t="shared" si="8"/>
        <v>46174</v>
      </c>
      <c r="J79" s="79">
        <f>'Input|Step changes'!J13*INDEX('Input|Rate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K79" s="79">
        <f>'Input|Step changes'!K13*INDEX('Input|Rate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L79" s="79">
        <f>'Input|Step changes'!L13*INDEX('Input|Rate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M79" s="79">
        <f>'Input|Step changes'!M13*INDEX('Input|Rate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N79" s="79">
        <f>'Input|Step changes'!N13*INDEX('Input|Rate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O79" s="79">
        <f>'Input|Step changes'!O14*INDEX('Input|Rate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0.86447501367222657</v>
      </c>
      <c r="P79" s="79">
        <f>'Input|Step changes'!P14*INDEX('Input|Rate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2.8422274551029316</v>
      </c>
      <c r="Q79" s="79">
        <f>'Input|Step changes'!Q14*INDEX('Input|Rate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2.8872497483556487</v>
      </c>
      <c r="R79" s="79">
        <f>'Input|Step changes'!R14*INDEX('Input|Rate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3.3369729461644977</v>
      </c>
      <c r="S79" s="79">
        <f>'Input|Step changes'!S14*INDEX('Input|Rate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3.5493866894913988</v>
      </c>
      <c r="T79" s="79">
        <f>'Input|Step changes'!T13*INDEX('Input|Rate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</row>
    <row r="80" spans="1:31" outlineLevel="1">
      <c r="C80" s="75" t="str">
        <f>'Input|Step changes'!C15</f>
        <v>Cloud services</v>
      </c>
      <c r="D80" s="16" t="s">
        <v>30</v>
      </c>
      <c r="E80" s="16" t="str">
        <f t="shared" si="7"/>
        <v>$millions</v>
      </c>
      <c r="F80" s="98">
        <f t="shared" si="8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0.82115841406953061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0.40649756804625042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0.58910800524251117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1.3223666668993146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0.75944998643528805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>ICT modernisation and new capability</v>
      </c>
      <c r="D81" s="16" t="s">
        <v>30</v>
      </c>
      <c r="E81" s="16" t="str">
        <f t="shared" si="7"/>
        <v>$millions</v>
      </c>
      <c r="F81" s="98">
        <f t="shared" si="8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1.8507529075206524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4.8131537985104949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6.880523066747446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7.0196352335513836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8.3226605150413384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 t="str">
        <f>'Input|Step changes'!C17</f>
        <v>Network and community resilience</v>
      </c>
      <c r="D82" s="16" t="s">
        <v>30</v>
      </c>
      <c r="E82" s="16" t="str">
        <f t="shared" si="7"/>
        <v>$millions</v>
      </c>
      <c r="F82" s="98">
        <f t="shared" si="8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 t="str">
        <f>'Input|Step changes'!C18</f>
        <v>Fleet electrification</v>
      </c>
      <c r="D83" s="16" t="s">
        <v>30</v>
      </c>
      <c r="E83" s="16" t="str">
        <f t="shared" si="7"/>
        <v>$millions</v>
      </c>
      <c r="F83" s="98">
        <f t="shared" si="8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-3.463126415118014E-2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-3.922360362655114E-2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-5.1139236653130395E-2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-6.3371892137794539E-2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 t="str">
        <f>'Input|Step changes'!C19</f>
        <v>Insurance step change</v>
      </c>
      <c r="D84" s="16" t="s">
        <v>30</v>
      </c>
      <c r="E84" s="16" t="str">
        <f t="shared" si="7"/>
        <v>$millions</v>
      </c>
      <c r="F84" s="98">
        <f t="shared" si="8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-4.5182201982471284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-4.5182201982471284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-4.5182201982471284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-4.5182201982471284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-4.5182201982471284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7"/>
        <v>$millions</v>
      </c>
      <c r="F85" s="98">
        <f t="shared" si="8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>
        <f>'Input|Step changes'!C21</f>
        <v>0</v>
      </c>
      <c r="D86" s="16" t="s">
        <v>30</v>
      </c>
      <c r="E86" s="16" t="str">
        <f t="shared" si="7"/>
        <v>$millions</v>
      </c>
      <c r="F86" s="98">
        <f t="shared" si="8"/>
        <v>46174</v>
      </c>
      <c r="J86" s="79">
        <f>'Input|Step changes'!J21*INDEX('Input|Rate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K86" s="79">
        <f>'Input|Step changes'!K21*INDEX('Input|Rate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L86" s="79">
        <f>'Input|Step changes'!L21*INDEX('Input|Rate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M86" s="79">
        <f>'Input|Step changes'!M21*INDEX('Input|Rate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N86" s="79">
        <f>'Input|Step changes'!N21*INDEX('Input|Rate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O86" s="79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P86" s="79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Q86" s="79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R86" s="79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S86" s="79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T86" s="79">
        <f>'Input|Step changes'!T21*INDEX('Input|Rate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31" outlineLevel="1">
      <c r="C87" s="75">
        <f>'Input|Step changes'!C22</f>
        <v>0</v>
      </c>
      <c r="D87" s="16" t="s">
        <v>30</v>
      </c>
      <c r="E87" s="16" t="str">
        <f t="shared" si="7"/>
        <v>$millions</v>
      </c>
      <c r="F87" s="98">
        <f t="shared" si="8"/>
        <v>46174</v>
      </c>
      <c r="J87" s="79">
        <f>'Input|Step changes'!J22*INDEX('Input|Rate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K87" s="79">
        <f>'Input|Step changes'!K22*INDEX('Input|Rate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L87" s="79">
        <f>'Input|Step changes'!L22*INDEX('Input|Rate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M87" s="79">
        <f>'Input|Step changes'!M22*INDEX('Input|Rate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N87" s="79">
        <f>'Input|Step changes'!N22*INDEX('Input|Rate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O87" s="79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P87" s="79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Q87" s="79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R87" s="79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S87" s="79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T87" s="79">
        <f>'Input|Step changes'!T22*INDEX('Input|Rate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</row>
    <row r="88" spans="1:31" outlineLevel="1">
      <c r="C88" s="75"/>
      <c r="F88" s="67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</row>
    <row r="89" spans="1:31" outlineLevel="1">
      <c r="C89" s="68" t="s">
        <v>48</v>
      </c>
      <c r="D89" s="76" t="s">
        <v>30</v>
      </c>
      <c r="E89" s="76" t="str">
        <f>$E$8</f>
        <v>$millions</v>
      </c>
      <c r="F89" s="101">
        <f t="shared" si="8"/>
        <v>46174</v>
      </c>
      <c r="G89" s="20"/>
      <c r="H89" s="20"/>
      <c r="I89" s="20"/>
      <c r="J89" s="80">
        <f>SUM(J76:J88)</f>
        <v>0</v>
      </c>
      <c r="K89" s="80">
        <f t="shared" ref="K89:R89" si="9">SUM(K76:K88)</f>
        <v>0</v>
      </c>
      <c r="L89" s="80">
        <f t="shared" si="9"/>
        <v>0</v>
      </c>
      <c r="M89" s="80">
        <f t="shared" si="9"/>
        <v>0</v>
      </c>
      <c r="N89" s="80">
        <f t="shared" si="9"/>
        <v>0</v>
      </c>
      <c r="O89" s="80">
        <f t="shared" si="9"/>
        <v>-0.98183386298471875</v>
      </c>
      <c r="P89" s="80">
        <f t="shared" si="9"/>
        <v>3.5090273592613688</v>
      </c>
      <c r="Q89" s="80">
        <f t="shared" si="9"/>
        <v>5.7994370184719255</v>
      </c>
      <c r="R89" s="80">
        <f t="shared" si="9"/>
        <v>7.1096154117149375</v>
      </c>
      <c r="S89" s="80">
        <f>SUM(S76:S88)</f>
        <v>8.0499051005831017</v>
      </c>
      <c r="T89" s="80">
        <f>SUM(T76:T88)</f>
        <v>0</v>
      </c>
    </row>
    <row r="90" spans="1:31">
      <c r="C90" s="77"/>
      <c r="J90" s="64"/>
      <c r="K90" s="64"/>
      <c r="L90" s="64"/>
      <c r="M90" s="64"/>
      <c r="N90" s="22"/>
      <c r="O90" s="22"/>
      <c r="P90" s="22"/>
      <c r="Q90" s="22"/>
      <c r="R90" s="22"/>
      <c r="S90" s="22"/>
      <c r="T90" s="22"/>
    </row>
    <row r="91" spans="1:31" customFormat="1" ht="12.75">
      <c r="A91" s="32"/>
      <c r="B91" s="38" t="s">
        <v>107</v>
      </c>
      <c r="C91" s="32"/>
      <c r="D91" s="32"/>
      <c r="E91" s="32"/>
      <c r="F91" s="33"/>
      <c r="G91" s="33"/>
      <c r="H91" s="33"/>
      <c r="I91" s="33"/>
      <c r="J91" s="34"/>
      <c r="K91" s="35"/>
      <c r="L91" s="34"/>
      <c r="M91" s="35"/>
      <c r="N91" s="34"/>
      <c r="O91" s="34"/>
      <c r="P91" s="34"/>
      <c r="Q91" s="34"/>
      <c r="R91" s="34"/>
      <c r="S91" s="34"/>
      <c r="T91" s="34"/>
      <c r="U91" s="34"/>
      <c r="V91" s="34"/>
      <c r="W91" s="35"/>
      <c r="X91" s="35"/>
      <c r="Y91" s="36"/>
      <c r="Z91" s="36"/>
      <c r="AA91" s="36"/>
      <c r="AB91" s="36"/>
      <c r="AC91" s="36"/>
      <c r="AD91" s="37"/>
      <c r="AE91" s="37"/>
    </row>
    <row r="92" spans="1:31" outlineLevel="1">
      <c r="C92" s="15"/>
      <c r="J92" s="64"/>
      <c r="K92" s="64"/>
      <c r="L92" s="64"/>
    </row>
    <row r="93" spans="1:31" outlineLevel="1">
      <c r="C93" s="9" t="s">
        <v>102</v>
      </c>
      <c r="D93" s="20" t="s">
        <v>7</v>
      </c>
      <c r="E93" s="20" t="s">
        <v>8</v>
      </c>
      <c r="F93" s="20" t="s">
        <v>22</v>
      </c>
      <c r="J93" s="99" t="str">
        <f>IF(YEAR(J$4)&gt;='Input|General'!$G$13,IF(YEAR(J$4)&lt;='Input|General'!$G$14,J$4,""),"")</f>
        <v/>
      </c>
      <c r="K93" s="99" t="str">
        <f>IF(YEAR(K$4)&gt;='Input|General'!$G$13,IF(YEAR(K$4)&lt;='Input|General'!$G$14,K$4,""),"")</f>
        <v/>
      </c>
      <c r="L93" s="99" t="str">
        <f>IF(YEAR(L$4)&gt;='Input|General'!$G$13,IF(YEAR(L$4)&lt;='Input|General'!$G$14,L$4,""),"")</f>
        <v/>
      </c>
      <c r="M93" s="99" t="str">
        <f>IF(YEAR(M$4)&gt;='Input|General'!$G$13,IF(YEAR(M$4)&lt;='Input|General'!$G$14,M$4,""),"")</f>
        <v/>
      </c>
      <c r="N93" s="99" t="str">
        <f>IF(YEAR(N$4)&gt;='Input|General'!$G$13,IF(YEAR(N$4)&lt;='Input|General'!$G$14,N$4,""),"")</f>
        <v/>
      </c>
      <c r="O93" s="99">
        <f>IF(YEAR(O$4)&gt;='Input|General'!$G$13,IF(YEAR(O$4)&lt;='Input|General'!$G$14,O$4,""),"")</f>
        <v>46539</v>
      </c>
      <c r="P93" s="99">
        <f>IF(YEAR(P$4)&gt;='Input|General'!$G$13,IF(YEAR(P$4)&lt;='Input|General'!$G$14,P$4,""),"")</f>
        <v>46905</v>
      </c>
      <c r="Q93" s="99">
        <f>IF(YEAR(Q$4)&gt;='Input|General'!$G$13,IF(YEAR(Q$4)&lt;='Input|General'!$G$14,Q$4,""),"")</f>
        <v>47270</v>
      </c>
      <c r="R93" s="99">
        <f>IF(YEAR(R$4)&gt;='Input|General'!$G$13,IF(YEAR(R$4)&lt;='Input|General'!$G$14,R$4,""),"")</f>
        <v>47635</v>
      </c>
      <c r="S93" s="99">
        <f>IF(YEAR(S$4)&gt;='Input|General'!$G$13,IF(YEAR(S$4)&lt;='Input|General'!$G$14,S$4,""),"")</f>
        <v>48000</v>
      </c>
      <c r="T93" s="99" t="str">
        <f>IF(YEAR(T$4)&gt;='Input|General'!$G$13,IF(YEAR(T$4)&lt;='Input|General'!$G$14,T$4,""),"")</f>
        <v/>
      </c>
    </row>
    <row r="94" spans="1:31" outlineLevel="1">
      <c r="C94" s="9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31" outlineLevel="1">
      <c r="C95" s="75" t="str">
        <f>'Input|Step changes'!C30</f>
        <v>GSL payments</v>
      </c>
      <c r="D95" s="16" t="s">
        <v>30</v>
      </c>
      <c r="E95" s="16" t="str">
        <f t="shared" si="7"/>
        <v>$millions</v>
      </c>
      <c r="F95" s="98">
        <f>$F$8</f>
        <v>46174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1.6992385598222852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1.6569855297988632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1.6157831577515327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1.5756053181649852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1.5364265351573472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 t="str">
        <f>'Input|Step changes'!C31</f>
        <v>Network innovation fund</v>
      </c>
      <c r="D96" s="16" t="s">
        <v>30</v>
      </c>
      <c r="E96" s="16" t="str">
        <f t="shared" si="7"/>
        <v>$millions</v>
      </c>
      <c r="F96" s="98">
        <f>$F$8</f>
        <v>46174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0.34733855187319879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0.34733855187319879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0.34733855187319879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0.34733855187319879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0.34733855187319879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 t="str">
        <f>'Input|Step changes'!C32</f>
        <v>Customer assistance package</v>
      </c>
      <c r="D97" s="16" t="s">
        <v>30</v>
      </c>
      <c r="E97" s="16" t="str">
        <f t="shared" si="7"/>
        <v>$millions</v>
      </c>
      <c r="F97" s="98">
        <f>$F$8</f>
        <v>46174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1.7105411467276042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1.7242499788848678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1.7400695948977483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1.7577027844504141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1.7747260890321206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</row>
    <row r="98" spans="1:39" outlineLevel="1">
      <c r="C98" s="75">
        <f>'Input|Step changes'!C33</f>
        <v>0</v>
      </c>
      <c r="D98" s="16" t="s">
        <v>30</v>
      </c>
      <c r="E98" s="16" t="str">
        <f t="shared" si="7"/>
        <v>$millions</v>
      </c>
      <c r="F98" s="98">
        <f>$F$8</f>
        <v>46174</v>
      </c>
      <c r="J98" s="79">
        <f>'Input|Step changes'!J33*INDEX('Input|Rate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K98" s="79">
        <f>'Input|Step changes'!K33*INDEX('Input|Rate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L98" s="79">
        <f>'Input|Step changes'!L33*INDEX('Input|Rate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M98" s="79">
        <f>'Input|Step changes'!M33*INDEX('Input|Rate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N98" s="79">
        <f>'Input|Step changes'!N33*INDEX('Input|Rate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O98" s="79">
        <f>'Input|Step changes'!O33*INDEX('Input|Rate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P98" s="79">
        <f>'Input|Step changes'!P33*INDEX('Input|Rate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Q98" s="79">
        <f>'Input|Step changes'!Q33*INDEX('Input|Rate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R98" s="79">
        <f>'Input|Step changes'!R33*INDEX('Input|Rate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S98" s="79">
        <f>'Input|Step changes'!S33*INDEX('Input|Rate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T98" s="79">
        <f>'Input|Step changes'!T33*INDEX('Input|Rate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</row>
    <row r="99" spans="1:39" outlineLevel="1">
      <c r="C99" s="75">
        <f>'Input|Step changes'!C34</f>
        <v>0</v>
      </c>
      <c r="D99" s="16" t="s">
        <v>30</v>
      </c>
      <c r="E99" s="16" t="str">
        <f t="shared" si="7"/>
        <v>$millions</v>
      </c>
      <c r="F99" s="98">
        <f>$F$8</f>
        <v>46174</v>
      </c>
      <c r="J99" s="79">
        <f>'Input|Step changes'!J34*INDEX('Input|Rate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K99" s="79">
        <f>'Input|Step changes'!K34*INDEX('Input|Rate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L99" s="79">
        <f>'Input|Step changes'!L34*INDEX('Input|Rate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M99" s="79">
        <f>'Input|Step changes'!M34*INDEX('Input|Rate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N99" s="79">
        <f>'Input|Step changes'!N34*INDEX('Input|Rate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O99" s="79">
        <f>'Input|Step changes'!O34*INDEX('Input|Rate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P99" s="79">
        <f>'Input|Step changes'!P34*INDEX('Input|Rate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Q99" s="79">
        <f>'Input|Step changes'!Q34*INDEX('Input|Rate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R99" s="79">
        <f>'Input|Step changes'!R34*INDEX('Input|Rate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S99" s="79">
        <f>'Input|Step changes'!S34*INDEX('Input|Rate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T99" s="79">
        <f>'Input|Step changes'!T34*INDEX('Input|Rate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</row>
    <row r="100" spans="1:39" outlineLevel="1">
      <c r="C100" s="75"/>
      <c r="F100" s="67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</row>
    <row r="101" spans="1:39" outlineLevel="1">
      <c r="C101" s="68" t="s">
        <v>108</v>
      </c>
      <c r="D101" s="76" t="s">
        <v>30</v>
      </c>
      <c r="E101" s="76" t="str">
        <f>$E$8</f>
        <v>$millions</v>
      </c>
      <c r="F101" s="101">
        <f>$F$8</f>
        <v>46174</v>
      </c>
      <c r="G101" s="20"/>
      <c r="H101" s="20"/>
      <c r="I101" s="20"/>
      <c r="J101" s="80">
        <f t="shared" ref="J101:T101" si="10">SUM(J94:J99)</f>
        <v>0</v>
      </c>
      <c r="K101" s="80">
        <f t="shared" si="10"/>
        <v>0</v>
      </c>
      <c r="L101" s="80">
        <f t="shared" si="10"/>
        <v>0</v>
      </c>
      <c r="M101" s="80">
        <f t="shared" si="10"/>
        <v>0</v>
      </c>
      <c r="N101" s="80">
        <f t="shared" si="10"/>
        <v>0</v>
      </c>
      <c r="O101" s="80">
        <f t="shared" si="10"/>
        <v>3.7571182584230884</v>
      </c>
      <c r="P101" s="80">
        <f t="shared" si="10"/>
        <v>3.7285740605569297</v>
      </c>
      <c r="Q101" s="80">
        <f t="shared" si="10"/>
        <v>3.7031913045224796</v>
      </c>
      <c r="R101" s="80">
        <f t="shared" si="10"/>
        <v>3.6806466544885978</v>
      </c>
      <c r="S101" s="80">
        <f t="shared" si="10"/>
        <v>3.6584911760626664</v>
      </c>
      <c r="T101" s="80">
        <f t="shared" si="10"/>
        <v>0</v>
      </c>
    </row>
    <row r="102" spans="1:39">
      <c r="C102" s="77"/>
      <c r="J102" s="64"/>
      <c r="K102" s="64"/>
      <c r="L102" s="64"/>
      <c r="M102" s="64"/>
      <c r="N102" s="22"/>
      <c r="O102" s="22"/>
      <c r="P102" s="22"/>
      <c r="Q102" s="22"/>
      <c r="R102" s="22"/>
      <c r="S102" s="22"/>
      <c r="T102" s="22"/>
    </row>
    <row r="103" spans="1:39" customFormat="1" ht="12.75">
      <c r="A103" s="32"/>
      <c r="B103" s="38" t="s">
        <v>86</v>
      </c>
      <c r="C103" s="32"/>
      <c r="D103" s="32"/>
      <c r="E103" s="32"/>
      <c r="F103" s="33"/>
      <c r="G103" s="33"/>
      <c r="H103" s="33"/>
      <c r="I103" s="33"/>
      <c r="J103" s="34"/>
      <c r="K103" s="35"/>
      <c r="L103" s="34"/>
      <c r="M103" s="35"/>
      <c r="N103" s="34"/>
      <c r="O103" s="34"/>
      <c r="P103" s="34"/>
      <c r="Q103" s="34"/>
      <c r="R103" s="34"/>
      <c r="S103" s="34"/>
      <c r="T103" s="34"/>
      <c r="U103" s="34"/>
      <c r="V103" s="34"/>
      <c r="W103" s="35"/>
      <c r="X103" s="35"/>
      <c r="Y103" s="36"/>
      <c r="Z103" s="36"/>
      <c r="AA103" s="36"/>
      <c r="AB103" s="36"/>
      <c r="AC103" s="36"/>
      <c r="AD103" s="37"/>
      <c r="AE103" s="37"/>
    </row>
    <row r="104" spans="1:39" outlineLevel="1">
      <c r="C104" s="15"/>
      <c r="J104" s="64"/>
      <c r="K104" s="64"/>
      <c r="L104" s="64"/>
    </row>
    <row r="105" spans="1:39" outlineLevel="1">
      <c r="C105" s="9"/>
      <c r="J105" s="99" t="str">
        <f>IF(YEAR(J$4)&gt;='Input|General'!$G$13,IF(YEAR(J$4)&lt;='Input|General'!$G$14,J$4,""),"")</f>
        <v/>
      </c>
      <c r="K105" s="99" t="str">
        <f>IF(YEAR(K$4)&gt;='Input|General'!$G$13,IF(YEAR(K$4)&lt;='Input|General'!$G$14,K$4,""),"")</f>
        <v/>
      </c>
      <c r="L105" s="99" t="str">
        <f>IF(YEAR(L$4)&gt;='Input|General'!$G$13,IF(YEAR(L$4)&lt;='Input|General'!$G$14,L$4,""),"")</f>
        <v/>
      </c>
      <c r="M105" s="99" t="str">
        <f>IF(YEAR(M$4)&gt;='Input|General'!$G$13,IF(YEAR(M$4)&lt;='Input|General'!$G$14,M$4,""),"")</f>
        <v/>
      </c>
      <c r="N105" s="99" t="str">
        <f>IF(YEAR(N$4)&gt;='Input|General'!$G$13,IF(YEAR(N$4)&lt;='Input|General'!$G$14,N$4,""),"")</f>
        <v/>
      </c>
      <c r="O105" s="99">
        <f>IF(YEAR(O$4)&gt;='Input|General'!$G$13,IF(YEAR(O$4)&lt;='Input|General'!$G$14,O$4,""),"")</f>
        <v>46539</v>
      </c>
      <c r="P105" s="99">
        <f>IF(YEAR(P$4)&gt;='Input|General'!$G$13,IF(YEAR(P$4)&lt;='Input|General'!$G$14,P$4,""),"")</f>
        <v>46905</v>
      </c>
      <c r="Q105" s="99">
        <f>IF(YEAR(Q$4)&gt;='Input|General'!$G$13,IF(YEAR(Q$4)&lt;='Input|General'!$G$14,Q$4,""),"")</f>
        <v>47270</v>
      </c>
      <c r="R105" s="99">
        <f>IF(YEAR(R$4)&gt;='Input|General'!$G$13,IF(YEAR(R$4)&lt;='Input|General'!$G$14,R$4,""),"")</f>
        <v>47635</v>
      </c>
      <c r="S105" s="99">
        <f>IF(YEAR(S$4)&gt;='Input|General'!$G$13,IF(YEAR(S$4)&lt;='Input|General'!$G$14,S$4,""),"")</f>
        <v>48000</v>
      </c>
      <c r="T105" s="99" t="str">
        <f>IF(YEAR(T$4)&gt;='Input|General'!$G$13,IF(YEAR(T$4)&lt;='Input|General'!$G$14,T$4,""),"")</f>
        <v/>
      </c>
    </row>
    <row r="106" spans="1:39" outlineLevel="1">
      <c r="C106" s="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</row>
    <row r="107" spans="1:39" outlineLevel="1">
      <c r="C107" s="77" t="s">
        <v>124</v>
      </c>
      <c r="D107" s="20" t="s">
        <v>30</v>
      </c>
      <c r="E107" s="20" t="str">
        <f>$E$8</f>
        <v>$millions</v>
      </c>
      <c r="F107" s="101">
        <f>$F$8</f>
        <v>46174</v>
      </c>
      <c r="J107" s="90" t="str">
        <f t="shared" ref="J107:T107" si="11">IF(YEAR(J$4)&gt;=FPFirstYear,IF(YEAR(J$4)&lt;=FPLastYear,IF(ISBLANK(J105),"",(1+J71)*SUM($J54:$S54)+J89),""),"")</f>
        <v/>
      </c>
      <c r="K107" s="90" t="str">
        <f t="shared" si="11"/>
        <v/>
      </c>
      <c r="L107" s="90" t="str">
        <f t="shared" si="11"/>
        <v/>
      </c>
      <c r="M107" s="90" t="str">
        <f t="shared" si="11"/>
        <v/>
      </c>
      <c r="N107" s="90" t="str">
        <f t="shared" si="11"/>
        <v/>
      </c>
      <c r="O107" s="90">
        <f t="shared" ca="1" si="11"/>
        <v>159.89983921273605</v>
      </c>
      <c r="P107" s="90">
        <f t="shared" ca="1" si="11"/>
        <v>164.99059420865834</v>
      </c>
      <c r="Q107" s="90">
        <f t="shared" ca="1" si="11"/>
        <v>168.08851999813561</v>
      </c>
      <c r="R107" s="90">
        <f t="shared" ca="1" si="11"/>
        <v>170.24195436270753</v>
      </c>
      <c r="S107" s="90">
        <f t="shared" ca="1" si="11"/>
        <v>172.29852675835204</v>
      </c>
      <c r="T107" s="90" t="str">
        <f t="shared" si="11"/>
        <v/>
      </c>
    </row>
    <row r="108" spans="1:39" outlineLevel="1">
      <c r="C108" s="77" t="s">
        <v>100</v>
      </c>
      <c r="D108" s="20" t="s">
        <v>30</v>
      </c>
      <c r="E108" s="20" t="str">
        <f>$E$8</f>
        <v>$millions</v>
      </c>
      <c r="F108" s="101">
        <f>$F$8</f>
        <v>46174</v>
      </c>
      <c r="J108" s="90" t="str">
        <f t="shared" ref="J108:T108" si="12">IF(YEAR(J$4)&gt;=FPFirstYear,IF(YEAR(J$4)&lt;=FPLastYear,IF(ISBLANK(J105),"",(1+J71)*SUM($J54:$S54)+J89+J101),""),"")</f>
        <v/>
      </c>
      <c r="K108" s="90" t="str">
        <f t="shared" si="12"/>
        <v/>
      </c>
      <c r="L108" s="90" t="str">
        <f t="shared" si="12"/>
        <v/>
      </c>
      <c r="M108" s="90" t="str">
        <f t="shared" si="12"/>
        <v/>
      </c>
      <c r="N108" s="90" t="str">
        <f t="shared" si="12"/>
        <v/>
      </c>
      <c r="O108" s="90">
        <f t="shared" ca="1" si="12"/>
        <v>163.65695747115913</v>
      </c>
      <c r="P108" s="90">
        <f t="shared" ca="1" si="12"/>
        <v>168.71916826921526</v>
      </c>
      <c r="Q108" s="90">
        <f t="shared" ca="1" si="12"/>
        <v>171.79171130265809</v>
      </c>
      <c r="R108" s="90">
        <f t="shared" ca="1" si="12"/>
        <v>173.92260101719614</v>
      </c>
      <c r="S108" s="90">
        <f t="shared" ca="1" si="12"/>
        <v>175.95701793441469</v>
      </c>
      <c r="T108" s="90" t="str">
        <f t="shared" si="12"/>
        <v/>
      </c>
    </row>
    <row r="109" spans="1:39" outlineLevel="1">
      <c r="C109" s="77" t="s">
        <v>101</v>
      </c>
      <c r="D109" s="20" t="s">
        <v>30</v>
      </c>
      <c r="E109" s="20" t="str">
        <f>$E$8</f>
        <v>$millions</v>
      </c>
      <c r="F109" s="101">
        <f>$F$8</f>
        <v>46174</v>
      </c>
      <c r="J109" s="90" t="str">
        <f>IF(YEAR(J$4)&gt;=FPFirstYear,IF(YEAR(J$4)&lt;=FPLastYear,J108+'Input|Step changes'!J42,""),"")</f>
        <v/>
      </c>
      <c r="K109" s="90" t="str">
        <f>IF(YEAR(K$4)&gt;=FPFirstYear,IF(YEAR(K$4)&lt;=FPLastYear,K108+'Input|Step changes'!K42,""),"")</f>
        <v/>
      </c>
      <c r="L109" s="90" t="str">
        <f>IF(YEAR(L$4)&gt;=FPFirstYear,IF(YEAR(L$4)&lt;=FPLastYear,L108+'Input|Step changes'!L42,""),"")</f>
        <v/>
      </c>
      <c r="M109" s="90" t="str">
        <f>IF(YEAR(M$4)&gt;=FPFirstYear,IF(YEAR(M$4)&lt;=FPLastYear,M108+'Input|Step changes'!M42,""),"")</f>
        <v/>
      </c>
      <c r="N109" s="90" t="str">
        <f>IF(YEAR(N$4)&gt;=FPFirstYear,IF(YEAR(N$4)&lt;=FPLastYear,N108+'Input|Step changes'!N42,""),"")</f>
        <v/>
      </c>
      <c r="O109" s="90">
        <f ca="1">IF(YEAR(O$4)&gt;=FPFirstYear,IF(YEAR(O$4)&lt;=FPLastYear,O108+'Input|Step changes'!O42,""),"")</f>
        <v>165.21364311767715</v>
      </c>
      <c r="P109" s="90">
        <f ca="1">IF(YEAR(P$4)&gt;=FPFirstYear,IF(YEAR(P$4)&lt;=FPLastYear,P108+'Input|Step changes'!P42,""),"")</f>
        <v>170.27360245496482</v>
      </c>
      <c r="Q109" s="90">
        <f ca="1">IF(YEAR(Q$4)&gt;=FPFirstYear,IF(YEAR(Q$4)&lt;=FPLastYear,Q108+'Input|Step changes'!Q42,""),"")</f>
        <v>173.33919725353104</v>
      </c>
      <c r="R109" s="90">
        <f ca="1">IF(YEAR(R$4)&gt;=FPFirstYear,IF(YEAR(R$4)&lt;=FPLastYear,R108+'Input|Step changes'!R42,""),"")</f>
        <v>175.45708774795406</v>
      </c>
      <c r="S109" s="90">
        <f ca="1">IF(YEAR(S$4)&gt;=FPFirstYear,IF(YEAR(S$4)&lt;=FPLastYear,S108+'Input|Step changes'!S42,""),"")</f>
        <v>177.47921023542875</v>
      </c>
      <c r="T109" s="90"/>
    </row>
    <row r="110" spans="1:39">
      <c r="C110" s="77"/>
      <c r="J110" s="64"/>
      <c r="K110" s="64"/>
      <c r="L110" s="64"/>
      <c r="M110" s="64"/>
      <c r="N110" s="22"/>
      <c r="O110" s="22"/>
      <c r="P110" s="22"/>
      <c r="Q110" s="22"/>
      <c r="R110" s="22"/>
      <c r="S110" s="22"/>
      <c r="T110" s="22"/>
    </row>
    <row r="111" spans="1:39" customFormat="1" ht="12.75">
      <c r="A111" s="32"/>
      <c r="B111" s="38" t="s">
        <v>21</v>
      </c>
      <c r="C111" s="32"/>
      <c r="D111" s="32"/>
      <c r="E111" s="32"/>
      <c r="F111" s="33"/>
      <c r="G111" s="33"/>
      <c r="H111" s="33"/>
      <c r="I111" s="33"/>
      <c r="J111" s="34"/>
      <c r="K111" s="35"/>
      <c r="L111" s="34"/>
      <c r="M111" s="35"/>
      <c r="N111" s="34"/>
      <c r="O111" s="34"/>
      <c r="P111" s="34"/>
      <c r="Q111" s="34"/>
      <c r="R111" s="34"/>
      <c r="S111" s="34"/>
      <c r="T111" s="34"/>
      <c r="U111" s="34"/>
      <c r="V111" s="34"/>
      <c r="W111" s="35"/>
      <c r="X111" s="35"/>
      <c r="Y111" s="36"/>
      <c r="Z111" s="36"/>
      <c r="AA111" s="36"/>
      <c r="AB111" s="36"/>
      <c r="AC111" s="36"/>
      <c r="AD111" s="37"/>
      <c r="AE111" s="37"/>
    </row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3:T93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7 J95:T101">
    <cfRule type="cellIs" dxfId="29" priority="98" operator="equal">
      <formula>0</formula>
    </cfRule>
  </conditionalFormatting>
  <conditionalFormatting sqref="J89:T89">
    <cfRule type="expression" dxfId="28" priority="116">
      <formula>J$75=J$4</formula>
    </cfRule>
    <cfRule type="cellIs" dxfId="27" priority="117" operator="equal">
      <formula>0</formula>
    </cfRule>
  </conditionalFormatting>
  <conditionalFormatting sqref="J101:T101">
    <cfRule type="expression" dxfId="26" priority="114">
      <formula>J$93=J$4</formula>
    </cfRule>
  </conditionalFormatting>
  <conditionalFormatting sqref="J105:T105">
    <cfRule type="expression" dxfId="25" priority="121">
      <formula>J$105=J$4</formula>
    </cfRule>
  </conditionalFormatting>
  <conditionalFormatting sqref="J107:T109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count="3">
    <dataValidation type="list" allowBlank="1" showInputMessage="1" showErrorMessage="1" sqref="F102 F90 F110" xr:uid="{00000000-0002-0000-0700-000000000000}">
      <formula1>"Real 2010,Real 2011,Real 2012,Real 2013,Real 2014,Real 2015,Nominal"</formula1>
    </dataValidation>
    <dataValidation type="list" allowBlank="1" showInputMessage="1" showErrorMessage="1" sqref="F88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workbookViewId="0">
      <selection activeCell="U13" sqref="U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89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4"/>
      <c r="O3" s="204"/>
      <c r="P3" s="204"/>
      <c r="Q3" s="204"/>
      <c r="R3" s="204"/>
      <c r="S3" s="204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>
        <f>IF(YEAR(S$4)&gt;='Input|General'!$G$13,IF(YEAR(S$4)&lt;='Input|General'!$G$14,S$4,""),"")</f>
        <v>48000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forecast'!C107</f>
        <v>Total forecast opex, excluding category specific forecasts</v>
      </c>
      <c r="D13" s="24" t="s">
        <v>98</v>
      </c>
      <c r="E13" s="16" t="str">
        <f t="shared" ref="E13:E18" si="0">$E$8</f>
        <v>$millions</v>
      </c>
      <c r="F13" s="98">
        <f t="shared" ref="F13:F18" si="1">$F$8</f>
        <v>46174</v>
      </c>
      <c r="H13" s="20"/>
      <c r="I13" s="20"/>
      <c r="J13" s="104">
        <f>IF(J11="",0,'Calc|Opex forecast'!J107*INDEX('Input|Rate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K13" s="104">
        <f>IF(K11="",0,'Calc|Opex forecast'!K107*INDEX('Input|Rate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L13" s="104">
        <f>IF(L11="",0,'Calc|Opex forecast'!L107*INDEX('Input|Rate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M13" s="104">
        <f>IF(M11="",0,'Calc|Opex forecast'!M107*INDEX('Input|Rate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N13" s="104">
        <f>IF(N11="",0,'Calc|Opex forecast'!N107*INDEX('Input|Rate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O13" s="104">
        <f ca="1">IF(O11="",0,'Calc|Opex forecast'!O107*INDEX('Input|Rate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159.89983921273603</v>
      </c>
      <c r="P13" s="104">
        <f ca="1">IF(P11="",0,'Calc|Opex forecast'!P107*INDEX('Input|Rate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164.99059420865834</v>
      </c>
      <c r="Q13" s="104">
        <f ca="1">IF(Q11="",0,'Calc|Opex forecast'!Q107*INDEX('Input|Rate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168.08851999813561</v>
      </c>
      <c r="R13" s="104">
        <f ca="1">IF(R11="",0,'Calc|Opex forecast'!R107*INDEX('Input|Rate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170.24195436270753</v>
      </c>
      <c r="S13" s="104">
        <f ca="1">IF(S11="",0,'Calc|Opex forecast'!S107*INDEX('Input|Rate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172.29852675835204</v>
      </c>
      <c r="T13" s="104">
        <f>IF(T11="",0,'Calc|Opex forecast'!T107*INDEX('Input|Rate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U13" s="15"/>
      <c r="V13" s="91"/>
    </row>
    <row r="14" spans="1:27">
      <c r="C14" s="15" t="str">
        <f>'Input|Step changes'!C30</f>
        <v>GSL payments</v>
      </c>
      <c r="D14" s="24" t="s">
        <v>98</v>
      </c>
      <c r="E14" s="16" t="str">
        <f t="shared" si="0"/>
        <v>$millions</v>
      </c>
      <c r="F14" s="98">
        <f t="shared" si="1"/>
        <v>46174</v>
      </c>
      <c r="H14" s="20"/>
      <c r="I14" s="20"/>
      <c r="J14" s="104">
        <f>IF(J$11="",0,'Calc|Opex forecast'!J95*INDEX('Input|Rate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K14" s="104">
        <f>IF(K$11="",0,'Calc|Opex forecast'!K95*INDEX('Input|Rate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L14" s="104">
        <f>IF(L$11="",0,'Calc|Opex forecast'!L95*INDEX('Input|Rate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M14" s="104">
        <f>IF(M$11="",0,'Calc|Opex forecast'!M95*INDEX('Input|Rate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N14" s="104">
        <f>IF(N$11="",0,'Calc|Opex forecast'!N95*INDEX('Input|Rate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O14" s="104">
        <f>IF(O$11="",0,'Calc|Opex forecast'!O95*INDEX('Input|Rate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1.6992385598222852</v>
      </c>
      <c r="P14" s="104">
        <f>IF(P$11="",0,'Calc|Opex forecast'!P95*INDEX('Input|Rate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1.6569855297988632</v>
      </c>
      <c r="Q14" s="104">
        <f>IF(Q$11="",0,'Calc|Opex forecast'!Q95*INDEX('Input|Rate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1.6157831577515327</v>
      </c>
      <c r="R14" s="104">
        <f>IF(R$11="",0,'Calc|Opex forecast'!R95*INDEX('Input|Rate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1.5756053181649852</v>
      </c>
      <c r="S14" s="104">
        <f>IF(S$11="",0,'Calc|Opex forecast'!S95*INDEX('Input|Rate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1.5364265351573472</v>
      </c>
      <c r="T14" s="104">
        <f>IF(T$11="",0,'Calc|Opex forecast'!T95*INDEX('Input|Rate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U14" s="15"/>
      <c r="V14" s="91"/>
    </row>
    <row r="15" spans="1:27">
      <c r="C15" s="15" t="str">
        <f>'Input|Step changes'!C31</f>
        <v>Network innovation fund</v>
      </c>
      <c r="D15" s="24" t="s">
        <v>98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K15" s="104">
        <f>IF(K$11="",0,'Calc|Opex forecast'!K96*INDEX('Input|Rate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L15" s="104">
        <f>IF(L$11="",0,'Calc|Opex forecast'!L96*INDEX('Input|Rate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M15" s="104">
        <f>IF(M$11="",0,'Calc|Opex forecast'!M96*INDEX('Input|Rate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N15" s="104">
        <f>IF(N$11="",0,'Calc|Opex forecast'!N96*INDEX('Input|Rate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O15" s="104">
        <f>IF(O$11="",0,'Calc|Opex forecast'!O96*INDEX('Input|Rate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0.34733855187319879</v>
      </c>
      <c r="P15" s="104">
        <f>IF(P$11="",0,'Calc|Opex forecast'!P96*INDEX('Input|Rate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0.34733855187319879</v>
      </c>
      <c r="Q15" s="104">
        <f>IF(Q$11="",0,'Calc|Opex forecast'!Q96*INDEX('Input|Rate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0.34733855187319879</v>
      </c>
      <c r="R15" s="104">
        <f>IF(R$11="",0,'Calc|Opex forecast'!R96*INDEX('Input|Rate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0.34733855187319879</v>
      </c>
      <c r="S15" s="104">
        <f>IF(S$11="",0,'Calc|Opex forecast'!S96*INDEX('Input|Rate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0.34733855187319879</v>
      </c>
      <c r="T15" s="104">
        <f>IF(T$11="",0,'Calc|Opex forecast'!T96*INDEX('Input|Rate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U15" s="15"/>
      <c r="V15" s="91"/>
    </row>
    <row r="16" spans="1:27">
      <c r="C16" s="15" t="str">
        <f>'Input|Step changes'!C32</f>
        <v>Customer assistance package</v>
      </c>
      <c r="D16" s="24" t="s">
        <v>98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0</v>
      </c>
      <c r="K16" s="104">
        <f>IF(K$11="",0,'Calc|Opex forecast'!K97*INDEX('Input|Rate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0</v>
      </c>
      <c r="L16" s="104">
        <f>IF(L$11="",0,'Calc|Opex forecast'!L97*INDEX('Input|Rate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0</v>
      </c>
      <c r="M16" s="104">
        <f>IF(M$11="",0,'Calc|Opex forecast'!M97*INDEX('Input|Rate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0</v>
      </c>
      <c r="N16" s="104">
        <f>IF(N$11="",0,'Calc|Opex forecast'!N97*INDEX('Input|Rate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0</v>
      </c>
      <c r="O16" s="104">
        <f>IF(O$11="",0,'Calc|Opex forecast'!O97*INDEX('Input|Rate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1.7105411467276042</v>
      </c>
      <c r="P16" s="104">
        <f>IF(P$11="",0,'Calc|Opex forecast'!P97*INDEX('Input|Rate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1.7242499788848678</v>
      </c>
      <c r="Q16" s="104">
        <f>IF(Q$11="",0,'Calc|Opex forecast'!Q97*INDEX('Input|Rate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1.7400695948977483</v>
      </c>
      <c r="R16" s="104">
        <f>IF(R$11="",0,'Calc|Opex forecast'!R97*INDEX('Input|Rate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1.7577027844504141</v>
      </c>
      <c r="S16" s="104">
        <f>IF(S$11="",0,'Calc|Opex forecast'!S97*INDEX('Input|Rate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1.7747260890321206</v>
      </c>
      <c r="T16" s="104">
        <f>IF(T$11="",0,'Calc|Opex forecast'!T97*INDEX('Input|Rate of change'!$C$14:$P$22,MATCH('Calc|Opex forecast'!$F97,'Input|Rate of change'!$C$14:$C$22,0),MATCH('Output|Models'!$F16,'Input|Rate of change'!$C$14:$P$14,0))*IF('Calc|Opex forecast'!$E97="$millions",1000000,IF('Calc|Opex forecast'!$E97="$000",1000,1))/IF($E16="$millions",1000000,IF($E16="$000",1000,1)))</f>
        <v>0</v>
      </c>
      <c r="U16" s="15"/>
      <c r="V16" s="91"/>
    </row>
    <row r="17" spans="1:24">
      <c r="C17" s="15">
        <f>'Input|Step changes'!C33</f>
        <v>0</v>
      </c>
      <c r="D17" s="24" t="s">
        <v>98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K17" s="104">
        <f>IF(K$11="",0,'Calc|Opex forecast'!K98*INDEX('Input|Rate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L17" s="104">
        <f>IF(L$11="",0,'Calc|Opex forecast'!L98*INDEX('Input|Rate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M17" s="104">
        <f>IF(M$11="",0,'Calc|Opex forecast'!M98*INDEX('Input|Rate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N17" s="104">
        <f>IF(N$11="",0,'Calc|Opex forecast'!N98*INDEX('Input|Rate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O17" s="104">
        <f>IF(O$11="",0,'Calc|Opex forecast'!O98*INDEX('Input|Rate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P17" s="104">
        <f>IF(P$11="",0,'Calc|Opex forecast'!P98*INDEX('Input|Rate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Q17" s="104">
        <f>IF(Q$11="",0,'Calc|Opex forecast'!Q98*INDEX('Input|Rate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R17" s="104">
        <f>IF(R$11="",0,'Calc|Opex forecast'!R98*INDEX('Input|Rate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S17" s="104">
        <f>IF(S$11="",0,'Calc|Opex forecast'!S98*INDEX('Input|Rate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T17" s="104">
        <f>IF(T$11="",0,'Calc|Opex forecast'!T98*INDEX('Input|Rate of change'!$C$14:$P$22,MATCH('Calc|Opex forecast'!$F98,'Input|Rate of change'!$C$14:$C$22,0),MATCH('Output|Models'!$F17,'Input|Rate of change'!$C$14:$P$14,0))*IF('Calc|Opex forecast'!$E98="$millions",1000000,IF('Calc|Opex forecast'!$E98="$000",1000,1))/IF($E17="$millions",1000000,IF($E17="$000",1000,1)))</f>
        <v>0</v>
      </c>
      <c r="U17" s="15"/>
      <c r="V17" s="112"/>
    </row>
    <row r="18" spans="1:24">
      <c r="C18" s="15">
        <f>'Input|Step changes'!C34</f>
        <v>0</v>
      </c>
      <c r="D18" s="24" t="s">
        <v>98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K18" s="104">
        <f>IF(K$11="",0,'Calc|Opex forecast'!K99*INDEX('Input|Rate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L18" s="104">
        <f>IF(L$11="",0,'Calc|Opex forecast'!L99*INDEX('Input|Rate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M18" s="104">
        <f>IF(M$11="",0,'Calc|Opex forecast'!M99*INDEX('Input|Rate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N18" s="104">
        <f>IF(N$11="",0,'Calc|Opex forecast'!N99*INDEX('Input|Rate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O18" s="104">
        <f>IF(O$11="",0,'Calc|Opex forecast'!O99*INDEX('Input|Rate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P18" s="104">
        <f>IF(P$11="",0,'Calc|Opex forecast'!P99*INDEX('Input|Rate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Q18" s="104">
        <f>IF(Q$11="",0,'Calc|Opex forecast'!Q99*INDEX('Input|Rate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R18" s="104">
        <f>IF(R$11="",0,'Calc|Opex forecast'!R99*INDEX('Input|Rate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S18" s="104">
        <f>IF(S$11="",0,'Calc|Opex forecast'!S99*INDEX('Input|Rate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T18" s="104">
        <f>IF(T$11="",0,'Calc|Opex forecast'!T99*INDEX('Input|Rate of change'!$C$14:$P$22,MATCH('Calc|Opex forecast'!$F99,'Input|Rate of change'!$C$14:$C$22,0),MATCH('Output|Models'!$F18,'Input|Rate of change'!$C$14:$P$14,0))*IF('Calc|Opex forecast'!$E99="$millions",1000000,IF('Calc|Opex forecast'!$E99="$000",1000,1))/IF($E18="$millions",1000000,IF($E18="$000",1000,1)))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189" t="s">
        <v>24</v>
      </c>
      <c r="V1" s="29" t="str">
        <f>'Check|List'!$S$1</f>
        <v>Ok</v>
      </c>
    </row>
    <row r="2" spans="1:30" s="27" customFormat="1" ht="12.75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178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179</v>
      </c>
      <c r="D8" s="16" t="s">
        <v>182</v>
      </c>
      <c r="E8" s="16"/>
      <c r="F8" s="16"/>
      <c r="G8" s="39" t="s">
        <v>179</v>
      </c>
    </row>
    <row r="9" spans="1:30">
      <c r="C9" s="15" t="s">
        <v>180</v>
      </c>
      <c r="D9" s="16" t="s">
        <v>182</v>
      </c>
      <c r="E9" s="16"/>
      <c r="F9" s="16"/>
      <c r="G9" s="39" t="s">
        <v>180</v>
      </c>
    </row>
    <row r="10" spans="1:30">
      <c r="C10" s="15" t="s">
        <v>181</v>
      </c>
      <c r="D10" s="16" t="s">
        <v>64</v>
      </c>
      <c r="E10" s="16"/>
      <c r="F10" s="16"/>
      <c r="G10" s="39" t="s">
        <v>181</v>
      </c>
      <c r="T10" s="17"/>
    </row>
    <row r="11" spans="1:30">
      <c r="C11" s="15" t="s">
        <v>183</v>
      </c>
      <c r="D11" s="16" t="s">
        <v>182</v>
      </c>
      <c r="E11" s="16"/>
      <c r="F11" s="16"/>
      <c r="G11" s="39" t="s">
        <v>183</v>
      </c>
    </row>
    <row r="12" spans="1:30">
      <c r="C12" s="15" t="s">
        <v>184</v>
      </c>
      <c r="D12" s="16" t="s">
        <v>64</v>
      </c>
      <c r="E12" s="16"/>
      <c r="F12" s="16"/>
      <c r="G12" s="39" t="s">
        <v>184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2018</v>
      </c>
      <c r="H48" s="107">
        <f>DATE(G48,MONTH('Input|General'!$G$9),1)</f>
        <v>43252</v>
      </c>
      <c r="I48" s="106" t="str">
        <f>G48-1&amp;"–"&amp;RIGHT(G48,2)</f>
        <v>2017–18</v>
      </c>
    </row>
    <row r="49" spans="3:20">
      <c r="C49" s="97">
        <v>41061</v>
      </c>
      <c r="D49" s="16" t="s">
        <v>64</v>
      </c>
      <c r="E49" s="16"/>
      <c r="F49" s="16"/>
      <c r="G49" s="93">
        <v>2019</v>
      </c>
      <c r="H49" s="107">
        <f>DATE(G49,MONTH('Input|General'!$G$9),1)</f>
        <v>43617</v>
      </c>
      <c r="I49" s="106" t="str">
        <f t="shared" ref="I49:I67" si="0">G49-1&amp;"–"&amp;RIGHT(G49,2)</f>
        <v>2018–19</v>
      </c>
    </row>
    <row r="50" spans="3:20">
      <c r="C50" s="97">
        <v>41426</v>
      </c>
      <c r="D50" s="16" t="s">
        <v>64</v>
      </c>
      <c r="E50" s="16"/>
      <c r="F50" s="16"/>
      <c r="G50" s="93">
        <v>2020</v>
      </c>
      <c r="H50" s="107">
        <f>DATE(G50,MONTH('Input|General'!$G$9),1)</f>
        <v>43983</v>
      </c>
      <c r="I50" s="106" t="str">
        <f t="shared" si="0"/>
        <v>2019–20</v>
      </c>
    </row>
    <row r="51" spans="3:20">
      <c r="C51" s="97">
        <v>41791</v>
      </c>
      <c r="D51" s="16" t="s">
        <v>64</v>
      </c>
      <c r="E51" s="16"/>
      <c r="F51" s="16"/>
      <c r="G51" s="93">
        <v>2021</v>
      </c>
      <c r="H51" s="107">
        <f>DATE(G51,MONTH('Input|General'!$G$9),1)</f>
        <v>44348</v>
      </c>
      <c r="I51" s="106" t="str">
        <f t="shared" si="0"/>
        <v>2020–21</v>
      </c>
    </row>
    <row r="52" spans="3:20">
      <c r="C52" s="97">
        <v>42156</v>
      </c>
      <c r="D52" s="16" t="s">
        <v>64</v>
      </c>
      <c r="E52" s="16"/>
      <c r="F52" s="16"/>
      <c r="G52" s="93">
        <v>2022</v>
      </c>
      <c r="H52" s="107">
        <f>DATE(G52,MONTH('Input|General'!$G$9),1)</f>
        <v>44713</v>
      </c>
      <c r="I52" s="106" t="str">
        <f t="shared" si="0"/>
        <v>2021–22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2023</v>
      </c>
      <c r="H53" s="107">
        <f>DATE(G53,MONTH('Input|General'!$G$9),1)</f>
        <v>45078</v>
      </c>
      <c r="I53" s="106" t="str">
        <f t="shared" si="0"/>
        <v>2022–23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2024</v>
      </c>
      <c r="H54" s="107">
        <f>DATE(G54,MONTH('Input|General'!$G$9),1)</f>
        <v>45444</v>
      </c>
      <c r="I54" s="106" t="str">
        <f t="shared" si="0"/>
        <v>2023–24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2025</v>
      </c>
      <c r="H55" s="107">
        <f>DATE(G55,MONTH('Input|General'!$G$9),1)</f>
        <v>45809</v>
      </c>
      <c r="I55" s="106" t="str">
        <f t="shared" si="0"/>
        <v>2024–25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2026</v>
      </c>
      <c r="H56" s="107">
        <f>DATE(G56,MONTH('Input|General'!$G$9),1)</f>
        <v>46174</v>
      </c>
      <c r="I56" s="106" t="str">
        <f t="shared" si="0"/>
        <v>2025–26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2027</v>
      </c>
      <c r="H57" s="107">
        <f>DATE(G57,MONTH('Input|General'!$G$9),1)</f>
        <v>46539</v>
      </c>
      <c r="I57" s="106" t="str">
        <f t="shared" si="0"/>
        <v>2026–27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2028</v>
      </c>
      <c r="H58" s="107">
        <f>DATE(G58,MONTH('Input|General'!$G$9),1)</f>
        <v>46905</v>
      </c>
      <c r="I58" s="106" t="str">
        <f t="shared" si="0"/>
        <v>2027–28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2029</v>
      </c>
      <c r="H59" s="107">
        <f>DATE(G59,MONTH('Input|General'!$G$9),1)</f>
        <v>47270</v>
      </c>
      <c r="I59" s="106" t="str">
        <f t="shared" si="0"/>
        <v>2028–29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2030</v>
      </c>
      <c r="H60" s="107">
        <f>DATE(G60,MONTH('Input|General'!$G$9),1)</f>
        <v>47635</v>
      </c>
      <c r="I60" s="106" t="str">
        <f t="shared" si="0"/>
        <v>2029–30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2031</v>
      </c>
      <c r="H61" s="107">
        <f>DATE(G61,MONTH('Input|General'!$G$9),1)</f>
        <v>48000</v>
      </c>
      <c r="I61" s="106" t="str">
        <f t="shared" si="0"/>
        <v>2030–31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2032</v>
      </c>
      <c r="H62" s="107">
        <f>DATE(G62,MONTH('Input|General'!$G$9),1)</f>
        <v>48366</v>
      </c>
      <c r="I62" s="106" t="str">
        <f t="shared" si="0"/>
        <v>2031–32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2033</v>
      </c>
      <c r="H63" s="107">
        <f>DATE(G63,MONTH('Input|General'!$G$9),1)</f>
        <v>48731</v>
      </c>
      <c r="I63" s="106" t="str">
        <f t="shared" si="0"/>
        <v>2032–33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2034</v>
      </c>
      <c r="H64" s="107">
        <f>DATE(G64,MONTH('Input|General'!$G$9),1)</f>
        <v>49096</v>
      </c>
      <c r="I64" s="106" t="str">
        <f t="shared" si="0"/>
        <v>2033–34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2035</v>
      </c>
      <c r="H65" s="107">
        <f>DATE(G65,MONTH('Input|General'!$G$9),1)</f>
        <v>49461</v>
      </c>
      <c r="I65" s="106" t="str">
        <f t="shared" si="0"/>
        <v>2034–35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2036</v>
      </c>
      <c r="H66" s="107">
        <f>DATE(G66,MONTH('Input|General'!$G$9),1)</f>
        <v>49827</v>
      </c>
      <c r="I66" s="106" t="str">
        <f t="shared" si="0"/>
        <v>2035–36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2037</v>
      </c>
      <c r="H67" s="107">
        <f>DATE(G67,MONTH('Input|General'!$G$9),1)</f>
        <v>50192</v>
      </c>
      <c r="I67" s="106" t="str">
        <f t="shared" si="0"/>
        <v>2036–37</v>
      </c>
      <c r="T67" s="17"/>
    </row>
    <row r="68" spans="1:30"/>
    <row r="69" spans="1:30" customFormat="1" ht="12.75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2020–21</v>
      </c>
      <c r="H72" s="107">
        <f>DATE(PPFirstYear-1,MONTH('Input|General'!$G$9),1)</f>
        <v>44348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2021–22</v>
      </c>
      <c r="H73" s="107">
        <f>DATE(PPFirstYear,MONTH('Input|General'!$G$9),1)</f>
        <v>44713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2022–23</v>
      </c>
      <c r="H74" s="107">
        <f>IF(PPLastYear-PPFirstYear&lt;1,"",DATE(PPFirstYear+1,MONTH('Input|General'!$G$9),1))</f>
        <v>45078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2023–24</v>
      </c>
      <c r="H75" s="107">
        <f>IF(PPLastYear-PPFirstYear&lt;2,"",DATE(PPFirstYear+2,MONTH('Input|General'!$G$9),1))</f>
        <v>45444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2024–25</v>
      </c>
      <c r="H76" s="107">
        <f>IF(PPLastYear-PPFirstYear&lt;3,"",DATE(PPFirstYear+3,MONTH('Input|General'!$G$9),1))</f>
        <v>45809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2025–26</v>
      </c>
      <c r="H77" s="107">
        <f>IF(PPLastYear-PPFirstYear&lt;4,"",DATE(PPFirstYear+4,MONTH('Input|General'!$G$9),1))</f>
        <v>46174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2026–27</v>
      </c>
      <c r="H79" s="107">
        <f>DATE(FPFirstYear,MONTH('Input|General'!$G$9),1)</f>
        <v>46539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2027–28</v>
      </c>
      <c r="H80" s="107">
        <f>IF(FPLastYear-FPFirstYear&lt;1,"",DATE(FPFirstYear+1,MONTH('Input|General'!$G$9),1))</f>
        <v>46905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2028–29</v>
      </c>
      <c r="H81" s="107">
        <f>IF(FPLastYear-FPFirstYear&lt;2,"",DATE(FPFirstYear+2,MONTH('Input|General'!$G$9),1))</f>
        <v>47270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2029–30</v>
      </c>
      <c r="H82" s="107">
        <f>IF(FPLastYear-FPFirstYear&lt;3,"",DATE(FPFirstYear+3,MONTH('Input|General'!$G$9),1))</f>
        <v>47635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2030–31</v>
      </c>
      <c r="H83" s="107">
        <f>IF(FPLastYear-FPFirstYear&lt;4,"",DATE(FPFirstYear+4,MONTH('Input|General'!$G$9),1))</f>
        <v>48000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8: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189" t="s">
        <v>24</v>
      </c>
      <c r="S1" s="29" t="str">
        <f>IF(COUNTIF(G10:G16,"Check")=0,"Ok","Check")</f>
        <v>Ok</v>
      </c>
      <c r="U1" s="28"/>
      <c r="V1" s="29"/>
    </row>
    <row r="2" spans="1:30" s="27" customFormat="1" ht="12.75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190" t="str">
        <f t="shared" ref="D10:D16" si="0"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90" t="str">
        <f t="shared" si="0"/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90" t="str">
        <f t="shared" si="0"/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190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90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190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190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Monk</cp:lastModifiedBy>
  <dcterms:created xsi:type="dcterms:W3CDTF">2025-09-18T07:24:13Z</dcterms:created>
  <dcterms:modified xsi:type="dcterms:W3CDTF">2025-09-24T07:13:47Z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2025-09-24T06:38:31Z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32fc434c-5ee5-47b0-8d0e-f3ef8f3a6fbb</vt:lpwstr>
  </property>
  <property fmtid="{D5CDD505-2E9C-101B-9397-08002B2CF9AE}" pid="8" name="MSIP_Label_d9d5a995-dfdf-4407-9a97-edbbc68c9f53_ContentBits">
    <vt:lpwstr>0</vt:lpwstr>
  </property>
  <property fmtid="{D5CDD505-2E9C-101B-9397-08002B2CF9AE}" pid="9" name="MSIP_Label_d9d5a995-dfdf-4407-9a97-edbbc68c9f53_Tag">
    <vt:lpwstr>10, 0, 1, 1</vt:lpwstr>
  </property>
</Properties>
</file>