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/>
  <xr:revisionPtr revIDLastSave="0" documentId="13_ncr:1_{F6D6FAAB-AC32-4F4F-872D-282BFC4811B0}" xr6:coauthVersionLast="47" xr6:coauthVersionMax="47" xr10:uidLastSave="{00000000-0000-0000-0000-000000000000}"/>
  <bookViews>
    <workbookView xWindow="28680" yWindow="-120" windowWidth="29040" windowHeight="15840" xr2:uid="{303A3AA0-47C2-467F-9CC6-226B472106E1}"/>
  </bookViews>
  <sheets>
    <sheet name="Cover" sheetId="20" r:id="rId1"/>
    <sheet name="Output | Decision tables" sheetId="19" r:id="rId2"/>
    <sheet name="STPIS inputs" sheetId="21" r:id="rId3"/>
    <sheet name="Cap adjustment" sheetId="23" r:id="rId4"/>
    <sheet name="Annual performance and targets" sheetId="17" r:id="rId5"/>
    <sheet name="Incentive rates calc" sheetId="14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1" l="1"/>
  <c r="H5" i="21"/>
  <c r="G5" i="21"/>
  <c r="F5" i="21"/>
  <c r="E5" i="21"/>
  <c r="D5" i="21" l="1"/>
  <c r="X32" i="17"/>
  <c r="W32" i="17"/>
  <c r="V32" i="17"/>
  <c r="U32" i="17"/>
  <c r="X31" i="17"/>
  <c r="W31" i="17"/>
  <c r="V31" i="17"/>
  <c r="U31" i="17"/>
  <c r="X30" i="17"/>
  <c r="W30" i="17"/>
  <c r="V30" i="17"/>
  <c r="U30" i="17"/>
  <c r="O32" i="17"/>
  <c r="N32" i="17"/>
  <c r="M32" i="17"/>
  <c r="L32" i="17"/>
  <c r="O31" i="17"/>
  <c r="N31" i="17"/>
  <c r="M31" i="17"/>
  <c r="L31" i="17"/>
  <c r="O30" i="17"/>
  <c r="N30" i="17"/>
  <c r="M30" i="17"/>
  <c r="L30" i="17"/>
  <c r="F33" i="17"/>
  <c r="E33" i="17"/>
  <c r="D33" i="17"/>
  <c r="C33" i="17"/>
  <c r="F32" i="17"/>
  <c r="E32" i="17"/>
  <c r="D32" i="17"/>
  <c r="C32" i="17"/>
  <c r="F31" i="17"/>
  <c r="E31" i="17"/>
  <c r="D31" i="17"/>
  <c r="C31" i="17"/>
  <c r="F30" i="17"/>
  <c r="E30" i="17"/>
  <c r="D30" i="17"/>
  <c r="C30" i="17"/>
  <c r="D11" i="17"/>
  <c r="E11" i="17"/>
  <c r="F11" i="17"/>
  <c r="C11" i="17"/>
  <c r="H22" i="17"/>
  <c r="I22" i="17"/>
  <c r="D11" i="19"/>
  <c r="D17" i="19" s="1"/>
  <c r="E11" i="19"/>
  <c r="E17" i="19" s="1"/>
  <c r="C11" i="19"/>
  <c r="C17" i="19" s="1"/>
  <c r="I11" i="17" l="1"/>
  <c r="H11" i="17"/>
  <c r="V10" i="17"/>
  <c r="W10" i="17"/>
  <c r="X10" i="17"/>
  <c r="U10" i="17"/>
  <c r="V9" i="17"/>
  <c r="W9" i="17"/>
  <c r="X9" i="17"/>
  <c r="U9" i="17"/>
  <c r="V8" i="17"/>
  <c r="W8" i="17"/>
  <c r="X8" i="17"/>
  <c r="U8" i="17"/>
  <c r="M10" i="17"/>
  <c r="N10" i="17"/>
  <c r="O10" i="17"/>
  <c r="L10" i="17"/>
  <c r="Q10" i="17" s="1"/>
  <c r="M9" i="17"/>
  <c r="N9" i="17"/>
  <c r="O9" i="17"/>
  <c r="L9" i="17"/>
  <c r="M8" i="17"/>
  <c r="N8" i="17"/>
  <c r="O8" i="17"/>
  <c r="L8" i="17"/>
  <c r="D10" i="17"/>
  <c r="E10" i="17"/>
  <c r="F10" i="17"/>
  <c r="C10" i="17"/>
  <c r="D9" i="17"/>
  <c r="E9" i="17"/>
  <c r="F9" i="17"/>
  <c r="C9" i="17"/>
  <c r="E8" i="17"/>
  <c r="F8" i="17"/>
  <c r="D8" i="17"/>
  <c r="C8" i="17"/>
  <c r="Z10" i="17" l="1"/>
  <c r="AA10" i="17"/>
  <c r="R10" i="17"/>
  <c r="F8" i="21"/>
  <c r="F6" i="14" s="1"/>
  <c r="E27" i="19"/>
  <c r="F4" i="14"/>
  <c r="F5" i="14"/>
  <c r="F7" i="14"/>
  <c r="F11" i="14"/>
  <c r="E34" i="23"/>
  <c r="E39" i="23" s="1"/>
  <c r="K8" i="17"/>
  <c r="K19" i="17" s="1"/>
  <c r="K30" i="17" s="1"/>
  <c r="B10" i="17"/>
  <c r="K10" i="17" s="1"/>
  <c r="B9" i="17"/>
  <c r="B20" i="17" s="1"/>
  <c r="B31" i="17" s="1"/>
  <c r="B8" i="17"/>
  <c r="B19" i="17" s="1"/>
  <c r="B30" i="17" s="1"/>
  <c r="A48" i="23"/>
  <c r="F7" i="21"/>
  <c r="F10" i="21" s="1"/>
  <c r="H33" i="17" l="1"/>
  <c r="I33" i="17"/>
  <c r="D24" i="19" s="1"/>
  <c r="Z32" i="17"/>
  <c r="AA32" i="17"/>
  <c r="F10" i="14" s="1"/>
  <c r="E14" i="19" s="1"/>
  <c r="B21" i="17"/>
  <c r="B32" i="17" s="1"/>
  <c r="H10" i="17"/>
  <c r="I10" i="17"/>
  <c r="T10" i="17"/>
  <c r="T21" i="17" s="1"/>
  <c r="T32" i="17" s="1"/>
  <c r="K21" i="17"/>
  <c r="K32" i="17" s="1"/>
  <c r="T8" i="17"/>
  <c r="T19" i="17" s="1"/>
  <c r="T30" i="17" s="1"/>
  <c r="K9" i="17"/>
  <c r="K20" i="17" l="1"/>
  <c r="K31" i="17" s="1"/>
  <c r="T9" i="17"/>
  <c r="T20" i="17" s="1"/>
  <c r="T31" i="17" s="1"/>
  <c r="D7" i="14" l="1"/>
  <c r="C27" i="23" l="1"/>
  <c r="AA8" i="17" l="1"/>
  <c r="AA9" i="17"/>
  <c r="Z9" i="17"/>
  <c r="Z8" i="17" l="1"/>
  <c r="E27" i="23" l="1"/>
  <c r="D39" i="23" l="1"/>
  <c r="C39" i="23"/>
  <c r="D34" i="23"/>
  <c r="C34" i="23"/>
  <c r="E7" i="21" l="1"/>
  <c r="E10" i="21" s="1"/>
  <c r="D7" i="21"/>
  <c r="D10" i="21" s="1"/>
  <c r="A47" i="23"/>
  <c r="A46" i="23"/>
  <c r="E11" i="14"/>
  <c r="D11" i="14"/>
  <c r="E4" i="14"/>
  <c r="D4" i="14"/>
  <c r="F27" i="23" l="1"/>
  <c r="D27" i="19" l="1"/>
  <c r="C27" i="19"/>
  <c r="E8" i="21"/>
  <c r="D8" i="21"/>
  <c r="D27" i="23"/>
  <c r="H27" i="23" l="1"/>
  <c r="R9" i="17"/>
  <c r="R8" i="17"/>
  <c r="I9" i="17"/>
  <c r="I8" i="17"/>
  <c r="D30" i="23" l="1"/>
  <c r="D32" i="23" s="1"/>
  <c r="C41" i="23" l="1"/>
  <c r="C42" i="23" s="1"/>
  <c r="E41" i="23"/>
  <c r="E42" i="23" s="1"/>
  <c r="D41" i="23"/>
  <c r="D42" i="23" s="1"/>
  <c r="D31" i="23"/>
  <c r="D36" i="23" s="1"/>
  <c r="D37" i="23" s="1"/>
  <c r="M20" i="17" l="1"/>
  <c r="N20" i="17"/>
  <c r="O20" i="17"/>
  <c r="L20" i="17"/>
  <c r="D20" i="17"/>
  <c r="E20" i="17"/>
  <c r="F20" i="17"/>
  <c r="C20" i="17"/>
  <c r="D21" i="17"/>
  <c r="E21" i="17"/>
  <c r="F21" i="17"/>
  <c r="C21" i="17"/>
  <c r="E19" i="17"/>
  <c r="F19" i="17"/>
  <c r="C19" i="17"/>
  <c r="D19" i="17"/>
  <c r="C36" i="23"/>
  <c r="C37" i="23" s="1"/>
  <c r="E36" i="23"/>
  <c r="E37" i="23" s="1"/>
  <c r="L21" i="17" l="1"/>
  <c r="O21" i="17"/>
  <c r="N21" i="17"/>
  <c r="M21" i="17"/>
  <c r="H21" i="17"/>
  <c r="I21" i="17"/>
  <c r="I20" i="17"/>
  <c r="I19" i="17"/>
  <c r="L19" i="17"/>
  <c r="O19" i="17"/>
  <c r="M19" i="17"/>
  <c r="N19" i="17"/>
  <c r="R21" i="17" l="1"/>
  <c r="Q21" i="17"/>
  <c r="AA19" i="17"/>
  <c r="Z20" i="17"/>
  <c r="AA31" i="17"/>
  <c r="Z19" i="17"/>
  <c r="AA30" i="17"/>
  <c r="AA20" i="17"/>
  <c r="B8" i="21"/>
  <c r="E6" i="14"/>
  <c r="D6" i="14"/>
  <c r="D5" i="14"/>
  <c r="E5" i="14"/>
  <c r="D13" i="21"/>
  <c r="Q8" i="17"/>
  <c r="Q9" i="17"/>
  <c r="R19" i="17"/>
  <c r="R20" i="17"/>
  <c r="Q20" i="17"/>
  <c r="H20" i="17"/>
  <c r="Q19" i="17"/>
  <c r="H19" i="17"/>
  <c r="H8" i="17"/>
  <c r="H9" i="17"/>
  <c r="Q32" i="17" l="1"/>
  <c r="R32" i="17"/>
  <c r="F9" i="14" s="1"/>
  <c r="E12" i="19" s="1"/>
  <c r="D12" i="14"/>
  <c r="C28" i="19" s="1"/>
  <c r="F12" i="14"/>
  <c r="E12" i="14"/>
  <c r="D28" i="19" s="1"/>
  <c r="E7" i="14"/>
  <c r="D13" i="14"/>
  <c r="E28" i="19" l="1"/>
  <c r="F13" i="14"/>
  <c r="E18" i="19" s="1"/>
  <c r="I32" i="17"/>
  <c r="F8" i="14" s="1"/>
  <c r="H32" i="17"/>
  <c r="Z30" i="17"/>
  <c r="Z31" i="17"/>
  <c r="R30" i="17"/>
  <c r="H31" i="17"/>
  <c r="Q30" i="17"/>
  <c r="D10" i="14" s="1"/>
  <c r="C14" i="19" s="1"/>
  <c r="I31" i="17"/>
  <c r="I30" i="17"/>
  <c r="R31" i="17"/>
  <c r="H30" i="17"/>
  <c r="Q31" i="17"/>
  <c r="E10" i="14" s="1"/>
  <c r="D14" i="19" s="1"/>
  <c r="E13" i="14"/>
  <c r="C18" i="19"/>
  <c r="F14" i="14" l="1"/>
  <c r="E19" i="19" s="1"/>
  <c r="E13" i="19"/>
  <c r="D8" i="14"/>
  <c r="C13" i="19" s="1"/>
  <c r="E8" i="14"/>
  <c r="D13" i="19" s="1"/>
  <c r="D9" i="14"/>
  <c r="E9" i="14"/>
  <c r="D12" i="19" s="1"/>
  <c r="D18" i="19"/>
  <c r="F15" i="14" l="1"/>
  <c r="E20" i="19" s="1"/>
  <c r="C12" i="19"/>
  <c r="D14" i="14"/>
  <c r="E14" i="14"/>
  <c r="E15" i="14" s="1"/>
  <c r="D15" i="14" l="1"/>
  <c r="C20" i="19" s="1"/>
  <c r="C19" i="19"/>
  <c r="D19" i="19"/>
  <c r="D20" i="19"/>
</calcChain>
</file>

<file path=xl/sharedStrings.xml><?xml version="1.0" encoding="utf-8"?>
<sst xmlns="http://schemas.openxmlformats.org/spreadsheetml/2006/main" count="255" uniqueCount="154">
  <si>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</si>
  <si>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</si>
  <si>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</si>
  <si>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</si>
  <si>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</si>
  <si>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</si>
  <si>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</si>
  <si>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</si>
  <si>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</si>
  <si>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</si>
  <si>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</si>
  <si>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</si>
  <si>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</si>
  <si>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</si>
  <si>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</si>
  <si>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</si>
  <si>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</si>
  <si>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</si>
  <si>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</si>
  <si>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</si>
  <si>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</si>
  <si>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</si>
  <si>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</si>
  <si>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</si>
  <si>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</si>
  <si>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</si>
  <si>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</si>
  <si>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</si>
  <si>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</si>
  <si>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</si>
  <si>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</si>
  <si>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</si>
  <si>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</si>
  <si>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</si>
  <si>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</si>
  <si>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</si>
  <si>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</si>
  <si>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</si>
  <si>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</si>
  <si>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</si>
  <si>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</si>
  <si>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Change log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</si>
  <si>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</si>
  <si>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</si>
  <si>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</si>
  <si>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</si>
  <si>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</si>
  <si>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</si>
  <si>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</si>
  <si>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</si>
  <si>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</si>
  <si>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</si>
  <si>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</si>
  <si>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</si>
  <si>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</si>
  <si>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</si>
  <si>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Provides log of updates made to the model template (rather than changes between preliminary and final model submissions).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</si>
  <si>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</si>
  <si>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</si>
  <si>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</si>
  <si>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</si>
  <si>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</si>
  <si>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</si>
  <si>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</si>
  <si>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</si>
  <si>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</si>
  <si>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</si>
  <si>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</si>
  <si>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</si>
  <si>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</si>
  <si>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</si>
  <si>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</si>
  <si>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</si>
  <si>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SAIDI - short rural</t>
  </si>
  <si>
    <t>Unplanned SAIDI - long rural</t>
  </si>
  <si>
    <t>Unplanned SAIFI - CBD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</si>
  <si>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</si>
  <si>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</si>
  <si>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</si>
  <si>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</si>
  <si>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</si>
  <si>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</si>
  <si>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</si>
  <si>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</si>
  <si>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</si>
  <si>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</si>
  <si>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AER Decision STPIS for 2026-31</t>
  </si>
  <si>
    <t>STPIS Incentive rates for 2026-31 period</t>
  </si>
  <si>
    <t>Inputs average smoothed revenues, average annual energy consumptions, CPI and network feeders type.</t>
  </si>
  <si>
    <t>Calculates targets based on historical performance and adjusment by STPIS parameters and network feeder types.</t>
  </si>
  <si>
    <t>Calculates incentive rates by STPIS parameters and network feeder types.</t>
  </si>
  <si>
    <t>MAIFI  (interruptions)</t>
  </si>
  <si>
    <t>Legend</t>
  </si>
  <si>
    <t>Calculated figure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</si>
  <si>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</t>
    </r>
  </si>
  <si>
    <t>Data Input</t>
  </si>
  <si>
    <t>2030-31</t>
  </si>
  <si>
    <t>(4 years - 2020/21 to 2023/24)</t>
  </si>
  <si>
    <t>5th year (2024/25) will be included in the final decision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</si>
  <si>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</si>
  <si>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</si>
  <si>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</si>
  <si>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</si>
  <si>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</si>
  <si>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</si>
  <si>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</si>
  <si>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Unplanned MAIFI - short rural</t>
  </si>
  <si>
    <t>Unplanned MAIFI - long rural</t>
  </si>
  <si>
    <t>2024/25 (TBD)</t>
  </si>
  <si>
    <t>SAIDI adjustment</t>
  </si>
  <si>
    <t>SAIFI adjustment</t>
  </si>
  <si>
    <t>S-Factor (Draft Decision)</t>
  </si>
  <si>
    <t>Backcasted data (Actual)</t>
  </si>
  <si>
    <t>Forecast Energy Consumption by Network Type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</si>
  <si>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</si>
  <si>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</si>
  <si>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</si>
  <si>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</si>
  <si>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</si>
  <si>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</si>
  <si>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</si>
  <si>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</si>
  <si>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</si>
  <si>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</si>
  <si>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</si>
  <si>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</si>
  <si>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</si>
  <si>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</si>
  <si>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</si>
  <si>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Adjustments - over cap and others</t>
  </si>
  <si>
    <t>Value of Customer Reliability (VCR) for VIC ($/MWh)</t>
  </si>
  <si>
    <t>Linked Input</t>
  </si>
  <si>
    <t>Beta Method (Major Event Day Threshold calculation)</t>
  </si>
  <si>
    <t>AER Modelling Outputs</t>
  </si>
  <si>
    <t>Appendix F of the STPIS (right)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</si>
  <si>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</si>
  <si>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</si>
  <si>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</si>
  <si>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</si>
  <si>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Powercor</t>
  </si>
  <si>
    <t>Short Rural</t>
  </si>
  <si>
    <t>Long Rural</t>
  </si>
  <si>
    <t>Table 20: Regional VCR</t>
  </si>
  <si>
    <t>Telephone Answering</t>
  </si>
  <si>
    <t xml:space="preserve">Telephone Answering </t>
  </si>
  <si>
    <t>Customer service component</t>
  </si>
  <si>
    <t>Customer Service (Telephone answering)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</si>
  <si>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Information Orders (RIN) - Annual - 6.2</t>
    </r>
  </si>
  <si>
    <t>▪ Information Orders (RIN) - Annual - 6.6</t>
  </si>
  <si>
    <t>(Extract of STPIS version 2.0)</t>
  </si>
  <si>
    <t>2021H1</t>
  </si>
  <si>
    <t>Revenue Smoothing ($ Real 2025-26)</t>
  </si>
  <si>
    <t xml:space="preserve">VCR values has been escalated to the December 2024 quarter. </t>
  </si>
  <si>
    <t>STPIS reliability targets for 2026-31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</si>
</sst>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;\-0.000;\-;@"/>
    <numFmt numFmtId="179" formatCode="0.0000%"/>
    <numFmt numFmtId="180" formatCode="0.00000%"/>
    <numFmt numFmtId="181" formatCode="0.0000000;\-0.0000000;\-;@"/>
    <numFmt numFmtId="182" formatCode="0.0000000"/>
    <numFmt numFmtId="183" formatCode="_(* #,##0_);_(* \(#,##0\);_(* &quot;-&quot;??_);_(@_)"/>
    <numFmt numFmtId="184" formatCode="0.0%"/>
    <numFmt numFmtId="185" formatCode="0.000%"/>
    <numFmt numFmtId="186" formatCode="0.0000;\-0.0000;\-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7"/>
      <name val="Arial"/>
      <family val="2"/>
    </font>
    <font>
      <sz val="8"/>
      <name val="Verdana Pro"/>
      <family val="2"/>
    </font>
    <font>
      <i/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</cellStyleXfs>
  <cellXfs count="225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2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169" fontId="26" fillId="10" borderId="0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9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0" fontId="33" fillId="12" borderId="0" xfId="18" applyFont="1" applyFill="1" applyBorder="1" applyAlignment="1">
      <alignment horizontal="left" vertical="center"/>
    </xf>
    <xf numFmtId="17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9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2" fontId="26" fillId="14" borderId="1" xfId="1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2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79" fontId="38" fillId="15" borderId="0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1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0" fontId="38" fillId="14" borderId="6" xfId="21" applyNumberFormat="1" applyFont="1">
      <alignment horizontal="left" vertical="center"/>
      <protection locked="0"/>
    </xf>
    <xf numFmtId="183" fontId="38" fillId="14" borderId="7" xfId="1" applyNumberFormat="1" applyFont="1" applyFill="1" applyBorder="1" applyAlignment="1" applyProtection="1">
      <alignment horizontal="center" vertical="center"/>
      <protection locked="0"/>
    </xf>
    <xf numFmtId="0" fontId="26" fillId="10" borderId="0" xfId="0" applyFont="1" applyFill="1"/>
    <xf numFmtId="0" fontId="30" fillId="10" borderId="0" xfId="0" applyFont="1" applyFill="1"/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64" fontId="26" fillId="14" borderId="1" xfId="0" applyNumberFormat="1" applyFont="1" applyFill="1" applyBorder="1" applyAlignment="1">
      <alignment horizontal="center" vertical="center"/>
    </xf>
    <xf numFmtId="179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11" applyNumberFormat="1" applyFont="1" applyFill="1" applyBorder="1" applyAlignment="1" applyProtection="1">
      <alignment horizontal="center" vertical="center"/>
      <protection locked="0"/>
    </xf>
    <xf numFmtId="181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9" fontId="26" fillId="17" borderId="1" xfId="0" applyNumberFormat="1" applyFont="1" applyFill="1" applyBorder="1" applyAlignment="1">
      <alignment horizontal="center" vertical="center"/>
    </xf>
    <xf numFmtId="169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12" xfId="0" applyFont="1" applyFill="1" applyBorder="1"/>
    <xf numFmtId="0" fontId="26" fillId="10" borderId="13" xfId="0" applyFont="1" applyFill="1" applyBorder="1"/>
    <xf numFmtId="0" fontId="26" fillId="10" borderId="14" xfId="0" applyFont="1" applyFill="1" applyBorder="1" applyAlignment="1">
      <alignment horizontal="left" vertical="center" indent="1"/>
    </xf>
    <xf numFmtId="0" fontId="26" fillId="10" borderId="15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Border="1" applyAlignment="1">
      <alignment vertical="center"/>
    </xf>
    <xf numFmtId="0" fontId="26" fillId="15" borderId="12" xfId="0" applyFont="1" applyFill="1" applyBorder="1" applyAlignment="1">
      <alignment vertical="center"/>
    </xf>
    <xf numFmtId="0" fontId="26" fillId="10" borderId="14" xfId="0" applyFont="1" applyFill="1" applyBorder="1" applyAlignment="1">
      <alignment vertical="center"/>
    </xf>
    <xf numFmtId="0" fontId="6" fillId="10" borderId="0" xfId="0" applyFont="1" applyFill="1" applyBorder="1" applyAlignment="1">
      <alignment horizontal="left" vertical="center" indent="1"/>
    </xf>
    <xf numFmtId="0" fontId="26" fillId="10" borderId="14" xfId="0" applyFont="1" applyFill="1" applyBorder="1"/>
    <xf numFmtId="0" fontId="6" fillId="10" borderId="0" xfId="0" applyFont="1" applyFill="1"/>
    <xf numFmtId="0" fontId="27" fillId="10" borderId="0" xfId="0" applyFont="1" applyFill="1"/>
    <xf numFmtId="169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22" fillId="10" borderId="0" xfId="12" applyNumberFormat="1" applyFont="1" applyFill="1" applyAlignment="1" applyProtection="1">
      <alignment horizontal="left" vertical="center" indent="1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right" vertical="center"/>
    </xf>
    <xf numFmtId="166" fontId="26" fillId="10" borderId="0" xfId="1" applyFont="1" applyFill="1" applyAlignment="1">
      <alignment vertical="center"/>
    </xf>
    <xf numFmtId="174" fontId="26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164" fontId="26" fillId="15" borderId="1" xfId="0" applyNumberFormat="1" applyFont="1" applyFill="1" applyBorder="1" applyAlignment="1">
      <alignment horizontal="center" vertical="center"/>
    </xf>
    <xf numFmtId="3" fontId="26" fillId="17" borderId="1" xfId="0" applyNumberFormat="1" applyFont="1" applyFill="1" applyBorder="1" applyAlignment="1">
      <alignment horizontal="center" vertical="center"/>
    </xf>
    <xf numFmtId="180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1" fontId="26" fillId="10" borderId="0" xfId="0" applyNumberFormat="1" applyFont="1" applyFill="1"/>
    <xf numFmtId="170" fontId="26" fillId="10" borderId="0" xfId="0" applyNumberFormat="1" applyFont="1" applyFill="1"/>
    <xf numFmtId="169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6" fontId="26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7" fontId="26" fillId="17" borderId="1" xfId="0" applyNumberFormat="1" applyFont="1" applyFill="1" applyBorder="1" applyAlignment="1">
      <alignment horizontal="center" vertical="center"/>
    </xf>
    <xf numFmtId="168" fontId="26" fillId="17" borderId="1" xfId="1" applyNumberFormat="1" applyFont="1" applyFill="1" applyBorder="1" applyAlignment="1">
      <alignment vertical="center"/>
    </xf>
    <xf numFmtId="169" fontId="26" fillId="17" borderId="1" xfId="1" applyNumberFormat="1" applyFont="1" applyFill="1" applyBorder="1" applyAlignment="1">
      <alignment vertical="center"/>
    </xf>
    <xf numFmtId="0" fontId="26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9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9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11" fillId="10" borderId="0" xfId="9" applyFont="1" applyFill="1" applyAlignment="1" applyProtection="1">
      <alignment wrapText="1"/>
      <protection locked="0"/>
    </xf>
    <xf numFmtId="0" fontId="26" fillId="0" borderId="0" xfId="0" applyFont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vertical="center"/>
    </xf>
    <xf numFmtId="3" fontId="26" fillId="10" borderId="0" xfId="0" applyNumberFormat="1" applyFont="1" applyFill="1" applyBorder="1" applyAlignment="1">
      <alignment horizontal="center" vertical="center"/>
    </xf>
    <xf numFmtId="0" fontId="41" fillId="10" borderId="18" xfId="12" applyFont="1" applyFill="1" applyBorder="1" applyAlignment="1">
      <alignment horizontal="center" vertical="center" wrapText="1"/>
    </xf>
    <xf numFmtId="184" fontId="26" fillId="14" borderId="1" xfId="11" applyNumberFormat="1" applyFont="1" applyFill="1" applyBorder="1" applyAlignment="1">
      <alignment horizontal="center" vertical="center"/>
    </xf>
    <xf numFmtId="179" fontId="38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Border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6" fontId="26" fillId="10" borderId="0" xfId="0" applyNumberFormat="1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horizontal="center" vertical="center"/>
    </xf>
    <xf numFmtId="169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26" fillId="10" borderId="1" xfId="0" applyFont="1" applyFill="1" applyBorder="1" applyAlignment="1">
      <alignment vertical="center"/>
    </xf>
    <xf numFmtId="0" fontId="44" fillId="10" borderId="0" xfId="12" applyFont="1" applyFill="1" applyAlignment="1">
      <alignment horizontal="left" vertical="center"/>
    </xf>
    <xf numFmtId="185" fontId="26" fillId="14" borderId="1" xfId="11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86" fontId="38" fillId="14" borderId="7" xfId="20" applyNumberFormat="1" applyFont="1" applyBorder="1" applyAlignment="1">
      <alignment horizontal="center" vertical="center"/>
      <protection locked="0"/>
    </xf>
    <xf numFmtId="167" fontId="11" fillId="9" borderId="0" xfId="20" applyNumberFormat="1" applyFont="1" applyFill="1" applyBorder="1" applyAlignment="1">
      <alignment vertical="center" wrapText="1"/>
      <protection locked="0"/>
    </xf>
    <xf numFmtId="169" fontId="26" fillId="17" borderId="1" xfId="1" applyNumberFormat="1" applyFont="1" applyFill="1" applyBorder="1" applyAlignment="1">
      <alignment horizontal="center" vertical="center"/>
    </xf>
    <xf numFmtId="10" fontId="26" fillId="17" borderId="1" xfId="11" applyNumberFormat="1" applyFont="1" applyFill="1" applyBorder="1" applyAlignment="1">
      <alignment horizontal="center" vertical="center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9" fontId="42" fillId="9" borderId="16" xfId="11" applyNumberFormat="1" applyFont="1" applyFill="1" applyBorder="1" applyAlignment="1" applyProtection="1">
      <alignment horizontal="center" vertical="center" wrapText="1"/>
      <protection locked="0"/>
    </xf>
    <xf numFmtId="179" fontId="42" fillId="9" borderId="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0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9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1" xfId="11" applyNumberFormat="1" applyFont="1" applyFill="1" applyBorder="1" applyAlignment="1" applyProtection="1">
      <alignment horizontal="center" vertical="center" wrapText="1"/>
      <protection locked="0"/>
    </xf>
    <xf numFmtId="182" fontId="29" fillId="10" borderId="19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11148</xdr:colOff>
      <xdr:row>2</xdr:row>
      <xdr:rowOff>29944</xdr:rowOff>
    </xdr:from>
    <xdr:to>
      <xdr:col>18</xdr:col>
      <xdr:colOff>494077</xdr:colOff>
      <xdr:row>39</xdr:row>
      <xdr:rowOff>284062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6302" y="32302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18</xdr:col>
      <xdr:colOff>571499</xdr:colOff>
      <xdr:row>2</xdr:row>
      <xdr:rowOff>47840</xdr:rowOff>
    </xdr:from>
    <xdr:to>
      <xdr:col>25</xdr:col>
      <xdr:colOff>574055</xdr:colOff>
      <xdr:row>39</xdr:row>
      <xdr:rowOff>282261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855461" y="340917"/>
          <a:ext cx="4259498" cy="645497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8</xdr:col>
      <xdr:colOff>4853</xdr:colOff>
      <xdr:row>3</xdr:row>
      <xdr:rowOff>4857</xdr:rowOff>
    </xdr:from>
    <xdr:to>
      <xdr:col>10</xdr:col>
      <xdr:colOff>418700</xdr:colOff>
      <xdr:row>7</xdr:row>
      <xdr:rowOff>96301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32288" y="427270"/>
          <a:ext cx="1639673" cy="654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26268</xdr:colOff>
      <xdr:row>2</xdr:row>
      <xdr:rowOff>82923</xdr:rowOff>
    </xdr:from>
    <xdr:to>
      <xdr:col>13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5064</xdr:colOff>
      <xdr:row>41</xdr:row>
      <xdr:rowOff>2231</xdr:rowOff>
    </xdr:from>
    <xdr:to>
      <xdr:col>13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97096</xdr:colOff>
      <xdr:row>41</xdr:row>
      <xdr:rowOff>72783</xdr:rowOff>
    </xdr:from>
    <xdr:to>
      <xdr:col>7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7</xdr:col>
      <xdr:colOff>86052</xdr:colOff>
      <xdr:row>51</xdr:row>
      <xdr:rowOff>65690</xdr:rowOff>
    </xdr:from>
    <xdr:to>
      <xdr:col>13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workbookViewId="0">
      <selection activeCell="E28" sqref="E28"/>
    </sheetView>
  </sheetViews>
  <sheetFormatPr defaultColWidth="8.81640625" defaultRowHeight="14.5"/>
  <cols>
    <col min="1" max="4" width="9.1796875" style="123" customWidth="1"/>
    <col min="5" max="5" width="11.1796875" style="123" customWidth="1"/>
    <col min="6" max="7" width="8.81640625" style="123"/>
    <col min="8" max="8" width="7.1796875" style="123" customWidth="1"/>
    <col min="9" max="12" width="8.81640625" style="123"/>
    <col min="13" max="13" width="10.54296875" style="123" bestFit="1" customWidth="1"/>
    <col min="14" max="16384" width="8.81640625" style="123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">
      <c r="C2" s="2"/>
      <c r="D2" s="2"/>
      <c r="E2" s="2"/>
      <c r="F2" s="2"/>
      <c r="G2" s="2"/>
      <c r="H2" s="2"/>
      <c r="I2" s="2"/>
      <c r="J2" s="5" t="s">
        <v>21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">
      <c r="C3" s="2"/>
      <c r="D3" s="2"/>
      <c r="E3" s="2"/>
      <c r="F3" s="2"/>
      <c r="G3" s="2"/>
      <c r="H3" s="2"/>
      <c r="I3" s="2"/>
      <c r="J3" s="6" t="s">
        <v>20</v>
      </c>
      <c r="K3" s="2"/>
      <c r="L3" s="2"/>
      <c r="M3" s="2"/>
      <c r="N3" s="2"/>
      <c r="O3" s="2"/>
      <c r="P3" s="2"/>
      <c r="Q3" s="2"/>
      <c r="R3" s="2"/>
      <c r="S3" s="6" t="s">
        <v>139</v>
      </c>
      <c r="T3" s="2"/>
      <c r="U3" s="6" t="s">
        <v>85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3">
      <c r="I8" s="124"/>
      <c r="J8" s="125"/>
    </row>
    <row r="9" spans="1:34" ht="20">
      <c r="L9" s="126"/>
      <c r="M9" s="127"/>
    </row>
    <row r="11" spans="1:34" ht="44.5">
      <c r="E11" s="128"/>
      <c r="F11" s="129"/>
      <c r="H11" s="130"/>
    </row>
    <row r="12" spans="1:34" s="128" customFormat="1" ht="12.5"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</row>
    <row r="13" spans="1:34" s="128" customFormat="1" ht="13.5" customHeight="1">
      <c r="D13" s="132"/>
      <c r="E13" s="133"/>
      <c r="F13" s="133"/>
      <c r="G13" s="134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</row>
    <row r="14" spans="1:34" s="154" customFormat="1" ht="18" customHeight="1">
      <c r="A14" s="128"/>
      <c r="B14" s="128"/>
      <c r="C14" s="25" t="s">
        <v>36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8"/>
      <c r="AC14" s="128"/>
      <c r="AD14" s="153"/>
      <c r="AE14" s="153"/>
      <c r="AF14" s="153"/>
      <c r="AG14" s="153"/>
      <c r="AH14" s="153"/>
    </row>
    <row r="15" spans="1:34" s="128" customFormat="1" ht="12.5">
      <c r="D15" s="136"/>
      <c r="E15" s="137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</row>
    <row r="16" spans="1:34" s="128" customFormat="1" ht="15.5">
      <c r="C16" s="138"/>
      <c r="D16" s="13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</row>
    <row r="17" spans="3:22" s="135" customFormat="1" ht="23.25" customHeight="1">
      <c r="C17" s="140" t="s">
        <v>37</v>
      </c>
      <c r="D17" s="141"/>
      <c r="E17" s="142"/>
      <c r="F17" s="142"/>
      <c r="G17" s="142"/>
      <c r="H17" s="143" t="s">
        <v>55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3:22" s="135" customFormat="1" ht="23.25" customHeight="1">
      <c r="C18" s="140" t="s">
        <v>38</v>
      </c>
      <c r="D18" s="141"/>
      <c r="E18" s="144"/>
      <c r="F18" s="142"/>
      <c r="G18" s="142"/>
      <c r="H18" s="143" t="s">
        <v>88</v>
      </c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pans="3:22" s="135" customFormat="1" ht="23.25" customHeight="1">
      <c r="C19" s="140" t="s">
        <v>39</v>
      </c>
      <c r="D19" s="145"/>
      <c r="E19" s="146"/>
      <c r="F19" s="142"/>
      <c r="G19" s="142"/>
      <c r="H19" s="143" t="s">
        <v>89</v>
      </c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</row>
    <row r="20" spans="3:22" s="135" customFormat="1" ht="23.25" customHeight="1">
      <c r="C20" s="140" t="s">
        <v>40</v>
      </c>
      <c r="D20" s="141"/>
      <c r="E20" s="142"/>
      <c r="F20" s="142"/>
      <c r="G20" s="142"/>
      <c r="H20" s="143" t="s">
        <v>90</v>
      </c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</row>
    <row r="21" spans="3:22" s="135" customFormat="1" ht="23.25" customHeight="1">
      <c r="C21" s="140" t="s">
        <v>41</v>
      </c>
      <c r="D21" s="141"/>
      <c r="E21" s="142"/>
      <c r="F21" s="142"/>
      <c r="G21" s="142"/>
      <c r="H21" s="147" t="s">
        <v>56</v>
      </c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3:22" s="128" customFormat="1" ht="15.5">
      <c r="C22" s="138"/>
      <c r="D22" s="139"/>
      <c r="E22" s="148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3:22" s="128" customFormat="1" ht="15.5">
      <c r="C23" s="138"/>
      <c r="D23" s="149"/>
      <c r="E23" s="149"/>
      <c r="F23" s="149"/>
      <c r="G23" s="9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99"/>
      <c r="V23" s="99"/>
    </row>
    <row r="24" spans="3:22" ht="15.5">
      <c r="C24" s="150"/>
      <c r="D24" s="149"/>
      <c r="E24" s="149"/>
      <c r="F24" s="149"/>
      <c r="G24" s="9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3:22" ht="15.5">
      <c r="C25" s="150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</row>
    <row r="26" spans="3:22">
      <c r="D26" s="136"/>
      <c r="E26" s="151"/>
      <c r="F26" s="99"/>
      <c r="G26" s="99"/>
      <c r="H26" s="9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</row>
    <row r="27" spans="3:22">
      <c r="D27" s="139"/>
      <c r="E27" s="99"/>
      <c r="F27" s="99"/>
      <c r="G27" s="99"/>
      <c r="H27" s="9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</row>
    <row r="28" spans="3:22">
      <c r="D28" s="139"/>
      <c r="E28" s="99"/>
      <c r="F28" s="99"/>
      <c r="G28" s="99"/>
      <c r="H28" s="9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</row>
    <row r="29" spans="3:22"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</row>
    <row r="30" spans="3:22">
      <c r="D30" s="136"/>
      <c r="E30" s="151"/>
      <c r="F30" s="99"/>
      <c r="G30" s="99"/>
      <c r="H30" s="9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</row>
    <row r="31" spans="3:22">
      <c r="D31" s="152"/>
      <c r="E31" s="128"/>
      <c r="F31" s="128"/>
      <c r="G31" s="128"/>
      <c r="H31" s="128"/>
    </row>
    <row r="32" spans="3:22">
      <c r="D32" s="152"/>
      <c r="E32" s="128"/>
      <c r="F32" s="128"/>
      <c r="G32" s="128"/>
      <c r="H32" s="128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19" location="'Annual performance and targets'!A1" display="Annual performance and targets" xr:uid="{E5D20C0B-C496-463C-9A36-A7E8C9693B62}"/>
    <hyperlink ref="C20" location="'Incentive rates calc'!A1" display="Incentive rates calculations" xr:uid="{15870546-0A90-4BB3-906E-574CEE21D747}"/>
    <hyperlink ref="C21" location="'Change log'!A1" display="Change log" xr:uid="{530A2456-6366-4588-B183-273E9DE0E29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J32"/>
  <sheetViews>
    <sheetView zoomScale="130" zoomScaleNormal="130" workbookViewId="0">
      <selection activeCell="I18" sqref="I18"/>
    </sheetView>
  </sheetViews>
  <sheetFormatPr defaultColWidth="9.1796875" defaultRowHeight="10"/>
  <cols>
    <col min="1" max="1" width="9.1796875" style="94"/>
    <col min="2" max="2" width="52.54296875" style="94" customWidth="1"/>
    <col min="3" max="3" width="26" style="108" customWidth="1"/>
    <col min="4" max="6" width="18.453125" style="94" customWidth="1"/>
    <col min="7" max="7" width="7" style="94" customWidth="1"/>
    <col min="8" max="8" width="9.453125" style="94" customWidth="1"/>
    <col min="9" max="9" width="15.453125" style="94" customWidth="1"/>
    <col min="10" max="10" width="9.54296875" style="94" bestFit="1" customWidth="1"/>
    <col min="11" max="12" width="12.453125" style="94" bestFit="1" customWidth="1"/>
    <col min="13" max="16384" width="9.1796875" style="94"/>
  </cols>
  <sheetData>
    <row r="1" spans="2:10" ht="12.65" customHeight="1"/>
    <row r="2" spans="2:10" ht="12.65" customHeight="1">
      <c r="B2" s="32" t="s">
        <v>86</v>
      </c>
      <c r="C2" s="32"/>
      <c r="D2" s="32"/>
      <c r="E2" s="32"/>
      <c r="F2" s="32"/>
      <c r="H2" s="109"/>
      <c r="I2" s="109"/>
    </row>
    <row r="3" spans="2:10" ht="13.5" customHeight="1">
      <c r="G3" s="118"/>
      <c r="H3" s="117" t="s">
        <v>92</v>
      </c>
      <c r="I3" s="110"/>
    </row>
    <row r="4" spans="2:10" s="37" customFormat="1" ht="12.65" customHeight="1">
      <c r="B4" s="56" t="s">
        <v>135</v>
      </c>
      <c r="C4" s="194">
        <v>0.05</v>
      </c>
      <c r="D4" s="33"/>
      <c r="G4" s="116"/>
      <c r="H4" s="113"/>
      <c r="I4" s="111" t="s">
        <v>95</v>
      </c>
    </row>
    <row r="5" spans="2:10" s="37" customFormat="1" ht="12.65" customHeight="1">
      <c r="B5" s="56" t="s">
        <v>132</v>
      </c>
      <c r="C5" s="81">
        <v>2.8</v>
      </c>
      <c r="D5" s="82" t="s">
        <v>25</v>
      </c>
      <c r="G5" s="116"/>
      <c r="H5" s="114"/>
      <c r="I5" s="111" t="s">
        <v>131</v>
      </c>
    </row>
    <row r="6" spans="2:10" s="37" customFormat="1" ht="12.65" customHeight="1">
      <c r="B6" s="56" t="s">
        <v>15</v>
      </c>
      <c r="C6" s="83" t="s">
        <v>1</v>
      </c>
      <c r="D6" s="83" t="s">
        <v>140</v>
      </c>
      <c r="E6" s="83" t="s">
        <v>141</v>
      </c>
      <c r="G6" s="116"/>
      <c r="H6" s="115"/>
      <c r="I6" s="112" t="s">
        <v>93</v>
      </c>
    </row>
    <row r="7" spans="2:10" s="37" customFormat="1" ht="12.65" customHeight="1">
      <c r="B7" s="119"/>
      <c r="C7" s="108"/>
      <c r="D7" s="94"/>
      <c r="E7" s="94"/>
      <c r="F7" s="94"/>
      <c r="G7" s="94"/>
      <c r="I7" s="94"/>
    </row>
    <row r="8" spans="2:10" ht="12.65" customHeight="1">
      <c r="B8" s="32" t="s">
        <v>16</v>
      </c>
      <c r="C8" s="32"/>
      <c r="D8" s="32"/>
      <c r="E8" s="32"/>
      <c r="F8" s="32"/>
      <c r="H8" s="37"/>
      <c r="I8" s="37"/>
    </row>
    <row r="9" spans="2:10" s="37" customFormat="1" ht="12.65" customHeight="1">
      <c r="B9" s="94"/>
      <c r="C9" s="108"/>
      <c r="D9" s="94"/>
      <c r="E9" s="94"/>
      <c r="F9" s="94"/>
      <c r="H9" s="94"/>
      <c r="I9" s="94"/>
    </row>
    <row r="10" spans="2:10" ht="12.65" customHeight="1">
      <c r="B10" s="36" t="s">
        <v>153</v>
      </c>
      <c r="C10" s="36"/>
      <c r="D10" s="36"/>
      <c r="E10" s="36"/>
      <c r="G10" s="36"/>
      <c r="H10" s="36"/>
    </row>
    <row r="11" spans="2:10" s="36" customFormat="1" ht="12.65" customHeight="1">
      <c r="B11" s="51" t="s">
        <v>0</v>
      </c>
      <c r="C11" s="51" t="str">
        <f>C6</f>
        <v>Urban</v>
      </c>
      <c r="D11" s="51" t="str">
        <f>D6</f>
        <v>Short Rural</v>
      </c>
      <c r="E11" s="51" t="str">
        <f>E6</f>
        <v>Long Rural</v>
      </c>
      <c r="F11" s="37"/>
      <c r="H11" s="37"/>
      <c r="I11" s="37"/>
    </row>
    <row r="12" spans="2:10" s="37" customFormat="1" ht="12.65" customHeight="1">
      <c r="B12" s="59" t="s">
        <v>30</v>
      </c>
      <c r="C12" s="106">
        <f>'Incentive rates calc'!D9</f>
        <v>55.304275474330076</v>
      </c>
      <c r="D12" s="106">
        <f>'Incentive rates calc'!E9</f>
        <v>87.194095062125001</v>
      </c>
      <c r="E12" s="106">
        <f>'Incentive rates calc'!F9</f>
        <v>196.23614133884999</v>
      </c>
      <c r="H12" s="107"/>
      <c r="I12" s="107"/>
    </row>
    <row r="13" spans="2:10" s="37" customFormat="1" ht="12.65" customHeight="1">
      <c r="B13" s="59" t="s">
        <v>31</v>
      </c>
      <c r="C13" s="106">
        <f>'Incentive rates calc'!D8</f>
        <v>0.69936570247499996</v>
      </c>
      <c r="D13" s="106">
        <f>'Incentive rates calc'!E8</f>
        <v>0.99215970665000008</v>
      </c>
      <c r="E13" s="106">
        <f>'Incentive rates calc'!F8</f>
        <v>2.1443767824750002</v>
      </c>
      <c r="G13" s="107"/>
      <c r="H13" s="107"/>
      <c r="I13" s="107"/>
      <c r="J13" s="107"/>
    </row>
    <row r="14" spans="2:10" s="37" customFormat="1" ht="12.65" customHeight="1">
      <c r="B14" s="59" t="s">
        <v>91</v>
      </c>
      <c r="C14" s="106">
        <f>'Incentive rates calc'!D10</f>
        <v>1.084493303725</v>
      </c>
      <c r="D14" s="106">
        <f>'Incentive rates calc'!E10</f>
        <v>1.682262234075</v>
      </c>
      <c r="E14" s="106">
        <f>'Incentive rates calc'!F10</f>
        <v>2.8578499176499998</v>
      </c>
      <c r="G14" s="107"/>
      <c r="H14" s="107"/>
      <c r="I14" s="107"/>
    </row>
    <row r="15" spans="2:10" s="37" customFormat="1" ht="12.65" customHeight="1">
      <c r="B15" s="94"/>
      <c r="C15" s="94"/>
      <c r="D15" s="94"/>
      <c r="E15" s="94"/>
      <c r="F15" s="94"/>
      <c r="G15" s="107"/>
      <c r="H15" s="94"/>
      <c r="I15" s="94"/>
    </row>
    <row r="16" spans="2:10" ht="12.65" customHeight="1">
      <c r="B16" s="36" t="s">
        <v>87</v>
      </c>
      <c r="C16" s="36"/>
      <c r="D16" s="36"/>
      <c r="E16" s="36"/>
      <c r="F16" s="36"/>
      <c r="H16" s="36"/>
      <c r="I16" s="36"/>
    </row>
    <row r="17" spans="2:9" s="36" customFormat="1" ht="12.65" customHeight="1">
      <c r="B17" s="51" t="s">
        <v>0</v>
      </c>
      <c r="C17" s="51" t="str">
        <f>C11</f>
        <v>Urban</v>
      </c>
      <c r="D17" s="51" t="str">
        <f t="shared" ref="D17:E17" si="0">D11</f>
        <v>Short Rural</v>
      </c>
      <c r="E17" s="51" t="str">
        <f t="shared" si="0"/>
        <v>Long Rural</v>
      </c>
      <c r="F17" s="37"/>
      <c r="H17" s="37"/>
      <c r="I17" s="37"/>
    </row>
    <row r="18" spans="2:9" s="37" customFormat="1" ht="12.65" customHeight="1">
      <c r="B18" s="58" t="s">
        <v>63</v>
      </c>
      <c r="C18" s="169">
        <f>'Incentive rates calc'!$D$13</f>
        <v>2.3510888571357434E-2</v>
      </c>
      <c r="D18" s="169">
        <f>'Incentive rates calc'!$E$13</f>
        <v>2.1557708333688214E-2</v>
      </c>
      <c r="E18" s="169">
        <f>'Incentive rates calc'!F13</f>
        <v>1.4396510314863343E-2</v>
      </c>
      <c r="F18" s="207"/>
    </row>
    <row r="19" spans="2:9" s="37" customFormat="1" ht="12.65" customHeight="1">
      <c r="B19" s="58" t="s">
        <v>64</v>
      </c>
      <c r="C19" s="169">
        <f>'Incentive rates calc'!$D$14</f>
        <v>1.239458987475021</v>
      </c>
      <c r="D19" s="169">
        <f>'Incentive rates calc'!$E$14</f>
        <v>1.2630391775103398</v>
      </c>
      <c r="E19" s="169">
        <f>'Incentive rates calc'!F14</f>
        <v>0.8783020024037127</v>
      </c>
      <c r="F19" s="207"/>
    </row>
    <row r="20" spans="2:9" s="37" customFormat="1" ht="12.65" customHeight="1">
      <c r="B20" s="58" t="s">
        <v>94</v>
      </c>
      <c r="C20" s="169">
        <f>'Incentive rates calc'!D15</f>
        <v>9.9156718998001686E-2</v>
      </c>
      <c r="D20" s="169">
        <f>'Incentive rates calc'!E15</f>
        <v>0.10104313420082718</v>
      </c>
      <c r="E20" s="169">
        <f>'Incentive rates calc'!F15</f>
        <v>7.0264160192297018E-2</v>
      </c>
      <c r="F20" s="207"/>
    </row>
    <row r="21" spans="2:9" s="37" customFormat="1" ht="12.65" customHeight="1">
      <c r="B21" s="60"/>
      <c r="C21" s="61"/>
      <c r="D21" s="61"/>
    </row>
    <row r="22" spans="2:9" s="37" customFormat="1" ht="12.65" customHeight="1">
      <c r="B22" s="36" t="s">
        <v>145</v>
      </c>
      <c r="C22" s="36"/>
      <c r="D22" s="36"/>
    </row>
    <row r="23" spans="2:9" s="37" customFormat="1" ht="12.65" customHeight="1">
      <c r="B23" s="51"/>
      <c r="C23" s="51" t="s">
        <v>60</v>
      </c>
      <c r="D23" s="51" t="s">
        <v>61</v>
      </c>
    </row>
    <row r="24" spans="2:9" s="37" customFormat="1" ht="33.75" customHeight="1">
      <c r="B24" s="62" t="s">
        <v>62</v>
      </c>
      <c r="C24" s="210">
        <v>-4.0000000000000002E-4</v>
      </c>
      <c r="D24" s="215">
        <f>'Annual performance and targets'!I33</f>
        <v>0.87296018454501589</v>
      </c>
    </row>
    <row r="25" spans="2:9" s="37" customFormat="1" ht="31.5" customHeight="1"/>
    <row r="26" spans="2:9" s="37" customFormat="1" ht="12.65" customHeight="1">
      <c r="B26" s="36" t="s">
        <v>29</v>
      </c>
      <c r="C26" s="36"/>
      <c r="D26" s="36"/>
      <c r="E26" s="36"/>
      <c r="G26" s="36"/>
      <c r="H26" s="36"/>
    </row>
    <row r="27" spans="2:9" s="36" customFormat="1" ht="12.65" customHeight="1">
      <c r="B27" s="51"/>
      <c r="C27" s="51" t="str">
        <f>C17</f>
        <v>Urban</v>
      </c>
      <c r="D27" s="51" t="str">
        <f>D17</f>
        <v>Short Rural</v>
      </c>
      <c r="E27" s="51" t="str">
        <f>E17</f>
        <v>Long Rural</v>
      </c>
      <c r="G27" s="37"/>
      <c r="H27" s="37"/>
    </row>
    <row r="28" spans="2:9" s="37" customFormat="1" ht="12.65" customHeight="1">
      <c r="B28" s="62" t="s">
        <v>53</v>
      </c>
      <c r="C28" s="80">
        <f>'STPIS inputs'!D11*(1+'Incentive rates calc'!D12)</f>
        <v>35857.167505391808</v>
      </c>
      <c r="D28" s="80">
        <f>'STPIS inputs'!E11*(1+'Incentive rates calc'!E12)</f>
        <v>35857.167505391808</v>
      </c>
      <c r="E28" s="80">
        <f>'STPIS inputs'!F11*(1+'Incentive rates calc'!F12)</f>
        <v>35857.167505391808</v>
      </c>
    </row>
    <row r="29" spans="2:9" s="37" customFormat="1" ht="12.65" customHeight="1">
      <c r="B29" s="94"/>
      <c r="C29" s="94"/>
      <c r="D29" s="94"/>
      <c r="E29" s="94"/>
      <c r="G29" s="94"/>
      <c r="H29" s="94"/>
    </row>
    <row r="30" spans="2:9" ht="12.65" customHeight="1">
      <c r="B30" s="120"/>
      <c r="C30" s="94"/>
    </row>
    <row r="31" spans="2:9">
      <c r="C31" s="121"/>
      <c r="D31" s="121"/>
    </row>
    <row r="32" spans="2:9">
      <c r="D32" s="1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0"/>
  <sheetViews>
    <sheetView zoomScale="115" zoomScaleNormal="115" workbookViewId="0">
      <selection activeCell="I6" sqref="I6"/>
    </sheetView>
  </sheetViews>
  <sheetFormatPr defaultColWidth="9.1796875" defaultRowHeight="10"/>
  <cols>
    <col min="1" max="1" width="5.453125" style="94" customWidth="1"/>
    <col min="2" max="2" width="61.1796875" style="94" bestFit="1" customWidth="1"/>
    <col min="3" max="3" width="21.7265625" style="94" customWidth="1"/>
    <col min="4" max="9" width="20.81640625" style="94" customWidth="1"/>
    <col min="10" max="16384" width="9.1796875" style="94"/>
  </cols>
  <sheetData>
    <row r="1" spans="2:11" ht="12.65" customHeight="1"/>
    <row r="2" spans="2:11" s="37" customFormat="1" ht="12.65" customHeight="1">
      <c r="B2" s="32" t="s">
        <v>22</v>
      </c>
      <c r="C2" s="32"/>
      <c r="D2" s="185"/>
      <c r="E2" s="185"/>
      <c r="F2" s="185"/>
      <c r="G2" s="185"/>
      <c r="H2" s="185"/>
      <c r="I2" s="185"/>
    </row>
    <row r="3" spans="2:11" s="37" customFormat="1" ht="12.65" customHeight="1">
      <c r="B3" s="186"/>
      <c r="C3" s="186"/>
      <c r="D3" s="65"/>
      <c r="E3" s="65"/>
      <c r="F3" s="65"/>
      <c r="G3" s="65"/>
      <c r="H3" s="65"/>
      <c r="I3" s="65"/>
    </row>
    <row r="4" spans="2:11" s="37" customFormat="1" ht="12.65" customHeight="1">
      <c r="C4" s="51" t="s">
        <v>82</v>
      </c>
      <c r="D4" s="51" t="s">
        <v>51</v>
      </c>
      <c r="E4" s="51" t="s">
        <v>26</v>
      </c>
      <c r="F4" s="51" t="s">
        <v>27</v>
      </c>
      <c r="G4" s="51" t="s">
        <v>28</v>
      </c>
      <c r="H4" s="51" t="s">
        <v>58</v>
      </c>
      <c r="I4" s="51" t="s">
        <v>96</v>
      </c>
    </row>
    <row r="5" spans="2:11" s="37" customFormat="1" ht="12.65" customHeight="1">
      <c r="B5" s="34" t="s">
        <v>151</v>
      </c>
      <c r="C5" s="57" t="s">
        <v>133</v>
      </c>
      <c r="D5" s="162">
        <f>AVERAGE(E5:I5)</f>
        <v>917124707.58155513</v>
      </c>
      <c r="E5" s="97">
        <f>863.723156087012*10^6</f>
        <v>863723156.08701193</v>
      </c>
      <c r="F5" s="97">
        <f>889.634850769623*10^6</f>
        <v>889634850.76962292</v>
      </c>
      <c r="G5" s="97">
        <f>916.323896292711*10^6</f>
        <v>916323896.29271102</v>
      </c>
      <c r="H5" s="97">
        <f>943.813613181493*10^6</f>
        <v>943813613.18149304</v>
      </c>
      <c r="I5" s="97">
        <f>972.128021576937*10^6</f>
        <v>972128021.57693708</v>
      </c>
      <c r="K5" s="161"/>
    </row>
    <row r="6" spans="2:11" s="37" customFormat="1" ht="12.65" customHeight="1">
      <c r="B6" s="35"/>
      <c r="C6" s="35"/>
      <c r="D6" s="36"/>
      <c r="I6" s="38"/>
    </row>
    <row r="7" spans="2:11" s="37" customFormat="1" ht="12.65" customHeight="1">
      <c r="B7" s="39"/>
      <c r="C7" s="190" t="s">
        <v>82</v>
      </c>
      <c r="D7" s="190" t="str">
        <f>'Output | Decision tables'!C6</f>
        <v>Urban</v>
      </c>
      <c r="E7" s="190" t="str">
        <f>'Output | Decision tables'!D6</f>
        <v>Short Rural</v>
      </c>
      <c r="F7" s="190" t="str">
        <f>'Output | Decision tables'!E6</f>
        <v>Long Rural</v>
      </c>
    </row>
    <row r="8" spans="2:11" s="37" customFormat="1" ht="12.65" customHeight="1">
      <c r="B8" s="34" t="str">
        <f>'Incentive rates calc'!B6</f>
        <v>Average annual energy consumption by network type (MWh)</v>
      </c>
      <c r="C8" s="57" t="s">
        <v>103</v>
      </c>
      <c r="D8" s="163">
        <f>'Cap adjustment'!C46</f>
        <v>5271362.9901992371</v>
      </c>
      <c r="E8" s="163">
        <f>'Cap adjustment'!C47</f>
        <v>4833441.5570390588</v>
      </c>
      <c r="F8" s="163">
        <f>'Cap adjustment'!C48</f>
        <v>3227833.4113771273</v>
      </c>
    </row>
    <row r="9" spans="2:11" s="37" customFormat="1" ht="12.65" customHeight="1">
      <c r="B9" s="189"/>
      <c r="C9" s="191"/>
      <c r="D9" s="192"/>
      <c r="E9" s="192"/>
      <c r="F9" s="192"/>
    </row>
    <row r="10" spans="2:11" s="37" customFormat="1" ht="12.65" customHeight="1">
      <c r="B10" s="155"/>
      <c r="C10" s="51" t="s">
        <v>82</v>
      </c>
      <c r="D10" s="190" t="str">
        <f>D7</f>
        <v>Urban</v>
      </c>
      <c r="E10" s="190" t="str">
        <f>E7</f>
        <v>Short Rural</v>
      </c>
      <c r="F10" s="190" t="str">
        <f>F7</f>
        <v>Long Rural</v>
      </c>
      <c r="G10" s="156"/>
    </row>
    <row r="11" spans="2:11" s="37" customFormat="1" ht="40.5" customHeight="1">
      <c r="B11" s="34" t="s">
        <v>48</v>
      </c>
      <c r="C11" s="193" t="s">
        <v>102</v>
      </c>
      <c r="D11" s="85">
        <v>35780</v>
      </c>
      <c r="E11" s="85">
        <v>35780</v>
      </c>
      <c r="F11" s="85">
        <v>35780</v>
      </c>
      <c r="G11" s="209" t="s">
        <v>142</v>
      </c>
      <c r="H11" s="42"/>
      <c r="I11" s="42"/>
      <c r="J11" s="42"/>
    </row>
    <row r="12" spans="2:11" s="37" customFormat="1" ht="12.65" customHeight="1"/>
    <row r="13" spans="2:11" s="37" customFormat="1" ht="12.65" customHeight="1">
      <c r="B13" s="34" t="s">
        <v>5</v>
      </c>
      <c r="C13" s="34"/>
      <c r="D13" s="79">
        <f>D17/D16-1</f>
        <v>2.1567217828901697E-3</v>
      </c>
    </row>
    <row r="14" spans="2:11" s="37" customFormat="1" ht="12.65" customHeight="1">
      <c r="D14" s="122"/>
      <c r="E14" s="157"/>
      <c r="F14" s="157"/>
      <c r="G14" s="157"/>
      <c r="H14" s="157"/>
    </row>
    <row r="15" spans="2:11" s="37" customFormat="1" ht="12.65" customHeight="1">
      <c r="B15" s="35" t="s">
        <v>23</v>
      </c>
      <c r="C15" s="35"/>
      <c r="D15" s="122"/>
    </row>
    <row r="16" spans="2:11" s="37" customFormat="1" ht="12.65" customHeight="1">
      <c r="B16" s="41">
        <v>45536</v>
      </c>
      <c r="C16" s="41"/>
      <c r="D16" s="83">
        <v>139.1</v>
      </c>
      <c r="E16" s="91" t="s">
        <v>101</v>
      </c>
    </row>
    <row r="17" spans="2:9" s="37" customFormat="1" ht="12.65" customHeight="1">
      <c r="B17" s="41">
        <v>45627</v>
      </c>
      <c r="C17" s="204"/>
      <c r="D17" s="83">
        <v>139.4</v>
      </c>
      <c r="E17" s="91" t="s">
        <v>152</v>
      </c>
    </row>
    <row r="18" spans="2:9" ht="12.65" customHeight="1"/>
    <row r="19" spans="2:9">
      <c r="E19" s="158"/>
      <c r="F19" s="159"/>
      <c r="G19" s="159"/>
      <c r="H19" s="159"/>
      <c r="I19" s="159"/>
    </row>
    <row r="20" spans="2:9">
      <c r="E20" s="160"/>
      <c r="F20" s="160"/>
      <c r="G20" s="160"/>
      <c r="H20" s="160"/>
      <c r="I20" s="160"/>
    </row>
  </sheetData>
  <hyperlinks>
    <hyperlink ref="E16" r:id="rId1" display="https://www.aer.gov.au/system/files/2024-12/2024-12-18 AER - Final report - 2024 VCR review_0.pdf" xr:uid="{BE21472E-ED81-4941-B951-6E5103C05011}"/>
    <hyperlink ref="C11" r:id="rId2" display="AER, Value of customer reliability review, final report, December 2024, p. 5 (Table 2 Business VCR values) and p. 62 (Table 20 NEM-wide and regional VCR)." xr:uid="{745CD5D6-6CFE-4211-9A51-C19CACF291EE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M52"/>
  <sheetViews>
    <sheetView zoomScaleNormal="100" workbookViewId="0">
      <selection activeCell="I23" sqref="I23"/>
    </sheetView>
  </sheetViews>
  <sheetFormatPr defaultColWidth="9.1796875" defaultRowHeight="10"/>
  <cols>
    <col min="1" max="1" width="57.453125" style="94" customWidth="1"/>
    <col min="2" max="2" width="13" style="94" customWidth="1"/>
    <col min="3" max="4" width="11.1796875" style="94" bestFit="1" customWidth="1"/>
    <col min="5" max="5" width="10.54296875" style="94" bestFit="1" customWidth="1"/>
    <col min="6" max="6" width="12.26953125" style="94" customWidth="1"/>
    <col min="7" max="7" width="13.453125" style="94" customWidth="1"/>
    <col min="8" max="16384" width="9.1796875" style="94"/>
  </cols>
  <sheetData>
    <row r="2" spans="1:13" ht="10.5">
      <c r="A2" s="69" t="s">
        <v>112</v>
      </c>
      <c r="M2" s="94" t="s">
        <v>149</v>
      </c>
    </row>
    <row r="3" spans="1:13" ht="10.5">
      <c r="A3" s="68" t="s">
        <v>70</v>
      </c>
      <c r="B3" s="180" t="s">
        <v>82</v>
      </c>
      <c r="C3" s="180" t="s">
        <v>8</v>
      </c>
      <c r="D3" s="183" t="s">
        <v>9</v>
      </c>
      <c r="E3" s="183" t="s">
        <v>10</v>
      </c>
      <c r="F3" s="180" t="s">
        <v>59</v>
      </c>
      <c r="G3" s="180" t="s">
        <v>108</v>
      </c>
    </row>
    <row r="4" spans="1:13" ht="11.25" customHeight="1">
      <c r="A4" s="187" t="s">
        <v>71</v>
      </c>
      <c r="B4" s="216" t="s">
        <v>147</v>
      </c>
      <c r="C4" s="74"/>
      <c r="D4" s="74"/>
      <c r="E4" s="73"/>
      <c r="F4" s="73"/>
      <c r="G4" s="74"/>
    </row>
    <row r="5" spans="1:13">
      <c r="A5" s="187" t="s">
        <v>72</v>
      </c>
      <c r="B5" s="217"/>
      <c r="C5" s="74">
        <v>49.447921860000001</v>
      </c>
      <c r="D5" s="74">
        <v>47.073122669999997</v>
      </c>
      <c r="E5" s="73">
        <v>68.696457591420284</v>
      </c>
      <c r="F5" s="73">
        <v>55.999599775900002</v>
      </c>
      <c r="G5" s="74"/>
    </row>
    <row r="6" spans="1:13">
      <c r="A6" s="187" t="s">
        <v>73</v>
      </c>
      <c r="B6" s="217"/>
      <c r="C6" s="74">
        <v>97.233287410000003</v>
      </c>
      <c r="D6" s="74">
        <v>85.756576730000006</v>
      </c>
      <c r="E6" s="73">
        <v>91.847169511999994</v>
      </c>
      <c r="F6" s="73">
        <v>73.939346596500002</v>
      </c>
      <c r="G6" s="74"/>
    </row>
    <row r="7" spans="1:13">
      <c r="A7" s="187" t="s">
        <v>74</v>
      </c>
      <c r="B7" s="217"/>
      <c r="C7" s="70">
        <v>191.25000646999999</v>
      </c>
      <c r="D7" s="70">
        <v>197.48754559</v>
      </c>
      <c r="E7" s="73">
        <v>220.99249785340001</v>
      </c>
      <c r="F7" s="73">
        <v>175.21451544199999</v>
      </c>
      <c r="G7" s="70"/>
    </row>
    <row r="8" spans="1:13">
      <c r="A8" s="187"/>
      <c r="B8" s="217"/>
      <c r="C8" s="70"/>
      <c r="D8" s="70"/>
      <c r="E8" s="73"/>
      <c r="F8" s="73"/>
      <c r="G8" s="70"/>
    </row>
    <row r="9" spans="1:13">
      <c r="A9" s="187" t="s">
        <v>75</v>
      </c>
      <c r="B9" s="217"/>
      <c r="C9" s="73"/>
      <c r="D9" s="73"/>
      <c r="E9" s="73"/>
      <c r="F9" s="73"/>
      <c r="G9" s="73"/>
    </row>
    <row r="10" spans="1:13">
      <c r="A10" s="187" t="s">
        <v>76</v>
      </c>
      <c r="B10" s="217"/>
      <c r="C10" s="73">
        <v>0.68003013000000001</v>
      </c>
      <c r="D10" s="73">
        <v>0.59736634</v>
      </c>
      <c r="E10" s="73">
        <v>0.82879923030000002</v>
      </c>
      <c r="F10" s="73">
        <v>0.69126710960000004</v>
      </c>
      <c r="G10" s="73"/>
    </row>
    <row r="11" spans="1:13">
      <c r="A11" s="187" t="s">
        <v>77</v>
      </c>
      <c r="B11" s="217"/>
      <c r="C11" s="73">
        <v>1.2108124899999999</v>
      </c>
      <c r="D11" s="73">
        <v>0.96259782999999999</v>
      </c>
      <c r="E11" s="73">
        <v>0.99731520760000003</v>
      </c>
      <c r="F11" s="73">
        <v>0.79791329899999996</v>
      </c>
      <c r="G11" s="73"/>
    </row>
    <row r="12" spans="1:13">
      <c r="A12" s="187" t="s">
        <v>78</v>
      </c>
      <c r="B12" s="217"/>
      <c r="C12" s="71">
        <v>2.2664301</v>
      </c>
      <c r="D12" s="71">
        <v>2.4597972100000001</v>
      </c>
      <c r="E12" s="73">
        <v>2.0387653110000001</v>
      </c>
      <c r="F12" s="73">
        <v>1.8125145089000001</v>
      </c>
      <c r="G12" s="71"/>
    </row>
    <row r="13" spans="1:13">
      <c r="A13" s="187"/>
      <c r="B13" s="217"/>
      <c r="C13" s="74"/>
      <c r="D13" s="74"/>
      <c r="E13" s="73"/>
      <c r="F13" s="73"/>
      <c r="G13" s="74"/>
    </row>
    <row r="14" spans="1:13">
      <c r="A14" s="187" t="s">
        <v>104</v>
      </c>
      <c r="B14" s="217"/>
      <c r="C14" s="73"/>
      <c r="D14" s="74"/>
      <c r="E14" s="73"/>
      <c r="F14" s="73"/>
      <c r="G14" s="74"/>
    </row>
    <row r="15" spans="1:13">
      <c r="A15" s="187" t="s">
        <v>105</v>
      </c>
      <c r="B15" s="217"/>
      <c r="C15" s="73">
        <v>1.0473249899999999</v>
      </c>
      <c r="D15" s="74">
        <v>0.98404955000000005</v>
      </c>
      <c r="E15" s="73">
        <v>1.0555063390999999</v>
      </c>
      <c r="F15" s="73">
        <v>1.2510923357999999</v>
      </c>
      <c r="G15" s="74"/>
    </row>
    <row r="16" spans="1:13">
      <c r="A16" s="187" t="s">
        <v>106</v>
      </c>
      <c r="B16" s="217"/>
      <c r="C16" s="70">
        <v>1.80247008</v>
      </c>
      <c r="D16" s="70">
        <v>1.7846813100000001</v>
      </c>
      <c r="E16" s="73">
        <v>1.6418328260999999</v>
      </c>
      <c r="F16" s="73">
        <v>1.5000647201999999</v>
      </c>
      <c r="G16" s="70"/>
    </row>
    <row r="17" spans="1:11">
      <c r="A17" s="187" t="s">
        <v>107</v>
      </c>
      <c r="B17" s="217"/>
      <c r="C17" s="70">
        <v>3.1707489099999999</v>
      </c>
      <c r="D17" s="70">
        <v>2.9043760500000002</v>
      </c>
      <c r="E17" s="73">
        <v>2.9081856038999998</v>
      </c>
      <c r="F17" s="73">
        <v>2.4480891066999999</v>
      </c>
      <c r="G17" s="70"/>
    </row>
    <row r="18" spans="1:11">
      <c r="A18" s="187"/>
      <c r="B18" s="213"/>
      <c r="C18" s="70"/>
      <c r="D18" s="70"/>
      <c r="E18" s="73"/>
      <c r="F18" s="73"/>
      <c r="G18" s="70"/>
    </row>
    <row r="19" spans="1:11" ht="30">
      <c r="A19" s="187" t="s">
        <v>146</v>
      </c>
      <c r="B19" s="211" t="s">
        <v>148</v>
      </c>
      <c r="C19" s="212">
        <v>0.8373483383154563</v>
      </c>
      <c r="D19" s="212">
        <v>0.88087101513875821</v>
      </c>
      <c r="E19" s="73">
        <v>0.8960715028060694</v>
      </c>
      <c r="F19" s="73">
        <v>0.87754988191977978</v>
      </c>
      <c r="G19" s="70"/>
    </row>
    <row r="20" spans="1:11">
      <c r="C20" s="95"/>
    </row>
    <row r="23" spans="1:11" ht="10.5">
      <c r="A23" s="69" t="s">
        <v>111</v>
      </c>
    </row>
    <row r="24" spans="1:11" ht="10.5">
      <c r="A24" s="68" t="s">
        <v>134</v>
      </c>
      <c r="B24" s="180" t="s">
        <v>82</v>
      </c>
      <c r="C24" s="180" t="s">
        <v>150</v>
      </c>
      <c r="D24" s="183" t="s">
        <v>9</v>
      </c>
      <c r="E24" s="183" t="s">
        <v>10</v>
      </c>
      <c r="F24" s="180" t="s">
        <v>59</v>
      </c>
      <c r="G24" s="180" t="s">
        <v>108</v>
      </c>
    </row>
    <row r="25" spans="1:11" ht="24.75" customHeight="1">
      <c r="A25" s="188" t="s">
        <v>115</v>
      </c>
      <c r="B25" s="98" t="s">
        <v>118</v>
      </c>
      <c r="C25" s="75">
        <v>2.7251248805497084E-2</v>
      </c>
      <c r="D25" s="75">
        <v>2.5499999999999998E-2</v>
      </c>
      <c r="E25" s="75">
        <v>1.4323266111668308E-2</v>
      </c>
      <c r="F25" s="75">
        <v>4.38264685041765E-2</v>
      </c>
      <c r="G25" s="75"/>
    </row>
    <row r="26" spans="1:11">
      <c r="A26" s="178" t="s">
        <v>116</v>
      </c>
      <c r="B26" s="75"/>
      <c r="C26" s="195">
        <v>4.4999999999999998E-2</v>
      </c>
      <c r="D26" s="195">
        <v>4.4999999999999998E-2</v>
      </c>
      <c r="E26" s="195">
        <v>4.4999999999999998E-2</v>
      </c>
      <c r="F26" s="195">
        <v>4.4999999999999998E-2</v>
      </c>
      <c r="G26" s="75"/>
    </row>
    <row r="27" spans="1:11" ht="10.5">
      <c r="A27" s="178" t="s">
        <v>79</v>
      </c>
      <c r="B27" s="75"/>
      <c r="C27" s="86">
        <f>IF(C25&gt;C26,C25-C26,0)</f>
        <v>0</v>
      </c>
      <c r="D27" s="86">
        <f t="shared" ref="D27:F27" si="0">IF(D25&gt;D26,D25-D26,0)</f>
        <v>0</v>
      </c>
      <c r="E27" s="86">
        <f>IF(E25&gt;E26,E25-E26,0)</f>
        <v>0</v>
      </c>
      <c r="F27" s="86">
        <f t="shared" si="0"/>
        <v>0</v>
      </c>
      <c r="G27" s="87"/>
      <c r="H27" s="182">
        <f>SUM(C27:G27)</f>
        <v>0</v>
      </c>
    </row>
    <row r="28" spans="1:11" ht="10.5">
      <c r="A28" s="178"/>
      <c r="B28" s="96"/>
      <c r="C28" s="96"/>
      <c r="D28" s="96"/>
      <c r="E28" s="96"/>
      <c r="F28" s="96"/>
      <c r="G28" s="179"/>
    </row>
    <row r="29" spans="1:11" ht="10.5">
      <c r="B29" s="180" t="s">
        <v>82</v>
      </c>
      <c r="F29" s="218" t="s">
        <v>117</v>
      </c>
      <c r="G29" s="218"/>
      <c r="H29" s="218"/>
      <c r="I29" s="218"/>
      <c r="J29" s="218"/>
      <c r="K29" s="218"/>
    </row>
    <row r="30" spans="1:11">
      <c r="A30" s="99" t="s">
        <v>122</v>
      </c>
      <c r="B30" s="98" t="s">
        <v>123</v>
      </c>
      <c r="C30" s="72"/>
      <c r="D30" s="164">
        <f>H27</f>
        <v>0</v>
      </c>
      <c r="E30" s="72"/>
      <c r="F30" s="55" t="s">
        <v>97</v>
      </c>
      <c r="G30" s="55"/>
      <c r="H30" s="95" t="s">
        <v>98</v>
      </c>
    </row>
    <row r="31" spans="1:11" ht="19.5" customHeight="1">
      <c r="A31" s="99" t="s">
        <v>125</v>
      </c>
      <c r="B31" s="219" t="s">
        <v>124</v>
      </c>
      <c r="C31" s="72"/>
      <c r="D31" s="88">
        <f>D30*0.6</f>
        <v>0</v>
      </c>
      <c r="E31" s="72"/>
    </row>
    <row r="32" spans="1:11" ht="19.5" customHeight="1">
      <c r="A32" s="99" t="s">
        <v>126</v>
      </c>
      <c r="B32" s="220"/>
      <c r="C32" s="72"/>
      <c r="D32" s="88">
        <f>D30*0.4</f>
        <v>0</v>
      </c>
      <c r="E32" s="72"/>
    </row>
    <row r="33" spans="1:8">
      <c r="A33" s="99"/>
      <c r="B33" s="100"/>
      <c r="C33" s="101"/>
      <c r="D33" s="102"/>
      <c r="E33" s="101"/>
    </row>
    <row r="34" spans="1:8" ht="10.5">
      <c r="A34" s="68" t="s">
        <v>109</v>
      </c>
      <c r="B34" s="180" t="s">
        <v>82</v>
      </c>
      <c r="C34" s="183" t="str">
        <f>'Output | Decision tables'!C6</f>
        <v>Urban</v>
      </c>
      <c r="D34" s="183" t="str">
        <f>'Output | Decision tables'!D6</f>
        <v>Short Rural</v>
      </c>
      <c r="E34" s="180" t="str">
        <f>'Output | Decision tables'!E6</f>
        <v>Long Rural</v>
      </c>
    </row>
    <row r="35" spans="1:8" ht="20">
      <c r="A35" s="99" t="s">
        <v>80</v>
      </c>
      <c r="B35" s="98" t="s">
        <v>121</v>
      </c>
      <c r="C35" s="78">
        <v>3.0800000000000001E-2</v>
      </c>
      <c r="D35" s="78">
        <v>3.27E-2</v>
      </c>
      <c r="E35" s="78">
        <v>2.0199999999999999E-2</v>
      </c>
      <c r="F35" s="95"/>
    </row>
    <row r="36" spans="1:8">
      <c r="A36" s="99" t="s">
        <v>119</v>
      </c>
      <c r="B36" s="75"/>
      <c r="C36" s="89">
        <f>$D31*C$35/(SUM($C$35:$E$35))</f>
        <v>0</v>
      </c>
      <c r="D36" s="88">
        <f t="shared" ref="D36:E36" si="1">$D31*D$35/(SUM($C$35:$E$35))</f>
        <v>0</v>
      </c>
      <c r="E36" s="89">
        <f t="shared" si="1"/>
        <v>0</v>
      </c>
    </row>
    <row r="37" spans="1:8">
      <c r="A37" s="99" t="s">
        <v>99</v>
      </c>
      <c r="B37" s="75"/>
      <c r="C37" s="90">
        <f>(C36/C35*100)/4</f>
        <v>0</v>
      </c>
      <c r="D37" s="90">
        <f>(D36/D35*100)/4</f>
        <v>0</v>
      </c>
      <c r="E37" s="90">
        <f>(E36/E35*100)/4</f>
        <v>0</v>
      </c>
      <c r="F37" s="95" t="s">
        <v>97</v>
      </c>
      <c r="G37" s="95"/>
      <c r="H37" s="95" t="s">
        <v>98</v>
      </c>
    </row>
    <row r="38" spans="1:8">
      <c r="A38" s="99"/>
      <c r="B38" s="96"/>
      <c r="C38" s="103"/>
      <c r="D38" s="103"/>
      <c r="E38" s="103"/>
      <c r="F38" s="95"/>
      <c r="G38" s="95"/>
      <c r="H38" s="95"/>
    </row>
    <row r="39" spans="1:8" ht="10.5">
      <c r="A39" s="68" t="s">
        <v>110</v>
      </c>
      <c r="B39" s="180" t="s">
        <v>82</v>
      </c>
      <c r="C39" s="183" t="str">
        <f>'Output | Decision tables'!C6</f>
        <v>Urban</v>
      </c>
      <c r="D39" s="183" t="str">
        <f>'Output | Decision tables'!D6</f>
        <v>Short Rural</v>
      </c>
      <c r="E39" s="180" t="str">
        <f>E34</f>
        <v>Long Rural</v>
      </c>
      <c r="F39" s="95"/>
      <c r="G39" s="95"/>
      <c r="H39" s="95"/>
    </row>
    <row r="40" spans="1:8" ht="20">
      <c r="A40" s="99" t="s">
        <v>81</v>
      </c>
      <c r="B40" s="98" t="s">
        <v>121</v>
      </c>
      <c r="C40" s="78">
        <v>1.7242</v>
      </c>
      <c r="D40" s="78">
        <v>1.9771000000000001</v>
      </c>
      <c r="E40" s="78">
        <v>1.6048</v>
      </c>
      <c r="F40" s="95"/>
    </row>
    <row r="41" spans="1:8">
      <c r="A41" s="99" t="s">
        <v>120</v>
      </c>
      <c r="B41" s="70"/>
      <c r="C41" s="89">
        <f>$D32*C$40/SUM($C$40:$E$40)</f>
        <v>0</v>
      </c>
      <c r="D41" s="88">
        <f t="shared" ref="D41:E41" si="2">$D32*D$40/SUM($C$40:$E$40)</f>
        <v>0</v>
      </c>
      <c r="E41" s="89">
        <f t="shared" si="2"/>
        <v>0</v>
      </c>
    </row>
    <row r="42" spans="1:8">
      <c r="A42" s="99" t="s">
        <v>100</v>
      </c>
      <c r="B42" s="70"/>
      <c r="C42" s="90">
        <f>(C41/C40*100)/4</f>
        <v>0</v>
      </c>
      <c r="D42" s="90">
        <f t="shared" ref="D42:E42" si="3">(D41/D40*100)/4</f>
        <v>0</v>
      </c>
      <c r="E42" s="90">
        <f t="shared" si="3"/>
        <v>0</v>
      </c>
      <c r="F42" s="95" t="s">
        <v>97</v>
      </c>
      <c r="G42" s="95"/>
      <c r="H42" s="95" t="s">
        <v>98</v>
      </c>
    </row>
    <row r="44" spans="1:8" ht="10.5">
      <c r="A44" s="69" t="s">
        <v>113</v>
      </c>
    </row>
    <row r="45" spans="1:8" ht="21" customHeight="1">
      <c r="A45" s="68" t="s">
        <v>114</v>
      </c>
      <c r="B45" s="180" t="s">
        <v>82</v>
      </c>
      <c r="C45" s="184" t="s">
        <v>84</v>
      </c>
    </row>
    <row r="46" spans="1:8">
      <c r="A46" s="77" t="str">
        <f>'Output | Decision tables'!C6</f>
        <v>Urban</v>
      </c>
      <c r="B46" s="221" t="s">
        <v>138</v>
      </c>
      <c r="C46" s="93">
        <v>5271362.9901992371</v>
      </c>
    </row>
    <row r="47" spans="1:8">
      <c r="A47" s="77" t="str">
        <f>'Output | Decision tables'!D6</f>
        <v>Short Rural</v>
      </c>
      <c r="B47" s="222"/>
      <c r="C47" s="93">
        <v>4833441.5570390588</v>
      </c>
    </row>
    <row r="48" spans="1:8">
      <c r="A48" s="92" t="str">
        <f>'Output | Decision tables'!E6</f>
        <v>Long Rural</v>
      </c>
      <c r="B48" s="223"/>
      <c r="C48" s="93">
        <v>3227833.4113771273</v>
      </c>
    </row>
    <row r="51" spans="8:8" ht="10.5">
      <c r="H51" s="119"/>
    </row>
    <row r="52" spans="8:8">
      <c r="H52" s="181"/>
    </row>
  </sheetData>
  <mergeCells count="4">
    <mergeCell ref="B4:B17"/>
    <mergeCell ref="F29:K29"/>
    <mergeCell ref="B31:B32"/>
    <mergeCell ref="B46:B48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39"/>
  <sheetViews>
    <sheetView workbookViewId="0">
      <selection activeCell="U30" sqref="U30:X32"/>
    </sheetView>
  </sheetViews>
  <sheetFormatPr defaultColWidth="9.1796875" defaultRowHeight="10"/>
  <cols>
    <col min="1" max="1" width="5.453125" style="43" customWidth="1"/>
    <col min="2" max="2" width="20.453125" style="43" customWidth="1"/>
    <col min="3" max="7" width="13.54296875" style="43" customWidth="1"/>
    <col min="8" max="9" width="18" style="43" customWidth="1"/>
    <col min="10" max="10" width="3.1796875" style="43" customWidth="1"/>
    <col min="11" max="11" width="20.453125" style="43" customWidth="1"/>
    <col min="12" max="16" width="13.54296875" style="43" customWidth="1"/>
    <col min="17" max="18" width="18" style="43" customWidth="1"/>
    <col min="19" max="19" width="2.453125" style="43" customWidth="1"/>
    <col min="20" max="20" width="20.453125" style="43" customWidth="1"/>
    <col min="21" max="25" width="13.54296875" style="43" customWidth="1"/>
    <col min="26" max="27" width="18" style="43" customWidth="1"/>
    <col min="28" max="16384" width="9.1796875" style="43"/>
  </cols>
  <sheetData>
    <row r="2" spans="2:27" ht="10.5">
      <c r="B2" s="32" t="s">
        <v>24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4"/>
      <c r="P2" s="44"/>
      <c r="Q2" s="44"/>
      <c r="R2" s="44"/>
      <c r="S2" s="105"/>
      <c r="T2" s="32"/>
      <c r="U2" s="44"/>
      <c r="V2" s="44"/>
      <c r="W2" s="44"/>
      <c r="X2" s="44"/>
      <c r="Y2" s="44"/>
      <c r="Z2" s="44"/>
      <c r="AA2" s="44"/>
    </row>
    <row r="4" spans="2:27" s="33" customFormat="1" ht="10.5">
      <c r="B4" s="45" t="s">
        <v>11</v>
      </c>
      <c r="C4" s="45"/>
      <c r="D4" s="45"/>
      <c r="E4" s="45"/>
      <c r="F4" s="45"/>
      <c r="G4" s="45"/>
      <c r="H4" s="45"/>
      <c r="I4" s="45"/>
      <c r="K4" s="45" t="s">
        <v>11</v>
      </c>
      <c r="L4" s="45"/>
      <c r="M4" s="45"/>
      <c r="N4" s="45"/>
      <c r="O4" s="45"/>
      <c r="P4" s="45"/>
      <c r="Q4" s="45"/>
      <c r="R4" s="45"/>
      <c r="T4" s="45" t="s">
        <v>11</v>
      </c>
      <c r="U4" s="45"/>
      <c r="V4" s="45"/>
      <c r="W4" s="45"/>
      <c r="X4" s="45"/>
      <c r="Y4" s="45"/>
      <c r="Z4" s="45"/>
      <c r="AA4" s="45"/>
    </row>
    <row r="6" spans="2:27" s="33" customFormat="1" ht="10.5">
      <c r="B6" s="46" t="s">
        <v>6</v>
      </c>
      <c r="C6" s="47"/>
      <c r="K6" s="46" t="s">
        <v>7</v>
      </c>
      <c r="L6" s="48"/>
      <c r="M6" s="40"/>
      <c r="N6" s="40"/>
      <c r="O6" s="40"/>
      <c r="P6" s="40"/>
      <c r="Q6" s="40"/>
      <c r="R6" s="40"/>
      <c r="T6" s="46" t="s">
        <v>127</v>
      </c>
      <c r="U6" s="48"/>
      <c r="V6" s="40"/>
      <c r="W6" s="40"/>
      <c r="X6" s="40"/>
      <c r="Y6" s="40"/>
      <c r="Z6" s="40"/>
      <c r="AA6" s="40"/>
    </row>
    <row r="7" spans="2:27" s="33" customFormat="1" ht="10.5">
      <c r="B7" s="49" t="s">
        <v>0</v>
      </c>
      <c r="C7" s="50" t="s">
        <v>8</v>
      </c>
      <c r="D7" s="50" t="s">
        <v>9</v>
      </c>
      <c r="E7" s="50" t="s">
        <v>10</v>
      </c>
      <c r="F7" s="50" t="s">
        <v>59</v>
      </c>
      <c r="G7" s="50" t="s">
        <v>83</v>
      </c>
      <c r="H7" s="50" t="s">
        <v>12</v>
      </c>
      <c r="I7" s="50" t="s">
        <v>13</v>
      </c>
      <c r="K7" s="52" t="s">
        <v>0</v>
      </c>
      <c r="L7" s="50" t="s">
        <v>8</v>
      </c>
      <c r="M7" s="50" t="s">
        <v>9</v>
      </c>
      <c r="N7" s="50" t="s">
        <v>10</v>
      </c>
      <c r="O7" s="50" t="s">
        <v>59</v>
      </c>
      <c r="P7" s="50" t="s">
        <v>83</v>
      </c>
      <c r="Q7" s="50" t="s">
        <v>12</v>
      </c>
      <c r="R7" s="50" t="s">
        <v>13</v>
      </c>
      <c r="T7" s="52" t="s">
        <v>0</v>
      </c>
      <c r="U7" s="50" t="s">
        <v>8</v>
      </c>
      <c r="V7" s="50" t="s">
        <v>9</v>
      </c>
      <c r="W7" s="50" t="s">
        <v>10</v>
      </c>
      <c r="X7" s="50" t="s">
        <v>59</v>
      </c>
      <c r="Y7" s="50" t="s">
        <v>83</v>
      </c>
      <c r="Z7" s="50" t="s">
        <v>12</v>
      </c>
      <c r="AA7" s="50" t="s">
        <v>13</v>
      </c>
    </row>
    <row r="8" spans="2:27" s="33" customFormat="1">
      <c r="B8" s="34" t="str">
        <f>'Output | Decision tables'!C6</f>
        <v>Urban</v>
      </c>
      <c r="C8" s="173">
        <f>'Cap adjustment'!C10</f>
        <v>0.68003013000000001</v>
      </c>
      <c r="D8" s="173">
        <f>'Cap adjustment'!D10</f>
        <v>0.59736634</v>
      </c>
      <c r="E8" s="173">
        <f>'Cap adjustment'!E10</f>
        <v>0.82879923030000002</v>
      </c>
      <c r="F8" s="173">
        <f>'Cap adjustment'!F10</f>
        <v>0.69126710960000004</v>
      </c>
      <c r="G8" s="106"/>
      <c r="H8" s="79">
        <f>AVERAGE(C8:F8)</f>
        <v>0.69936570247499996</v>
      </c>
      <c r="I8" s="79">
        <f>AVERAGE($C8:$G8)</f>
        <v>0.69936570247499996</v>
      </c>
      <c r="K8" s="34" t="str">
        <f>B8</f>
        <v>Urban</v>
      </c>
      <c r="L8" s="173">
        <f>'Cap adjustment'!C5</f>
        <v>49.447921860000001</v>
      </c>
      <c r="M8" s="173">
        <f>'Cap adjustment'!D5</f>
        <v>47.073122669999997</v>
      </c>
      <c r="N8" s="173">
        <f>'Cap adjustment'!E5</f>
        <v>68.696457591420284</v>
      </c>
      <c r="O8" s="173">
        <f>'Cap adjustment'!F5</f>
        <v>55.999599775900002</v>
      </c>
      <c r="P8" s="174"/>
      <c r="Q8" s="79">
        <f>AVERAGE(L8:O8)</f>
        <v>55.304275474330076</v>
      </c>
      <c r="R8" s="79">
        <f>AVERAGE($L8:P8)</f>
        <v>55.304275474330076</v>
      </c>
      <c r="T8" s="208" t="str">
        <f>K8</f>
        <v>Urban</v>
      </c>
      <c r="U8" s="173">
        <f>'Cap adjustment'!C15</f>
        <v>1.0473249899999999</v>
      </c>
      <c r="V8" s="173">
        <f>'Cap adjustment'!D15</f>
        <v>0.98404955000000005</v>
      </c>
      <c r="W8" s="173">
        <f>'Cap adjustment'!E15</f>
        <v>1.0555063390999999</v>
      </c>
      <c r="X8" s="173">
        <f>'Cap adjustment'!F15</f>
        <v>1.2510923357999999</v>
      </c>
      <c r="Y8" s="174"/>
      <c r="Z8" s="79">
        <f>AVERAGE(U8:X8)</f>
        <v>1.084493303725</v>
      </c>
      <c r="AA8" s="79">
        <f>AVERAGE(U8:Y8)</f>
        <v>1.084493303725</v>
      </c>
    </row>
    <row r="9" spans="2:27" s="33" customFormat="1">
      <c r="B9" s="34" t="str">
        <f>'Output | Decision tables'!D6</f>
        <v>Short Rural</v>
      </c>
      <c r="C9" s="173">
        <f>'Cap adjustment'!C11</f>
        <v>1.2108124899999999</v>
      </c>
      <c r="D9" s="173">
        <f>'Cap adjustment'!D11</f>
        <v>0.96259782999999999</v>
      </c>
      <c r="E9" s="173">
        <f>'Cap adjustment'!E11</f>
        <v>0.99731520760000003</v>
      </c>
      <c r="F9" s="173">
        <f>'Cap adjustment'!F11</f>
        <v>0.79791329899999996</v>
      </c>
      <c r="G9" s="106"/>
      <c r="H9" s="79">
        <f>AVERAGE(C9:F9)</f>
        <v>0.99215970665000008</v>
      </c>
      <c r="I9" s="79">
        <f>AVERAGE($C9:$G9)</f>
        <v>0.99215970665000008</v>
      </c>
      <c r="K9" s="34" t="str">
        <f t="shared" ref="K9:K10" si="0">B9</f>
        <v>Short Rural</v>
      </c>
      <c r="L9" s="173">
        <f>'Cap adjustment'!C6</f>
        <v>97.233287410000003</v>
      </c>
      <c r="M9" s="173">
        <f>'Cap adjustment'!D6</f>
        <v>85.756576730000006</v>
      </c>
      <c r="N9" s="173">
        <f>'Cap adjustment'!E6</f>
        <v>91.847169511999994</v>
      </c>
      <c r="O9" s="173">
        <f>'Cap adjustment'!F6</f>
        <v>73.939346596500002</v>
      </c>
      <c r="P9" s="106"/>
      <c r="Q9" s="79">
        <f>AVERAGE(L9:O9)</f>
        <v>87.194095062125001</v>
      </c>
      <c r="R9" s="79">
        <f>AVERAGE($L9:P9)</f>
        <v>87.194095062125001</v>
      </c>
      <c r="T9" s="208" t="str">
        <f t="shared" ref="T9:T10" si="1">K9</f>
        <v>Short Rural</v>
      </c>
      <c r="U9" s="173">
        <f>'Cap adjustment'!C16</f>
        <v>1.80247008</v>
      </c>
      <c r="V9" s="173">
        <f>'Cap adjustment'!D16</f>
        <v>1.7846813100000001</v>
      </c>
      <c r="W9" s="173">
        <f>'Cap adjustment'!E16</f>
        <v>1.6418328260999999</v>
      </c>
      <c r="X9" s="173">
        <f>'Cap adjustment'!F16</f>
        <v>1.5000647201999999</v>
      </c>
      <c r="Y9" s="173"/>
      <c r="Z9" s="79">
        <f>AVERAGE(U9:X9)</f>
        <v>1.682262234075</v>
      </c>
      <c r="AA9" s="79">
        <f>AVERAGE(U9:Y9)</f>
        <v>1.682262234075</v>
      </c>
    </row>
    <row r="10" spans="2:27" s="33" customFormat="1">
      <c r="B10" s="34" t="str">
        <f>'Output | Decision tables'!E6</f>
        <v>Long Rural</v>
      </c>
      <c r="C10" s="173">
        <f>'Cap adjustment'!C12</f>
        <v>2.2664301</v>
      </c>
      <c r="D10" s="173">
        <f>'Cap adjustment'!D12</f>
        <v>2.4597972100000001</v>
      </c>
      <c r="E10" s="173">
        <f>'Cap adjustment'!E12</f>
        <v>2.0387653110000001</v>
      </c>
      <c r="F10" s="173">
        <f>'Cap adjustment'!F12</f>
        <v>1.8125145089000001</v>
      </c>
      <c r="G10" s="106"/>
      <c r="H10" s="79">
        <f>AVERAGE(C10:F10)</f>
        <v>2.1443767824750002</v>
      </c>
      <c r="I10" s="79">
        <f>AVERAGE($C10:$G10)</f>
        <v>2.1443767824750002</v>
      </c>
      <c r="K10" s="34" t="str">
        <f t="shared" si="0"/>
        <v>Long Rural</v>
      </c>
      <c r="L10" s="173">
        <f>'Cap adjustment'!C7</f>
        <v>191.25000646999999</v>
      </c>
      <c r="M10" s="173">
        <f>'Cap adjustment'!D7</f>
        <v>197.48754559</v>
      </c>
      <c r="N10" s="173">
        <f>'Cap adjustment'!E7</f>
        <v>220.99249785340001</v>
      </c>
      <c r="O10" s="173">
        <f>'Cap adjustment'!F7</f>
        <v>175.21451544199999</v>
      </c>
      <c r="P10" s="106"/>
      <c r="Q10" s="79">
        <f>AVERAGE(L10:O10)</f>
        <v>196.23614133884999</v>
      </c>
      <c r="R10" s="79">
        <f>AVERAGE($L10:P10)</f>
        <v>196.23614133884999</v>
      </c>
      <c r="T10" s="208" t="str">
        <f t="shared" si="1"/>
        <v>Long Rural</v>
      </c>
      <c r="U10" s="173">
        <f>'Cap adjustment'!C17</f>
        <v>3.1707489099999999</v>
      </c>
      <c r="V10" s="173">
        <f>'Cap adjustment'!D17</f>
        <v>2.9043760500000002</v>
      </c>
      <c r="W10" s="173">
        <f>'Cap adjustment'!E17</f>
        <v>2.9081856038999998</v>
      </c>
      <c r="X10" s="173">
        <f>'Cap adjustment'!F17</f>
        <v>2.4480891066999999</v>
      </c>
      <c r="Y10" s="106"/>
      <c r="Z10" s="79">
        <f>AVERAGE(U10:X10)</f>
        <v>2.8578499176499998</v>
      </c>
      <c r="AA10" s="79">
        <f>AVERAGE(U10:Y10)</f>
        <v>2.8578499176499998</v>
      </c>
    </row>
    <row r="11" spans="2:27" s="33" customFormat="1">
      <c r="B11" s="34" t="s">
        <v>143</v>
      </c>
      <c r="C11" s="106">
        <f>'Cap adjustment'!C19</f>
        <v>0.8373483383154563</v>
      </c>
      <c r="D11" s="106">
        <f>'Cap adjustment'!D19</f>
        <v>0.88087101513875821</v>
      </c>
      <c r="E11" s="106">
        <f>'Cap adjustment'!E19</f>
        <v>0.8960715028060694</v>
      </c>
      <c r="F11" s="106">
        <f>'Cap adjustment'!F19</f>
        <v>0.87754988191977978</v>
      </c>
      <c r="G11" s="106"/>
      <c r="H11" s="79">
        <f>AVERAGE(C11:F11)</f>
        <v>0.87296018454501589</v>
      </c>
      <c r="I11" s="79">
        <f>AVERAGE($C11:$G11)</f>
        <v>0.87296018454501589</v>
      </c>
      <c r="K11" s="34"/>
      <c r="L11" s="106"/>
      <c r="M11" s="106"/>
      <c r="N11" s="106"/>
      <c r="O11" s="106"/>
      <c r="P11" s="106"/>
      <c r="Q11" s="79"/>
      <c r="R11" s="79"/>
      <c r="T11" s="208"/>
      <c r="U11" s="106"/>
      <c r="V11" s="106"/>
      <c r="W11" s="106"/>
      <c r="X11" s="106"/>
      <c r="Y11" s="106"/>
      <c r="Z11" s="79"/>
      <c r="AA11" s="79"/>
    </row>
    <row r="12" spans="2:27" ht="10.5">
      <c r="B12" s="53"/>
      <c r="C12" s="54"/>
      <c r="D12" s="54"/>
      <c r="E12" s="54"/>
      <c r="F12" s="54"/>
      <c r="G12" s="54"/>
      <c r="H12" s="54"/>
      <c r="I12" s="76"/>
      <c r="K12" s="53"/>
      <c r="L12" s="54"/>
      <c r="M12" s="54"/>
      <c r="N12" s="54"/>
      <c r="O12" s="54"/>
      <c r="P12" s="54"/>
      <c r="Q12" s="54"/>
      <c r="R12" s="54"/>
      <c r="T12" s="53"/>
      <c r="U12" s="54"/>
      <c r="V12" s="54"/>
      <c r="W12" s="54"/>
      <c r="X12" s="54"/>
      <c r="Y12" s="54"/>
      <c r="Z12" s="54"/>
      <c r="AA12" s="54"/>
    </row>
    <row r="13" spans="2:27">
      <c r="C13" s="55"/>
      <c r="L13" s="55"/>
      <c r="U13" s="55"/>
    </row>
    <row r="15" spans="2:27" s="33" customFormat="1" ht="10.5">
      <c r="B15" s="45" t="s">
        <v>129</v>
      </c>
      <c r="C15" s="45"/>
      <c r="D15" s="45"/>
      <c r="E15" s="45"/>
      <c r="F15" s="45"/>
      <c r="G15" s="45"/>
      <c r="H15" s="45"/>
      <c r="I15" s="45"/>
      <c r="K15" s="45" t="s">
        <v>52</v>
      </c>
      <c r="L15" s="45"/>
      <c r="M15" s="45"/>
      <c r="N15" s="45"/>
      <c r="O15" s="45"/>
      <c r="P15" s="45"/>
      <c r="Q15" s="45"/>
      <c r="R15" s="45"/>
      <c r="T15" s="45" t="s">
        <v>52</v>
      </c>
      <c r="U15" s="45"/>
      <c r="V15" s="45"/>
      <c r="W15" s="45"/>
      <c r="X15" s="45"/>
      <c r="Y15" s="45"/>
      <c r="Z15" s="45"/>
      <c r="AA15" s="45"/>
    </row>
    <row r="17" spans="2:27" s="33" customFormat="1" ht="10.5">
      <c r="B17" s="46" t="s">
        <v>6</v>
      </c>
      <c r="K17" s="46" t="s">
        <v>7</v>
      </c>
      <c r="L17" s="40"/>
      <c r="M17" s="40"/>
      <c r="N17" s="40"/>
      <c r="O17" s="40"/>
      <c r="P17" s="40"/>
      <c r="Q17" s="40"/>
      <c r="R17" s="40"/>
      <c r="T17" s="46" t="s">
        <v>127</v>
      </c>
      <c r="U17" s="40"/>
      <c r="V17" s="40"/>
      <c r="W17" s="40"/>
      <c r="X17" s="40"/>
      <c r="Y17" s="40"/>
      <c r="Z17" s="40"/>
      <c r="AA17" s="40"/>
    </row>
    <row r="18" spans="2:27" s="33" customFormat="1" ht="10.5">
      <c r="B18" s="49" t="s">
        <v>0</v>
      </c>
      <c r="C18" s="50" t="s">
        <v>8</v>
      </c>
      <c r="D18" s="50" t="s">
        <v>9</v>
      </c>
      <c r="E18" s="50" t="s">
        <v>10</v>
      </c>
      <c r="F18" s="50" t="s">
        <v>59</v>
      </c>
      <c r="G18" s="50" t="s">
        <v>83</v>
      </c>
      <c r="H18" s="50" t="s">
        <v>12</v>
      </c>
      <c r="I18" s="50" t="s">
        <v>13</v>
      </c>
      <c r="K18" s="52" t="s">
        <v>0</v>
      </c>
      <c r="L18" s="50" t="s">
        <v>8</v>
      </c>
      <c r="M18" s="50" t="s">
        <v>9</v>
      </c>
      <c r="N18" s="50" t="s">
        <v>10</v>
      </c>
      <c r="O18" s="50" t="s">
        <v>59</v>
      </c>
      <c r="P18" s="50" t="s">
        <v>83</v>
      </c>
      <c r="Q18" s="50" t="s">
        <v>12</v>
      </c>
      <c r="R18" s="50" t="s">
        <v>13</v>
      </c>
      <c r="T18" s="52" t="s">
        <v>0</v>
      </c>
      <c r="U18" s="50" t="s">
        <v>8</v>
      </c>
      <c r="V18" s="50" t="s">
        <v>9</v>
      </c>
      <c r="W18" s="50" t="s">
        <v>10</v>
      </c>
      <c r="X18" s="50" t="s">
        <v>59</v>
      </c>
      <c r="Y18" s="50" t="s">
        <v>83</v>
      </c>
      <c r="Z18" s="50" t="s">
        <v>12</v>
      </c>
      <c r="AA18" s="50" t="s">
        <v>13</v>
      </c>
    </row>
    <row r="19" spans="2:27" s="33" customFormat="1">
      <c r="B19" s="34" t="str">
        <f>B8</f>
        <v>Urban</v>
      </c>
      <c r="C19" s="106">
        <f>'Cap adjustment'!$C$42</f>
        <v>0</v>
      </c>
      <c r="D19" s="106">
        <f>'Cap adjustment'!$C$42</f>
        <v>0</v>
      </c>
      <c r="E19" s="106">
        <f>'Cap adjustment'!$C$42</f>
        <v>0</v>
      </c>
      <c r="F19" s="106">
        <f>'Cap adjustment'!$C$42</f>
        <v>0</v>
      </c>
      <c r="G19" s="174"/>
      <c r="H19" s="79">
        <f>AVERAGE(C19:F19)</f>
        <v>0</v>
      </c>
      <c r="I19" s="79">
        <f>AVERAGE(C19:G19)</f>
        <v>0</v>
      </c>
      <c r="K19" s="34" t="str">
        <f>K8</f>
        <v>Urban</v>
      </c>
      <c r="L19" s="106">
        <f>'Cap adjustment'!$C$37</f>
        <v>0</v>
      </c>
      <c r="M19" s="106">
        <f>'Cap adjustment'!$C$37</f>
        <v>0</v>
      </c>
      <c r="N19" s="106">
        <f>'Cap adjustment'!$C$37</f>
        <v>0</v>
      </c>
      <c r="O19" s="106">
        <f>'Cap adjustment'!$C$37</f>
        <v>0</v>
      </c>
      <c r="P19" s="176"/>
      <c r="Q19" s="79">
        <f t="shared" ref="Q19:Q20" si="2">AVERAGE(L19:O19)</f>
        <v>0</v>
      </c>
      <c r="R19" s="79">
        <f t="shared" ref="R19:R20" si="3">AVERAGE(L19:P19)</f>
        <v>0</v>
      </c>
      <c r="T19" s="208" t="str">
        <f>T8</f>
        <v>Urban</v>
      </c>
      <c r="U19" s="106">
        <v>0</v>
      </c>
      <c r="V19" s="106">
        <v>0</v>
      </c>
      <c r="W19" s="106">
        <v>0</v>
      </c>
      <c r="X19" s="106">
        <v>0</v>
      </c>
      <c r="Y19" s="176"/>
      <c r="Z19" s="79">
        <f t="shared" ref="Z19:Z20" si="4">AVERAGE(U19:X19)</f>
        <v>0</v>
      </c>
      <c r="AA19" s="79">
        <f t="shared" ref="AA19:AA20" si="5">AVERAGE(U19:Y19)</f>
        <v>0</v>
      </c>
    </row>
    <row r="20" spans="2:27" s="33" customFormat="1">
      <c r="B20" s="34" t="str">
        <f>B9</f>
        <v>Short Rural</v>
      </c>
      <c r="C20" s="106">
        <f>'Cap adjustment'!$D$42</f>
        <v>0</v>
      </c>
      <c r="D20" s="106">
        <f>'Cap adjustment'!$D$42</f>
        <v>0</v>
      </c>
      <c r="E20" s="106">
        <f>'Cap adjustment'!$D$42</f>
        <v>0</v>
      </c>
      <c r="F20" s="106">
        <f>'Cap adjustment'!$D$42</f>
        <v>0</v>
      </c>
      <c r="G20" s="175"/>
      <c r="H20" s="79">
        <f>AVERAGE(C20:F20)</f>
        <v>0</v>
      </c>
      <c r="I20" s="79">
        <f>AVERAGE(C20:G20)</f>
        <v>0</v>
      </c>
      <c r="K20" s="34" t="str">
        <f t="shared" ref="K20:K21" si="6">K9</f>
        <v>Short Rural</v>
      </c>
      <c r="L20" s="106">
        <f>'Cap adjustment'!$D$37</f>
        <v>0</v>
      </c>
      <c r="M20" s="106">
        <f>'Cap adjustment'!$D$37</f>
        <v>0</v>
      </c>
      <c r="N20" s="106">
        <f>'Cap adjustment'!$D$37</f>
        <v>0</v>
      </c>
      <c r="O20" s="106">
        <f>'Cap adjustment'!$D$37</f>
        <v>0</v>
      </c>
      <c r="P20" s="176"/>
      <c r="Q20" s="79">
        <f t="shared" si="2"/>
        <v>0</v>
      </c>
      <c r="R20" s="79">
        <f t="shared" si="3"/>
        <v>0</v>
      </c>
      <c r="T20" s="208" t="str">
        <f t="shared" ref="T20:T21" si="7">T9</f>
        <v>Short Rural</v>
      </c>
      <c r="U20" s="106">
        <v>0</v>
      </c>
      <c r="V20" s="106">
        <v>0</v>
      </c>
      <c r="W20" s="106">
        <v>0</v>
      </c>
      <c r="X20" s="106">
        <v>0</v>
      </c>
      <c r="Y20" s="176"/>
      <c r="Z20" s="79">
        <f t="shared" si="4"/>
        <v>0</v>
      </c>
      <c r="AA20" s="79">
        <f t="shared" si="5"/>
        <v>0</v>
      </c>
    </row>
    <row r="21" spans="2:27" s="33" customFormat="1">
      <c r="B21" s="34" t="str">
        <f>B10</f>
        <v>Long Rural</v>
      </c>
      <c r="C21" s="106">
        <f>'Cap adjustment'!$E$42</f>
        <v>0</v>
      </c>
      <c r="D21" s="106">
        <f>'Cap adjustment'!$E$42</f>
        <v>0</v>
      </c>
      <c r="E21" s="106">
        <f>'Cap adjustment'!$E$42</f>
        <v>0</v>
      </c>
      <c r="F21" s="106">
        <f>'Cap adjustment'!$E$42</f>
        <v>0</v>
      </c>
      <c r="G21" s="175"/>
      <c r="H21" s="79">
        <f>AVERAGE(C21:F21)</f>
        <v>0</v>
      </c>
      <c r="I21" s="79">
        <f>AVERAGE(C21:G21)</f>
        <v>0</v>
      </c>
      <c r="K21" s="34" t="str">
        <f t="shared" si="6"/>
        <v>Long Rural</v>
      </c>
      <c r="L21" s="106">
        <f>'Cap adjustment'!$E$37</f>
        <v>0</v>
      </c>
      <c r="M21" s="106">
        <f>'Cap adjustment'!$E$37</f>
        <v>0</v>
      </c>
      <c r="N21" s="106">
        <f>'Cap adjustment'!$E$37</f>
        <v>0</v>
      </c>
      <c r="O21" s="106">
        <f>'Cap adjustment'!$E$37</f>
        <v>0</v>
      </c>
      <c r="P21" s="176"/>
      <c r="Q21" s="79">
        <f t="shared" ref="Q21" si="8">AVERAGE(L21:O21)</f>
        <v>0</v>
      </c>
      <c r="R21" s="79">
        <f t="shared" ref="R21" si="9">AVERAGE(L21:P21)</f>
        <v>0</v>
      </c>
      <c r="T21" s="208" t="str">
        <f t="shared" si="7"/>
        <v>Long Rural</v>
      </c>
      <c r="U21" s="106">
        <v>0</v>
      </c>
      <c r="V21" s="106">
        <v>0</v>
      </c>
      <c r="W21" s="106">
        <v>0</v>
      </c>
      <c r="X21" s="106">
        <v>0</v>
      </c>
      <c r="Y21" s="176"/>
      <c r="Z21" s="79"/>
      <c r="AA21" s="79"/>
    </row>
    <row r="22" spans="2:27" s="33" customFormat="1">
      <c r="B22" s="34" t="s">
        <v>143</v>
      </c>
      <c r="C22" s="214">
        <v>0</v>
      </c>
      <c r="D22" s="214">
        <v>0</v>
      </c>
      <c r="E22" s="214">
        <v>0</v>
      </c>
      <c r="F22" s="214">
        <v>0</v>
      </c>
      <c r="G22" s="175"/>
      <c r="H22" s="79">
        <f>AVERAGE(C22:F22)</f>
        <v>0</v>
      </c>
      <c r="I22" s="79">
        <f>AVERAGE(C22:G22)</f>
        <v>0</v>
      </c>
      <c r="K22" s="34"/>
      <c r="L22" s="177"/>
      <c r="M22" s="177"/>
      <c r="N22" s="177"/>
      <c r="O22" s="177"/>
      <c r="P22" s="177"/>
      <c r="Q22" s="79"/>
      <c r="R22" s="79"/>
      <c r="T22" s="208"/>
      <c r="U22" s="177"/>
      <c r="V22" s="177"/>
      <c r="W22" s="177"/>
      <c r="X22" s="177"/>
      <c r="Y22" s="177"/>
      <c r="Z22" s="79"/>
      <c r="AA22" s="79"/>
    </row>
    <row r="23" spans="2:27" ht="10.5">
      <c r="B23" s="53"/>
      <c r="C23" s="54"/>
      <c r="D23" s="54"/>
      <c r="E23" s="54"/>
      <c r="F23" s="54"/>
      <c r="G23" s="54"/>
      <c r="H23" s="54"/>
      <c r="I23" s="54"/>
      <c r="K23" s="53"/>
      <c r="L23" s="54"/>
      <c r="M23" s="54"/>
      <c r="N23" s="54"/>
      <c r="O23" s="54"/>
      <c r="P23" s="54"/>
      <c r="Q23" s="54"/>
      <c r="R23" s="54"/>
      <c r="T23" s="53"/>
      <c r="U23" s="54"/>
      <c r="V23" s="54"/>
      <c r="W23" s="54"/>
      <c r="X23" s="54"/>
      <c r="Y23" s="54"/>
      <c r="Z23" s="54"/>
      <c r="AA23" s="54"/>
    </row>
    <row r="26" spans="2:27" s="33" customFormat="1" ht="10.5">
      <c r="B26" s="45" t="s">
        <v>14</v>
      </c>
      <c r="C26" s="45"/>
      <c r="D26" s="45"/>
      <c r="E26" s="45"/>
      <c r="F26" s="45"/>
      <c r="G26" s="45"/>
      <c r="H26" s="45"/>
      <c r="I26" s="45"/>
      <c r="K26" s="45" t="s">
        <v>14</v>
      </c>
      <c r="L26" s="45"/>
      <c r="M26" s="45"/>
      <c r="N26" s="45"/>
      <c r="O26" s="45"/>
      <c r="P26" s="45"/>
      <c r="Q26" s="45"/>
      <c r="R26" s="45"/>
      <c r="T26" s="45" t="s">
        <v>14</v>
      </c>
      <c r="U26" s="45"/>
      <c r="V26" s="45"/>
      <c r="W26" s="45"/>
      <c r="X26" s="45"/>
      <c r="Y26" s="45"/>
      <c r="Z26" s="45"/>
      <c r="AA26" s="45"/>
    </row>
    <row r="28" spans="2:27" s="33" customFormat="1" ht="10.5">
      <c r="B28" s="46" t="s">
        <v>6</v>
      </c>
      <c r="K28" s="46" t="s">
        <v>7</v>
      </c>
      <c r="L28" s="40"/>
      <c r="M28" s="40"/>
      <c r="N28" s="40"/>
      <c r="O28" s="40"/>
      <c r="P28" s="40"/>
      <c r="Q28" s="40"/>
      <c r="R28" s="40"/>
      <c r="T28" s="46" t="s">
        <v>127</v>
      </c>
      <c r="U28" s="40"/>
      <c r="V28" s="40"/>
      <c r="W28" s="40"/>
      <c r="X28" s="40"/>
      <c r="Y28" s="40"/>
      <c r="Z28" s="40"/>
      <c r="AA28" s="40"/>
    </row>
    <row r="29" spans="2:27" s="33" customFormat="1" ht="10.5">
      <c r="B29" s="49" t="s">
        <v>0</v>
      </c>
      <c r="C29" s="50" t="s">
        <v>8</v>
      </c>
      <c r="D29" s="50" t="s">
        <v>9</v>
      </c>
      <c r="E29" s="50" t="s">
        <v>10</v>
      </c>
      <c r="F29" s="50" t="s">
        <v>59</v>
      </c>
      <c r="G29" s="50" t="s">
        <v>83</v>
      </c>
      <c r="H29" s="50" t="s">
        <v>12</v>
      </c>
      <c r="I29" s="50" t="s">
        <v>13</v>
      </c>
      <c r="K29" s="52" t="s">
        <v>0</v>
      </c>
      <c r="L29" s="50" t="s">
        <v>8</v>
      </c>
      <c r="M29" s="50" t="s">
        <v>9</v>
      </c>
      <c r="N29" s="50" t="s">
        <v>10</v>
      </c>
      <c r="O29" s="50" t="s">
        <v>59</v>
      </c>
      <c r="P29" s="50" t="s">
        <v>83</v>
      </c>
      <c r="Q29" s="50" t="s">
        <v>12</v>
      </c>
      <c r="R29" s="50" t="s">
        <v>13</v>
      </c>
      <c r="T29" s="52" t="s">
        <v>0</v>
      </c>
      <c r="U29" s="50" t="s">
        <v>8</v>
      </c>
      <c r="V29" s="50" t="s">
        <v>9</v>
      </c>
      <c r="W29" s="50" t="s">
        <v>10</v>
      </c>
      <c r="X29" s="50" t="s">
        <v>59</v>
      </c>
      <c r="Y29" s="50" t="s">
        <v>83</v>
      </c>
      <c r="Z29" s="50" t="s">
        <v>12</v>
      </c>
      <c r="AA29" s="50" t="s">
        <v>13</v>
      </c>
    </row>
    <row r="30" spans="2:27" s="33" customFormat="1">
      <c r="B30" s="34" t="str">
        <f>B19</f>
        <v>Urban</v>
      </c>
      <c r="C30" s="106">
        <f>C8+C19</f>
        <v>0.68003013000000001</v>
      </c>
      <c r="D30" s="106">
        <f t="shared" ref="D30:F30" si="10">D8+D19</f>
        <v>0.59736634</v>
      </c>
      <c r="E30" s="106">
        <f t="shared" si="10"/>
        <v>0.82879923030000002</v>
      </c>
      <c r="F30" s="106">
        <f t="shared" si="10"/>
        <v>0.69126710960000004</v>
      </c>
      <c r="G30" s="106"/>
      <c r="H30" s="79">
        <f>AVERAGE(C30:F30)</f>
        <v>0.69936570247499996</v>
      </c>
      <c r="I30" s="79">
        <f>AVERAGE($C30:$G30)</f>
        <v>0.69936570247499996</v>
      </c>
      <c r="K30" s="34" t="str">
        <f>K19</f>
        <v>Urban</v>
      </c>
      <c r="L30" s="106">
        <f t="shared" ref="L30:O30" si="11">L8+L19</f>
        <v>49.447921860000001</v>
      </c>
      <c r="M30" s="106">
        <f t="shared" si="11"/>
        <v>47.073122669999997</v>
      </c>
      <c r="N30" s="106">
        <f t="shared" si="11"/>
        <v>68.696457591420284</v>
      </c>
      <c r="O30" s="106">
        <f t="shared" si="11"/>
        <v>55.999599775900002</v>
      </c>
      <c r="P30" s="106"/>
      <c r="Q30" s="79">
        <f t="shared" ref="Q30:Q31" si="12">AVERAGE(L30:O30)</f>
        <v>55.304275474330076</v>
      </c>
      <c r="R30" s="79">
        <f>AVERAGE($L30:P30)</f>
        <v>55.304275474330076</v>
      </c>
      <c r="T30" s="208" t="str">
        <f>T19</f>
        <v>Urban</v>
      </c>
      <c r="U30" s="106">
        <f t="shared" ref="U30:X30" si="13">U8+U19</f>
        <v>1.0473249899999999</v>
      </c>
      <c r="V30" s="106">
        <f t="shared" si="13"/>
        <v>0.98404955000000005</v>
      </c>
      <c r="W30" s="106">
        <f t="shared" si="13"/>
        <v>1.0555063390999999</v>
      </c>
      <c r="X30" s="106">
        <f t="shared" si="13"/>
        <v>1.2510923357999999</v>
      </c>
      <c r="Y30" s="106"/>
      <c r="Z30" s="79">
        <f t="shared" ref="Z30:Z31" si="14">AVERAGE(U30:X30)</f>
        <v>1.084493303725</v>
      </c>
      <c r="AA30" s="79">
        <f>AVERAGE(U30:Y30)</f>
        <v>1.084493303725</v>
      </c>
    </row>
    <row r="31" spans="2:27" s="33" customFormat="1">
      <c r="B31" s="34" t="str">
        <f>B20</f>
        <v>Short Rural</v>
      </c>
      <c r="C31" s="106">
        <f t="shared" ref="C31:F31" si="15">C9+C20</f>
        <v>1.2108124899999999</v>
      </c>
      <c r="D31" s="106">
        <f t="shared" si="15"/>
        <v>0.96259782999999999</v>
      </c>
      <c r="E31" s="106">
        <f t="shared" si="15"/>
        <v>0.99731520760000003</v>
      </c>
      <c r="F31" s="106">
        <f t="shared" si="15"/>
        <v>0.79791329899999996</v>
      </c>
      <c r="G31" s="174"/>
      <c r="H31" s="79">
        <f>AVERAGE(C31:F31)</f>
        <v>0.99215970665000008</v>
      </c>
      <c r="I31" s="79">
        <f>AVERAGE($C31:$G31)</f>
        <v>0.99215970665000008</v>
      </c>
      <c r="K31" s="34" t="str">
        <f t="shared" ref="K31:K32" si="16">K20</f>
        <v>Short Rural</v>
      </c>
      <c r="L31" s="106">
        <f t="shared" ref="L31:O31" si="17">L9+L20</f>
        <v>97.233287410000003</v>
      </c>
      <c r="M31" s="106">
        <f t="shared" si="17"/>
        <v>85.756576730000006</v>
      </c>
      <c r="N31" s="106">
        <f t="shared" si="17"/>
        <v>91.847169511999994</v>
      </c>
      <c r="O31" s="106">
        <f t="shared" si="17"/>
        <v>73.939346596500002</v>
      </c>
      <c r="P31" s="106"/>
      <c r="Q31" s="79">
        <f t="shared" si="12"/>
        <v>87.194095062125001</v>
      </c>
      <c r="R31" s="79">
        <f>AVERAGE($L31:P31)</f>
        <v>87.194095062125001</v>
      </c>
      <c r="T31" s="208" t="str">
        <f t="shared" ref="T31:T32" si="18">T20</f>
        <v>Short Rural</v>
      </c>
      <c r="U31" s="106">
        <f t="shared" ref="U31:X31" si="19">U9+U20</f>
        <v>1.80247008</v>
      </c>
      <c r="V31" s="106">
        <f t="shared" si="19"/>
        <v>1.7846813100000001</v>
      </c>
      <c r="W31" s="106">
        <f t="shared" si="19"/>
        <v>1.6418328260999999</v>
      </c>
      <c r="X31" s="106">
        <f t="shared" si="19"/>
        <v>1.5000647201999999</v>
      </c>
      <c r="Y31" s="106"/>
      <c r="Z31" s="79">
        <f t="shared" si="14"/>
        <v>1.682262234075</v>
      </c>
      <c r="AA31" s="79">
        <f>AVERAGE(U31:Y31)</f>
        <v>1.682262234075</v>
      </c>
    </row>
    <row r="32" spans="2:27" s="33" customFormat="1">
      <c r="B32" s="34" t="str">
        <f>B21</f>
        <v>Long Rural</v>
      </c>
      <c r="C32" s="106">
        <f t="shared" ref="C32:F32" si="20">C10+C21</f>
        <v>2.2664301</v>
      </c>
      <c r="D32" s="106">
        <f t="shared" si="20"/>
        <v>2.4597972100000001</v>
      </c>
      <c r="E32" s="106">
        <f t="shared" si="20"/>
        <v>2.0387653110000001</v>
      </c>
      <c r="F32" s="106">
        <f t="shared" si="20"/>
        <v>1.8125145089000001</v>
      </c>
      <c r="G32" s="174"/>
      <c r="H32" s="79">
        <f>AVERAGE(C32:F32)</f>
        <v>2.1443767824750002</v>
      </c>
      <c r="I32" s="79">
        <f>AVERAGE($C32:$G32)</f>
        <v>2.1443767824750002</v>
      </c>
      <c r="K32" s="34" t="str">
        <f t="shared" si="16"/>
        <v>Long Rural</v>
      </c>
      <c r="L32" s="106">
        <f t="shared" ref="L32:O32" si="21">L10+L21</f>
        <v>191.25000646999999</v>
      </c>
      <c r="M32" s="106">
        <f t="shared" si="21"/>
        <v>197.48754559</v>
      </c>
      <c r="N32" s="106">
        <f t="shared" si="21"/>
        <v>220.99249785340001</v>
      </c>
      <c r="O32" s="106">
        <f t="shared" si="21"/>
        <v>175.21451544199999</v>
      </c>
      <c r="P32" s="106"/>
      <c r="Q32" s="79">
        <f t="shared" ref="Q32" si="22">AVERAGE(L32:O32)</f>
        <v>196.23614133884999</v>
      </c>
      <c r="R32" s="79">
        <f>AVERAGE($L32:P32)</f>
        <v>196.23614133884999</v>
      </c>
      <c r="T32" s="208" t="str">
        <f t="shared" si="18"/>
        <v>Long Rural</v>
      </c>
      <c r="U32" s="106">
        <f t="shared" ref="U32:X32" si="23">U10+U21</f>
        <v>3.1707489099999999</v>
      </c>
      <c r="V32" s="106">
        <f t="shared" si="23"/>
        <v>2.9043760500000002</v>
      </c>
      <c r="W32" s="106">
        <f t="shared" si="23"/>
        <v>2.9081856038999998</v>
      </c>
      <c r="X32" s="106">
        <f t="shared" si="23"/>
        <v>2.4480891066999999</v>
      </c>
      <c r="Y32" s="106"/>
      <c r="Z32" s="79">
        <f t="shared" ref="Z32" si="24">AVERAGE(U32:X32)</f>
        <v>2.8578499176499998</v>
      </c>
      <c r="AA32" s="79">
        <f>AVERAGE(U32:Y32)</f>
        <v>2.8578499176499998</v>
      </c>
    </row>
    <row r="33" spans="2:27" s="33" customFormat="1">
      <c r="B33" s="34" t="s">
        <v>144</v>
      </c>
      <c r="C33" s="106">
        <f t="shared" ref="C33:F33" si="25">C11+C22</f>
        <v>0.8373483383154563</v>
      </c>
      <c r="D33" s="106">
        <f t="shared" si="25"/>
        <v>0.88087101513875821</v>
      </c>
      <c r="E33" s="106">
        <f t="shared" si="25"/>
        <v>0.8960715028060694</v>
      </c>
      <c r="F33" s="106">
        <f t="shared" si="25"/>
        <v>0.87754988191977978</v>
      </c>
      <c r="G33" s="177"/>
      <c r="H33" s="79">
        <f>AVERAGE(C33:F33)</f>
        <v>0.87296018454501589</v>
      </c>
      <c r="I33" s="79">
        <f>AVERAGE($C33:$G33)</f>
        <v>0.87296018454501589</v>
      </c>
      <c r="K33" s="34"/>
      <c r="L33" s="106"/>
      <c r="M33" s="106"/>
      <c r="N33" s="106"/>
      <c r="O33" s="106"/>
      <c r="P33" s="106"/>
      <c r="Q33" s="79"/>
      <c r="R33" s="79"/>
      <c r="T33" s="208"/>
      <c r="U33" s="106"/>
      <c r="V33" s="106"/>
      <c r="W33" s="106"/>
      <c r="X33" s="106"/>
      <c r="Y33" s="106"/>
      <c r="Z33" s="79"/>
      <c r="AA33" s="79"/>
    </row>
    <row r="34" spans="2:27" ht="10.5">
      <c r="B34" s="53"/>
      <c r="C34" s="54"/>
      <c r="D34" s="54"/>
      <c r="E34" s="54"/>
      <c r="F34" s="54"/>
      <c r="G34" s="54"/>
      <c r="H34" s="54"/>
      <c r="I34" s="54"/>
      <c r="K34" s="53"/>
      <c r="L34" s="54"/>
      <c r="M34" s="54"/>
      <c r="N34" s="54"/>
      <c r="O34" s="54"/>
      <c r="P34" s="54"/>
      <c r="Q34" s="54"/>
      <c r="R34" s="54"/>
      <c r="T34" s="53"/>
      <c r="U34" s="54"/>
      <c r="V34" s="54"/>
      <c r="W34" s="54"/>
      <c r="X34" s="54"/>
      <c r="Y34" s="54"/>
      <c r="Z34" s="54"/>
      <c r="AA34" s="54"/>
    </row>
    <row r="36" spans="2:27">
      <c r="C36" s="66"/>
      <c r="D36" s="66"/>
      <c r="E36" s="66"/>
      <c r="F36" s="66"/>
      <c r="L36" s="66"/>
      <c r="M36" s="66"/>
      <c r="N36" s="66"/>
      <c r="O36" s="66"/>
      <c r="U36" s="66"/>
      <c r="V36" s="66"/>
      <c r="W36" s="66"/>
      <c r="X36" s="66"/>
    </row>
    <row r="37" spans="2:27">
      <c r="C37" s="66"/>
      <c r="D37" s="66"/>
      <c r="E37" s="66"/>
      <c r="F37" s="66"/>
      <c r="L37" s="66"/>
      <c r="M37" s="66"/>
      <c r="N37" s="66"/>
      <c r="O37" s="66"/>
      <c r="U37" s="66"/>
      <c r="V37" s="66"/>
      <c r="W37" s="66"/>
      <c r="X37" s="66"/>
    </row>
    <row r="38" spans="2:27">
      <c r="C38" s="66"/>
      <c r="D38" s="66"/>
      <c r="E38" s="66"/>
      <c r="F38" s="66"/>
      <c r="M38" s="66"/>
      <c r="N38" s="66"/>
      <c r="O38" s="66"/>
      <c r="V38" s="66"/>
      <c r="W38" s="66"/>
      <c r="X38" s="66"/>
    </row>
    <row r="39" spans="2:27">
      <c r="M39" s="67"/>
      <c r="N39" s="67"/>
      <c r="O39" s="67"/>
      <c r="V39" s="67"/>
      <c r="W39" s="67"/>
      <c r="X39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55"/>
  <sheetViews>
    <sheetView zoomScaleNormal="100" workbookViewId="0">
      <selection activeCell="F26" sqref="F26"/>
    </sheetView>
  </sheetViews>
  <sheetFormatPr defaultColWidth="9.1796875" defaultRowHeight="10"/>
  <cols>
    <col min="1" max="1" width="2.54296875" style="94" customWidth="1"/>
    <col min="2" max="2" width="71.1796875" style="94" customWidth="1"/>
    <col min="3" max="3" width="13.1796875" style="108" customWidth="1"/>
    <col min="4" max="6" width="18.453125" style="94" customWidth="1"/>
    <col min="7" max="7" width="13.26953125" style="94" customWidth="1"/>
    <col min="8" max="8" width="10.54296875" style="94" customWidth="1"/>
    <col min="9" max="16384" width="9.1796875" style="94"/>
  </cols>
  <sheetData>
    <row r="2" spans="2:8" ht="14.5">
      <c r="B2" s="32" t="s">
        <v>17</v>
      </c>
      <c r="C2" s="63"/>
      <c r="D2" s="64"/>
      <c r="E2" s="64"/>
      <c r="F2" s="64"/>
      <c r="G2" s="196"/>
      <c r="H2" s="203" t="s">
        <v>137</v>
      </c>
    </row>
    <row r="4" spans="2:8" ht="10.5">
      <c r="B4" s="49" t="s">
        <v>42</v>
      </c>
      <c r="C4" s="51"/>
      <c r="D4" s="51" t="str">
        <f>'Output | Decision tables'!C6</f>
        <v>Urban</v>
      </c>
      <c r="E4" s="51" t="str">
        <f>'Output | Decision tables'!D6</f>
        <v>Short Rural</v>
      </c>
      <c r="F4" s="51" t="str">
        <f>'Output | Decision tables'!E6</f>
        <v>Long Rural</v>
      </c>
      <c r="G4" s="197"/>
    </row>
    <row r="5" spans="2:8" s="37" customFormat="1" ht="13">
      <c r="B5" s="56" t="s">
        <v>130</v>
      </c>
      <c r="C5" s="57" t="s">
        <v>65</v>
      </c>
      <c r="D5" s="170">
        <f>'STPIS inputs'!D11</f>
        <v>35780</v>
      </c>
      <c r="E5" s="170">
        <f>'STPIS inputs'!E11</f>
        <v>35780</v>
      </c>
      <c r="F5" s="170">
        <f>'STPIS inputs'!F11</f>
        <v>35780</v>
      </c>
      <c r="G5" s="198"/>
    </row>
    <row r="6" spans="2:8" s="37" customFormat="1" ht="13">
      <c r="B6" s="56" t="s">
        <v>49</v>
      </c>
      <c r="C6" s="57" t="s">
        <v>66</v>
      </c>
      <c r="D6" s="170">
        <f>'STPIS inputs'!D8</f>
        <v>5271362.9901992371</v>
      </c>
      <c r="E6" s="170">
        <f>'STPIS inputs'!E8</f>
        <v>4833441.5570390588</v>
      </c>
      <c r="F6" s="170">
        <f>'STPIS inputs'!F8</f>
        <v>3227833.4113771273</v>
      </c>
      <c r="G6" s="198"/>
    </row>
    <row r="7" spans="2:8" s="37" customFormat="1">
      <c r="B7" s="56" t="s">
        <v>50</v>
      </c>
      <c r="C7" s="57" t="s">
        <v>2</v>
      </c>
      <c r="D7" s="171">
        <f>'STPIS inputs'!$D$5</f>
        <v>917124707.58155513</v>
      </c>
      <c r="E7" s="171">
        <f>'STPIS inputs'!$D$5</f>
        <v>917124707.58155513</v>
      </c>
      <c r="F7" s="171">
        <f>'STPIS inputs'!$D$5</f>
        <v>917124707.58155513</v>
      </c>
      <c r="G7" s="199"/>
    </row>
    <row r="8" spans="2:8" s="37" customFormat="1" ht="13">
      <c r="B8" s="56" t="s">
        <v>3</v>
      </c>
      <c r="C8" s="57" t="s">
        <v>67</v>
      </c>
      <c r="D8" s="172">
        <f>+'Annual performance and targets'!I30</f>
        <v>0.69936570247499996</v>
      </c>
      <c r="E8" s="172">
        <f>+'Annual performance and targets'!I31</f>
        <v>0.99215970665000008</v>
      </c>
      <c r="F8" s="172">
        <f>+'Annual performance and targets'!I32</f>
        <v>2.1443767824750002</v>
      </c>
      <c r="G8" s="200"/>
    </row>
    <row r="9" spans="2:8" s="37" customFormat="1" ht="13">
      <c r="B9" s="56" t="s">
        <v>4</v>
      </c>
      <c r="C9" s="57" t="s">
        <v>68</v>
      </c>
      <c r="D9" s="172">
        <f>+'Annual performance and targets'!R30</f>
        <v>55.304275474330076</v>
      </c>
      <c r="E9" s="172">
        <f>+'Annual performance and targets'!R31</f>
        <v>87.194095062125001</v>
      </c>
      <c r="F9" s="172">
        <f>+'Annual performance and targets'!R32</f>
        <v>196.23614133884999</v>
      </c>
      <c r="G9" s="200"/>
    </row>
    <row r="10" spans="2:8" s="37" customFormat="1">
      <c r="B10" s="56" t="s">
        <v>128</v>
      </c>
      <c r="C10" s="57" t="s">
        <v>127</v>
      </c>
      <c r="D10" s="172">
        <f>'Annual performance and targets'!AA30</f>
        <v>1.084493303725</v>
      </c>
      <c r="E10" s="172">
        <f>'Annual performance and targets'!AA31</f>
        <v>1.682262234075</v>
      </c>
      <c r="F10" s="172">
        <f>'Annual performance and targets'!AA32</f>
        <v>2.8578499176499998</v>
      </c>
      <c r="G10" s="200"/>
    </row>
    <row r="11" spans="2:8" s="37" customFormat="1" ht="13">
      <c r="B11" s="56" t="s">
        <v>57</v>
      </c>
      <c r="C11" s="57" t="s">
        <v>69</v>
      </c>
      <c r="D11" s="83">
        <f>$J$50</f>
        <v>1.5</v>
      </c>
      <c r="E11" s="83">
        <f>$J$50</f>
        <v>1.5</v>
      </c>
      <c r="F11" s="83">
        <f>$J$50</f>
        <v>1.5</v>
      </c>
      <c r="G11" s="201"/>
    </row>
    <row r="12" spans="2:8" s="37" customFormat="1">
      <c r="B12" s="56" t="s">
        <v>54</v>
      </c>
      <c r="C12" s="57" t="s">
        <v>5</v>
      </c>
      <c r="D12" s="169">
        <f>'STPIS inputs'!$D$13</f>
        <v>2.1567217828901697E-3</v>
      </c>
      <c r="E12" s="169">
        <f>'STPIS inputs'!$D$13</f>
        <v>2.1567217828901697E-3</v>
      </c>
      <c r="F12" s="169">
        <f>'STPIS inputs'!$D$13</f>
        <v>2.1567217828901697E-3</v>
      </c>
      <c r="G12" s="202"/>
    </row>
    <row r="13" spans="2:8" s="37" customFormat="1">
      <c r="B13" s="56" t="s">
        <v>18</v>
      </c>
      <c r="C13" s="57"/>
      <c r="D13" s="84">
        <f>((D5*(1+D12)*(1-(1/(1+D11)))*D6)/D7)/(365.25*24*60)*100</f>
        <v>2.3510888571357434E-2</v>
      </c>
      <c r="E13" s="84">
        <f t="shared" ref="E13:F13" si="0">((E5*(1+E12)*(1-(1/(1+E11)))*E6)/E7)/(365.25*24*60)*100</f>
        <v>2.1557708333688214E-2</v>
      </c>
      <c r="F13" s="84">
        <f t="shared" si="0"/>
        <v>1.4396510314863343E-2</v>
      </c>
      <c r="G13" s="224"/>
    </row>
    <row r="14" spans="2:8" s="37" customFormat="1">
      <c r="B14" s="56" t="s">
        <v>19</v>
      </c>
      <c r="C14" s="57"/>
      <c r="D14" s="84">
        <f>((((((D5*(1+D12))/(1+D11))*D6))/D7)/(365.25*24*60))*(D9/D8)*100</f>
        <v>1.239458987475021</v>
      </c>
      <c r="E14" s="84">
        <f t="shared" ref="E14:F14" si="1">((((((E5*(1+E12))/(1+E11))*E6))/E7)/(365.25*24*60))*(E9/E8)*100</f>
        <v>1.2630391775103398</v>
      </c>
      <c r="F14" s="84">
        <f t="shared" si="1"/>
        <v>0.8783020024037127</v>
      </c>
      <c r="G14" s="224"/>
    </row>
    <row r="15" spans="2:8" s="37" customFormat="1">
      <c r="B15" s="56" t="s">
        <v>136</v>
      </c>
      <c r="C15" s="57"/>
      <c r="D15" s="84">
        <f>D14*$O$55</f>
        <v>9.9156718998001686E-2</v>
      </c>
      <c r="E15" s="84">
        <f>E14*$O$55</f>
        <v>0.10104313420082718</v>
      </c>
      <c r="F15" s="84">
        <f>F14*$O$55</f>
        <v>7.0264160192297018E-2</v>
      </c>
      <c r="G15" s="224"/>
    </row>
    <row r="18" spans="2:3">
      <c r="C18" s="165"/>
    </row>
    <row r="19" spans="2:3">
      <c r="C19" s="165"/>
    </row>
    <row r="21" spans="2:3">
      <c r="B21" s="166"/>
    </row>
    <row r="22" spans="2:3">
      <c r="B22" s="166"/>
    </row>
    <row r="24" spans="2:3">
      <c r="B24" s="167"/>
    </row>
    <row r="25" spans="2:3">
      <c r="B25" s="166"/>
    </row>
    <row r="26" spans="2:3">
      <c r="B26" s="168"/>
    </row>
    <row r="50" spans="10:15">
      <c r="J50" s="205">
        <v>1.5</v>
      </c>
    </row>
    <row r="55" spans="10:15">
      <c r="O55" s="206">
        <v>0.08</v>
      </c>
    </row>
  </sheetData>
  <mergeCells count="1">
    <mergeCell ref="G13:G15"/>
  </mergeCells>
  <hyperlinks>
    <hyperlink ref="H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796875" defaultRowHeight="14"/>
  <cols>
    <col min="1" max="2" width="9.1796875" style="31"/>
    <col min="3" max="3" width="17" style="31" bestFit="1" customWidth="1"/>
    <col min="4" max="16384" width="9.1796875" style="31"/>
  </cols>
  <sheetData>
    <row r="1" spans="1:34" s="30" customFormat="1">
      <c r="A1" s="27"/>
      <c r="B1" s="7" t="s">
        <v>32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0.5">
      <c r="B3" s="15" t="s">
        <v>47</v>
      </c>
      <c r="C3" s="16" t="s">
        <v>33</v>
      </c>
      <c r="D3" s="16" t="s">
        <v>34</v>
      </c>
      <c r="E3" s="17"/>
      <c r="F3" s="18"/>
      <c r="G3" s="19"/>
      <c r="H3" s="14"/>
    </row>
    <row r="4" spans="1:34" s="9" customFormat="1" ht="10">
      <c r="B4" s="10"/>
      <c r="D4" s="9" t="s">
        <v>35</v>
      </c>
      <c r="E4" s="11"/>
      <c r="F4" s="12"/>
      <c r="G4" s="13"/>
      <c r="H4" s="14"/>
    </row>
    <row r="5" spans="1:34" s="9" customFormat="1" ht="10">
      <c r="B5" s="26">
        <v>45168</v>
      </c>
      <c r="C5" s="20" t="s">
        <v>43</v>
      </c>
      <c r="D5" s="9" t="s">
        <v>45</v>
      </c>
      <c r="E5" s="11"/>
      <c r="F5" s="12"/>
      <c r="G5" s="13"/>
      <c r="H5" s="14"/>
    </row>
    <row r="6" spans="1:34">
      <c r="B6" s="26">
        <v>45168</v>
      </c>
      <c r="C6" s="20" t="s">
        <v>44</v>
      </c>
      <c r="D6" s="9" t="s">
        <v>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Decision tables</vt:lpstr>
      <vt:lpstr>STPIS inputs</vt:lpstr>
      <vt:lpstr>Cap adjustment</vt:lpstr>
      <vt:lpstr>Annual performance and targets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2025-09-25T02:47:30Z</dcterms:created>
  <dcterms:modified xsi:type="dcterms:W3CDTF">2025-09-25T02:47:35Z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