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25. Post conversion overview/Models/No links/"/>
    </mc:Choice>
  </mc:AlternateContent>
  <xr:revisionPtr revIDLastSave="61" documentId="8_{E3545FDB-B724-4E5E-A185-94E02B7A80D3}" xr6:coauthVersionLast="47" xr6:coauthVersionMax="47" xr10:uidLastSave="{682886BE-3F33-435F-8ACE-4E5E10222842}"/>
  <bookViews>
    <workbookView xWindow="-14100" yWindow="-24120" windowWidth="57840" windowHeight="236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_xlnm._FilterDatabase" localSheetId="2" hidden="1">'Input|Inflation'!$C$8:$I$88</definedName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" l="1"/>
  <c r="S40" i="2"/>
  <c r="S42" i="2" s="1"/>
  <c r="P40" i="2"/>
  <c r="Q40" i="2"/>
  <c r="Q42" i="2" s="1"/>
  <c r="R40" i="2"/>
  <c r="R42" i="2" s="1"/>
  <c r="V22" i="58" l="1"/>
  <c r="K97" i="2" l="1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H73" i="55" l="1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5" i="55"/>
  <c r="V87" i="55" l="1"/>
  <c r="V88" i="55"/>
  <c r="W32" i="53" l="1"/>
  <c r="W14" i="53"/>
  <c r="W15" i="53"/>
  <c r="W16" i="53"/>
  <c r="W17" i="53"/>
  <c r="W18" i="53"/>
  <c r="W19" i="53"/>
  <c r="W20" i="53"/>
  <c r="M93" i="2"/>
  <c r="L93" i="2"/>
  <c r="K93" i="2"/>
  <c r="X93" i="2" s="1"/>
  <c r="J93" i="2"/>
  <c r="V64" i="58"/>
  <c r="V65" i="58"/>
  <c r="V66" i="58"/>
  <c r="V67" i="58"/>
  <c r="V55" i="58"/>
  <c r="V45" i="58" l="1"/>
  <c r="V44" i="58"/>
  <c r="V43" i="58"/>
  <c r="V21" i="58"/>
  <c r="V23" i="58"/>
  <c r="V24" i="58"/>
  <c r="V25" i="58"/>
  <c r="V26" i="58"/>
  <c r="V27" i="58"/>
  <c r="B2" i="55"/>
  <c r="D23" i="60" l="1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91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R37" i="42"/>
  <c r="R43" i="42"/>
  <c r="M43" i="42"/>
  <c r="S46" i="42"/>
  <c r="S8" i="54"/>
  <c r="C49" i="42"/>
  <c r="C50" i="42" s="1"/>
  <c r="C46" i="42"/>
  <c r="C47" i="42" s="1"/>
  <c r="C43" i="42"/>
  <c r="C44" i="42" s="1"/>
  <c r="F40" i="42"/>
  <c r="C40" i="42"/>
  <c r="C41" i="42" s="1"/>
  <c r="C37" i="42"/>
  <c r="C38" i="42" s="1"/>
  <c r="F12" i="42"/>
  <c r="V75" i="2"/>
  <c r="C2" i="58"/>
  <c r="C1" i="58"/>
  <c r="E21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R91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K40" i="42" l="1"/>
  <c r="S91" i="42"/>
  <c r="K31" i="42"/>
  <c r="K19" i="42"/>
  <c r="J91" i="42"/>
  <c r="L106" i="42"/>
  <c r="L40" i="42"/>
  <c r="L107" i="42"/>
  <c r="R21" i="42"/>
  <c r="R40" i="42"/>
  <c r="R23" i="42"/>
  <c r="R75" i="42"/>
  <c r="R16" i="42"/>
  <c r="R10" i="42"/>
  <c r="R31" i="42"/>
  <c r="R12" i="42"/>
  <c r="R49" i="42"/>
  <c r="R33" i="42"/>
  <c r="R46" i="42"/>
  <c r="R19" i="42"/>
  <c r="S75" i="42"/>
  <c r="S31" i="42"/>
  <c r="T107" i="42"/>
  <c r="S23" i="60" s="1"/>
  <c r="S16" i="42"/>
  <c r="S10" i="42"/>
  <c r="S14" i="42"/>
  <c r="M14" i="42"/>
  <c r="J34" i="58"/>
  <c r="M12" i="42"/>
  <c r="P21" i="42"/>
  <c r="P14" i="42"/>
  <c r="P23" i="42"/>
  <c r="P16" i="42"/>
  <c r="P43" i="42"/>
  <c r="F17" i="44"/>
  <c r="T75" i="42"/>
  <c r="T106" i="42"/>
  <c r="L37" i="42"/>
  <c r="S12" i="42"/>
  <c r="K106" i="42"/>
  <c r="L75" i="42"/>
  <c r="L46" i="42"/>
  <c r="L16" i="42"/>
  <c r="S49" i="42"/>
  <c r="S33" i="42"/>
  <c r="K12" i="42"/>
  <c r="L19" i="42"/>
  <c r="K105" i="42"/>
  <c r="L91" i="42"/>
  <c r="S40" i="42"/>
  <c r="K49" i="42"/>
  <c r="L49" i="42"/>
  <c r="S19" i="42"/>
  <c r="L23" i="42"/>
  <c r="R14" i="42"/>
  <c r="S37" i="42"/>
  <c r="L43" i="42"/>
  <c r="L10" i="42"/>
  <c r="R10" i="53"/>
  <c r="R22" i="53" s="1"/>
  <c r="S21" i="42"/>
  <c r="S35" i="42"/>
  <c r="L12" i="42"/>
  <c r="L105" i="42"/>
  <c r="K91" i="42"/>
  <c r="K16" i="42"/>
  <c r="S23" i="42"/>
  <c r="T105" i="42"/>
  <c r="K107" i="42"/>
  <c r="S43" i="42"/>
  <c r="O21" i="42"/>
  <c r="O43" i="42"/>
  <c r="O12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91" i="42"/>
  <c r="O46" i="42"/>
  <c r="O37" i="42"/>
  <c r="O19" i="42"/>
  <c r="O49" i="42"/>
  <c r="O23" i="42"/>
  <c r="O16" i="42"/>
  <c r="T24" i="2"/>
  <c r="O75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37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O22" i="53" s="1"/>
  <c r="T10" i="53"/>
  <c r="T22" i="53" s="1"/>
  <c r="O26" i="53"/>
  <c r="O34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J75" i="42"/>
  <c r="M113" i="2"/>
  <c r="M117" i="2" s="1"/>
  <c r="J14" i="2"/>
  <c r="L14" i="2"/>
  <c r="N10" i="58"/>
  <c r="N28" i="42" s="1"/>
  <c r="Q12" i="42"/>
  <c r="Q9" i="60"/>
  <c r="J103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07" i="42"/>
  <c r="M36" i="2"/>
  <c r="M47" i="2" s="1"/>
  <c r="J10" i="2"/>
  <c r="J12" i="2" s="1"/>
  <c r="J12" i="42"/>
  <c r="Q19" i="42"/>
  <c r="J21" i="42"/>
  <c r="J61" i="58"/>
  <c r="N9" i="60"/>
  <c r="J106" i="42"/>
  <c r="Q10" i="42"/>
  <c r="J40" i="42"/>
  <c r="Q31" i="42"/>
  <c r="L49" i="2"/>
  <c r="L60" i="2" s="1"/>
  <c r="Q21" i="42"/>
  <c r="J23" i="42"/>
  <c r="M9" i="60"/>
  <c r="M22" i="60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2" i="53" s="1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L68" i="42" l="1" a="1"/>
  <c r="L68" i="42" s="1"/>
  <c r="V54" i="58"/>
  <c r="V53" i="58"/>
  <c r="W30" i="53"/>
  <c r="W31" i="53"/>
  <c r="W29" i="53"/>
  <c r="V20" i="58"/>
  <c r="V52" i="58"/>
  <c r="J22" i="53"/>
  <c r="W22" i="53" s="1"/>
  <c r="W12" i="53"/>
  <c r="W28" i="53"/>
  <c r="W13" i="53"/>
  <c r="J28" i="42"/>
  <c r="V63" i="58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4" i="53"/>
  <c r="O9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22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M61" i="42" s="1"/>
  <c r="M62" i="42" s="1" a="1"/>
  <c r="M62" i="42" s="1"/>
  <c r="O109" i="2"/>
  <c r="O107" i="2"/>
  <c r="O108" i="2"/>
  <c r="O106" i="2"/>
  <c r="N61" i="42" s="1"/>
  <c r="N70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S1" i="58" l="1"/>
  <c r="G12" i="16" s="1"/>
  <c r="P70" i="42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K29" i="42" l="1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26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L13" i="60" l="1"/>
  <c r="L14" i="60"/>
  <c r="M13" i="60"/>
  <c r="M14" i="60"/>
  <c r="P13" i="60"/>
  <c r="O13" i="60"/>
  <c r="R13" i="60"/>
  <c r="N13" i="60"/>
  <c r="Q13" i="60"/>
  <c r="Q14" i="60"/>
  <c r="R14" i="60"/>
  <c r="P14" i="60"/>
  <c r="O14" i="60"/>
  <c r="N14" i="60"/>
  <c r="L99" i="42"/>
  <c r="S87" i="42"/>
  <c r="R20" i="60" s="1"/>
  <c r="Q99" i="42"/>
  <c r="S52" i="42"/>
  <c r="S54" i="42" s="1"/>
  <c r="P52" i="42"/>
  <c r="P54" i="42" s="1"/>
  <c r="T99" i="42"/>
  <c r="Q52" i="42"/>
  <c r="Q54" i="42" s="1"/>
  <c r="R52" i="42"/>
  <c r="R54" i="42" s="1"/>
  <c r="K52" i="42"/>
  <c r="K54" i="42" s="1"/>
  <c r="R99" i="42"/>
  <c r="N87" i="42"/>
  <c r="M20" i="60" s="1"/>
  <c r="O87" i="42"/>
  <c r="N20" i="60" s="1"/>
  <c r="J99" i="42"/>
  <c r="J52" i="42"/>
  <c r="K99" i="42"/>
  <c r="N99" i="42"/>
  <c r="M21" i="60" s="1"/>
  <c r="S99" i="42"/>
  <c r="O99" i="42"/>
  <c r="N21" i="60" s="1"/>
  <c r="M99" i="42"/>
  <c r="L21" i="60" s="1"/>
  <c r="M16" i="44"/>
  <c r="Q87" i="42"/>
  <c r="P20" i="60" s="1"/>
  <c r="O14" i="44"/>
  <c r="M87" i="42"/>
  <c r="L20" i="60" s="1"/>
  <c r="J87" i="42"/>
  <c r="L87" i="42"/>
  <c r="K87" i="42"/>
  <c r="P87" i="42"/>
  <c r="O20" i="60" s="1"/>
  <c r="T87" i="42"/>
  <c r="R87" i="42"/>
  <c r="Q20" i="60" s="1"/>
  <c r="P99" i="42"/>
  <c r="R21" i="60" l="1"/>
  <c r="P21" i="60"/>
  <c r="Q21" i="60"/>
  <c r="O21" i="60"/>
  <c r="J54" i="42"/>
  <c r="U13" i="60"/>
  <c r="U14" i="60"/>
  <c r="U20" i="60"/>
  <c r="AA20" i="60" s="1"/>
  <c r="U21" i="60" l="1"/>
  <c r="Z21" i="60" s="1"/>
  <c r="AA13" i="60"/>
  <c r="Z13" i="60"/>
  <c r="Z14" i="60"/>
  <c r="AA14" i="60"/>
  <c r="Z20" i="60"/>
  <c r="AA21" i="60" l="1"/>
  <c r="I71" i="55" l="1"/>
  <c r="V71" i="55" s="1"/>
  <c r="I72" i="55" l="1"/>
  <c r="V72" i="55" s="1"/>
  <c r="I75" i="55" l="1"/>
  <c r="V75" i="55" s="1"/>
  <c r="I73" i="55"/>
  <c r="V73" i="55" s="1"/>
  <c r="I74" i="55"/>
  <c r="L12" i="2" s="1"/>
  <c r="L16" i="2" l="1"/>
  <c r="L26" i="2" s="1"/>
  <c r="L17" i="2"/>
  <c r="L27" i="2" s="1"/>
  <c r="L28" i="2"/>
  <c r="K18" i="2"/>
  <c r="V74" i="55"/>
  <c r="J18" i="2" l="1"/>
  <c r="J28" i="2" s="1"/>
  <c r="K28" i="2"/>
  <c r="M31" i="42" l="1"/>
  <c r="M33" i="42" l="1"/>
  <c r="M52" i="42" s="1"/>
  <c r="M35" i="42"/>
  <c r="M54" i="42" l="1"/>
  <c r="H76" i="55" l="1"/>
  <c r="I76" i="55" s="1"/>
  <c r="V76" i="55" s="1"/>
  <c r="H77" i="55"/>
  <c r="I77" i="55" s="1"/>
  <c r="V77" i="55" s="1"/>
  <c r="H78" i="55"/>
  <c r="H82" i="55" s="1"/>
  <c r="I82" i="55" l="1"/>
  <c r="H86" i="55"/>
  <c r="I78" i="55"/>
  <c r="M12" i="2" s="1"/>
  <c r="M17" i="2" l="1"/>
  <c r="M27" i="2" s="1"/>
  <c r="M16" i="2"/>
  <c r="M26" i="2" s="1"/>
  <c r="M18" i="2"/>
  <c r="M28" i="2" s="1"/>
  <c r="M29" i="2"/>
  <c r="L19" i="2"/>
  <c r="V82" i="55"/>
  <c r="N12" i="2"/>
  <c r="V78" i="55"/>
  <c r="I86" i="55"/>
  <c r="V86" i="55" s="1"/>
  <c r="K19" i="2" l="1"/>
  <c r="L29" i="2"/>
  <c r="N30" i="2"/>
  <c r="N16" i="2"/>
  <c r="M20" i="2"/>
  <c r="N19" i="2"/>
  <c r="N18" i="2"/>
  <c r="N17" i="2"/>
  <c r="K29" i="2" l="1"/>
  <c r="J19" i="2"/>
  <c r="J29" i="2" s="1"/>
  <c r="N26" i="2"/>
  <c r="N27" i="2"/>
  <c r="N28" i="2"/>
  <c r="N29" i="2"/>
  <c r="L20" i="2"/>
  <c r="M30" i="2"/>
  <c r="L30" i="2" l="1"/>
  <c r="K20" i="2"/>
  <c r="J20" i="2" l="1"/>
  <c r="J30" i="2" s="1"/>
  <c r="K30" i="2"/>
  <c r="H80" i="55" l="1"/>
  <c r="I80" i="55" s="1"/>
  <c r="V80" i="55" s="1"/>
  <c r="H84" i="55" l="1"/>
  <c r="H83" i="55" s="1"/>
  <c r="H81" i="55"/>
  <c r="I81" i="55" s="1"/>
  <c r="V81" i="55" s="1"/>
  <c r="H85" i="55"/>
  <c r="H79" i="55"/>
  <c r="I79" i="55" s="1"/>
  <c r="V79" i="55" s="1"/>
  <c r="H88" i="55"/>
  <c r="I84" i="55" l="1"/>
  <c r="O12" i="2" s="1"/>
  <c r="O16" i="2" s="1"/>
  <c r="I85" i="55"/>
  <c r="V85" i="55" s="1"/>
  <c r="V84" i="55"/>
  <c r="P12" i="2"/>
  <c r="H87" i="55"/>
  <c r="I87" i="55" s="1"/>
  <c r="I88" i="55"/>
  <c r="I83" i="55"/>
  <c r="V83" i="55" s="1"/>
  <c r="V1" i="55" s="1"/>
  <c r="G11" i="16" s="1"/>
  <c r="O20" i="2" l="1"/>
  <c r="O30" i="2" s="1"/>
  <c r="N21" i="2"/>
  <c r="O31" i="2"/>
  <c r="O26" i="2"/>
  <c r="O18" i="2"/>
  <c r="O28" i="2" s="1"/>
  <c r="O19" i="2"/>
  <c r="O29" i="2" s="1"/>
  <c r="O17" i="2"/>
  <c r="O27" i="2" s="1"/>
  <c r="P21" i="2"/>
  <c r="P31" i="2" s="1"/>
  <c r="O22" i="2"/>
  <c r="P32" i="2"/>
  <c r="P20" i="2"/>
  <c r="P30" i="2" s="1"/>
  <c r="P16" i="2"/>
  <c r="P17" i="2"/>
  <c r="P27" i="2" s="1"/>
  <c r="P19" i="2"/>
  <c r="P29" i="2" s="1"/>
  <c r="P18" i="2"/>
  <c r="P28" i="2" s="1"/>
  <c r="M21" i="2" l="1"/>
  <c r="N31" i="2"/>
  <c r="O32" i="2"/>
  <c r="N22" i="2"/>
  <c r="O20" i="42"/>
  <c r="O13" i="42"/>
  <c r="O26" i="42" s="1"/>
  <c r="P26" i="2"/>
  <c r="S24" i="42"/>
  <c r="N22" i="42"/>
  <c r="M15" i="42"/>
  <c r="P15" i="42"/>
  <c r="N24" i="42"/>
  <c r="Q22" i="42"/>
  <c r="R17" i="42"/>
  <c r="J22" i="42"/>
  <c r="O15" i="42"/>
  <c r="O17" i="42"/>
  <c r="J15" i="42"/>
  <c r="S17" i="42"/>
  <c r="T22" i="42"/>
  <c r="M22" i="42"/>
  <c r="L24" i="42"/>
  <c r="O22" i="42"/>
  <c r="K22" i="42"/>
  <c r="L15" i="42"/>
  <c r="Q15" i="42"/>
  <c r="R22" i="42"/>
  <c r="O24" i="42"/>
  <c r="T15" i="42"/>
  <c r="P17" i="42"/>
  <c r="S22" i="42"/>
  <c r="N17" i="42"/>
  <c r="K24" i="42"/>
  <c r="M17" i="42"/>
  <c r="T24" i="42"/>
  <c r="N15" i="42"/>
  <c r="Q24" i="42"/>
  <c r="R15" i="42"/>
  <c r="K15" i="42"/>
  <c r="J17" i="42"/>
  <c r="R24" i="42"/>
  <c r="L22" i="42"/>
  <c r="T17" i="42"/>
  <c r="L17" i="42"/>
  <c r="P22" i="42"/>
  <c r="S15" i="42"/>
  <c r="K17" i="42"/>
  <c r="J24" i="42"/>
  <c r="M24" i="42"/>
  <c r="P24" i="42"/>
  <c r="Q17" i="42"/>
  <c r="L31" i="42" l="1"/>
  <c r="L21" i="2"/>
  <c r="M31" i="2"/>
  <c r="N31" i="42"/>
  <c r="O31" i="42"/>
  <c r="M22" i="2"/>
  <c r="N32" i="2"/>
  <c r="N20" i="42"/>
  <c r="N13" i="42"/>
  <c r="N26" i="42" s="1"/>
  <c r="L15" i="60" l="1"/>
  <c r="M15" i="60"/>
  <c r="N15" i="60"/>
  <c r="K21" i="2"/>
  <c r="L31" i="2"/>
  <c r="M13" i="42"/>
  <c r="M26" i="42" s="1"/>
  <c r="M20" i="42"/>
  <c r="L22" i="2"/>
  <c r="M32" i="2"/>
  <c r="Q15" i="60"/>
  <c r="P15" i="60"/>
  <c r="R15" i="60"/>
  <c r="O15" i="60"/>
  <c r="U15" i="60" l="1"/>
  <c r="AA15" i="60" s="1"/>
  <c r="J21" i="2"/>
  <c r="J31" i="2" s="1"/>
  <c r="K31" i="2"/>
  <c r="L20" i="42"/>
  <c r="L13" i="42"/>
  <c r="L26" i="42" s="1"/>
  <c r="K22" i="2"/>
  <c r="L32" i="2"/>
  <c r="Z15" i="60" l="1"/>
  <c r="K20" i="42"/>
  <c r="K13" i="42"/>
  <c r="K26" i="42" s="1"/>
  <c r="J22" i="2"/>
  <c r="J32" i="2" s="1"/>
  <c r="K32" i="2"/>
  <c r="J13" i="42" l="1"/>
  <c r="J26" i="42" s="1"/>
  <c r="J20" i="42"/>
  <c r="L35" i="42" s="1"/>
  <c r="L11" i="60" l="1"/>
  <c r="L33" i="42"/>
  <c r="M11" i="60"/>
  <c r="O35" i="42"/>
  <c r="N35" i="42"/>
  <c r="N16" i="60" s="1"/>
  <c r="N11" i="60"/>
  <c r="N33" i="42"/>
  <c r="N52" i="42" s="1"/>
  <c r="R16" i="60"/>
  <c r="O33" i="42"/>
  <c r="O52" i="42" s="1"/>
  <c r="P11" i="60"/>
  <c r="R11" i="60"/>
  <c r="Q11" i="60"/>
  <c r="O11" i="60"/>
  <c r="L52" i="42" l="1"/>
  <c r="L54" i="42" s="1"/>
  <c r="M16" i="60"/>
  <c r="L16" i="60"/>
  <c r="Q16" i="60"/>
  <c r="O16" i="60"/>
  <c r="P16" i="60"/>
  <c r="N54" i="42"/>
  <c r="N55" i="42" s="1"/>
  <c r="U11" i="60"/>
  <c r="R12" i="60"/>
  <c r="Q12" i="60" l="1"/>
  <c r="O12" i="60"/>
  <c r="P12" i="60"/>
  <c r="N12" i="60"/>
  <c r="L17" i="60"/>
  <c r="L18" i="60"/>
  <c r="M106" i="42"/>
  <c r="M107" i="42" s="1"/>
  <c r="M105" i="42"/>
  <c r="M13" i="44" s="1"/>
  <c r="M19" i="60"/>
  <c r="N106" i="42"/>
  <c r="N107" i="42" s="1"/>
  <c r="M18" i="60"/>
  <c r="M17" i="60"/>
  <c r="N105" i="42"/>
  <c r="N13" i="44" s="1"/>
  <c r="L19" i="60"/>
  <c r="L12" i="60"/>
  <c r="M12" i="60"/>
  <c r="U16" i="60"/>
  <c r="S105" i="42"/>
  <c r="S13" i="44" s="1"/>
  <c r="R18" i="60"/>
  <c r="R19" i="60"/>
  <c r="R17" i="60"/>
  <c r="S106" i="42"/>
  <c r="S107" i="42" s="1"/>
  <c r="R23" i="60" s="1"/>
  <c r="AA16" i="60"/>
  <c r="Z16" i="60"/>
  <c r="Y11" i="60"/>
  <c r="U12" i="60" l="1"/>
  <c r="X13" i="60" s="1"/>
  <c r="AA12" i="60" l="1"/>
  <c r="X12" i="60" s="1"/>
  <c r="X16" i="60"/>
  <c r="Z12" i="60"/>
  <c r="X15" i="60"/>
  <c r="X14" i="60"/>
  <c r="O42" i="53" l="1"/>
  <c r="N22" i="60"/>
  <c r="P42" i="53" l="1"/>
  <c r="O22" i="60"/>
  <c r="Q42" i="53" l="1"/>
  <c r="P22" i="60"/>
  <c r="R42" i="53" l="1"/>
  <c r="W42" i="53" s="1"/>
  <c r="S1" i="53" s="1"/>
  <c r="G14" i="16" s="1"/>
  <c r="S1" i="16" s="1"/>
  <c r="Q22" i="60"/>
  <c r="U22" i="60" s="1"/>
  <c r="Z22" i="60" l="1"/>
  <c r="AA22" i="60"/>
  <c r="V1" i="58"/>
  <c r="V1" i="53"/>
  <c r="X1" i="2"/>
  <c r="V1" i="54"/>
  <c r="W1" i="44"/>
  <c r="V1" i="4"/>
  <c r="Y1" i="60"/>
  <c r="Y1" i="55"/>
  <c r="W1" i="42"/>
  <c r="P105" i="42" l="1"/>
  <c r="R105" i="42"/>
  <c r="Q105" i="42"/>
  <c r="O106" i="42"/>
  <c r="O107" i="42" s="1"/>
  <c r="N23" i="60" s="1"/>
  <c r="R106" i="42"/>
  <c r="R107" i="42" s="1"/>
  <c r="Q23" i="60" s="1"/>
  <c r="Q106" i="42"/>
  <c r="Q107" i="42" s="1"/>
  <c r="P23" i="60" s="1"/>
  <c r="P106" i="42"/>
  <c r="P107" i="42" s="1"/>
  <c r="O23" i="60" s="1"/>
  <c r="N18" i="60"/>
  <c r="N19" i="60"/>
  <c r="N17" i="60"/>
  <c r="Q19" i="60"/>
  <c r="Q17" i="60"/>
  <c r="O18" i="60"/>
  <c r="O19" i="60"/>
  <c r="P17" i="60"/>
  <c r="P19" i="60"/>
  <c r="P18" i="60"/>
  <c r="Q18" i="60"/>
  <c r="O105" i="42"/>
  <c r="O17" i="60"/>
  <c r="P13" i="44" l="1"/>
  <c r="Q13" i="44"/>
  <c r="R13" i="44"/>
  <c r="O13" i="44"/>
  <c r="U17" i="60"/>
  <c r="U18" i="60"/>
  <c r="AA18" i="60" s="1"/>
  <c r="U19" i="60"/>
  <c r="AA19" i="60" s="1"/>
  <c r="U23" i="60"/>
  <c r="Z19" i="60" l="1"/>
  <c r="X22" i="60"/>
  <c r="AA17" i="60"/>
  <c r="X17" i="60" s="1"/>
  <c r="Z17" i="60"/>
  <c r="Z18" i="60"/>
  <c r="X19" i="60"/>
  <c r="X18" i="60"/>
  <c r="V17" i="60"/>
  <c r="X21" i="60"/>
  <c r="X20" i="60"/>
  <c r="V22" i="60"/>
  <c r="V15" i="60"/>
  <c r="V20" i="60"/>
  <c r="V14" i="60"/>
  <c r="Y23" i="60"/>
  <c r="V16" i="60"/>
  <c r="V13" i="60"/>
  <c r="V12" i="60"/>
  <c r="V21" i="60"/>
  <c r="V23" i="60"/>
  <c r="V19" i="60"/>
  <c r="V18" i="60"/>
</calcChain>
</file>

<file path=xl/sharedStrings.xml><?xml version="1.0" encoding="utf-8"?>
<sst xmlns="http://schemas.openxmlformats.org/spreadsheetml/2006/main" count="806" uniqueCount="236">
  <si>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</si>
  <si>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</si>
  <si>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</si>
  <si>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</si>
  <si>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</si>
  <si>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</si>
  <si>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</si>
  <si>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</si>
  <si>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</si>
  <si>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</si>
  <si>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</si>
  <si>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</si>
  <si>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</si>
  <si>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</si>
  <si>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</si>
  <si>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</si>
  <si>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</si>
  <si>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</si>
  <si>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</si>
  <si>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</si>
  <si>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</si>
  <si>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</si>
  <si>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</si>
  <si>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</si>
  <si>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</si>
  <si>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</si>
  <si>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</si>
  <si>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</si>
  <si>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</si>
  <si>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</si>
  <si>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</si>
  <si>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</si>
  <si>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</si>
  <si>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</si>
  <si>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</si>
  <si>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</si>
  <si>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</si>
  <si>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</si>
  <si>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</si>
  <si>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</si>
  <si>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</si>
  <si>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</si>
  <si>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</si>
  <si>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</si>
  <si>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</si>
  <si>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</si>
  <si>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</si>
  <si>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</si>
  <si>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</si>
  <si>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</si>
  <si>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</si>
  <si>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</si>
  <si>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</si>
  <si>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</si>
  <si>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</si>
  <si>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</si>
  <si>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</si>
  <si>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</si>
  <si>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</si>
  <si>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</si>
  <si>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</si>
  <si>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</si>
  <si>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</si>
  <si>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</si>
  <si>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</si>
  <si>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</si>
  <si>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</si>
  <si>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</si>
  <si>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</si>
  <si>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</si>
  <si>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</si>
  <si>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</si>
  <si>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</si>
  <si>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</si>
  <si>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</si>
  <si>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</si>
  <si>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</si>
  <si>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</si>
  <si>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</si>
  <si>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</si>
  <si>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</si>
  <si>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</si>
  <si>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</si>
  <si>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</si>
  <si>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</si>
  <si>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</si>
  <si>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</si>
  <si>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</si>
  <si>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</si>
  <si>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</si>
  <si>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</si>
  <si>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</si>
  <si>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</si>
  <si>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</si>
  <si>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</si>
  <si>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</si>
  <si>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</si>
  <si>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</si>
  <si>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</si>
  <si>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</si>
  <si>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</si>
  <si>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</si>
  <si>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</si>
  <si>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</si>
  <si>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</si>
  <si>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</si>
  <si>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</si>
  <si>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</si>
  <si>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</si>
  <si>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</si>
  <si>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</si>
  <si>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</si>
  <si>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</si>
  <si>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</si>
  <si>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</si>
  <si>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</si>
  <si>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</si>
  <si>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</si>
  <si>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</si>
  <si>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</si>
  <si>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</si>
  <si>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</si>
  <si>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</si>
  <si>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</si>
  <si>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</si>
  <si>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</si>
  <si>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</si>
  <si>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</si>
  <si>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</si>
  <si>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</si>
  <si>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</si>
  <si>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</si>
  <si>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</si>
  <si>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</si>
  <si>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</si>
  <si>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</si>
  <si>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</si>
  <si>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</si>
  <si>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</si>
  <si>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</si>
  <si>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</si>
  <si>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</si>
  <si>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</si>
  <si>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</si>
  <si>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</si>
  <si>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</si>
  <si>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</si>
  <si>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</si>
  <si>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</si>
  <si>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</si>
  <si>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</si>
  <si>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</si>
  <si>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</si>
  <si>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</si>
  <si>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</si>
  <si>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</si>
  <si>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</si>
  <si>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</si>
  <si>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</si>
  <si>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</si>
  <si>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</si>
  <si>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</si>
  <si>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</si>
  <si>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</si>
  <si>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</si>
  <si>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</si>
  <si>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</si>
  <si>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</si>
  <si>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</si>
  <si>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</si>
  <si>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</si>
  <si>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</si>
  <si>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</si>
  <si>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</si>
  <si>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</si>
  <si>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</si>
  <si>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</si>
  <si>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</si>
  <si>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</si>
  <si>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</si>
  <si>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</si>
  <si>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</si>
  <si>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</si>
  <si>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RBA</t>
  </si>
  <si>
    <t>Forecast annual CPI growth</t>
  </si>
  <si>
    <t>Forecast and actual index value</t>
  </si>
  <si>
    <t>Output elasticities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</si>
  <si>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</si>
  <si>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</si>
  <si>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</si>
  <si>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</si>
  <si>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</si>
  <si>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</si>
  <si>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</si>
  <si>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</si>
  <si>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</si>
  <si>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</si>
  <si>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</si>
  <si>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</si>
  <si>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</si>
  <si>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</si>
  <si>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</si>
  <si>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</si>
  <si>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</si>
  <si>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</si>
  <si>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</si>
  <si>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</si>
  <si>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</si>
  <si>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</si>
  <si>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</si>
  <si>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</si>
  <si>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</si>
  <si>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</si>
  <si>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</si>
  <si>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</si>
  <si>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</si>
  <si>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</si>
  <si>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</si>
  <si>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</si>
  <si>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</si>
  <si>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</si>
  <si>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</si>
  <si>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</si>
  <si>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Insurance</t>
  </si>
  <si>
    <t>Zero output grrowth</t>
  </si>
  <si>
    <t>No Growth</t>
  </si>
  <si>
    <t>WPI - forecast 1 - Oxford Economics</t>
  </si>
  <si>
    <t>WPI - forecast 2 - DAE</t>
  </si>
  <si>
    <t>T:\AER\Opex modelling\AER opex models\AER opex model MASTER\[VIC 2026-31 resets Opex Inflation - Master file.xlsm]Input|Inflation</t>
  </si>
  <si>
    <t/>
  </si>
  <si>
    <t>Basslink</t>
  </si>
  <si>
    <t>One off costs</t>
  </si>
  <si>
    <t>Corporate Opex</t>
  </si>
  <si>
    <t>SOCI Cyber</t>
  </si>
  <si>
    <t>IT and OT</t>
  </si>
  <si>
    <t>FCSPS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</si>
</sst>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  <numFmt numFmtId="212" formatCode="0.0;\-0.0;_(&quot;-&quot;_)"/>
    <numFmt numFmtId="213" formatCode="0.0_ ;\-0.0\ "/>
  </numFmts>
  <fonts count="10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rgb="FF3F3F76"/>
      <name val="Arial"/>
      <family val="2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1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4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2" fillId="0" borderId="0"/>
    <xf numFmtId="0" fontId="99" fillId="54" borderId="30" applyNumberFormat="0" applyAlignment="0" applyProtection="0"/>
    <xf numFmtId="0" fontId="100" fillId="55" borderId="30" applyNumberFormat="0" applyAlignment="0" applyProtection="0"/>
    <xf numFmtId="43" fontId="101" fillId="56" borderId="30" applyAlignment="0" applyProtection="0"/>
    <xf numFmtId="0" fontId="1" fillId="0" borderId="0"/>
    <xf numFmtId="0" fontId="102" fillId="0" borderId="0" applyNumberFormat="0" applyFill="0" applyBorder="0" applyAlignment="0" applyProtection="0"/>
  </cellStyleXfs>
  <cellXfs count="223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4" fontId="13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0" fontId="7" fillId="0" borderId="0" xfId="2" applyNumberFormat="1" applyFont="1" applyBorder="1" applyAlignment="1" applyProtection="1">
      <alignment horizontal="center"/>
    </xf>
    <xf numFmtId="176" fontId="7" fillId="0" borderId="0" xfId="0" applyNumberFormat="1" applyFont="1"/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195" fontId="21" fillId="0" borderId="0" xfId="0" applyNumberFormat="1" applyFont="1" applyProtection="1">
      <protection locked="0"/>
    </xf>
    <xf numFmtId="195" fontId="15" fillId="0" borderId="0" xfId="3" applyNumberFormat="1" applyProtection="1">
      <protection locked="0"/>
    </xf>
    <xf numFmtId="193" fontId="7" fillId="0" borderId="0" xfId="0" applyNumberFormat="1" applyFont="1" applyAlignment="1" applyProtection="1">
      <alignment horizontal="center"/>
      <protection locked="0"/>
    </xf>
    <xf numFmtId="0" fontId="79" fillId="39" borderId="4" xfId="0" applyFont="1" applyFill="1" applyBorder="1" applyAlignment="1">
      <alignment vertical="center"/>
    </xf>
    <xf numFmtId="165" fontId="79" fillId="39" borderId="4" xfId="0" applyNumberFormat="1" applyFont="1" applyFill="1" applyBorder="1" applyAlignment="1">
      <alignment horizontal="center" wrapText="1"/>
    </xf>
    <xf numFmtId="168" fontId="76" fillId="0" borderId="0" xfId="0" applyNumberFormat="1" applyFont="1" applyAlignment="1">
      <alignment horizontal="center"/>
    </xf>
    <xf numFmtId="168" fontId="75" fillId="0" borderId="0" xfId="0" applyNumberFormat="1" applyFont="1" applyAlignment="1">
      <alignment horizontal="center"/>
    </xf>
    <xf numFmtId="168" fontId="24" fillId="0" borderId="0" xfId="0" applyNumberFormat="1" applyFont="1"/>
    <xf numFmtId="204" fontId="24" fillId="0" borderId="7" xfId="0" applyNumberFormat="1" applyFont="1" applyBorder="1" applyAlignment="1">
      <alignment horizontal="center"/>
    </xf>
    <xf numFmtId="168" fontId="24" fillId="0" borderId="7" xfId="0" applyNumberFormat="1" applyFont="1" applyBorder="1"/>
    <xf numFmtId="168" fontId="0" fillId="0" borderId="0" xfId="0" applyNumberFormat="1" applyAlignment="1">
      <alignment horizontal="left" indent="1"/>
    </xf>
    <xf numFmtId="174" fontId="24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8" fontId="24" fillId="0" borderId="4" xfId="0" applyNumberFormat="1" applyFont="1" applyBorder="1" applyAlignment="1">
      <alignment horizontal="left"/>
    </xf>
    <xf numFmtId="168" fontId="76" fillId="0" borderId="4" xfId="0" applyNumberFormat="1" applyFont="1" applyBorder="1" applyAlignment="1">
      <alignment horizontal="center"/>
    </xf>
    <xf numFmtId="204" fontId="76" fillId="0" borderId="4" xfId="0" applyNumberFormat="1" applyFont="1" applyBorder="1" applyAlignment="1">
      <alignment horizontal="center"/>
    </xf>
    <xf numFmtId="199" fontId="24" fillId="0" borderId="4" xfId="5" applyNumberFormat="1" applyFont="1" applyBorder="1" applyAlignment="1" applyProtection="1">
      <alignment horizontal="center" vertical="center"/>
    </xf>
    <xf numFmtId="204" fontId="76" fillId="0" borderId="0" xfId="0" applyNumberFormat="1" applyFont="1" applyAlignment="1">
      <alignment horizontal="center"/>
    </xf>
    <xf numFmtId="49" fontId="76" fillId="0" borderId="4" xfId="0" applyNumberFormat="1" applyFont="1" applyBorder="1" applyAlignment="1">
      <alignment horizontal="center"/>
    </xf>
    <xf numFmtId="166" fontId="0" fillId="0" borderId="0" xfId="0" applyNumberFormat="1"/>
    <xf numFmtId="2" fontId="24" fillId="0" borderId="4" xfId="5" applyNumberFormat="1" applyFont="1" applyBorder="1" applyAlignment="1" applyProtection="1">
      <alignment horizontal="center" vertical="center"/>
    </xf>
    <xf numFmtId="204" fontId="24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Border="1" applyAlignment="1">
      <alignment horizontal="left" indent="1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 applyAlignment="1">
      <alignment horizontal="center" vertical="center"/>
    </xf>
    <xf numFmtId="0" fontId="75" fillId="39" borderId="4" xfId="0" applyFont="1" applyFill="1" applyBorder="1" applyAlignment="1">
      <alignment vertical="center"/>
    </xf>
    <xf numFmtId="168" fontId="0" fillId="3" borderId="0" xfId="0" applyNumberFormat="1" applyFill="1"/>
    <xf numFmtId="168" fontId="76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168" fontId="76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68" fontId="76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4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ill="1" applyBorder="1" applyAlignment="1" applyProtection="1">
      <alignment horizontal="left" indent="1"/>
      <protection locked="0"/>
    </xf>
    <xf numFmtId="168" fontId="0" fillId="0" borderId="0" xfId="0" applyNumberForma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6" fillId="0" borderId="0" xfId="0" applyNumberFormat="1" applyFont="1" applyAlignment="1">
      <alignment horizontal="center"/>
    </xf>
    <xf numFmtId="174" fontId="24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5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ill="1" applyBorder="1" applyAlignment="1" applyProtection="1">
      <alignment horizontal="left" indent="1"/>
      <protection locked="0"/>
    </xf>
    <xf numFmtId="168" fontId="0" fillId="41" borderId="3" xfId="0" applyNumberFormat="1" applyFill="1" applyBorder="1" applyAlignment="1" applyProtection="1">
      <alignment horizontal="left" indent="1"/>
      <protection locked="0"/>
    </xf>
    <xf numFmtId="0" fontId="2" fillId="0" borderId="0" xfId="305"/>
    <xf numFmtId="0" fontId="95" fillId="0" borderId="0" xfId="305" applyFont="1"/>
    <xf numFmtId="0" fontId="95" fillId="0" borderId="0" xfId="305" applyFont="1" applyAlignment="1">
      <alignment horizontal="right"/>
    </xf>
    <xf numFmtId="0" fontId="13" fillId="0" borderId="0" xfId="305" applyFont="1" applyAlignment="1">
      <alignment horizontal="right"/>
    </xf>
    <xf numFmtId="10" fontId="9" fillId="0" borderId="0" xfId="2" applyNumberFormat="1" applyFont="1" applyAlignment="1" applyProtection="1">
      <alignment horizontal="center"/>
    </xf>
    <xf numFmtId="210" fontId="9" fillId="0" borderId="0" xfId="0" applyNumberFormat="1" applyFont="1" applyAlignment="1">
      <alignment horizontal="center"/>
    </xf>
    <xf numFmtId="0" fontId="97" fillId="0" borderId="0" xfId="305" applyFont="1" applyAlignment="1">
      <alignment horizontal="right"/>
    </xf>
    <xf numFmtId="166" fontId="2" fillId="0" borderId="0" xfId="305" applyNumberFormat="1"/>
    <xf numFmtId="2" fontId="2" fillId="0" borderId="0" xfId="305" applyNumberFormat="1"/>
    <xf numFmtId="43" fontId="95" fillId="0" borderId="0" xfId="305" applyNumberFormat="1" applyFont="1" applyAlignment="1">
      <alignment horizontal="right"/>
    </xf>
    <xf numFmtId="0" fontId="16" fillId="0" borderId="0" xfId="305" applyFont="1"/>
    <xf numFmtId="166" fontId="2" fillId="0" borderId="0" xfId="6" applyFont="1"/>
    <xf numFmtId="43" fontId="2" fillId="0" borderId="0" xfId="305" applyNumberFormat="1"/>
    <xf numFmtId="0" fontId="98" fillId="0" borderId="0" xfId="305" applyFont="1"/>
    <xf numFmtId="0" fontId="15" fillId="0" borderId="0" xfId="3" applyFill="1"/>
    <xf numFmtId="168" fontId="15" fillId="0" borderId="0" xfId="3" applyNumberFormat="1" applyAlignment="1" applyProtection="1">
      <protection locked="0"/>
    </xf>
    <xf numFmtId="0" fontId="73" fillId="38" borderId="0" xfId="0" applyFont="1" applyFill="1" applyProtection="1">
      <protection locked="0"/>
    </xf>
    <xf numFmtId="0" fontId="15" fillId="38" borderId="0" xfId="3" applyFill="1" applyBorder="1" applyAlignment="1" applyProtection="1">
      <alignment horizontal="right"/>
      <protection locked="0"/>
    </xf>
    <xf numFmtId="168" fontId="15" fillId="0" borderId="0" xfId="3" applyNumberFormat="1" applyAlignment="1" applyProtection="1">
      <alignment horizontal="center"/>
      <protection locked="0"/>
    </xf>
    <xf numFmtId="0" fontId="15" fillId="0" borderId="0" xfId="3" applyFill="1" applyProtection="1">
      <protection locked="0"/>
    </xf>
    <xf numFmtId="194" fontId="24" fillId="8" borderId="26" xfId="0" applyNumberFormat="1" applyFont="1" applyFill="1" applyBorder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7" fillId="0" borderId="0" xfId="0" applyNumberFormat="1" applyFont="1" applyAlignment="1">
      <alignment horizontal="center"/>
    </xf>
    <xf numFmtId="193" fontId="7" fillId="53" borderId="3" xfId="0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/>
    <xf numFmtId="43" fontId="16" fillId="55" borderId="30" xfId="307" applyNumberFormat="1" applyFont="1" applyAlignment="1" applyProtection="1">
      <alignment horizontal="center"/>
      <protection locked="0"/>
    </xf>
    <xf numFmtId="49" fontId="99" fillId="54" borderId="30" xfId="306" applyNumberFormat="1" applyAlignment="1" applyProtection="1">
      <alignment horizontal="left" indent="1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43" fontId="101" fillId="56" borderId="30" xfId="308" applyAlignment="1" applyProtection="1">
      <alignment horizontal="center"/>
      <protection locked="0"/>
    </xf>
    <xf numFmtId="212" fontId="7" fillId="0" borderId="0" xfId="2" applyNumberFormat="1" applyFont="1" applyFill="1" applyBorder="1" applyAlignment="1" applyProtection="1">
      <alignment horizontal="center"/>
      <protection locked="0"/>
    </xf>
    <xf numFmtId="213" fontId="7" fillId="0" borderId="0" xfId="2" applyNumberFormat="1" applyFont="1" applyFill="1" applyBorder="1" applyAlignment="1" applyProtection="1">
      <alignment horizontal="center"/>
    </xf>
    <xf numFmtId="195" fontId="7" fillId="0" borderId="0" xfId="0" applyNumberFormat="1" applyFont="1"/>
    <xf numFmtId="195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5" fillId="38" borderId="2" xfId="0" applyFont="1" applyFill="1" applyBorder="1" applyAlignment="1">
      <alignment horizontal="center"/>
    </xf>
  </cellXfs>
  <cellStyles count="311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" xfId="307" builtinId="22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3" xfId="310" xr:uid="{719A73CE-1576-454A-9383-B35735F5F91C}"/>
    <cellStyle name="Hyperlink Arrow" xfId="122" xr:uid="{00000000-0005-0000-0000-000099000000}"/>
    <cellStyle name="Hyperlink Text" xfId="123" xr:uid="{00000000-0005-0000-0000-00009A000000}"/>
    <cellStyle name="Input" xfId="306" builtinId="20"/>
    <cellStyle name="Input 2" xfId="124" xr:uid="{00000000-0005-0000-0000-00009B000000}"/>
    <cellStyle name="Input Comma" xfId="308" xr:uid="{C4984FC4-4497-4031-90C5-D7BC8B30AA64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9" xr:uid="{1C4E2210-B3C2-4498-825E-5EDD67BB1A7C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 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2021–22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2021–22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94.297473891634809</c:v>
                </c:pt>
                <c:pt idx="2">
                  <c:v>94.297473891634809</c:v>
                </c:pt>
                <c:pt idx="3">
                  <c:v>94.297473891634809</c:v>
                </c:pt>
                <c:pt idx="4">
                  <c:v>94.297473891634809</c:v>
                </c:pt>
                <c:pt idx="5">
                  <c:v>40.597024817128997</c:v>
                </c:pt>
                <c:pt idx="6">
                  <c:v>40.597024817128997</c:v>
                </c:pt>
                <c:pt idx="7">
                  <c:v>40.597024817128997</c:v>
                </c:pt>
                <c:pt idx="8">
                  <c:v>40.97430916446757</c:v>
                </c:pt>
                <c:pt idx="9">
                  <c:v>40.97430916446757</c:v>
                </c:pt>
                <c:pt idx="10">
                  <c:v>45.008757164467568</c:v>
                </c:pt>
                <c:pt idx="11">
                  <c:v>106.03345280140891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2021–22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2021–22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94.297473891634809</c:v>
                </c:pt>
                <c:pt idx="12">
                  <c:v>107.74791088697836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2021–22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2021–22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0.67770467111169252</c:v>
                </c:pt>
                <c:pt idx="8">
                  <c:v>0</c:v>
                </c:pt>
                <c:pt idx="9">
                  <c:v>4.0344480000000003</c:v>
                </c:pt>
                <c:pt idx="10">
                  <c:v>61.024695636941345</c:v>
                </c:pt>
                <c:pt idx="11">
                  <c:v>1.714458085569436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2021–22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2021–22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53.700449074505812</c:v>
                </c:pt>
                <c:pt idx="6">
                  <c:v>0</c:v>
                </c:pt>
                <c:pt idx="7">
                  <c:v>0</c:v>
                </c:pt>
                <c:pt idx="8">
                  <c:v>0.30042032377312078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2021-22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3"/>
  <sheetViews>
    <sheetView showGridLines="0" workbookViewId="0">
      <selection activeCell="D33" sqref="D33"/>
    </sheetView>
  </sheetViews>
  <sheetFormatPr defaultColWidth="0" defaultRowHeight="10" zeroHeight="1"/>
  <cols>
    <col min="1" max="2" width="1.44140625" style="8" customWidth="1"/>
    <col min="3" max="3" width="30.6640625" style="8" customWidth="1"/>
    <col min="4" max="4" width="163.6640625" style="8" customWidth="1"/>
    <col min="5" max="5" width="6.44140625" style="8" customWidth="1"/>
    <col min="6" max="6" width="9.33203125" style="8" hidden="1" customWidth="1"/>
    <col min="7" max="14" width="9.664062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222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200" t="s">
        <v>57</v>
      </c>
      <c r="D7" s="8" t="s">
        <v>204</v>
      </c>
    </row>
    <row r="8" spans="1:30">
      <c r="C8" s="200" t="s">
        <v>35</v>
      </c>
      <c r="D8" s="8" t="s">
        <v>91</v>
      </c>
    </row>
    <row r="9" spans="1:30" ht="10.5">
      <c r="C9" s="200" t="s">
        <v>54</v>
      </c>
      <c r="D9" s="8" t="s">
        <v>213</v>
      </c>
    </row>
    <row r="10" spans="1:30">
      <c r="C10" s="200" t="s">
        <v>170</v>
      </c>
      <c r="D10" s="8" t="s">
        <v>205</v>
      </c>
    </row>
    <row r="11" spans="1:30">
      <c r="C11" s="200" t="s">
        <v>56</v>
      </c>
      <c r="D11" s="8" t="s">
        <v>206</v>
      </c>
    </row>
    <row r="12" spans="1:30">
      <c r="C12" s="200" t="s">
        <v>171</v>
      </c>
      <c r="D12" s="8" t="s">
        <v>207</v>
      </c>
    </row>
    <row r="13" spans="1:30">
      <c r="C13" s="200" t="s">
        <v>172</v>
      </c>
      <c r="D13" s="8" t="s">
        <v>208</v>
      </c>
    </row>
    <row r="14" spans="1:30">
      <c r="C14" s="200" t="s">
        <v>212</v>
      </c>
      <c r="D14" s="8" t="s">
        <v>214</v>
      </c>
    </row>
    <row r="15" spans="1:30">
      <c r="C15" s="200" t="s">
        <v>50</v>
      </c>
      <c r="D15" s="8" t="s">
        <v>55</v>
      </c>
    </row>
    <row r="16" spans="1:30">
      <c r="C16" s="200" t="s">
        <v>25</v>
      </c>
      <c r="D16" s="8" t="s">
        <v>209</v>
      </c>
    </row>
    <row r="17" spans="1:30" ht="13">
      <c r="C17" s="10"/>
      <c r="D17" s="7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3" hidden="1">
      <c r="C32" s="10"/>
      <c r="D32" s="7"/>
    </row>
    <row r="33"/>
  </sheetData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>
      <selection activeCell="L15" sqref="L15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664062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1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2" t="s">
        <v>24</v>
      </c>
      <c r="V1" s="29" t="str">
        <f>'Check|List'!$S$1</f>
        <v>Check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230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182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202</v>
      </c>
      <c r="D10" s="16" t="s">
        <v>63</v>
      </c>
      <c r="E10" s="8"/>
      <c r="F10" s="8"/>
      <c r="G10" s="93">
        <v>2022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2022</v>
      </c>
      <c r="H11" s="8"/>
      <c r="I11" s="8"/>
      <c r="S11" s="81" t="str">
        <f t="shared" si="0"/>
        <v>Ok</v>
      </c>
    </row>
    <row r="12" spans="1:30" ht="10.5">
      <c r="C12" s="8" t="s">
        <v>203</v>
      </c>
      <c r="D12" s="16" t="s">
        <v>63</v>
      </c>
      <c r="E12" s="8"/>
      <c r="F12" s="8"/>
      <c r="G12" s="93">
        <v>2026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2027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 ht="10.5">
      <c r="C15" s="8" t="s">
        <v>173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79" priority="1" operator="equal">
      <formula>"Check"</formula>
    </cfRule>
    <cfRule type="cellIs" dxfId="178" priority="2" operator="equal">
      <formula>"Ok"</formula>
    </cfRule>
  </conditionalFormatting>
  <conditionalFormatting sqref="S7:S15">
    <cfRule type="cellIs" dxfId="177" priority="5" operator="equal">
      <formula>"Check"</formula>
    </cfRule>
    <cfRule type="cellIs" dxfId="176" priority="6" operator="equal">
      <formula>"Ok"</formula>
    </cfRule>
  </conditionalFormatting>
  <conditionalFormatting sqref="V1">
    <cfRule type="cellIs" dxfId="175" priority="3" operator="equal">
      <formula>"Check"</formula>
    </cfRule>
    <cfRule type="cellIs" dxfId="174" priority="4" operator="equal">
      <formula>"Ok"</formula>
    </cfRule>
  </conditionalFormatting>
  <conditionalFormatting sqref="W14:W16">
    <cfRule type="cellIs" dxfId="173" priority="13" operator="equal">
      <formula>"Check"</formula>
    </cfRule>
    <cfRule type="cellIs" dxfId="172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topLeftCell="A45" zoomScale="120" zoomScaleNormal="120" workbookViewId="0">
      <selection activeCell="G84" sqref="G84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1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2" t="s">
        <v>24</v>
      </c>
      <c r="Y1" s="29" t="str">
        <f>'Check|List'!$S$1</f>
        <v>Check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184</v>
      </c>
      <c r="H6" s="47" t="s">
        <v>185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183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207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207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207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207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207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207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207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207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207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207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207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207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208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208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208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208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208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208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208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208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208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208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208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208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208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208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208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208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208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208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208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208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208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208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208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208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208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208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208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208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208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208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208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208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208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208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208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208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208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208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208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208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208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208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208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208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208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208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208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208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208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208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208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208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208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208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99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208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208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204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208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208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204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208">
        <v>139.1</v>
      </c>
      <c r="G79" s="110"/>
      <c r="H79" s="117">
        <f>IF(F79="",IF(COUNT(G79:G$88)=0,"",IF(ISBLANK(G79),AVERAGE(H78,H80),(1+G79)*H75)),F79)</f>
        <v>139.1</v>
      </c>
      <c r="I79" s="72">
        <f>IF(H79="","",H79/H75-1)</f>
        <v>2.8085735402808343E-2</v>
      </c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1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208">
        <v>139.4</v>
      </c>
      <c r="G80" s="110"/>
      <c r="H80" s="117">
        <f>IF(F80="",IF(COUNT(G80:G$88)=0,"",IF(ISBLANK(G80),AVERAGE(H79,H81),(1+G80)*H76)),F80)</f>
        <v>139.4</v>
      </c>
      <c r="I80" s="72">
        <f t="shared" ref="I80:I84" si="3">IF(H80="","",H80/H76-1)</f>
        <v>2.4246877296105973E-2</v>
      </c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1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208">
        <v>140.69999999999999</v>
      </c>
      <c r="G81" s="110"/>
      <c r="H81" s="117">
        <f>IF(F81="",IF(COUNT(G81:G$88)=0,"",IF(ISBLANK(G81),AVERAGE(H80,H82),(1+G81)*H77)),F81)</f>
        <v>140.69999999999999</v>
      </c>
      <c r="I81" s="72">
        <f t="shared" si="3"/>
        <v>2.4017467248908186E-2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208">
        <v>141.69999999999999</v>
      </c>
      <c r="G82" s="110"/>
      <c r="H82" s="117">
        <f>IF(F82="",IF(COUNT(G82:G$88)=0,"",IF(ISBLANK(G82),AVERAGE(H81,H83),(1+G82)*H78)),F82)</f>
        <v>141.69999999999999</v>
      </c>
      <c r="I82" s="72">
        <f t="shared" si="3"/>
        <v>2.0893371757924939E-2</v>
      </c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1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208" t="s">
        <v>229</v>
      </c>
      <c r="G83" s="110"/>
      <c r="H83" s="117">
        <f>IF(F83="",IF(COUNT(G83:G$88)=0,"",IF(ISBLANK(G83),AVERAGE(H82,H84),(1+G83)*H79)),F83)</f>
        <v>142.64100000000002</v>
      </c>
      <c r="I83" s="72">
        <f t="shared" si="3"/>
        <v>2.5456506110711929E-2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208" t="s">
        <v>229</v>
      </c>
      <c r="G84" s="110">
        <v>0.03</v>
      </c>
      <c r="H84" s="117">
        <f>IF(F84="",IF(COUNT(G84:G$88)=0,"",IF(ISBLANK(G84),AVERAGE(H83,H85),(1+G84)*H80)),F84)</f>
        <v>143.58200000000002</v>
      </c>
      <c r="I84" s="72">
        <f t="shared" si="3"/>
        <v>3.0000000000000027E-2</v>
      </c>
      <c r="J84" s="220" t="s">
        <v>228</v>
      </c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1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208" t="s">
        <v>229</v>
      </c>
      <c r="G85" s="110"/>
      <c r="H85" s="117">
        <f>IF(F85="",IF(COUNT(G85:G$88)=0,"",IF(ISBLANK(G85),AVERAGE(H84,H86),(1+G85)*H81)),F85)</f>
        <v>144.83735000000001</v>
      </c>
      <c r="I85" s="72">
        <f t="shared" ref="I85:I88" si="4">IF(H85="","",H85/H81-1)</f>
        <v>2.9405472636816032E-2</v>
      </c>
      <c r="J85" s="204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208" t="s">
        <v>229</v>
      </c>
      <c r="G86" s="110">
        <v>3.1E-2</v>
      </c>
      <c r="H86" s="117">
        <f>IF(F86="",IF(COUNT(G86:G$88)=0,"",IF(ISBLANK(G86),AVERAGE(H85,H87),(1+G86)*H82)),F86)</f>
        <v>146.09269999999998</v>
      </c>
      <c r="I86" s="72">
        <f t="shared" si="4"/>
        <v>3.0999999999999917E-2</v>
      </c>
      <c r="J86" s="220" t="s">
        <v>228</v>
      </c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1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208" t="s">
        <v>229</v>
      </c>
      <c r="G87" s="110"/>
      <c r="H87" s="117">
        <f>IF(F87="",IF(COUNT(G87:G$88)=0,"",IF(ISBLANK(G87),AVERAGE(H86,H88),(1+G87)*H83)),F87)</f>
        <v>146.91928899999999</v>
      </c>
      <c r="I87" s="72">
        <f t="shared" si="4"/>
        <v>2.9993403018767184E-2</v>
      </c>
      <c r="J87" s="204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208" t="s">
        <v>229</v>
      </c>
      <c r="G88" s="110">
        <v>2.9000000000000001E-2</v>
      </c>
      <c r="H88" s="117">
        <f>IF(F88="",IF(COUNT(G88:G$88)=0,"",IF(ISBLANK(G88),AVERAGE(H87,H89),(1+G88)*H84)),F88)</f>
        <v>147.745878</v>
      </c>
      <c r="I88" s="72">
        <f t="shared" si="4"/>
        <v>2.8999999999999915E-2</v>
      </c>
      <c r="J88" s="220" t="s">
        <v>228</v>
      </c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1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autoFilter ref="C8:I88" xr:uid="{00000000-0001-0000-0300-000000000000}"/>
  <mergeCells count="6">
    <mergeCell ref="J88:U88"/>
    <mergeCell ref="J79:U79"/>
    <mergeCell ref="J80:U80"/>
    <mergeCell ref="J82:U82"/>
    <mergeCell ref="J84:U84"/>
    <mergeCell ref="J86:U86"/>
  </mergeCells>
  <conditionalFormatting sqref="G21:G88">
    <cfRule type="expression" dxfId="171" priority="1">
      <formula>F21=""</formula>
    </cfRule>
  </conditionalFormatting>
  <conditionalFormatting sqref="V1">
    <cfRule type="cellIs" dxfId="170" priority="6" operator="equal">
      <formula>"Check"</formula>
    </cfRule>
    <cfRule type="cellIs" dxfId="169" priority="7" operator="equal">
      <formula>"Ok"</formula>
    </cfRule>
  </conditionalFormatting>
  <conditionalFormatting sqref="V9:V88">
    <cfRule type="cellIs" dxfId="168" priority="12" operator="equal">
      <formula>"Check"</formula>
    </cfRule>
    <cfRule type="cellIs" dxfId="167" priority="13" operator="equal">
      <formula>"Ok"</formula>
    </cfRule>
  </conditionalFormatting>
  <conditionalFormatting sqref="Y1">
    <cfRule type="cellIs" dxfId="166" priority="8" operator="equal">
      <formula>"Check"</formula>
    </cfRule>
    <cfRule type="cellIs" dxfId="165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115" zoomScaleNormal="115" workbookViewId="0">
      <selection activeCell="J13" sqref="J13"/>
    </sheetView>
  </sheetViews>
  <sheetFormatPr defaultColWidth="0" defaultRowHeight="10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1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Check</v>
      </c>
      <c r="T1" s="29"/>
      <c r="U1" s="202" t="s">
        <v>24</v>
      </c>
      <c r="V1" s="29" t="str">
        <f>'Check|List'!$S$1</f>
        <v>Check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32"/>
      <c r="B8" s="38" t="s">
        <v>215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35"/>
    </row>
    <row r="9" spans="1:22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8"/>
    </row>
    <row r="10" spans="1:22" ht="10.5">
      <c r="A10" s="17"/>
      <c r="B10" s="17"/>
      <c r="C10" s="122" t="s">
        <v>71</v>
      </c>
      <c r="D10" s="121" t="s">
        <v>7</v>
      </c>
      <c r="E10" s="121" t="s">
        <v>8</v>
      </c>
      <c r="F10" s="121" t="s">
        <v>22</v>
      </c>
      <c r="G10" s="121"/>
      <c r="H10" s="121"/>
      <c r="I10" s="120"/>
      <c r="J10" s="123">
        <f t="shared" ref="J10:S10" si="0">IF(YEAR(J$4)&lt;=PPLastYear,J$4,"")</f>
        <v>44713</v>
      </c>
      <c r="K10" s="123">
        <f t="shared" si="0"/>
        <v>45078</v>
      </c>
      <c r="L10" s="123">
        <f t="shared" si="0"/>
        <v>45444</v>
      </c>
      <c r="M10" s="123">
        <f t="shared" si="0"/>
        <v>45809</v>
      </c>
      <c r="N10" s="123">
        <f t="shared" si="0"/>
        <v>46174</v>
      </c>
      <c r="O10" s="123" t="str">
        <f t="shared" si="0"/>
        <v/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/>
      <c r="U10" s="124" t="s">
        <v>51</v>
      </c>
      <c r="V10" s="8"/>
    </row>
    <row r="11" spans="1:22" ht="10.5">
      <c r="A11" s="17"/>
      <c r="B11" s="17"/>
      <c r="C11" s="125"/>
      <c r="D11" s="120"/>
      <c r="E11" s="120"/>
      <c r="F11" s="120"/>
      <c r="G11" s="121"/>
      <c r="H11" s="121"/>
      <c r="I11" s="120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7"/>
      <c r="V11" s="8"/>
    </row>
    <row r="12" spans="1:22" ht="10.5">
      <c r="A12" s="17"/>
      <c r="B12" s="17"/>
      <c r="C12" s="125"/>
      <c r="D12" s="120"/>
      <c r="E12" s="120"/>
      <c r="F12" s="120"/>
      <c r="G12" s="121"/>
      <c r="H12" s="121"/>
      <c r="I12" s="120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7"/>
      <c r="V12" s="8"/>
    </row>
    <row r="13" spans="1:22">
      <c r="A13" s="17"/>
      <c r="B13" s="17"/>
      <c r="C13" s="127" t="s">
        <v>68</v>
      </c>
      <c r="D13" s="120" t="s">
        <v>64</v>
      </c>
      <c r="E13" s="120" t="str">
        <f>units</f>
        <v>$millions</v>
      </c>
      <c r="F13" s="128">
        <f>DATE(PPFirstYear-1,MONTH(month),1)</f>
        <v>44348</v>
      </c>
      <c r="G13" s="121"/>
      <c r="H13" s="121"/>
      <c r="I13" s="120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7" t="s">
        <v>174</v>
      </c>
      <c r="V13" s="64" t="str">
        <f>IF(COUNT(J13:T13)=COUNT($J$10:$T$10),"Ok","Check")</f>
        <v>Check</v>
      </c>
    </row>
    <row r="14" spans="1:22" ht="10.5">
      <c r="A14" s="17"/>
      <c r="B14" s="17"/>
      <c r="C14" s="125"/>
      <c r="D14" s="120"/>
      <c r="E14" s="120"/>
      <c r="F14" s="120"/>
      <c r="G14" s="121"/>
      <c r="H14" s="121"/>
      <c r="I14" s="120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7"/>
      <c r="V14" s="8"/>
    </row>
    <row r="15" spans="1:22" ht="10.5">
      <c r="A15" s="17"/>
      <c r="B15" s="17"/>
      <c r="C15" s="130" t="s">
        <v>68</v>
      </c>
      <c r="D15" s="131" t="str">
        <f>D13</f>
        <v>AER</v>
      </c>
      <c r="E15" s="132" t="str">
        <f>E13</f>
        <v>$millions</v>
      </c>
      <c r="F15" s="132">
        <f>$F$13</f>
        <v>44348</v>
      </c>
      <c r="G15" s="121"/>
      <c r="H15" s="121"/>
      <c r="I15" s="120"/>
      <c r="J15" s="133">
        <f>J13</f>
        <v>0</v>
      </c>
      <c r="K15" s="133">
        <f t="shared" ref="K15:S15" si="1">K13</f>
        <v>0</v>
      </c>
      <c r="L15" s="133">
        <f t="shared" si="1"/>
        <v>0</v>
      </c>
      <c r="M15" s="133">
        <f t="shared" si="1"/>
        <v>0</v>
      </c>
      <c r="N15" s="133">
        <f t="shared" si="1"/>
        <v>0</v>
      </c>
      <c r="O15" s="133">
        <f t="shared" si="1"/>
        <v>0</v>
      </c>
      <c r="P15" s="133">
        <f t="shared" si="1"/>
        <v>0</v>
      </c>
      <c r="Q15" s="133">
        <f t="shared" si="1"/>
        <v>0</v>
      </c>
      <c r="R15" s="133">
        <f t="shared" si="1"/>
        <v>0</v>
      </c>
      <c r="S15" s="133">
        <f t="shared" si="1"/>
        <v>0</v>
      </c>
      <c r="T15" s="133"/>
      <c r="U15" s="17"/>
      <c r="V15" s="8"/>
    </row>
    <row r="16" spans="1:22" ht="10.5">
      <c r="A16" s="17"/>
      <c r="B16" s="17"/>
      <c r="C16" s="125"/>
      <c r="D16" s="120"/>
      <c r="E16" s="120"/>
      <c r="F16" s="120"/>
      <c r="G16" s="121"/>
      <c r="H16" s="121"/>
      <c r="I16" s="120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7"/>
      <c r="V16" s="8"/>
    </row>
    <row r="17" spans="1:22" ht="10.5">
      <c r="A17" s="17"/>
      <c r="B17" s="17"/>
      <c r="C17" s="122" t="s">
        <v>216</v>
      </c>
      <c r="D17" s="120"/>
      <c r="E17" s="120"/>
      <c r="F17" s="120"/>
      <c r="G17" s="121"/>
      <c r="H17" s="121"/>
      <c r="I17" s="120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7"/>
      <c r="V17" s="8"/>
    </row>
    <row r="18" spans="1:22" ht="10.5">
      <c r="A18" s="17"/>
      <c r="B18" s="17"/>
      <c r="C18" s="125"/>
      <c r="D18" s="120"/>
      <c r="E18" s="120"/>
      <c r="F18" s="120"/>
      <c r="G18" s="121"/>
      <c r="H18" s="121"/>
      <c r="I18" s="120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7"/>
      <c r="V18" s="8"/>
    </row>
    <row r="19" spans="1:22">
      <c r="A19" s="17"/>
      <c r="B19" s="17"/>
      <c r="C19" s="127" t="s">
        <v>39</v>
      </c>
      <c r="D19" s="120" t="s">
        <v>64</v>
      </c>
      <c r="E19" s="120" t="str">
        <f t="shared" ref="E19:E27" si="2">units</f>
        <v>$millions</v>
      </c>
      <c r="F19" s="134">
        <f>$F$13</f>
        <v>44348</v>
      </c>
      <c r="G19" s="121"/>
      <c r="H19" s="121"/>
      <c r="I19" s="120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7" t="s">
        <v>217</v>
      </c>
      <c r="V19" s="64" t="str">
        <f>IF(ISBLANK(C19),IF(COUNT(J19:T19)=0,"Ok","Check"),IF(COUNT(J19:T19)=COUNT(J$10:T$10),"Ok","Check"))</f>
        <v>Check</v>
      </c>
    </row>
    <row r="20" spans="1:22">
      <c r="A20" s="17"/>
      <c r="B20" s="17"/>
      <c r="C20" s="127" t="s">
        <v>223</v>
      </c>
      <c r="D20" s="120" t="s">
        <v>64</v>
      </c>
      <c r="E20" s="120" t="str">
        <f t="shared" si="2"/>
        <v>$millions</v>
      </c>
      <c r="F20" s="134">
        <f t="shared" ref="F20:F29" si="3">$F$13</f>
        <v>44348</v>
      </c>
      <c r="G20" s="121"/>
      <c r="H20" s="121"/>
      <c r="I20" s="120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7"/>
      <c r="V20" s="64" t="str">
        <f>IF(ISBLANK(C20),IF(COUNT(J20:T20)=0,"Ok","Check"),IF(COUNT(J20:T20)=COUNT(J$10:T$10),"Ok","Check"))</f>
        <v>Check</v>
      </c>
    </row>
    <row r="21" spans="1:22">
      <c r="A21" s="17"/>
      <c r="B21" s="17"/>
      <c r="C21" s="127"/>
      <c r="D21" s="120" t="s">
        <v>64</v>
      </c>
      <c r="E21" s="120" t="str">
        <f t="shared" si="2"/>
        <v>$millions</v>
      </c>
      <c r="F21" s="134">
        <f t="shared" si="3"/>
        <v>44348</v>
      </c>
      <c r="G21" s="121"/>
      <c r="H21" s="121"/>
      <c r="I21" s="120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7"/>
      <c r="V21" s="64" t="str">
        <f t="shared" ref="V21:V27" si="4">IF(ISBLANK(C21),IF(COUNT(J21:T21)=0,"Ok","Check"),IF(COUNT(J21:T21)=COUNT(J$10:T$10),"Ok","Check"))</f>
        <v>Ok</v>
      </c>
    </row>
    <row r="22" spans="1:22">
      <c r="A22" s="17"/>
      <c r="B22" s="17"/>
      <c r="C22" s="127"/>
      <c r="D22" s="120" t="s">
        <v>64</v>
      </c>
      <c r="E22" s="120" t="str">
        <f t="shared" si="2"/>
        <v>$millions</v>
      </c>
      <c r="F22" s="134">
        <f t="shared" si="3"/>
        <v>44348</v>
      </c>
      <c r="G22" s="121"/>
      <c r="H22" s="121"/>
      <c r="I22" s="12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7"/>
      <c r="V22" s="64" t="str">
        <f>IF(ISBLANK(C22),IF(COUNT(J22:T22)=0,"Ok","Check"),IF(COUNT(J22:T22)=COUNT(J$10:T$10),"Ok","Check"))</f>
        <v>Ok</v>
      </c>
    </row>
    <row r="23" spans="1:22">
      <c r="A23" s="17"/>
      <c r="B23" s="17"/>
      <c r="C23" s="127"/>
      <c r="D23" s="120" t="s">
        <v>64</v>
      </c>
      <c r="E23" s="120" t="str">
        <f t="shared" si="2"/>
        <v>$millions</v>
      </c>
      <c r="F23" s="134">
        <f t="shared" si="3"/>
        <v>44348</v>
      </c>
      <c r="G23" s="121"/>
      <c r="H23" s="121"/>
      <c r="I23" s="12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7"/>
      <c r="V23" s="64" t="str">
        <f t="shared" si="4"/>
        <v>Ok</v>
      </c>
    </row>
    <row r="24" spans="1:22">
      <c r="A24" s="17"/>
      <c r="B24" s="17"/>
      <c r="C24" s="127"/>
      <c r="D24" s="120" t="s">
        <v>64</v>
      </c>
      <c r="E24" s="120" t="str">
        <f t="shared" si="2"/>
        <v>$millions</v>
      </c>
      <c r="F24" s="134">
        <f t="shared" si="3"/>
        <v>44348</v>
      </c>
      <c r="G24" s="121"/>
      <c r="H24" s="121"/>
      <c r="I24" s="120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7"/>
      <c r="V24" s="64" t="str">
        <f t="shared" si="4"/>
        <v>Ok</v>
      </c>
    </row>
    <row r="25" spans="1:22">
      <c r="A25" s="17"/>
      <c r="B25" s="17"/>
      <c r="C25" s="127"/>
      <c r="D25" s="120" t="s">
        <v>64</v>
      </c>
      <c r="E25" s="120" t="str">
        <f t="shared" si="2"/>
        <v>$millions</v>
      </c>
      <c r="F25" s="134">
        <f t="shared" si="3"/>
        <v>44348</v>
      </c>
      <c r="G25" s="121"/>
      <c r="H25" s="121"/>
      <c r="I25" s="120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7"/>
      <c r="V25" s="64" t="str">
        <f t="shared" si="4"/>
        <v>Ok</v>
      </c>
    </row>
    <row r="26" spans="1:22">
      <c r="A26" s="17"/>
      <c r="B26" s="17"/>
      <c r="C26" s="127"/>
      <c r="D26" s="120" t="s">
        <v>64</v>
      </c>
      <c r="E26" s="120" t="str">
        <f t="shared" si="2"/>
        <v>$millions</v>
      </c>
      <c r="F26" s="134">
        <f t="shared" si="3"/>
        <v>44348</v>
      </c>
      <c r="G26" s="121"/>
      <c r="H26" s="121"/>
      <c r="I26" s="120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7"/>
      <c r="V26" s="64" t="str">
        <f t="shared" si="4"/>
        <v>Ok</v>
      </c>
    </row>
    <row r="27" spans="1:22">
      <c r="A27" s="17"/>
      <c r="B27" s="17"/>
      <c r="C27" s="127"/>
      <c r="D27" s="120" t="s">
        <v>64</v>
      </c>
      <c r="E27" s="120" t="str">
        <f t="shared" si="2"/>
        <v>$millions</v>
      </c>
      <c r="F27" s="134">
        <f t="shared" si="3"/>
        <v>44348</v>
      </c>
      <c r="G27" s="121"/>
      <c r="H27" s="121"/>
      <c r="I27" s="12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7"/>
      <c r="V27" s="64" t="str">
        <f t="shared" si="4"/>
        <v>Ok</v>
      </c>
    </row>
    <row r="28" spans="1:22" ht="10.5">
      <c r="A28" s="17"/>
      <c r="B28" s="17"/>
      <c r="C28" s="125"/>
      <c r="D28" s="120"/>
      <c r="E28" s="120"/>
      <c r="F28" s="120"/>
      <c r="G28" s="121"/>
      <c r="H28" s="121"/>
      <c r="I28" s="12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7"/>
      <c r="V28" s="8"/>
    </row>
    <row r="29" spans="1:22" ht="10.5">
      <c r="A29" s="17"/>
      <c r="B29" s="17"/>
      <c r="C29" s="130" t="s">
        <v>145</v>
      </c>
      <c r="D29" s="131" t="s">
        <v>30</v>
      </c>
      <c r="E29" s="135" t="str">
        <f>units</f>
        <v>$millions</v>
      </c>
      <c r="F29" s="132">
        <f t="shared" si="3"/>
        <v>44348</v>
      </c>
      <c r="G29" s="121"/>
      <c r="H29" s="121"/>
      <c r="I29" s="120"/>
      <c r="J29" s="133">
        <f>SUM(J19:J27)</f>
        <v>0</v>
      </c>
      <c r="K29" s="133">
        <f t="shared" ref="K29:S29" si="5">SUM(K19:K27)</f>
        <v>0</v>
      </c>
      <c r="L29" s="133">
        <f t="shared" si="5"/>
        <v>0</v>
      </c>
      <c r="M29" s="133">
        <f t="shared" si="5"/>
        <v>0</v>
      </c>
      <c r="N29" s="133">
        <f t="shared" si="5"/>
        <v>0</v>
      </c>
      <c r="O29" s="133">
        <f t="shared" si="5"/>
        <v>0</v>
      </c>
      <c r="P29" s="133">
        <f t="shared" si="5"/>
        <v>0</v>
      </c>
      <c r="Q29" s="133">
        <f t="shared" si="5"/>
        <v>0</v>
      </c>
      <c r="R29" s="133">
        <f t="shared" si="5"/>
        <v>0</v>
      </c>
      <c r="S29" s="133">
        <f t="shared" si="5"/>
        <v>0</v>
      </c>
      <c r="T29" s="133"/>
      <c r="U29" s="17"/>
      <c r="V29" s="64"/>
    </row>
    <row r="30" spans="1:22">
      <c r="A30" s="17"/>
      <c r="B30" s="17"/>
      <c r="C30" s="17"/>
      <c r="D30" s="120"/>
      <c r="E30" s="120"/>
      <c r="F30" s="120"/>
      <c r="G30" s="121"/>
      <c r="H30" s="121"/>
      <c r="I30" s="1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8"/>
    </row>
    <row r="31" spans="1:22" ht="13">
      <c r="A31" s="32"/>
      <c r="B31" s="38" t="s">
        <v>54</v>
      </c>
      <c r="C31" s="32"/>
      <c r="D31" s="32"/>
      <c r="E31" s="32"/>
      <c r="F31" s="118"/>
      <c r="G31" s="118"/>
      <c r="H31" s="118"/>
      <c r="I31" s="118"/>
      <c r="J31" s="34"/>
      <c r="K31" s="119"/>
      <c r="L31" s="34"/>
      <c r="M31" s="119"/>
      <c r="N31" s="34"/>
      <c r="O31" s="34"/>
      <c r="P31" s="34"/>
      <c r="Q31" s="34"/>
      <c r="R31" s="34"/>
      <c r="S31" s="34"/>
      <c r="T31" s="34"/>
      <c r="U31" s="34"/>
      <c r="V31" s="35"/>
    </row>
    <row r="32" spans="1:22">
      <c r="A32" s="17"/>
      <c r="B32" s="17"/>
      <c r="C32" s="17"/>
      <c r="D32" s="120"/>
      <c r="E32" s="120"/>
      <c r="F32" s="120"/>
      <c r="G32" s="120"/>
      <c r="H32" s="120"/>
      <c r="I32" s="12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8"/>
    </row>
    <row r="33" spans="1:22">
      <c r="A33" s="17"/>
      <c r="B33" s="17"/>
      <c r="C33" s="17"/>
      <c r="D33" s="120"/>
      <c r="E33" s="120"/>
      <c r="F33" s="120"/>
      <c r="G33" s="120"/>
      <c r="H33" s="120"/>
      <c r="I33" s="120"/>
      <c r="J33" s="129" t="s">
        <v>23</v>
      </c>
      <c r="K33" s="129" t="s">
        <v>23</v>
      </c>
      <c r="L33" s="129" t="s">
        <v>23</v>
      </c>
      <c r="M33" s="129" t="s">
        <v>23</v>
      </c>
      <c r="N33" s="129" t="s">
        <v>69</v>
      </c>
      <c r="O33" s="129"/>
      <c r="P33" s="129"/>
      <c r="Q33" s="129"/>
      <c r="R33" s="129"/>
      <c r="S33" s="129"/>
      <c r="T33" s="129"/>
      <c r="U33" s="17"/>
      <c r="V33" s="8"/>
    </row>
    <row r="34" spans="1:22" ht="10.5">
      <c r="A34" s="17"/>
      <c r="B34" s="17"/>
      <c r="C34" s="122" t="s">
        <v>71</v>
      </c>
      <c r="D34" s="121" t="s">
        <v>7</v>
      </c>
      <c r="E34" s="121" t="s">
        <v>8</v>
      </c>
      <c r="F34" s="121" t="s">
        <v>22</v>
      </c>
      <c r="G34" s="121"/>
      <c r="H34" s="121"/>
      <c r="I34" s="121"/>
      <c r="J34" s="123">
        <f t="shared" ref="J34:S34" si="6">IF(YEAR(J$4)&lt;=PPLastYear,J$4,"")</f>
        <v>44713</v>
      </c>
      <c r="K34" s="123">
        <f t="shared" si="6"/>
        <v>45078</v>
      </c>
      <c r="L34" s="123">
        <f t="shared" si="6"/>
        <v>45444</v>
      </c>
      <c r="M34" s="123">
        <f t="shared" si="6"/>
        <v>45809</v>
      </c>
      <c r="N34" s="123">
        <f t="shared" si="6"/>
        <v>46174</v>
      </c>
      <c r="O34" s="123" t="str">
        <f t="shared" si="6"/>
        <v/>
      </c>
      <c r="P34" s="123" t="str">
        <f t="shared" si="6"/>
        <v/>
      </c>
      <c r="Q34" s="123" t="str">
        <f t="shared" si="6"/>
        <v/>
      </c>
      <c r="R34" s="123" t="str">
        <f t="shared" si="6"/>
        <v/>
      </c>
      <c r="S34" s="123" t="str">
        <f t="shared" si="6"/>
        <v/>
      </c>
      <c r="T34" s="123"/>
      <c r="U34" s="124" t="s">
        <v>51</v>
      </c>
      <c r="V34" s="8"/>
    </row>
    <row r="35" spans="1:22">
      <c r="A35" s="17"/>
      <c r="B35" s="17"/>
      <c r="C35" s="125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</row>
    <row r="36" spans="1:22">
      <c r="A36" s="17"/>
      <c r="B36" s="17"/>
      <c r="C36" s="125"/>
      <c r="D36" s="120"/>
      <c r="E36" s="120"/>
      <c r="F36" s="120"/>
      <c r="G36" s="121"/>
      <c r="H36" s="121"/>
      <c r="I36" s="12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</row>
    <row r="37" spans="1:22">
      <c r="A37" s="17"/>
      <c r="B37" s="17"/>
      <c r="C37" s="127" t="s">
        <v>68</v>
      </c>
      <c r="D37" s="120" t="s">
        <v>70</v>
      </c>
      <c r="E37" s="120" t="str">
        <f>units</f>
        <v>$millions</v>
      </c>
      <c r="F37" s="134" t="s">
        <v>95</v>
      </c>
      <c r="G37" s="121"/>
      <c r="H37" s="121"/>
      <c r="I37" s="120"/>
      <c r="J37" s="215">
        <v>21.638725673915921</v>
      </c>
      <c r="K37" s="215">
        <v>51.025071975369436</v>
      </c>
      <c r="L37" s="215">
        <v>36.132483274579727</v>
      </c>
      <c r="M37" s="215">
        <v>44.111189515723332</v>
      </c>
      <c r="N37" s="210"/>
      <c r="O37" s="129"/>
      <c r="P37" s="129"/>
      <c r="Q37" s="129"/>
      <c r="R37" s="129"/>
      <c r="S37" s="129"/>
      <c r="T37" s="129"/>
      <c r="U37" s="17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7"/>
      <c r="B38" s="17"/>
      <c r="C38" s="125"/>
      <c r="D38" s="120"/>
      <c r="E38" s="120"/>
      <c r="F38" s="134"/>
      <c r="G38" s="121"/>
      <c r="H38" s="121"/>
      <c r="I38" s="120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7"/>
      <c r="V38" s="8"/>
    </row>
    <row r="39" spans="1:22" ht="10.5">
      <c r="A39" s="17"/>
      <c r="B39" s="17"/>
      <c r="C39" s="122" t="s">
        <v>158</v>
      </c>
      <c r="D39" s="120"/>
      <c r="E39" s="120"/>
      <c r="F39" s="134"/>
      <c r="G39" s="121"/>
      <c r="H39" s="121"/>
      <c r="I39" s="120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7"/>
      <c r="V39" s="8"/>
    </row>
    <row r="40" spans="1:22" ht="10.5">
      <c r="A40" s="17"/>
      <c r="B40" s="17"/>
      <c r="C40" s="122"/>
      <c r="D40" s="120"/>
      <c r="E40" s="120"/>
      <c r="F40" s="134"/>
      <c r="G40" s="121"/>
      <c r="H40" s="121"/>
      <c r="I40" s="120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7"/>
      <c r="V40" s="8"/>
    </row>
    <row r="41" spans="1:22" ht="14.5">
      <c r="A41" s="17"/>
      <c r="B41" s="17"/>
      <c r="C41" s="211" t="s">
        <v>231</v>
      </c>
      <c r="D41" s="120" t="s">
        <v>70</v>
      </c>
      <c r="E41" s="120" t="str">
        <f>units</f>
        <v>$millions</v>
      </c>
      <c r="F41" s="134" t="s">
        <v>95</v>
      </c>
      <c r="G41" s="121"/>
      <c r="H41" s="121"/>
      <c r="I41" s="120"/>
      <c r="J41" s="215">
        <v>1.8690858999999937</v>
      </c>
      <c r="K41" s="215">
        <v>17.56976453</v>
      </c>
      <c r="L41" s="215">
        <v>0</v>
      </c>
      <c r="M41" s="215">
        <v>0</v>
      </c>
      <c r="N41" s="215"/>
      <c r="O41" s="129"/>
      <c r="P41" s="129"/>
      <c r="Q41" s="129"/>
      <c r="R41" s="129"/>
      <c r="S41" s="129"/>
      <c r="T41" s="129"/>
      <c r="U41" s="17" t="s">
        <v>157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7"/>
      <c r="B42" s="17"/>
      <c r="C42" s="127"/>
      <c r="D42" s="120" t="s">
        <v>70</v>
      </c>
      <c r="E42" s="120" t="str">
        <f>units</f>
        <v>$millions</v>
      </c>
      <c r="F42" s="134" t="s">
        <v>95</v>
      </c>
      <c r="G42" s="121"/>
      <c r="H42" s="121"/>
      <c r="I42" s="120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7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7"/>
      <c r="B43" s="17"/>
      <c r="C43" s="127"/>
      <c r="D43" s="120" t="s">
        <v>70</v>
      </c>
      <c r="E43" s="120" t="str">
        <f>units</f>
        <v>$millions</v>
      </c>
      <c r="F43" s="134" t="s">
        <v>95</v>
      </c>
      <c r="G43" s="121"/>
      <c r="H43" s="121"/>
      <c r="I43" s="120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7"/>
      <c r="V43" s="64" t="str">
        <f t="shared" si="7"/>
        <v>Ok</v>
      </c>
    </row>
    <row r="44" spans="1:22">
      <c r="A44" s="17"/>
      <c r="B44" s="17"/>
      <c r="C44" s="127"/>
      <c r="D44" s="120" t="s">
        <v>70</v>
      </c>
      <c r="E44" s="120" t="str">
        <f>units</f>
        <v>$millions</v>
      </c>
      <c r="F44" s="134" t="s">
        <v>95</v>
      </c>
      <c r="G44" s="121"/>
      <c r="H44" s="121"/>
      <c r="I44" s="120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7"/>
      <c r="V44" s="64" t="str">
        <f t="shared" si="7"/>
        <v>Ok</v>
      </c>
    </row>
    <row r="45" spans="1:22">
      <c r="A45" s="17"/>
      <c r="B45" s="17"/>
      <c r="C45" s="127"/>
      <c r="D45" s="120" t="s">
        <v>70</v>
      </c>
      <c r="E45" s="120" t="str">
        <f>units</f>
        <v>$millions</v>
      </c>
      <c r="F45" s="134" t="s">
        <v>95</v>
      </c>
      <c r="G45" s="121"/>
      <c r="H45" s="121"/>
      <c r="I45" s="120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7"/>
      <c r="V45" s="64" t="str">
        <f t="shared" si="7"/>
        <v>Ok</v>
      </c>
    </row>
    <row r="46" spans="1:22">
      <c r="A46" s="17"/>
      <c r="B46" s="17"/>
      <c r="C46" s="125"/>
      <c r="D46" s="120"/>
      <c r="E46" s="120"/>
      <c r="F46" s="120"/>
      <c r="G46" s="121"/>
      <c r="H46" s="121"/>
      <c r="I46" s="120"/>
      <c r="J46" s="17"/>
      <c r="K46" s="17"/>
      <c r="L46" s="17"/>
      <c r="M46" s="17"/>
      <c r="N46" s="136"/>
      <c r="O46" s="136"/>
      <c r="P46" s="136"/>
      <c r="Q46" s="136"/>
      <c r="R46" s="136"/>
      <c r="S46" s="136"/>
      <c r="T46" s="136"/>
      <c r="U46" s="17"/>
      <c r="V46" s="8"/>
    </row>
    <row r="47" spans="1:22" ht="10.5">
      <c r="A47" s="17"/>
      <c r="B47" s="17"/>
      <c r="C47" s="130" t="s">
        <v>155</v>
      </c>
      <c r="D47" s="131" t="s">
        <v>30</v>
      </c>
      <c r="E47" s="135" t="str">
        <f>units</f>
        <v>$millions</v>
      </c>
      <c r="F47" s="132" t="s">
        <v>95</v>
      </c>
      <c r="G47" s="121"/>
      <c r="H47" s="121"/>
      <c r="I47" s="120"/>
      <c r="J47" s="133">
        <f>J37-SUM(J41:J45)</f>
        <v>19.769639773915927</v>
      </c>
      <c r="K47" s="133">
        <f t="shared" ref="K47:S47" si="8">K37-SUM(K41:K45)</f>
        <v>33.455307445369435</v>
      </c>
      <c r="L47" s="133">
        <f t="shared" si="8"/>
        <v>36.132483274579727</v>
      </c>
      <c r="M47" s="133">
        <f t="shared" si="8"/>
        <v>44.111189515723332</v>
      </c>
      <c r="N47" s="133">
        <f t="shared" si="8"/>
        <v>0</v>
      </c>
      <c r="O47" s="133">
        <f t="shared" si="8"/>
        <v>0</v>
      </c>
      <c r="P47" s="133">
        <f t="shared" si="8"/>
        <v>0</v>
      </c>
      <c r="Q47" s="133">
        <f t="shared" si="8"/>
        <v>0</v>
      </c>
      <c r="R47" s="133">
        <f t="shared" si="8"/>
        <v>0</v>
      </c>
      <c r="S47" s="133">
        <f t="shared" si="8"/>
        <v>0</v>
      </c>
      <c r="T47" s="133"/>
      <c r="U47" s="17"/>
      <c r="V47" s="8"/>
    </row>
    <row r="48" spans="1:22">
      <c r="A48" s="17"/>
      <c r="B48" s="17"/>
      <c r="C48" s="17"/>
      <c r="D48" s="120"/>
      <c r="E48" s="120"/>
      <c r="F48" s="120"/>
      <c r="G48" s="120"/>
      <c r="H48" s="120"/>
      <c r="I48" s="12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8"/>
    </row>
    <row r="49" spans="1:22" ht="10.5">
      <c r="A49" s="17"/>
      <c r="B49" s="17"/>
      <c r="C49" s="122" t="s">
        <v>103</v>
      </c>
      <c r="D49" s="120"/>
      <c r="E49" s="120"/>
      <c r="F49" s="120"/>
      <c r="G49" s="120"/>
      <c r="H49" s="120"/>
      <c r="I49" s="12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8"/>
    </row>
    <row r="50" spans="1:22">
      <c r="A50" s="17"/>
      <c r="B50" s="17"/>
      <c r="C50" s="17"/>
      <c r="D50" s="120"/>
      <c r="E50" s="120"/>
      <c r="F50" s="120"/>
      <c r="G50" s="120"/>
      <c r="H50" s="120"/>
      <c r="I50" s="12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8"/>
    </row>
    <row r="51" spans="1:22">
      <c r="A51" s="17"/>
      <c r="B51" s="17"/>
      <c r="C51" s="212" t="s">
        <v>223</v>
      </c>
      <c r="D51" s="120" t="s">
        <v>70</v>
      </c>
      <c r="E51" s="120" t="str">
        <f>units</f>
        <v>$millions</v>
      </c>
      <c r="F51" s="134" t="s">
        <v>95</v>
      </c>
      <c r="G51" s="121"/>
      <c r="H51" s="121"/>
      <c r="I51" s="120"/>
      <c r="J51" s="215">
        <v>11.25839845</v>
      </c>
      <c r="K51" s="215">
        <v>12.73011397</v>
      </c>
      <c r="L51" s="215">
        <v>7.8746159499999999</v>
      </c>
      <c r="M51" s="215">
        <v>0</v>
      </c>
      <c r="N51" s="215"/>
      <c r="O51" s="129"/>
      <c r="P51" s="129"/>
      <c r="Q51" s="129"/>
      <c r="R51" s="129"/>
      <c r="S51" s="129"/>
      <c r="T51" s="129"/>
      <c r="U51" s="17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7"/>
      <c r="B52" s="17"/>
      <c r="C52" s="212" t="s">
        <v>232</v>
      </c>
      <c r="D52" s="120" t="s">
        <v>70</v>
      </c>
      <c r="E52" s="120" t="str">
        <f>units</f>
        <v>$millions</v>
      </c>
      <c r="F52" s="134" t="s">
        <v>95</v>
      </c>
      <c r="G52" s="121"/>
      <c r="H52" s="121"/>
      <c r="I52" s="120"/>
      <c r="J52" s="129"/>
      <c r="K52" s="215">
        <v>7.2222289773974646</v>
      </c>
      <c r="L52" s="215">
        <v>4.1669866744809294</v>
      </c>
      <c r="M52" s="129"/>
      <c r="N52" s="129"/>
      <c r="O52" s="129"/>
      <c r="P52" s="129"/>
      <c r="Q52" s="129"/>
      <c r="R52" s="129"/>
      <c r="S52" s="129"/>
      <c r="T52" s="129"/>
      <c r="U52" s="17"/>
      <c r="V52" s="64" t="str">
        <f t="shared" ref="V52:V54" si="9">IF(ISBLANK(C52),IF(COUNT(J52:T52)=0,"Ok","Check"),IF(AND(COUNT(J52:T52)&gt;=COUNTIF($J$33:$T$33,"Actual"),COUNT(J52:T52)&lt;=COUNT($J$34:$T$34)),"Ok","Check"))</f>
        <v>Check</v>
      </c>
    </row>
    <row r="53" spans="1:22">
      <c r="A53" s="17"/>
      <c r="B53" s="17"/>
      <c r="C53" s="212" t="s">
        <v>233</v>
      </c>
      <c r="D53" s="120" t="s">
        <v>70</v>
      </c>
      <c r="E53" s="120" t="str">
        <f>units</f>
        <v>$millions</v>
      </c>
      <c r="F53" s="134" t="s">
        <v>95</v>
      </c>
      <c r="G53" s="121"/>
      <c r="H53" s="121"/>
      <c r="I53" s="120"/>
      <c r="J53" s="129"/>
      <c r="K53" s="129"/>
      <c r="L53" s="215">
        <v>0.84091480096723636</v>
      </c>
      <c r="M53" s="129"/>
      <c r="N53" s="129"/>
      <c r="O53" s="129"/>
      <c r="P53" s="129"/>
      <c r="Q53" s="129"/>
      <c r="R53" s="129"/>
      <c r="S53" s="129"/>
      <c r="T53" s="129"/>
      <c r="U53" s="17"/>
      <c r="V53" s="64" t="str">
        <f t="shared" si="9"/>
        <v>Check</v>
      </c>
    </row>
    <row r="54" spans="1:22">
      <c r="A54" s="17"/>
      <c r="B54" s="17"/>
      <c r="C54" s="212" t="s">
        <v>234</v>
      </c>
      <c r="D54" s="120" t="s">
        <v>70</v>
      </c>
      <c r="E54" s="120" t="str">
        <f>units</f>
        <v>$millions</v>
      </c>
      <c r="F54" s="134" t="s">
        <v>95</v>
      </c>
      <c r="G54" s="121"/>
      <c r="H54" s="121"/>
      <c r="I54" s="120"/>
      <c r="J54" s="129"/>
      <c r="K54" s="215">
        <v>0.47648609999999997</v>
      </c>
      <c r="L54" s="215">
        <v>3.3308156190730185</v>
      </c>
      <c r="M54" s="129"/>
      <c r="N54" s="129"/>
      <c r="O54" s="129"/>
      <c r="P54" s="129"/>
      <c r="Q54" s="129"/>
      <c r="R54" s="129"/>
      <c r="S54" s="129"/>
      <c r="T54" s="129"/>
      <c r="U54" s="17"/>
      <c r="V54" s="64" t="str">
        <f t="shared" si="9"/>
        <v>Check</v>
      </c>
    </row>
    <row r="55" spans="1:22">
      <c r="A55" s="17"/>
      <c r="B55" s="17"/>
      <c r="C55" s="127"/>
      <c r="D55" s="120" t="s">
        <v>70</v>
      </c>
      <c r="E55" s="120" t="str">
        <f>units</f>
        <v>$millions</v>
      </c>
      <c r="F55" s="134" t="s">
        <v>95</v>
      </c>
      <c r="G55" s="121"/>
      <c r="H55" s="121"/>
      <c r="I55" s="120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7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7"/>
      <c r="B56" s="17"/>
      <c r="C56" s="125"/>
      <c r="D56" s="120"/>
      <c r="E56" s="120"/>
      <c r="F56" s="120"/>
      <c r="G56" s="121"/>
      <c r="H56" s="121"/>
      <c r="I56" s="120"/>
      <c r="J56" s="17"/>
      <c r="K56" s="17"/>
      <c r="L56" s="17"/>
      <c r="M56" s="17"/>
      <c r="N56" s="136"/>
      <c r="O56" s="136"/>
      <c r="P56" s="136"/>
      <c r="Q56" s="136"/>
      <c r="R56" s="136"/>
      <c r="S56" s="136"/>
      <c r="T56" s="136"/>
      <c r="U56" s="17"/>
      <c r="V56" s="8"/>
    </row>
    <row r="57" spans="1:22" ht="10.5">
      <c r="A57" s="17"/>
      <c r="B57" s="17"/>
      <c r="C57" s="130" t="s">
        <v>145</v>
      </c>
      <c r="D57" s="131" t="s">
        <v>30</v>
      </c>
      <c r="E57" s="135" t="str">
        <f>units</f>
        <v>$millions</v>
      </c>
      <c r="F57" s="132" t="s">
        <v>95</v>
      </c>
      <c r="G57" s="121"/>
      <c r="H57" s="121"/>
      <c r="I57" s="120"/>
      <c r="J57" s="137">
        <f>SUM(J51:J55)</f>
        <v>11.25839845</v>
      </c>
      <c r="K57" s="137">
        <f t="shared" ref="K57:S57" si="10">SUM(K51:K55)</f>
        <v>20.428829047397464</v>
      </c>
      <c r="L57" s="137">
        <f t="shared" si="10"/>
        <v>16.213333044521185</v>
      </c>
      <c r="M57" s="137">
        <f t="shared" si="10"/>
        <v>0</v>
      </c>
      <c r="N57" s="137">
        <f t="shared" si="10"/>
        <v>0</v>
      </c>
      <c r="O57" s="137">
        <f t="shared" si="10"/>
        <v>0</v>
      </c>
      <c r="P57" s="137">
        <f t="shared" si="10"/>
        <v>0</v>
      </c>
      <c r="Q57" s="137">
        <f t="shared" si="10"/>
        <v>0</v>
      </c>
      <c r="R57" s="137">
        <f t="shared" si="10"/>
        <v>0</v>
      </c>
      <c r="S57" s="137">
        <f t="shared" si="10"/>
        <v>0</v>
      </c>
      <c r="T57" s="137"/>
      <c r="U57" s="17"/>
      <c r="V57" s="64"/>
    </row>
    <row r="58" spans="1:22">
      <c r="A58" s="17"/>
      <c r="B58" s="17"/>
      <c r="C58" s="17"/>
      <c r="D58" s="120"/>
      <c r="E58" s="120"/>
      <c r="F58" s="120"/>
      <c r="G58" s="121"/>
      <c r="H58" s="121"/>
      <c r="I58" s="12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8"/>
    </row>
    <row r="59" spans="1:22" ht="13">
      <c r="A59" s="32"/>
      <c r="B59" s="38" t="s">
        <v>104</v>
      </c>
      <c r="C59" s="32"/>
      <c r="D59" s="32"/>
      <c r="E59" s="32"/>
      <c r="F59" s="118"/>
      <c r="G59" s="118"/>
      <c r="H59" s="118"/>
      <c r="I59" s="118"/>
      <c r="J59" s="34"/>
      <c r="K59" s="119"/>
      <c r="L59" s="34"/>
      <c r="M59" s="119"/>
      <c r="N59" s="34"/>
      <c r="O59" s="34"/>
      <c r="P59" s="34"/>
      <c r="Q59" s="34"/>
      <c r="R59" s="34"/>
      <c r="S59" s="34"/>
      <c r="T59" s="34"/>
      <c r="U59" s="34"/>
      <c r="V59" s="35"/>
    </row>
    <row r="60" spans="1:22">
      <c r="A60" s="17"/>
      <c r="B60" s="17"/>
      <c r="C60" s="17"/>
      <c r="D60" s="120"/>
      <c r="E60" s="120"/>
      <c r="F60" s="120"/>
      <c r="G60" s="120"/>
      <c r="H60" s="120"/>
      <c r="I60" s="1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8"/>
    </row>
    <row r="61" spans="1:22" ht="10.5">
      <c r="A61" s="17"/>
      <c r="B61" s="17"/>
      <c r="C61" s="122" t="s">
        <v>105</v>
      </c>
      <c r="D61" s="121" t="s">
        <v>7</v>
      </c>
      <c r="E61" s="121" t="s">
        <v>8</v>
      </c>
      <c r="F61" s="121" t="s">
        <v>22</v>
      </c>
      <c r="G61" s="121"/>
      <c r="H61" s="121"/>
      <c r="I61" s="121"/>
      <c r="J61" s="123" t="str">
        <f t="shared" ref="J61:S61" si="11">IF(YEAR(J$4)=PPLastYear,J$4,"")</f>
        <v/>
      </c>
      <c r="K61" s="123" t="str">
        <f t="shared" si="11"/>
        <v/>
      </c>
      <c r="L61" s="123" t="str">
        <f t="shared" si="11"/>
        <v/>
      </c>
      <c r="M61" s="123" t="str">
        <f t="shared" si="11"/>
        <v/>
      </c>
      <c r="N61" s="123">
        <f t="shared" si="11"/>
        <v>46174</v>
      </c>
      <c r="O61" s="123" t="str">
        <f t="shared" si="11"/>
        <v/>
      </c>
      <c r="P61" s="123" t="str">
        <f t="shared" si="11"/>
        <v/>
      </c>
      <c r="Q61" s="123" t="str">
        <f t="shared" si="11"/>
        <v/>
      </c>
      <c r="R61" s="123" t="str">
        <f t="shared" si="11"/>
        <v/>
      </c>
      <c r="S61" s="123" t="str">
        <f t="shared" si="11"/>
        <v/>
      </c>
      <c r="T61" s="123"/>
      <c r="U61" s="17"/>
      <c r="V61" s="8"/>
    </row>
    <row r="62" spans="1:22" ht="10.5">
      <c r="A62" s="17"/>
      <c r="B62" s="17"/>
      <c r="C62" s="122"/>
      <c r="D62" s="121"/>
      <c r="E62" s="121"/>
      <c r="F62" s="121"/>
      <c r="G62" s="121"/>
      <c r="H62" s="121"/>
      <c r="I62" s="12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7"/>
      <c r="V62" s="8"/>
    </row>
    <row r="63" spans="1:22">
      <c r="A63" s="17"/>
      <c r="B63" s="17"/>
      <c r="C63" s="127"/>
      <c r="D63" s="120" t="s">
        <v>34</v>
      </c>
      <c r="E63" s="120" t="str">
        <f>units</f>
        <v>$millions</v>
      </c>
      <c r="F63" s="139">
        <f>DATE(PPLastYear,MONTH(month),1)</f>
        <v>46174</v>
      </c>
      <c r="G63" s="121"/>
      <c r="H63" s="121"/>
      <c r="I63" s="121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7" t="s">
        <v>160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7"/>
      <c r="B64" s="17"/>
      <c r="C64" s="127"/>
      <c r="D64" s="120" t="s">
        <v>34</v>
      </c>
      <c r="E64" s="120" t="str">
        <f>units</f>
        <v>$millions</v>
      </c>
      <c r="F64" s="139">
        <f>DATE(PPLastYear,MONTH(month),1)</f>
        <v>46174</v>
      </c>
      <c r="G64" s="121"/>
      <c r="H64" s="121"/>
      <c r="I64" s="121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2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7"/>
      <c r="B65" s="17"/>
      <c r="C65" s="127"/>
      <c r="D65" s="120" t="s">
        <v>34</v>
      </c>
      <c r="E65" s="120" t="str">
        <f>units</f>
        <v>$millions</v>
      </c>
      <c r="F65" s="139">
        <f>DATE(PPLastYear,MONTH(month),1)</f>
        <v>46174</v>
      </c>
      <c r="G65" s="121"/>
      <c r="H65" s="121"/>
      <c r="I65" s="121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2"/>
      <c r="V65" s="64" t="str">
        <f t="shared" si="12"/>
        <v>Ok</v>
      </c>
    </row>
    <row r="66" spans="1:22" ht="10.5">
      <c r="A66" s="17"/>
      <c r="B66" s="17"/>
      <c r="C66" s="127"/>
      <c r="D66" s="120" t="s">
        <v>34</v>
      </c>
      <c r="E66" s="120" t="str">
        <f>units</f>
        <v>$millions</v>
      </c>
      <c r="F66" s="139">
        <f>DATE(PPLastYear,MONTH(month),1)</f>
        <v>46174</v>
      </c>
      <c r="G66" s="121"/>
      <c r="H66" s="121"/>
      <c r="I66" s="121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2"/>
      <c r="V66" s="64" t="str">
        <f t="shared" si="12"/>
        <v>Ok</v>
      </c>
    </row>
    <row r="67" spans="1:22" ht="10.5">
      <c r="A67" s="17"/>
      <c r="B67" s="17"/>
      <c r="C67" s="127"/>
      <c r="D67" s="120" t="s">
        <v>34</v>
      </c>
      <c r="E67" s="120" t="str">
        <f>units</f>
        <v>$millions</v>
      </c>
      <c r="F67" s="139">
        <f>DATE(PPLastYear,MONTH(month),1)</f>
        <v>46174</v>
      </c>
      <c r="G67" s="121"/>
      <c r="H67" s="121"/>
      <c r="I67" s="121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2"/>
      <c r="V67" s="64" t="str">
        <f t="shared" si="12"/>
        <v>Ok</v>
      </c>
    </row>
    <row r="68" spans="1:22" ht="10.5">
      <c r="A68" s="17"/>
      <c r="B68" s="17"/>
      <c r="C68" s="140"/>
      <c r="D68" s="120"/>
      <c r="E68" s="120"/>
      <c r="F68" s="121"/>
      <c r="G68" s="121"/>
      <c r="H68" s="121"/>
      <c r="I68" s="12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22"/>
      <c r="V68" s="8"/>
    </row>
    <row r="69" spans="1:22">
      <c r="A69" s="17"/>
      <c r="B69" s="17"/>
      <c r="C69" s="142" t="s">
        <v>156</v>
      </c>
      <c r="D69" s="120" t="s">
        <v>34</v>
      </c>
      <c r="E69" s="120" t="str">
        <f>units</f>
        <v>$millions</v>
      </c>
      <c r="F69" s="139">
        <f>DATE(PPLastYear,MONTH(month),1)</f>
        <v>46174</v>
      </c>
      <c r="G69" s="121"/>
      <c r="H69" s="121"/>
      <c r="I69" s="121"/>
      <c r="J69" s="129"/>
      <c r="K69" s="129"/>
      <c r="L69" s="129"/>
      <c r="M69" s="129"/>
      <c r="N69" s="129">
        <v>0</v>
      </c>
      <c r="O69" s="129"/>
      <c r="P69" s="129"/>
      <c r="Q69" s="129"/>
      <c r="R69" s="129"/>
      <c r="S69" s="129"/>
      <c r="T69" s="129"/>
      <c r="U69" s="17" t="s">
        <v>211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7"/>
      <c r="B70" s="17"/>
      <c r="C70" s="142"/>
      <c r="D70" s="120"/>
      <c r="E70" s="120"/>
      <c r="F70" s="121"/>
      <c r="G70" s="121"/>
      <c r="H70" s="121"/>
      <c r="I70" s="12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22"/>
      <c r="V70" s="8"/>
    </row>
    <row r="71" spans="1:22">
      <c r="A71" s="17"/>
      <c r="B71" s="17"/>
      <c r="C71" s="142" t="s">
        <v>84</v>
      </c>
      <c r="D71" s="120" t="s">
        <v>34</v>
      </c>
      <c r="E71" s="120" t="s">
        <v>31</v>
      </c>
      <c r="F71" s="121"/>
      <c r="G71" s="121"/>
      <c r="H71" s="121"/>
      <c r="I71" s="121"/>
      <c r="J71" s="143"/>
      <c r="K71" s="143"/>
      <c r="L71" s="143"/>
      <c r="M71" s="143"/>
      <c r="N71" s="143">
        <v>0</v>
      </c>
      <c r="O71" s="143"/>
      <c r="P71" s="143"/>
      <c r="Q71" s="143"/>
      <c r="R71" s="143"/>
      <c r="S71" s="143"/>
      <c r="T71" s="143"/>
      <c r="U71" s="17" t="s">
        <v>210</v>
      </c>
      <c r="V71" s="64" t="str">
        <f t="shared" si="13"/>
        <v>Ok</v>
      </c>
    </row>
    <row r="72" spans="1:22">
      <c r="A72" s="17"/>
      <c r="B72" s="17"/>
      <c r="C72" s="125"/>
      <c r="D72" s="120"/>
      <c r="E72" s="120"/>
      <c r="F72" s="120"/>
      <c r="G72" s="121"/>
      <c r="H72" s="121"/>
      <c r="I72" s="12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8"/>
    </row>
    <row r="73" spans="1:22" ht="13">
      <c r="A73" s="32"/>
      <c r="B73" s="38" t="s">
        <v>21</v>
      </c>
      <c r="C73" s="32"/>
      <c r="D73" s="32"/>
      <c r="E73" s="32"/>
      <c r="F73" s="118"/>
      <c r="G73" s="118"/>
      <c r="H73" s="118"/>
      <c r="I73" s="118"/>
      <c r="J73" s="34"/>
      <c r="K73" s="119"/>
      <c r="L73" s="34"/>
      <c r="M73" s="119"/>
      <c r="N73" s="34"/>
      <c r="O73" s="34"/>
      <c r="P73" s="34"/>
      <c r="Q73" s="34"/>
      <c r="R73" s="34"/>
      <c r="S73" s="34"/>
      <c r="T73" s="34"/>
      <c r="U73" s="34"/>
      <c r="V73" s="35"/>
    </row>
  </sheetData>
  <conditionalFormatting sqref="J41:N41">
    <cfRule type="expression" dxfId="164" priority="1">
      <formula>J$10=J$4</formula>
    </cfRule>
  </conditionalFormatting>
  <conditionalFormatting sqref="J13:T13">
    <cfRule type="expression" dxfId="163" priority="37">
      <formula>J$10=J$4</formula>
    </cfRule>
  </conditionalFormatting>
  <conditionalFormatting sqref="J15:T15">
    <cfRule type="cellIs" dxfId="162" priority="40" operator="equal">
      <formula>0</formula>
    </cfRule>
  </conditionalFormatting>
  <conditionalFormatting sqref="J19:T27">
    <cfRule type="expression" dxfId="161" priority="32">
      <formula>J$10=J$4</formula>
    </cfRule>
  </conditionalFormatting>
  <conditionalFormatting sqref="J29:T29">
    <cfRule type="cellIs" dxfId="160" priority="33" operator="equal">
      <formula>0</formula>
    </cfRule>
  </conditionalFormatting>
  <conditionalFormatting sqref="J33:T33">
    <cfRule type="expression" dxfId="159" priority="38">
      <formula>J$34=J$4</formula>
    </cfRule>
  </conditionalFormatting>
  <conditionalFormatting sqref="J37:T37">
    <cfRule type="expression" dxfId="158" priority="3">
      <formula>J$10=J$4</formula>
    </cfRule>
  </conditionalFormatting>
  <conditionalFormatting sqref="J47:T47">
    <cfRule type="cellIs" dxfId="157" priority="35" operator="equal">
      <formula>0</formula>
    </cfRule>
  </conditionalFormatting>
  <conditionalFormatting sqref="J51:T55">
    <cfRule type="expression" dxfId="156" priority="27">
      <formula>J$34=J$4</formula>
    </cfRule>
  </conditionalFormatting>
  <conditionalFormatting sqref="J57:T57">
    <cfRule type="cellIs" dxfId="155" priority="39" operator="equal">
      <formula>0</formula>
    </cfRule>
  </conditionalFormatting>
  <conditionalFormatting sqref="J63:T67">
    <cfRule type="expression" dxfId="154" priority="34">
      <formula>J$61=J$4</formula>
    </cfRule>
  </conditionalFormatting>
  <conditionalFormatting sqref="J69:T69 J71:T71">
    <cfRule type="expression" dxfId="153" priority="69">
      <formula>J$61=J$4</formula>
    </cfRule>
  </conditionalFormatting>
  <conditionalFormatting sqref="N37:T37">
    <cfRule type="expression" dxfId="152" priority="6">
      <formula>N$34=N$4</formula>
    </cfRule>
  </conditionalFormatting>
  <conditionalFormatting sqref="O41:T41 J42:T45">
    <cfRule type="expression" dxfId="151" priority="2">
      <formula>J$34=J$4</formula>
    </cfRule>
  </conditionalFormatting>
  <conditionalFormatting sqref="S1:T1">
    <cfRule type="cellIs" dxfId="150" priority="58" operator="equal">
      <formula>"Ok"</formula>
    </cfRule>
    <cfRule type="cellIs" dxfId="149" priority="57" operator="equal">
      <formula>"Check"</formula>
    </cfRule>
  </conditionalFormatting>
  <conditionalFormatting sqref="V1">
    <cfRule type="cellIs" dxfId="148" priority="86" operator="equal">
      <formula>"Check"</formula>
    </cfRule>
    <cfRule type="cellIs" dxfId="147" priority="87" operator="equal">
      <formula>"Ok"</formula>
    </cfRule>
  </conditionalFormatting>
  <conditionalFormatting sqref="V13">
    <cfRule type="cellIs" dxfId="146" priority="25" operator="equal">
      <formula>"Check"</formula>
    </cfRule>
    <cfRule type="cellIs" dxfId="145" priority="26" operator="equal">
      <formula>"Ok"</formula>
    </cfRule>
  </conditionalFormatting>
  <conditionalFormatting sqref="V15">
    <cfRule type="cellIs" dxfId="144" priority="88" operator="equal">
      <formula>"Check"</formula>
    </cfRule>
    <cfRule type="cellIs" dxfId="143" priority="89" operator="equal">
      <formula>"Ok"</formula>
    </cfRule>
  </conditionalFormatting>
  <conditionalFormatting sqref="V19:V27">
    <cfRule type="cellIs" dxfId="142" priority="23" operator="equal">
      <formula>"Check"</formula>
    </cfRule>
    <cfRule type="cellIs" dxfId="141" priority="24" operator="equal">
      <formula>"Ok"</formula>
    </cfRule>
  </conditionalFormatting>
  <conditionalFormatting sqref="V29">
    <cfRule type="cellIs" dxfId="140" priority="65" operator="equal">
      <formula>"Check"</formula>
    </cfRule>
    <cfRule type="cellIs" dxfId="139" priority="66" operator="equal">
      <formula>"Ok"</formula>
    </cfRule>
  </conditionalFormatting>
  <conditionalFormatting sqref="V37">
    <cfRule type="cellIs" dxfId="138" priority="19" operator="equal">
      <formula>"Check"</formula>
    </cfRule>
    <cfRule type="cellIs" dxfId="137" priority="20" operator="equal">
      <formula>"Ok"</formula>
    </cfRule>
  </conditionalFormatting>
  <conditionalFormatting sqref="V41:V45">
    <cfRule type="cellIs" dxfId="136" priority="15" operator="equal">
      <formula>"Check"</formula>
    </cfRule>
    <cfRule type="cellIs" dxfId="135" priority="16" operator="equal">
      <formula>"Ok"</formula>
    </cfRule>
  </conditionalFormatting>
  <conditionalFormatting sqref="V47">
    <cfRule type="cellIs" dxfId="134" priority="73" operator="equal">
      <formula>"Ok"</formula>
    </cfRule>
    <cfRule type="cellIs" dxfId="133" priority="72" operator="equal">
      <formula>"Check"</formula>
    </cfRule>
  </conditionalFormatting>
  <conditionalFormatting sqref="V48:V50">
    <cfRule type="cellIs" dxfId="132" priority="80" operator="equal">
      <formula>"Check"</formula>
    </cfRule>
    <cfRule type="cellIs" dxfId="131" priority="81" operator="equal">
      <formula>"Ok"</formula>
    </cfRule>
  </conditionalFormatting>
  <conditionalFormatting sqref="V51:V55">
    <cfRule type="cellIs" dxfId="130" priority="13" operator="equal">
      <formula>"Check"</formula>
    </cfRule>
    <cfRule type="cellIs" dxfId="129" priority="14" operator="equal">
      <formula>"Ok"</formula>
    </cfRule>
  </conditionalFormatting>
  <conditionalFormatting sqref="V52:V55">
    <cfRule type="cellIs" dxfId="128" priority="92" operator="equal">
      <formula>"Check"</formula>
    </cfRule>
    <cfRule type="cellIs" dxfId="127" priority="93" operator="equal">
      <formula>"Ok"</formula>
    </cfRule>
  </conditionalFormatting>
  <conditionalFormatting sqref="V57">
    <cfRule type="cellIs" dxfId="126" priority="90" operator="equal">
      <formula>"Check"</formula>
    </cfRule>
    <cfRule type="cellIs" dxfId="125" priority="91" operator="equal">
      <formula>"Ok"</formula>
    </cfRule>
  </conditionalFormatting>
  <conditionalFormatting sqref="V63:V67">
    <cfRule type="cellIs" dxfId="124" priority="12" operator="equal">
      <formula>"Ok"</formula>
    </cfRule>
    <cfRule type="cellIs" dxfId="123" priority="11" operator="equal">
      <formula>"Check"</formula>
    </cfRule>
  </conditionalFormatting>
  <conditionalFormatting sqref="V69">
    <cfRule type="cellIs" dxfId="122" priority="10" operator="equal">
      <formula>"Ok"</formula>
    </cfRule>
    <cfRule type="cellIs" dxfId="121" priority="9" operator="equal">
      <formula>"Check"</formula>
    </cfRule>
  </conditionalFormatting>
  <conditionalFormatting sqref="V71">
    <cfRule type="cellIs" dxfId="120" priority="8" operator="equal">
      <formula>"Ok"</formula>
    </cfRule>
    <cfRule type="cellIs" dxfId="119" priority="7" operator="equal">
      <formula>"Check"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O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64" zoomScaleNormal="100" workbookViewId="0">
      <selection activeCell="A55" sqref="A55:XFD55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1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2" t="s">
        <v>24</v>
      </c>
      <c r="X1" s="29" t="str">
        <f>'Check|List'!$S$1</f>
        <v>Check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22"/>
      <c r="L3" s="222"/>
      <c r="M3" s="222"/>
      <c r="N3" s="105"/>
      <c r="O3" s="222"/>
      <c r="P3" s="222"/>
      <c r="Q3" s="222"/>
      <c r="R3" s="222"/>
      <c r="S3" s="222"/>
      <c r="T3" s="222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4" t="s">
        <v>22</v>
      </c>
      <c r="G4" s="145"/>
      <c r="H4" s="145"/>
      <c r="I4" s="145"/>
      <c r="J4" s="94">
        <f>DATE(PPFirstYear-1,MONTH('Input|General'!$G$9),1)</f>
        <v>44348</v>
      </c>
      <c r="K4" s="94">
        <f>DATE(PPFirstYear,MONTH('Input|General'!$G$9),1)</f>
        <v>44713</v>
      </c>
      <c r="L4" s="94">
        <f>DATE(PPFirstYear+1,MONTH('Input|General'!$G$9),1)</f>
        <v>45078</v>
      </c>
      <c r="M4" s="94">
        <f>DATE(PPFirstYear+2,MONTH('Input|General'!$G$9),1)</f>
        <v>45444</v>
      </c>
      <c r="N4" s="94">
        <f>DATE(PPFirstYear+3,MONTH('Input|General'!$G$9),1)</f>
        <v>45809</v>
      </c>
      <c r="O4" s="94">
        <f>DATE(PPFirstYear+4,MONTH('Input|General'!$G$9),1)</f>
        <v>46174</v>
      </c>
      <c r="P4" s="94">
        <f>DATE(PPFirstYear+5,MONTH('Input|General'!$G$9),1)</f>
        <v>46539</v>
      </c>
      <c r="Q4" s="94">
        <f>DATE(PPFirstYear+6,MONTH('Input|General'!$G$9),1)</f>
        <v>46905</v>
      </c>
      <c r="R4" s="94">
        <f>DATE(PPFirstYear+7,MONTH('Input|General'!$G$9),1)</f>
        <v>47270</v>
      </c>
      <c r="S4" s="94">
        <f>DATE(PPFirstYear+8,MONTH('Input|General'!$G$9),1)</f>
        <v>47635</v>
      </c>
      <c r="T4" s="94">
        <f>DATE(PPFirstYear+9,MONTH('Input|General'!$G$9),1)</f>
        <v>48000</v>
      </c>
      <c r="U4" s="94">
        <f>DATE(PPFirstYear+10,MONTH('Input|General'!$G$9),1)</f>
        <v>48366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34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34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7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34" customFormat="1" ht="13">
      <c r="A8" s="32"/>
      <c r="B8" s="38" t="s">
        <v>35</v>
      </c>
      <c r="C8" s="32"/>
      <c r="D8" s="32"/>
      <c r="E8" s="32"/>
      <c r="F8" s="118"/>
      <c r="G8" s="118"/>
      <c r="H8" s="118"/>
      <c r="I8" s="118"/>
      <c r="J8" s="118"/>
      <c r="K8" s="34"/>
      <c r="L8" s="119"/>
      <c r="M8" s="34"/>
      <c r="N8" s="119"/>
      <c r="O8" s="34"/>
      <c r="P8" s="34"/>
      <c r="Q8" s="34"/>
      <c r="R8" s="34"/>
      <c r="S8" s="34"/>
      <c r="T8" s="34"/>
      <c r="U8" s="34"/>
      <c r="V8" s="34"/>
      <c r="W8" s="34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7"/>
      <c r="B9" s="17"/>
      <c r="C9" s="17"/>
      <c r="D9" s="120"/>
      <c r="E9" s="120"/>
      <c r="F9" s="120"/>
      <c r="G9" s="120"/>
      <c r="H9" s="120"/>
      <c r="I9" s="120"/>
      <c r="J9" s="1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4" ht="11.25" customHeight="1" outlineLevel="1">
      <c r="A10" s="17"/>
      <c r="B10" s="17"/>
      <c r="C10" s="122" t="s">
        <v>33</v>
      </c>
      <c r="D10" s="120"/>
      <c r="E10" s="120"/>
      <c r="F10" s="120"/>
      <c r="G10" s="120"/>
      <c r="H10" s="120"/>
      <c r="I10" s="120"/>
      <c r="J10" s="123">
        <f t="shared" ref="J10:T10" si="0">IF(YEAR(J$4)&lt;=PPLastYear,J$4,"")</f>
        <v>44348</v>
      </c>
      <c r="K10" s="123">
        <f t="shared" si="0"/>
        <v>44713</v>
      </c>
      <c r="L10" s="123">
        <f t="shared" si="0"/>
        <v>45078</v>
      </c>
      <c r="M10" s="123">
        <f t="shared" si="0"/>
        <v>45444</v>
      </c>
      <c r="N10" s="123">
        <f t="shared" si="0"/>
        <v>45809</v>
      </c>
      <c r="O10" s="123">
        <f t="shared" si="0"/>
        <v>46174</v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 t="str">
        <f t="shared" si="0"/>
        <v/>
      </c>
      <c r="U10" s="138"/>
      <c r="V10" s="17"/>
      <c r="W10" s="17"/>
    </row>
    <row r="11" spans="1:34" ht="11.25" customHeight="1" outlineLevel="1">
      <c r="A11" s="17"/>
      <c r="B11" s="17"/>
      <c r="C11" s="122"/>
      <c r="D11" s="120"/>
      <c r="E11" s="120"/>
      <c r="F11" s="120"/>
      <c r="G11" s="120"/>
      <c r="H11" s="120"/>
      <c r="I11" s="120"/>
      <c r="J11" s="17"/>
      <c r="K11" s="17"/>
      <c r="L11" s="17"/>
      <c r="M11" s="17"/>
      <c r="N11" s="17"/>
      <c r="O11" s="17"/>
      <c r="P11" s="148"/>
      <c r="Q11" s="148"/>
      <c r="R11" s="148"/>
      <c r="S11" s="148"/>
      <c r="T11" s="148"/>
      <c r="U11" s="148"/>
      <c r="V11" s="149"/>
      <c r="W11" s="149"/>
      <c r="X11" s="14"/>
    </row>
    <row r="12" spans="1:34" ht="11.25" customHeight="1" outlineLevel="1">
      <c r="A12" s="17"/>
      <c r="B12" s="17"/>
      <c r="C12" s="125" t="s">
        <v>33</v>
      </c>
      <c r="D12" s="150" t="s">
        <v>93</v>
      </c>
      <c r="E12" s="120" t="str">
        <f>percent</f>
        <v>Per cent</v>
      </c>
      <c r="F12" s="120"/>
      <c r="G12" s="120"/>
      <c r="H12" s="120"/>
      <c r="I12" s="120"/>
      <c r="J12" s="148">
        <f>IF(J10=J4,LOOKUP(EOMONTH(J4,0),'Input|Inflation'!$C$9:$C$84,'Input|Inflation'!$I$9:$I$84),"")</f>
        <v>3.8461538461538325E-2</v>
      </c>
      <c r="K12" s="148">
        <f>IF(K10=K4,LOOKUP(EOMONTH(K4,0),'Input|Inflation'!$C$9:$C$84,'Input|Inflation'!$I$9:$I$84),"")</f>
        <v>6.1447811447811418E-2</v>
      </c>
      <c r="L12" s="148">
        <f>IF(L10=L4,LOOKUP(EOMONTH(L4,0),'Input|Inflation'!$C$9:$C$84,'Input|Inflation'!$I$9:$I$84),"")</f>
        <v>6.0269627279936566E-2</v>
      </c>
      <c r="M12" s="148">
        <f>IF(M10=M4,LOOKUP(EOMONTH(M4,0),'Input|Inflation'!$C$9:$C$84,'Input|Inflation'!$I$9:$I$84),"")</f>
        <v>3.8145100972326373E-2</v>
      </c>
      <c r="N12" s="148">
        <f>IF(N10=N4,LOOKUP(EOMONTH(N4,0),'Input|Inflation'!$C$9:$C$84,'Input|Inflation'!$I$9:$I$84),"")</f>
        <v>2.0893371757924939E-2</v>
      </c>
      <c r="O12" s="148">
        <f>IF(O10=O4,LOOKUP(EOMONTH(O4,0),'Input|Inflation'!$C$9:$C$84,'Input|Inflation'!$I$9:$I$84),"")</f>
        <v>3.0000000000000027E-2</v>
      </c>
      <c r="P12" s="148" t="str">
        <f>IF(P10=P4,LOOKUP(EOMONTH(P4,0),'Input|Inflation'!$C$9:$C$84,'Input|Inflation'!$I$9:$I$84),"")</f>
        <v/>
      </c>
      <c r="Q12" s="148" t="str">
        <f>IF(Q10=Q4,LOOKUP(EOMONTH(Q4,0),'Input|Inflation'!$C$9:$C$84,'Input|Inflation'!$I$9:$I$84),"")</f>
        <v/>
      </c>
      <c r="R12" s="148" t="str">
        <f>IF(R10=R4,LOOKUP(EOMONTH(R4,0),'Input|Inflation'!$C$9:$C$84,'Input|Inflation'!$I$9:$I$84),"")</f>
        <v/>
      </c>
      <c r="S12" s="148" t="str">
        <f>IF(S10=S4,LOOKUP(EOMONTH(S4,0),'Input|Inflation'!$C$9:$C$84,'Input|Inflation'!$I$9:$I$84),"")</f>
        <v/>
      </c>
      <c r="T12" s="148" t="str">
        <f>IF(T10=T4,LOOKUP(EOMONTH(T4,0),'Input|Inflation'!$C$9:$C$84,'Input|Inflation'!$I$9:$I$84),"")</f>
        <v/>
      </c>
      <c r="U12" s="148"/>
      <c r="V12" s="151"/>
      <c r="W12" s="17"/>
    </row>
    <row r="13" spans="1:34" ht="11.25" customHeight="1" outlineLevel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4" ht="11.25" customHeight="1" outlineLevel="1">
      <c r="A14" s="17"/>
      <c r="B14" s="17"/>
      <c r="C14" s="122" t="s">
        <v>94</v>
      </c>
      <c r="D14" s="120"/>
      <c r="E14" s="120"/>
      <c r="F14" s="120"/>
      <c r="G14" s="120"/>
      <c r="H14" s="120"/>
      <c r="I14" s="17"/>
      <c r="J14" s="123">
        <f t="shared" ref="J14:T14" si="1">IF(YEAR(J$4)&lt;=PPLastYear,J$4,"")</f>
        <v>44348</v>
      </c>
      <c r="K14" s="123">
        <f t="shared" si="1"/>
        <v>44713</v>
      </c>
      <c r="L14" s="123">
        <f t="shared" si="1"/>
        <v>45078</v>
      </c>
      <c r="M14" s="123">
        <f t="shared" si="1"/>
        <v>45444</v>
      </c>
      <c r="N14" s="123">
        <f t="shared" si="1"/>
        <v>45809</v>
      </c>
      <c r="O14" s="123">
        <f t="shared" si="1"/>
        <v>46174</v>
      </c>
      <c r="P14" s="123" t="str">
        <f t="shared" si="1"/>
        <v/>
      </c>
      <c r="Q14" s="123" t="str">
        <f t="shared" si="1"/>
        <v/>
      </c>
      <c r="R14" s="123" t="str">
        <f t="shared" si="1"/>
        <v/>
      </c>
      <c r="S14" s="123" t="str">
        <f t="shared" si="1"/>
        <v/>
      </c>
      <c r="T14" s="123" t="str">
        <f t="shared" si="1"/>
        <v/>
      </c>
      <c r="U14" s="138"/>
      <c r="V14" s="17"/>
      <c r="W14" s="17"/>
    </row>
    <row r="15" spans="1:34" ht="11.25" customHeight="1" outlineLevel="1">
      <c r="A15" s="17"/>
      <c r="B15" s="17"/>
      <c r="C15" s="122"/>
      <c r="D15" s="120"/>
      <c r="E15" s="120"/>
      <c r="F15" s="120"/>
      <c r="G15" s="120"/>
      <c r="H15" s="120"/>
      <c r="I15" s="17"/>
      <c r="J15" s="149"/>
      <c r="K15" s="149"/>
      <c r="L15" s="149"/>
      <c r="M15" s="149"/>
      <c r="N15" s="149"/>
      <c r="O15" s="149"/>
      <c r="P15" s="152"/>
      <c r="Q15" s="152"/>
      <c r="R15" s="152"/>
      <c r="S15" s="152"/>
      <c r="T15" s="152"/>
      <c r="U15" s="152"/>
      <c r="V15" s="17"/>
      <c r="W15" s="17"/>
    </row>
    <row r="16" spans="1:34" ht="11.25" customHeight="1" outlineLevel="1">
      <c r="A16" s="17"/>
      <c r="B16" s="17"/>
      <c r="C16" s="153">
        <f t="array" ref="C16:C22">TRANSPOSE(J10:P10)</f>
        <v>44348</v>
      </c>
      <c r="D16" s="150" t="str">
        <f t="shared" ref="D16:D20" si="2">IF(ISNONTEXT($C16),"calculated","")</f>
        <v>calculated</v>
      </c>
      <c r="E16" s="120" t="str">
        <f>IF(ISNONTEXT($C16),"index","")</f>
        <v>index</v>
      </c>
      <c r="F16" s="120"/>
      <c r="G16" s="120"/>
      <c r="H16" s="120"/>
      <c r="I16" s="120"/>
      <c r="J16" s="154">
        <f t="shared" ref="J16:N16" si="3">IF(AND($C16&gt;J$14,ISNONTEXT($C16)),K16/(1+K$12),IF(AND($C16=J$14,J$14=J$4),1,IF(AND($C16&lt;J$14,J$14=J$4),I16*(1+J$12),0)))</f>
        <v>1</v>
      </c>
      <c r="K16" s="154">
        <f t="shared" si="3"/>
        <v>1.0614478114478114</v>
      </c>
      <c r="L16" s="154">
        <f t="shared" si="3"/>
        <v>1.1254208754208754</v>
      </c>
      <c r="M16" s="154">
        <f t="shared" si="3"/>
        <v>1.1683501683501687</v>
      </c>
      <c r="N16" s="154">
        <f t="shared" si="3"/>
        <v>1.1927609427609429</v>
      </c>
      <c r="O16" s="154">
        <f>IF(AND($C16&gt;O$14,ISNONTEXT($C16)),P16/(1+O$12),IF(AND($C16=O$14,O$14=O$4),1,IF(AND($C16&lt;O$14,O$14=O$4),N16*(1+O$12),0)))</f>
        <v>1.2285437710437712</v>
      </c>
      <c r="P16" s="154">
        <f t="shared" ref="P16" si="4">IF(AND($C16&gt;P$14,ISNONTEXT($C16)),Q16/(1+P$12),IF(AND($C16=P$14,P$14=P$4),1,IF(AND($C16&lt;P$14,P$14=P$4),O16*(1+P$12),0)))</f>
        <v>0</v>
      </c>
      <c r="Q16" s="155"/>
      <c r="R16" s="155"/>
      <c r="S16" s="155"/>
      <c r="T16" s="155"/>
      <c r="U16" s="155"/>
      <c r="V16" s="17"/>
      <c r="W16" s="17"/>
    </row>
    <row r="17" spans="1:23" ht="11.25" customHeight="1" outlineLevel="1">
      <c r="A17" s="17"/>
      <c r="B17" s="17"/>
      <c r="C17" s="153">
        <v>44713</v>
      </c>
      <c r="D17" s="150" t="str">
        <f t="shared" si="2"/>
        <v>calculated</v>
      </c>
      <c r="E17" s="120" t="str">
        <f t="shared" ref="E17:E22" si="5">IF(ISNONTEXT($C17),"index","")</f>
        <v>index</v>
      </c>
      <c r="F17" s="120"/>
      <c r="G17" s="120"/>
      <c r="H17" s="120"/>
      <c r="I17" s="154"/>
      <c r="J17" s="154">
        <f t="shared" ref="J17:N17" si="6">IF(AND($C17&gt;J$14,ISNONTEXT($C17)),K17/(1+K$12),IF(AND($C17=J$14,J$14=J$4),1,IF(AND($C17&lt;J$14,J$14=J$4),I17*(1+J$12),0)))</f>
        <v>0.94210943695479776</v>
      </c>
      <c r="K17" s="154">
        <f t="shared" si="6"/>
        <v>1</v>
      </c>
      <c r="L17" s="154">
        <f t="shared" si="6"/>
        <v>1.0602696272799366</v>
      </c>
      <c r="M17" s="154">
        <f t="shared" si="6"/>
        <v>1.1007137192704206</v>
      </c>
      <c r="N17" s="154">
        <f t="shared" si="6"/>
        <v>1.1237113402061858</v>
      </c>
      <c r="O17" s="154">
        <f t="shared" ref="O17:P17" si="7">IF(AND($C17&gt;O$14,ISNONTEXT($C17)),P17/(1+O$12),IF(AND($C17=O$14,O$14=O$4),1,IF(AND($C17&lt;O$14,O$14=O$4),N17*(1+O$12),0)))</f>
        <v>1.1574226804123715</v>
      </c>
      <c r="P17" s="154">
        <f t="shared" si="7"/>
        <v>0</v>
      </c>
      <c r="Q17" s="155"/>
      <c r="R17" s="155"/>
      <c r="S17" s="155"/>
      <c r="T17" s="155"/>
      <c r="U17" s="155"/>
      <c r="V17" s="17"/>
      <c r="W17" s="17"/>
    </row>
    <row r="18" spans="1:23" ht="11.25" customHeight="1" outlineLevel="1">
      <c r="A18" s="17"/>
      <c r="B18" s="17"/>
      <c r="C18" s="153">
        <v>45078</v>
      </c>
      <c r="D18" s="150" t="str">
        <f t="shared" si="2"/>
        <v>calculated</v>
      </c>
      <c r="E18" s="120" t="str">
        <f t="shared" si="5"/>
        <v>index</v>
      </c>
      <c r="F18" s="120"/>
      <c r="G18" s="120"/>
      <c r="H18" s="120"/>
      <c r="I18" s="154"/>
      <c r="J18" s="154">
        <f t="shared" ref="J18:N18" si="8">IF(AND($C18&gt;J$14,ISNONTEXT($C18)),K18/(1+K$12),IF(AND($C18=J$14,J$14=J$4),1,IF(AND($C18&lt;J$14,J$14=J$4),I18*(1+J$12),0)))</f>
        <v>0.88855646970830215</v>
      </c>
      <c r="K18" s="154">
        <f t="shared" si="8"/>
        <v>0.94315632011967088</v>
      </c>
      <c r="L18" s="154">
        <f t="shared" si="8"/>
        <v>1</v>
      </c>
      <c r="M18" s="154">
        <f t="shared" si="8"/>
        <v>1.0381451009723264</v>
      </c>
      <c r="N18" s="154">
        <f t="shared" si="8"/>
        <v>1.0598354525056097</v>
      </c>
      <c r="O18" s="154">
        <f t="shared" ref="O18:P18" si="9">IF(AND($C18&gt;O$14,ISNONTEXT($C18)),P18/(1+O$12),IF(AND($C18=O$14,O$14=O$4),1,IF(AND($C18&lt;O$14,O$14=O$4),N18*(1+O$12),0)))</f>
        <v>1.091630516080778</v>
      </c>
      <c r="P18" s="154">
        <f t="shared" si="9"/>
        <v>0</v>
      </c>
      <c r="Q18" s="155"/>
      <c r="R18" s="155"/>
      <c r="S18" s="155"/>
      <c r="T18" s="155"/>
      <c r="U18" s="155"/>
      <c r="V18" s="17"/>
      <c r="W18" s="17"/>
    </row>
    <row r="19" spans="1:23" ht="11.25" customHeight="1" outlineLevel="1">
      <c r="A19" s="17"/>
      <c r="B19" s="17"/>
      <c r="C19" s="153">
        <v>45444</v>
      </c>
      <c r="D19" s="150" t="str">
        <f t="shared" si="2"/>
        <v>calculated</v>
      </c>
      <c r="E19" s="120" t="str">
        <f t="shared" si="5"/>
        <v>index</v>
      </c>
      <c r="F19" s="120"/>
      <c r="G19" s="120"/>
      <c r="H19" s="120"/>
      <c r="I19" s="154"/>
      <c r="J19" s="154">
        <f t="shared" ref="J19:N19" si="10">IF(AND($C19&gt;J$14,ISNONTEXT($C19)),K19/(1+K$12),IF(AND($C19=J$14,J$14=J$4),1,IF(AND($C19&lt;J$14,J$14=J$4),I19*(1+J$12),0)))</f>
        <v>0.85590778097982689</v>
      </c>
      <c r="K19" s="154">
        <f t="shared" si="10"/>
        <v>0.90850144092218998</v>
      </c>
      <c r="L19" s="154">
        <f t="shared" si="10"/>
        <v>0.96325648414985565</v>
      </c>
      <c r="M19" s="154">
        <f t="shared" si="10"/>
        <v>1</v>
      </c>
      <c r="N19" s="154">
        <f t="shared" si="10"/>
        <v>1.0208933717579249</v>
      </c>
      <c r="O19" s="154">
        <f t="shared" ref="O19:P19" si="11">IF(AND($C19&gt;O$14,ISNONTEXT($C19)),P19/(1+O$12),IF(AND($C19=O$14,O$14=O$4),1,IF(AND($C19&lt;O$14,O$14=O$4),N19*(1+O$12),0)))</f>
        <v>1.0515201729106627</v>
      </c>
      <c r="P19" s="154">
        <f t="shared" si="11"/>
        <v>0</v>
      </c>
      <c r="Q19" s="155"/>
      <c r="R19" s="155"/>
      <c r="S19" s="155"/>
      <c r="T19" s="155"/>
      <c r="U19" s="155"/>
      <c r="V19" s="17"/>
      <c r="W19" s="17"/>
    </row>
    <row r="20" spans="1:23" ht="11.25" customHeight="1" outlineLevel="1">
      <c r="A20" s="17"/>
      <c r="B20" s="17"/>
      <c r="C20" s="153">
        <v>45809</v>
      </c>
      <c r="D20" s="150" t="str">
        <f t="shared" si="2"/>
        <v>calculated</v>
      </c>
      <c r="E20" s="120" t="str">
        <f t="shared" si="5"/>
        <v>index</v>
      </c>
      <c r="F20" s="120"/>
      <c r="G20" s="120"/>
      <c r="H20" s="120"/>
      <c r="I20" s="154"/>
      <c r="J20" s="154">
        <f>IF(AND($C20&gt;J$14,ISNONTEXT($C20)),K20/(1+K$12),IF(AND($C20=J$14,J$14=J$4),1,IF(AND($C20&lt;J$14,J$14=J$4),I20*(1+J$12),0)))</f>
        <v>0.83839096683133374</v>
      </c>
      <c r="K20" s="154">
        <f t="shared" ref="K20:N20" si="12">IF(AND($C20&gt;K$14,ISNONTEXT($C20)),L20/(1+L$12),IF(AND($C20=K$14,K$14=K$4),1,IF(AND($C20&lt;K$14,K$14=K$4),J20*(1+K$12),0)))</f>
        <v>0.88990825688073383</v>
      </c>
      <c r="L20" s="154">
        <f t="shared" si="12"/>
        <v>0.9435426958362737</v>
      </c>
      <c r="M20" s="154">
        <f t="shared" si="12"/>
        <v>0.97953422724064942</v>
      </c>
      <c r="N20" s="154">
        <f t="shared" si="12"/>
        <v>1</v>
      </c>
      <c r="O20" s="154">
        <f t="shared" ref="O20:P20" si="13">IF(AND($C20&gt;O$14,ISNONTEXT($C20)),P20/(1+O$12),IF(AND($C20=O$14,O$14=O$4),1,IF(AND($C20&lt;O$14,O$14=O$4),N20*(1+O$12),0)))</f>
        <v>1.03</v>
      </c>
      <c r="P20" s="154">
        <f t="shared" si="13"/>
        <v>0</v>
      </c>
      <c r="Q20" s="155"/>
      <c r="R20" s="155"/>
      <c r="S20" s="155"/>
      <c r="T20" s="155"/>
      <c r="U20" s="155"/>
      <c r="V20" s="17"/>
      <c r="W20" s="17"/>
    </row>
    <row r="21" spans="1:23" ht="11.25" customHeight="1" outlineLevel="1">
      <c r="A21" s="17"/>
      <c r="B21" s="17"/>
      <c r="C21" s="153">
        <v>46174</v>
      </c>
      <c r="D21" s="150" t="str">
        <f>IF(ISNONTEXT($C21),"calculated","")</f>
        <v>calculated</v>
      </c>
      <c r="E21" s="120" t="str">
        <f t="shared" si="5"/>
        <v>index</v>
      </c>
      <c r="F21" s="120"/>
      <c r="G21" s="120"/>
      <c r="H21" s="120"/>
      <c r="I21" s="154"/>
      <c r="J21" s="154">
        <f>IF(AND($C21&gt;J$14,ISNONTEXT($C21)),K21/(1+K$12),IF(AND($C21=J$14,J$14=J$4),1,IF(AND($C21&lt;J$14,J$14=J$4),I21*(1+J$12),0)))</f>
        <v>0.81397181245760553</v>
      </c>
      <c r="K21" s="154">
        <f t="shared" ref="K21:K22" si="14">IF(AND($C21&gt;K$14,ISNONTEXT($C21)),L21/(1+L$12),IF(AND($C21=K$14,K$14=K$4),1,IF(AND($C21&lt;K$14,K$14=K$4),J21*(1+K$12),0)))</f>
        <v>0.86398859891333379</v>
      </c>
      <c r="L21" s="154">
        <f t="shared" ref="L21:L22" si="15">IF(AND($C21&gt;L$14,ISNONTEXT($C21)),M21/(1+M$12),IF(AND($C21=L$14,L$14=L$4),1,IF(AND($C21&lt;L$14,L$14=L$4),K21*(1+L$12),0)))</f>
        <v>0.91606086974395506</v>
      </c>
      <c r="M21" s="154">
        <f t="shared" ref="M21:M22" si="16">IF(AND($C21&gt;M$14,ISNONTEXT($C21)),N21/(1+N$12),IF(AND($C21=M$14,M$14=M$4),1,IF(AND($C21&lt;M$14,M$14=M$4),L21*(1+M$12),0)))</f>
        <v>0.95100410411713532</v>
      </c>
      <c r="N21" s="154">
        <f t="shared" ref="N21:N22" si="17">IF(AND($C21&gt;N$14,ISNONTEXT($C21)),O21/(1+O$12),IF(AND($C21=N$14,N$14=N$4),1,IF(AND($C21&lt;N$14,N$14=N$4),M21*(1+N$12),0)))</f>
        <v>0.970873786407767</v>
      </c>
      <c r="O21" s="154">
        <f t="shared" ref="O21:P21" si="18">IF(AND($C21&gt;O$14,ISNONTEXT($C21)),P21/(1+O$12),IF(AND($C21=O$14,O$14=O$4),1,IF(AND($C21&lt;O$14,O$14=O$4),N21*(1+O$12),0)))</f>
        <v>1</v>
      </c>
      <c r="P21" s="154">
        <f t="shared" si="18"/>
        <v>0</v>
      </c>
      <c r="Q21" s="155"/>
      <c r="R21" s="155"/>
      <c r="S21" s="155"/>
      <c r="T21" s="155"/>
      <c r="U21" s="155"/>
      <c r="V21" s="17"/>
      <c r="W21" s="17"/>
    </row>
    <row r="22" spans="1:23" ht="11.25" customHeight="1" outlineLevel="1">
      <c r="A22" s="17"/>
      <c r="B22" s="17"/>
      <c r="C22" s="153" t="str">
        <v/>
      </c>
      <c r="D22" s="150" t="str">
        <f>IF(ISNONTEXT($C22),"calculated","")</f>
        <v/>
      </c>
      <c r="E22" s="120" t="str">
        <f t="shared" si="5"/>
        <v/>
      </c>
      <c r="F22" s="120"/>
      <c r="G22" s="120"/>
      <c r="H22" s="120"/>
      <c r="I22" s="154"/>
      <c r="J22" s="154">
        <f>IF(AND($C22&gt;J$14,ISNONTEXT($C22)),K22/(1+K$12),IF(AND($C22=J$14,J$14=J$4),1,IF(AND($C22&lt;J$14,J$14=J$4),I22*(1+J$12),0)))</f>
        <v>0</v>
      </c>
      <c r="K22" s="154">
        <f t="shared" si="14"/>
        <v>0</v>
      </c>
      <c r="L22" s="154">
        <f t="shared" si="15"/>
        <v>0</v>
      </c>
      <c r="M22" s="154">
        <f t="shared" si="16"/>
        <v>0</v>
      </c>
      <c r="N22" s="154">
        <f t="shared" si="17"/>
        <v>0</v>
      </c>
      <c r="O22" s="154">
        <f t="shared" ref="O22:P22" si="19">IF(AND($C22&gt;O$14,ISNONTEXT($C22)),P22/(1+P$12),IF(AND($C22=O$14,O$14=O$4),1,IF(AND($C22&lt;O$14,O$14=O$4),N22*(1+O$12),0)))</f>
        <v>0</v>
      </c>
      <c r="P22" s="154">
        <f t="shared" si="19"/>
        <v>0</v>
      </c>
      <c r="Q22" s="155"/>
      <c r="R22" s="155"/>
      <c r="S22" s="155"/>
      <c r="T22" s="155"/>
      <c r="U22" s="155"/>
      <c r="V22" s="17"/>
      <c r="W22" s="17"/>
    </row>
    <row r="23" spans="1:23" ht="11.25" customHeight="1" outlineLevel="1">
      <c r="A23" s="17"/>
      <c r="B23" s="17"/>
      <c r="C23" s="125"/>
      <c r="D23" s="120"/>
      <c r="E23" s="120"/>
      <c r="F23" s="120"/>
      <c r="G23" s="120"/>
      <c r="H23" s="120"/>
      <c r="I23" s="120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7"/>
      <c r="W23" s="17"/>
    </row>
    <row r="24" spans="1:23" ht="11.25" customHeight="1" outlineLevel="1">
      <c r="A24" s="17"/>
      <c r="B24" s="17"/>
      <c r="C24" s="122" t="s">
        <v>46</v>
      </c>
      <c r="D24" s="120"/>
      <c r="E24" s="120"/>
      <c r="F24" s="120"/>
      <c r="G24" s="120"/>
      <c r="H24" s="120"/>
      <c r="I24" s="120"/>
      <c r="J24" s="123">
        <f t="shared" ref="J24:T24" si="20">IF(YEAR(J$4)&lt;=PPLastYear,J$4,"")</f>
        <v>44348</v>
      </c>
      <c r="K24" s="123">
        <f t="shared" si="20"/>
        <v>44713</v>
      </c>
      <c r="L24" s="123">
        <f t="shared" si="20"/>
        <v>45078</v>
      </c>
      <c r="M24" s="123">
        <f t="shared" si="20"/>
        <v>45444</v>
      </c>
      <c r="N24" s="123">
        <f t="shared" si="20"/>
        <v>45809</v>
      </c>
      <c r="O24" s="123">
        <f t="shared" si="20"/>
        <v>46174</v>
      </c>
      <c r="P24" s="123" t="str">
        <f t="shared" si="20"/>
        <v/>
      </c>
      <c r="Q24" s="123" t="str">
        <f t="shared" si="20"/>
        <v/>
      </c>
      <c r="R24" s="123" t="str">
        <f t="shared" si="20"/>
        <v/>
      </c>
      <c r="S24" s="123" t="str">
        <f t="shared" si="20"/>
        <v/>
      </c>
      <c r="T24" s="123" t="str">
        <f t="shared" si="20"/>
        <v/>
      </c>
      <c r="U24" s="138"/>
      <c r="V24" s="17"/>
      <c r="W24" s="17"/>
    </row>
    <row r="25" spans="1:23" ht="11.25" customHeight="1" outlineLevel="1">
      <c r="A25" s="17"/>
      <c r="B25" s="17"/>
      <c r="C25" s="125"/>
      <c r="D25" s="120"/>
      <c r="E25" s="120"/>
      <c r="F25" s="120"/>
      <c r="G25" s="120"/>
      <c r="H25" s="120"/>
      <c r="I25" s="120"/>
      <c r="J25" s="17"/>
      <c r="K25" s="17"/>
      <c r="L25" s="17"/>
      <c r="M25" s="17"/>
      <c r="N25" s="17"/>
      <c r="O25" s="17"/>
      <c r="P25" s="17"/>
      <c r="Q25" s="154"/>
      <c r="R25" s="154"/>
      <c r="S25" s="154"/>
      <c r="T25" s="154"/>
      <c r="U25" s="154"/>
      <c r="V25" s="17"/>
      <c r="W25" s="17"/>
    </row>
    <row r="26" spans="1:23" ht="11.25" customHeight="1" outlineLevel="1">
      <c r="A26" s="17"/>
      <c r="B26" s="17"/>
      <c r="C26" s="153">
        <f t="array" ref="C26:C32">TRANSPOSE(J10:P10)</f>
        <v>44348</v>
      </c>
      <c r="D26" s="150" t="str">
        <f t="shared" ref="D26:D32" si="21">IF(ISNONTEXT($C26),"calculated","")</f>
        <v>calculated</v>
      </c>
      <c r="E26" s="120" t="str">
        <f>IF(ISNONTEXT($C26),"index","")</f>
        <v>index</v>
      </c>
      <c r="F26" s="120"/>
      <c r="G26" s="120"/>
      <c r="H26" s="120"/>
      <c r="I26" s="154"/>
      <c r="J26" s="154">
        <f>IF(AND(J$24=J$4,ISNONTEXT($C26)),1/J16*(1+J$12)^0.5,0)</f>
        <v>1.019049330730136</v>
      </c>
      <c r="K26" s="154">
        <f t="shared" ref="K26:T26" si="22">IF(AND(K$24=K$4,ISNONTEXT($C26)),1/K16*(1+K$12)^0.5,0)</f>
        <v>0.970623220902322</v>
      </c>
      <c r="L26" s="154">
        <f t="shared" si="22"/>
        <v>0.9149412196307648</v>
      </c>
      <c r="M26" s="154">
        <f t="shared" si="22"/>
        <v>0.87207935204504272</v>
      </c>
      <c r="N26" s="154">
        <f t="shared" si="22"/>
        <v>0.84710409750758409</v>
      </c>
      <c r="O26" s="154">
        <f t="shared" si="22"/>
        <v>0.82609116616738187</v>
      </c>
      <c r="P26" s="154">
        <f t="shared" si="22"/>
        <v>0</v>
      </c>
      <c r="Q26" s="154">
        <f t="shared" si="22"/>
        <v>0</v>
      </c>
      <c r="R26" s="154">
        <f t="shared" si="22"/>
        <v>0</v>
      </c>
      <c r="S26" s="154">
        <f t="shared" si="22"/>
        <v>0</v>
      </c>
      <c r="T26" s="154">
        <f t="shared" si="22"/>
        <v>0</v>
      </c>
      <c r="U26" s="154"/>
      <c r="V26" s="156"/>
      <c r="W26" s="156"/>
    </row>
    <row r="27" spans="1:23" ht="11.25" customHeight="1" outlineLevel="1">
      <c r="A27" s="17"/>
      <c r="B27" s="17"/>
      <c r="C27" s="153">
        <v>44713</v>
      </c>
      <c r="D27" s="150" t="str">
        <f t="shared" si="21"/>
        <v>calculated</v>
      </c>
      <c r="E27" s="120" t="str">
        <f t="shared" ref="E27:E32" si="23">IF(ISNONTEXT($C27),"index","")</f>
        <v>index</v>
      </c>
      <c r="F27" s="120"/>
      <c r="G27" s="120"/>
      <c r="H27" s="120"/>
      <c r="I27" s="154"/>
      <c r="J27" s="154">
        <f t="shared" ref="J27:T27" si="24">IF(AND(J$24=J$4,ISNONTEXT($C27)),1/J17*(1+J$12)^0.5,0)</f>
        <v>1.0816676818608599</v>
      </c>
      <c r="K27" s="154">
        <f t="shared" si="24"/>
        <v>1.0302658935671953</v>
      </c>
      <c r="L27" s="154">
        <f t="shared" si="24"/>
        <v>0.97116235518046667</v>
      </c>
      <c r="M27" s="154">
        <f t="shared" si="24"/>
        <v>0.92566671963703617</v>
      </c>
      <c r="N27" s="154">
        <f t="shared" si="24"/>
        <v>0.89915679036789842</v>
      </c>
      <c r="O27" s="154">
        <f t="shared" si="24"/>
        <v>0.87685266038473775</v>
      </c>
      <c r="P27" s="154">
        <f t="shared" si="24"/>
        <v>0</v>
      </c>
      <c r="Q27" s="154">
        <f t="shared" si="24"/>
        <v>0</v>
      </c>
      <c r="R27" s="154">
        <f t="shared" si="24"/>
        <v>0</v>
      </c>
      <c r="S27" s="154">
        <f t="shared" si="24"/>
        <v>0</v>
      </c>
      <c r="T27" s="154">
        <f t="shared" si="24"/>
        <v>0</v>
      </c>
      <c r="U27" s="154"/>
      <c r="V27" s="156"/>
      <c r="W27" s="156"/>
    </row>
    <row r="28" spans="1:23" ht="11.25" customHeight="1" outlineLevel="1">
      <c r="A28" s="17"/>
      <c r="B28" s="17"/>
      <c r="C28" s="153">
        <v>45078</v>
      </c>
      <c r="D28" s="150" t="str">
        <f t="shared" si="21"/>
        <v>calculated</v>
      </c>
      <c r="E28" s="120" t="str">
        <f t="shared" si="23"/>
        <v>index</v>
      </c>
      <c r="F28" s="120"/>
      <c r="G28" s="120"/>
      <c r="H28" s="120"/>
      <c r="I28" s="154"/>
      <c r="J28" s="154">
        <f t="shared" ref="J28:T28" si="25">IF(AND(J$24=J$4,ISNONTEXT($C28)),1/J18*(1+J$12)^0.5,0)</f>
        <v>1.1468593898873669</v>
      </c>
      <c r="K28" s="154">
        <f t="shared" si="25"/>
        <v>1.0923596349717211</v>
      </c>
      <c r="L28" s="154">
        <f t="shared" si="25"/>
        <v>1.0296939483554988</v>
      </c>
      <c r="M28" s="154">
        <f t="shared" si="25"/>
        <v>0.98145630781500182</v>
      </c>
      <c r="N28" s="154">
        <f t="shared" si="25"/>
        <v>0.95334863498959588</v>
      </c>
      <c r="O28" s="154">
        <f t="shared" si="25"/>
        <v>0.9297002434055468</v>
      </c>
      <c r="P28" s="154">
        <f t="shared" si="25"/>
        <v>0</v>
      </c>
      <c r="Q28" s="154">
        <f t="shared" si="25"/>
        <v>0</v>
      </c>
      <c r="R28" s="154">
        <f t="shared" si="25"/>
        <v>0</v>
      </c>
      <c r="S28" s="154">
        <f t="shared" si="25"/>
        <v>0</v>
      </c>
      <c r="T28" s="154">
        <f t="shared" si="25"/>
        <v>0</v>
      </c>
      <c r="U28" s="154"/>
      <c r="V28" s="156"/>
      <c r="W28" s="156"/>
    </row>
    <row r="29" spans="1:23" ht="11.25" customHeight="1" outlineLevel="1">
      <c r="A29" s="17"/>
      <c r="B29" s="17"/>
      <c r="C29" s="153">
        <v>45444</v>
      </c>
      <c r="D29" s="150" t="str">
        <f t="shared" si="21"/>
        <v>calculated</v>
      </c>
      <c r="E29" s="120" t="str">
        <f t="shared" si="23"/>
        <v>index</v>
      </c>
      <c r="F29" s="120"/>
      <c r="G29" s="120"/>
      <c r="H29" s="120"/>
      <c r="I29" s="154"/>
      <c r="J29" s="154">
        <f t="shared" ref="J29:T29" si="26">IF(AND(J$24=J$4,ISNONTEXT($C29)),1/J19*(1+J$12)^0.5,0)</f>
        <v>1.1906064571156811</v>
      </c>
      <c r="K29" s="154">
        <f t="shared" si="26"/>
        <v>1.1340278035458109</v>
      </c>
      <c r="L29" s="154">
        <f t="shared" si="26"/>
        <v>1.0689717279861126</v>
      </c>
      <c r="M29" s="154">
        <f t="shared" si="26"/>
        <v>1.0188940577765317</v>
      </c>
      <c r="N29" s="154">
        <f t="shared" si="26"/>
        <v>0.98971421493310363</v>
      </c>
      <c r="O29" s="154">
        <f t="shared" si="26"/>
        <v>0.96516375306424773</v>
      </c>
      <c r="P29" s="154">
        <f t="shared" si="26"/>
        <v>0</v>
      </c>
      <c r="Q29" s="154">
        <f t="shared" si="26"/>
        <v>0</v>
      </c>
      <c r="R29" s="154">
        <f t="shared" si="26"/>
        <v>0</v>
      </c>
      <c r="S29" s="154">
        <f t="shared" si="26"/>
        <v>0</v>
      </c>
      <c r="T29" s="154">
        <f t="shared" si="26"/>
        <v>0</v>
      </c>
      <c r="U29" s="154"/>
      <c r="V29" s="156"/>
      <c r="W29" s="156"/>
    </row>
    <row r="30" spans="1:23" ht="11.25" customHeight="1" outlineLevel="1">
      <c r="A30" s="17"/>
      <c r="B30" s="17"/>
      <c r="C30" s="153">
        <v>45809</v>
      </c>
      <c r="D30" s="150" t="str">
        <f t="shared" si="21"/>
        <v>calculated</v>
      </c>
      <c r="E30" s="120" t="str">
        <f t="shared" si="23"/>
        <v>index</v>
      </c>
      <c r="F30" s="120"/>
      <c r="G30" s="120"/>
      <c r="H30" s="120"/>
      <c r="I30" s="154"/>
      <c r="J30" s="154">
        <f t="shared" ref="J30:T30" si="27">IF(AND(J$24=J$4,ISNONTEXT($C30)),1/J20*(1+J$12)^0.5,0)</f>
        <v>1.215482240441585</v>
      </c>
      <c r="K30" s="154">
        <f t="shared" si="27"/>
        <v>1.1577214680291166</v>
      </c>
      <c r="L30" s="154">
        <f t="shared" si="27"/>
        <v>1.0913061516976379</v>
      </c>
      <c r="M30" s="154">
        <f t="shared" si="27"/>
        <v>1.0401821901075974</v>
      </c>
      <c r="N30" s="154">
        <f t="shared" si="27"/>
        <v>1.0103926819598037</v>
      </c>
      <c r="O30" s="154">
        <f t="shared" si="27"/>
        <v>0.98532927816429317</v>
      </c>
      <c r="P30" s="154">
        <f t="shared" si="27"/>
        <v>0</v>
      </c>
      <c r="Q30" s="154">
        <f t="shared" si="27"/>
        <v>0</v>
      </c>
      <c r="R30" s="154">
        <f t="shared" si="27"/>
        <v>0</v>
      </c>
      <c r="S30" s="154">
        <f t="shared" si="27"/>
        <v>0</v>
      </c>
      <c r="T30" s="154">
        <f t="shared" si="27"/>
        <v>0</v>
      </c>
      <c r="U30" s="154"/>
      <c r="V30" s="156"/>
      <c r="W30" s="156"/>
    </row>
    <row r="31" spans="1:23" ht="11.25" customHeight="1" outlineLevel="1">
      <c r="A31" s="17"/>
      <c r="B31" s="17"/>
      <c r="C31" s="153">
        <v>46174</v>
      </c>
      <c r="D31" s="150" t="str">
        <f t="shared" si="21"/>
        <v>calculated</v>
      </c>
      <c r="E31" s="120" t="str">
        <f t="shared" si="23"/>
        <v>index</v>
      </c>
      <c r="F31" s="120"/>
      <c r="G31" s="120"/>
      <c r="H31" s="120"/>
      <c r="I31" s="154"/>
      <c r="J31" s="154">
        <f t="shared" ref="J31:T32" si="28">IF(AND(J$24=J$4,ISNONTEXT($C31)),1/J21*(1+J$12)^0.5,0)</f>
        <v>1.2519467076548325</v>
      </c>
      <c r="K31" s="154">
        <f t="shared" si="28"/>
        <v>1.1924531120699902</v>
      </c>
      <c r="L31" s="154">
        <f t="shared" si="28"/>
        <v>1.1240453362485672</v>
      </c>
      <c r="M31" s="154">
        <f t="shared" si="28"/>
        <v>1.0713876558108255</v>
      </c>
      <c r="N31" s="154">
        <f t="shared" si="28"/>
        <v>1.0407044624185979</v>
      </c>
      <c r="O31" s="154">
        <f t="shared" si="28"/>
        <v>1.014889156509222</v>
      </c>
      <c r="P31" s="154">
        <f t="shared" si="28"/>
        <v>0</v>
      </c>
      <c r="Q31" s="154">
        <f t="shared" si="28"/>
        <v>0</v>
      </c>
      <c r="R31" s="154">
        <f t="shared" si="28"/>
        <v>0</v>
      </c>
      <c r="S31" s="154">
        <f t="shared" si="28"/>
        <v>0</v>
      </c>
      <c r="T31" s="154">
        <f t="shared" si="28"/>
        <v>0</v>
      </c>
      <c r="U31" s="154"/>
      <c r="V31" s="156"/>
      <c r="W31" s="156"/>
    </row>
    <row r="32" spans="1:23" ht="11.25" customHeight="1" outlineLevel="1">
      <c r="A32" s="17"/>
      <c r="B32" s="17"/>
      <c r="C32" s="153" t="str">
        <v/>
      </c>
      <c r="D32" s="150" t="str">
        <f t="shared" si="21"/>
        <v/>
      </c>
      <c r="E32" s="120" t="str">
        <f t="shared" si="23"/>
        <v/>
      </c>
      <c r="F32" s="120"/>
      <c r="G32" s="120"/>
      <c r="H32" s="120"/>
      <c r="I32" s="154"/>
      <c r="J32" s="154">
        <f t="shared" si="28"/>
        <v>0</v>
      </c>
      <c r="K32" s="154">
        <f t="shared" si="28"/>
        <v>0</v>
      </c>
      <c r="L32" s="154">
        <f t="shared" si="28"/>
        <v>0</v>
      </c>
      <c r="M32" s="154">
        <f t="shared" si="28"/>
        <v>0</v>
      </c>
      <c r="N32" s="154">
        <f t="shared" si="28"/>
        <v>0</v>
      </c>
      <c r="O32" s="154">
        <f t="shared" si="28"/>
        <v>0</v>
      </c>
      <c r="P32" s="154">
        <f t="shared" si="28"/>
        <v>0</v>
      </c>
      <c r="Q32" s="154">
        <f t="shared" si="28"/>
        <v>0</v>
      </c>
      <c r="R32" s="154">
        <f t="shared" si="28"/>
        <v>0</v>
      </c>
      <c r="S32" s="154">
        <f t="shared" si="28"/>
        <v>0</v>
      </c>
      <c r="T32" s="154">
        <f t="shared" si="28"/>
        <v>0</v>
      </c>
      <c r="U32" s="154"/>
      <c r="V32" s="156"/>
      <c r="W32" s="156"/>
    </row>
    <row r="33" spans="1:34">
      <c r="A33" s="17"/>
      <c r="B33" s="17"/>
      <c r="C33" s="125"/>
      <c r="D33" s="120"/>
      <c r="E33" s="120"/>
      <c r="F33" s="120"/>
      <c r="G33" s="120"/>
      <c r="H33" s="120"/>
      <c r="I33" s="120"/>
      <c r="J33" s="120"/>
      <c r="K33" s="154"/>
      <c r="L33" s="154"/>
      <c r="M33" s="154"/>
      <c r="N33" s="154"/>
      <c r="O33" s="154"/>
      <c r="P33" s="152"/>
      <c r="Q33" s="154"/>
      <c r="R33" s="154"/>
      <c r="S33" s="154"/>
      <c r="T33" s="154"/>
      <c r="U33" s="154"/>
      <c r="V33" s="17"/>
      <c r="W33" s="17"/>
    </row>
    <row r="34" spans="1:34" customFormat="1" ht="13">
      <c r="A34" s="32"/>
      <c r="B34" s="38" t="s">
        <v>72</v>
      </c>
      <c r="C34" s="32"/>
      <c r="D34" s="32"/>
      <c r="E34" s="32"/>
      <c r="F34" s="118"/>
      <c r="G34" s="118"/>
      <c r="H34" s="118"/>
      <c r="I34" s="118"/>
      <c r="J34" s="118"/>
      <c r="K34" s="34"/>
      <c r="L34" s="119"/>
      <c r="M34" s="34"/>
      <c r="N34" s="119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7"/>
      <c r="B35" s="17"/>
      <c r="C35" s="17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7"/>
      <c r="W35" s="17"/>
    </row>
    <row r="36" spans="1:34" ht="11.25" customHeight="1" outlineLevel="1">
      <c r="A36" s="17"/>
      <c r="B36" s="17"/>
      <c r="C36" s="122" t="s">
        <v>75</v>
      </c>
      <c r="D36" s="121" t="s">
        <v>7</v>
      </c>
      <c r="E36" s="121" t="s">
        <v>8</v>
      </c>
      <c r="F36" s="120"/>
      <c r="G36" s="120"/>
      <c r="H36" s="120"/>
      <c r="I36" s="120"/>
      <c r="J36" s="138" t="str">
        <f t="shared" ref="J36:U36" si="29">IF(YEAR(J$4)&gt;=FPFirstYear,IF(YEAR(J$4)&lt;=FPLastYear,J$4,""),"")</f>
        <v/>
      </c>
      <c r="K36" s="138" t="str">
        <f t="shared" si="29"/>
        <v/>
      </c>
      <c r="L36" s="138" t="str">
        <f t="shared" si="29"/>
        <v/>
      </c>
      <c r="M36" s="138" t="str">
        <f t="shared" si="29"/>
        <v/>
      </c>
      <c r="N36" s="138" t="str">
        <f t="shared" si="29"/>
        <v/>
      </c>
      <c r="O36" s="138" t="str">
        <f t="shared" si="29"/>
        <v/>
      </c>
      <c r="P36" s="138">
        <f t="shared" si="29"/>
        <v>46539</v>
      </c>
      <c r="Q36" s="138">
        <f t="shared" si="29"/>
        <v>46905</v>
      </c>
      <c r="R36" s="138">
        <f t="shared" si="29"/>
        <v>47270</v>
      </c>
      <c r="S36" s="138">
        <f t="shared" si="29"/>
        <v>47635</v>
      </c>
      <c r="T36" s="138" t="str">
        <f t="shared" si="29"/>
        <v/>
      </c>
      <c r="U36" s="138" t="str">
        <f t="shared" si="29"/>
        <v/>
      </c>
      <c r="V36" s="17"/>
      <c r="W36" s="17"/>
    </row>
    <row r="37" spans="1:34" ht="11.25" customHeight="1" outlineLevel="1">
      <c r="A37" s="17"/>
      <c r="B37" s="17"/>
      <c r="C37" s="17"/>
      <c r="D37" s="120"/>
      <c r="E37" s="120"/>
      <c r="F37" s="120"/>
      <c r="G37" s="120"/>
      <c r="H37" s="120"/>
      <c r="I37" s="120"/>
      <c r="J37" s="1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34" ht="11.25" customHeight="1" outlineLevel="1">
      <c r="A38" s="17"/>
      <c r="B38" s="17"/>
      <c r="C38" s="127" t="s">
        <v>226</v>
      </c>
      <c r="D38" s="120" t="s">
        <v>96</v>
      </c>
      <c r="E38" s="120" t="str">
        <f t="shared" ref="E38:E45" si="30">percent</f>
        <v>Per cent</v>
      </c>
      <c r="F38" s="120"/>
      <c r="G38" s="120"/>
      <c r="H38" s="120"/>
      <c r="I38" s="120"/>
      <c r="J38" s="157"/>
      <c r="K38" s="158"/>
      <c r="L38" s="158"/>
      <c r="M38" s="158"/>
      <c r="N38" s="158"/>
      <c r="O38" s="158"/>
      <c r="P38" s="159">
        <v>1.1103534761613765E-2</v>
      </c>
      <c r="Q38" s="159">
        <v>8.9783713888744645E-3</v>
      </c>
      <c r="R38" s="159">
        <v>1.1846642027943286E-2</v>
      </c>
      <c r="S38" s="159">
        <v>1.3462514172696735E-2</v>
      </c>
      <c r="T38" s="159"/>
      <c r="U38" s="17"/>
      <c r="V38" s="17"/>
      <c r="W38" s="17"/>
    </row>
    <row r="39" spans="1:34" ht="11.25" customHeight="1" outlineLevel="1">
      <c r="A39" s="17"/>
      <c r="B39" s="17"/>
      <c r="C39" s="161" t="s">
        <v>227</v>
      </c>
      <c r="D39" s="120" t="s">
        <v>96</v>
      </c>
      <c r="E39" s="120" t="str">
        <f t="shared" si="30"/>
        <v>Per cent</v>
      </c>
      <c r="F39" s="120"/>
      <c r="G39" s="120"/>
      <c r="H39" s="120"/>
      <c r="I39" s="120"/>
      <c r="J39" s="157"/>
      <c r="K39" s="158"/>
      <c r="L39" s="158"/>
      <c r="M39" s="158"/>
      <c r="N39" s="158"/>
      <c r="O39" s="158"/>
      <c r="P39" s="160">
        <v>7.3777783561288501E-3</v>
      </c>
      <c r="Q39" s="160">
        <v>8.2648497627975104E-3</v>
      </c>
      <c r="R39" s="160">
        <v>8.6234670112499412E-3</v>
      </c>
      <c r="S39" s="160">
        <v>1.1112169618705536E-2</v>
      </c>
      <c r="T39" s="160"/>
      <c r="U39" s="17"/>
      <c r="V39" s="17"/>
      <c r="W39" s="17"/>
    </row>
    <row r="40" spans="1:34" ht="11.25" customHeight="1" outlineLevel="1">
      <c r="A40" s="17"/>
      <c r="B40" s="17"/>
      <c r="C40" s="127" t="s">
        <v>175</v>
      </c>
      <c r="D40" s="120" t="s">
        <v>96</v>
      </c>
      <c r="E40" s="120" t="str">
        <f t="shared" si="30"/>
        <v>Per cent</v>
      </c>
      <c r="F40" s="120"/>
      <c r="G40" s="120"/>
      <c r="H40" s="120"/>
      <c r="I40" s="120"/>
      <c r="J40" s="157"/>
      <c r="K40" s="158"/>
      <c r="L40" s="158"/>
      <c r="M40" s="158"/>
      <c r="N40" s="158"/>
      <c r="O40" s="158"/>
      <c r="P40" s="160">
        <f>AVERAGE(P38:P39)</f>
        <v>9.2406565588713067E-3</v>
      </c>
      <c r="Q40" s="160">
        <f t="shared" ref="Q40:R40" si="31">AVERAGE(Q38:Q39)</f>
        <v>8.6216105758359883E-3</v>
      </c>
      <c r="R40" s="160">
        <f t="shared" si="31"/>
        <v>1.0235054519596613E-2</v>
      </c>
      <c r="S40" s="160">
        <f>AVERAGE(S38:S39)</f>
        <v>1.2287341895701135E-2</v>
      </c>
      <c r="T40" s="160"/>
      <c r="U40" s="17"/>
      <c r="V40" s="17"/>
      <c r="W40" s="17"/>
    </row>
    <row r="41" spans="1:34" ht="11.25" customHeight="1" outlineLevel="1">
      <c r="A41" s="17"/>
      <c r="B41" s="17"/>
      <c r="C41" s="127" t="s">
        <v>162</v>
      </c>
      <c r="D41" s="120" t="s">
        <v>96</v>
      </c>
      <c r="E41" s="120" t="str">
        <f t="shared" si="30"/>
        <v>Per cent</v>
      </c>
      <c r="F41" s="120"/>
      <c r="G41" s="120"/>
      <c r="H41" s="120"/>
      <c r="I41" s="120"/>
      <c r="J41" s="157"/>
      <c r="K41" s="158"/>
      <c r="L41" s="158"/>
      <c r="M41" s="158"/>
      <c r="N41" s="158"/>
      <c r="O41" s="158"/>
      <c r="P41" s="160">
        <v>0</v>
      </c>
      <c r="Q41" s="160">
        <v>0</v>
      </c>
      <c r="R41" s="160">
        <v>0</v>
      </c>
      <c r="S41" s="160">
        <v>0</v>
      </c>
      <c r="T41" s="160"/>
      <c r="U41" s="162"/>
      <c r="V41" s="163"/>
      <c r="W41" s="17"/>
    </row>
    <row r="42" spans="1:34" ht="11.25" customHeight="1" outlineLevel="1">
      <c r="A42" s="17"/>
      <c r="B42" s="17"/>
      <c r="C42" s="127" t="s">
        <v>163</v>
      </c>
      <c r="D42" s="120" t="s">
        <v>96</v>
      </c>
      <c r="E42" s="120" t="str">
        <f t="shared" si="30"/>
        <v>Per cent</v>
      </c>
      <c r="F42" s="120"/>
      <c r="G42" s="120"/>
      <c r="H42" s="120"/>
      <c r="I42" s="120"/>
      <c r="J42" s="157"/>
      <c r="K42" s="158"/>
      <c r="L42" s="158"/>
      <c r="M42" s="158"/>
      <c r="N42" s="158"/>
      <c r="O42" s="158"/>
      <c r="P42" s="160">
        <f>P41+P40</f>
        <v>9.2406565588713067E-3</v>
      </c>
      <c r="Q42" s="160">
        <f t="shared" ref="Q42:S42" si="32">Q41+Q40</f>
        <v>8.6216105758359883E-3</v>
      </c>
      <c r="R42" s="160">
        <f t="shared" si="32"/>
        <v>1.0235054519596613E-2</v>
      </c>
      <c r="S42" s="160">
        <f t="shared" si="32"/>
        <v>1.2287341895701135E-2</v>
      </c>
      <c r="T42" s="160"/>
      <c r="U42" s="162"/>
      <c r="V42" s="17"/>
      <c r="W42" s="17"/>
    </row>
    <row r="43" spans="1:34" ht="11.25" customHeight="1" outlineLevel="1">
      <c r="A43" s="17"/>
      <c r="B43" s="17"/>
      <c r="C43" s="127"/>
      <c r="D43" s="120" t="s">
        <v>96</v>
      </c>
      <c r="E43" s="120" t="str">
        <f t="shared" si="30"/>
        <v>Per cent</v>
      </c>
      <c r="F43" s="120"/>
      <c r="G43" s="120"/>
      <c r="H43" s="120"/>
      <c r="I43" s="120"/>
      <c r="J43" s="157"/>
      <c r="K43" s="158"/>
      <c r="L43" s="158"/>
      <c r="M43" s="158"/>
      <c r="N43" s="158"/>
      <c r="O43" s="158"/>
      <c r="P43" s="164"/>
      <c r="Q43" s="164"/>
      <c r="R43" s="164"/>
      <c r="S43" s="164"/>
      <c r="T43" s="164"/>
      <c r="U43" s="162"/>
      <c r="V43" s="17"/>
      <c r="W43" s="17"/>
    </row>
    <row r="44" spans="1:34" ht="11.25" customHeight="1" outlineLevel="1">
      <c r="A44" s="17"/>
      <c r="B44" s="17"/>
      <c r="C44" s="127"/>
      <c r="D44" s="120" t="s">
        <v>96</v>
      </c>
      <c r="E44" s="120" t="str">
        <f t="shared" si="30"/>
        <v>Per cent</v>
      </c>
      <c r="F44" s="120"/>
      <c r="G44" s="120"/>
      <c r="H44" s="120"/>
      <c r="I44" s="120"/>
      <c r="J44" s="157"/>
      <c r="K44" s="158"/>
      <c r="L44" s="158"/>
      <c r="M44" s="158"/>
      <c r="N44" s="158"/>
      <c r="O44" s="158"/>
      <c r="P44" s="164"/>
      <c r="Q44" s="164"/>
      <c r="R44" s="164"/>
      <c r="S44" s="164"/>
      <c r="T44" s="164"/>
      <c r="U44" s="162"/>
      <c r="V44" s="17"/>
      <c r="W44" s="17"/>
    </row>
    <row r="45" spans="1:34" ht="11.25" customHeight="1" outlineLevel="1">
      <c r="A45" s="17"/>
      <c r="B45" s="17"/>
      <c r="C45" s="127" t="s">
        <v>76</v>
      </c>
      <c r="D45" s="120" t="s">
        <v>96</v>
      </c>
      <c r="E45" s="120" t="str">
        <f t="shared" si="30"/>
        <v>Per cent</v>
      </c>
      <c r="F45" s="120"/>
      <c r="G45" s="120"/>
      <c r="H45" s="120"/>
      <c r="I45" s="120"/>
      <c r="J45" s="157"/>
      <c r="K45" s="158"/>
      <c r="L45" s="158"/>
      <c r="M45" s="158"/>
      <c r="N45" s="158"/>
      <c r="O45" s="158"/>
      <c r="P45" s="164">
        <v>0</v>
      </c>
      <c r="Q45" s="164">
        <v>0</v>
      </c>
      <c r="R45" s="164">
        <v>0</v>
      </c>
      <c r="S45" s="164">
        <v>0</v>
      </c>
      <c r="T45" s="164"/>
      <c r="U45" s="162"/>
      <c r="V45" s="17"/>
      <c r="W45" s="17"/>
    </row>
    <row r="46" spans="1:34" ht="11.25" customHeight="1" outlineLevel="1">
      <c r="A46" s="17"/>
      <c r="B46" s="17"/>
      <c r="C46" s="17"/>
      <c r="D46" s="120"/>
      <c r="E46" s="120"/>
      <c r="F46" s="120"/>
      <c r="G46" s="120"/>
      <c r="H46" s="120"/>
      <c r="I46" s="120"/>
      <c r="J46" s="12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4" ht="11.25" customHeight="1" outlineLevel="1">
      <c r="A47" s="17"/>
      <c r="B47" s="17"/>
      <c r="C47" s="17" t="s">
        <v>40</v>
      </c>
      <c r="D47" s="120" t="s">
        <v>93</v>
      </c>
      <c r="E47" s="120" t="s">
        <v>28</v>
      </c>
      <c r="F47" s="120" t="s">
        <v>36</v>
      </c>
      <c r="G47" s="120"/>
      <c r="H47" s="120"/>
      <c r="I47" s="120"/>
      <c r="J47" s="165" t="str">
        <f t="shared" ref="J47:S47" si="33">IF(J36=J4,IF(COUNTA($C38:$C45)=COUNT(J38:J45),"Ok","Check"),"")</f>
        <v/>
      </c>
      <c r="K47" s="165" t="str">
        <f t="shared" si="33"/>
        <v/>
      </c>
      <c r="L47" s="165" t="str">
        <f t="shared" si="33"/>
        <v/>
      </c>
      <c r="M47" s="165" t="str">
        <f t="shared" si="33"/>
        <v/>
      </c>
      <c r="N47" s="165" t="str">
        <f t="shared" si="33"/>
        <v/>
      </c>
      <c r="O47" s="165" t="str">
        <f t="shared" si="33"/>
        <v/>
      </c>
      <c r="P47" s="165" t="str">
        <f t="shared" si="33"/>
        <v>Ok</v>
      </c>
      <c r="Q47" s="165" t="str">
        <f t="shared" si="33"/>
        <v>Ok</v>
      </c>
      <c r="R47" s="165" t="str">
        <f t="shared" si="33"/>
        <v>Ok</v>
      </c>
      <c r="S47" s="165" t="str">
        <f t="shared" si="33"/>
        <v>Ok</v>
      </c>
      <c r="T47" s="165" t="str">
        <f>IF(T36=T4,IF(COUNTA($C38:$C45)=COUNT(T38:T45),"Ok","Check"),"")</f>
        <v/>
      </c>
      <c r="U47" s="165" t="str">
        <f>IF(U36=U4,IF(COUNTA($C38:$C45)=COUNT(U38:U45),"Ok","Check"),"")</f>
        <v/>
      </c>
      <c r="V47" s="166"/>
      <c r="W47" s="17"/>
      <c r="X47" s="81" t="str">
        <f>IF(COUNTIF(J47:U47,"Check")=0,"Ok","Check")</f>
        <v>Ok</v>
      </c>
    </row>
    <row r="48" spans="1:34" ht="11.25" customHeight="1" outlineLevel="1">
      <c r="A48" s="17"/>
      <c r="B48" s="17"/>
      <c r="C48" s="17"/>
      <c r="D48" s="120"/>
      <c r="E48" s="120"/>
      <c r="F48" s="120"/>
      <c r="G48" s="120"/>
      <c r="H48" s="120"/>
      <c r="I48" s="120"/>
      <c r="J48" s="1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34" ht="11.25" customHeight="1" outlineLevel="1">
      <c r="A49" s="17"/>
      <c r="B49" s="17"/>
      <c r="C49" s="122" t="s">
        <v>43</v>
      </c>
      <c r="D49" s="121" t="s">
        <v>7</v>
      </c>
      <c r="E49" s="121" t="s">
        <v>8</v>
      </c>
      <c r="F49" s="120"/>
      <c r="G49" s="120"/>
      <c r="H49" s="120"/>
      <c r="I49" s="120"/>
      <c r="J49" s="138" t="str">
        <f t="shared" ref="J49:U49" si="34">IF(YEAR(J$4)&gt;=FPFirstYear,IF(YEAR(J$4)&lt;=FPLastYear,J$4,""),"")</f>
        <v/>
      </c>
      <c r="K49" s="138" t="str">
        <f t="shared" si="34"/>
        <v/>
      </c>
      <c r="L49" s="138" t="str">
        <f t="shared" si="34"/>
        <v/>
      </c>
      <c r="M49" s="138" t="str">
        <f t="shared" si="34"/>
        <v/>
      </c>
      <c r="N49" s="138" t="str">
        <f t="shared" si="34"/>
        <v/>
      </c>
      <c r="O49" s="138" t="str">
        <f t="shared" si="34"/>
        <v/>
      </c>
      <c r="P49" s="138">
        <f t="shared" si="34"/>
        <v>46539</v>
      </c>
      <c r="Q49" s="138">
        <f t="shared" si="34"/>
        <v>46905</v>
      </c>
      <c r="R49" s="138">
        <f t="shared" si="34"/>
        <v>47270</v>
      </c>
      <c r="S49" s="138">
        <f t="shared" si="34"/>
        <v>47635</v>
      </c>
      <c r="T49" s="138" t="str">
        <f t="shared" si="34"/>
        <v/>
      </c>
      <c r="U49" s="138" t="str">
        <f t="shared" si="34"/>
        <v/>
      </c>
      <c r="V49" s="17"/>
      <c r="W49" s="17"/>
    </row>
    <row r="50" spans="1:34" ht="11.25" customHeight="1" outlineLevel="1">
      <c r="A50" s="17"/>
      <c r="B50" s="17"/>
      <c r="C50" s="17"/>
      <c r="D50" s="120"/>
      <c r="E50" s="120"/>
      <c r="F50" s="120"/>
      <c r="G50" s="120"/>
      <c r="H50" s="120"/>
      <c r="I50" s="120"/>
      <c r="J50" s="12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34" ht="11.25" customHeight="1" outlineLevel="1">
      <c r="A51" s="17"/>
      <c r="B51" s="17"/>
      <c r="C51" s="167" t="str">
        <f t="shared" ref="C51:C58" si="35">C38</f>
        <v>WPI - forecast 1 - Oxford Economics</v>
      </c>
      <c r="D51" s="120" t="s">
        <v>96</v>
      </c>
      <c r="E51" s="120" t="str">
        <f t="shared" ref="E51:E58" si="36">percent</f>
        <v>Per cent</v>
      </c>
      <c r="F51" s="120"/>
      <c r="G51" s="120"/>
      <c r="H51" s="120"/>
      <c r="I51" s="120"/>
      <c r="J51" s="157"/>
      <c r="K51" s="158"/>
      <c r="L51" s="158"/>
      <c r="M51" s="158"/>
      <c r="N51" s="158"/>
      <c r="O51" s="158"/>
      <c r="P51" s="143"/>
      <c r="Q51" s="143"/>
      <c r="R51" s="143"/>
      <c r="S51" s="143"/>
      <c r="T51" s="143"/>
      <c r="U51" s="168"/>
      <c r="V51" s="17"/>
      <c r="W51" s="17"/>
    </row>
    <row r="52" spans="1:34" ht="11.25" customHeight="1" outlineLevel="1">
      <c r="A52" s="17"/>
      <c r="B52" s="17"/>
      <c r="C52" s="167" t="str">
        <f t="shared" si="35"/>
        <v>WPI - forecast 2 - DAE</v>
      </c>
      <c r="D52" s="120" t="s">
        <v>96</v>
      </c>
      <c r="E52" s="120" t="str">
        <f t="shared" si="36"/>
        <v>Per cent</v>
      </c>
      <c r="F52" s="120"/>
      <c r="G52" s="120"/>
      <c r="H52" s="120"/>
      <c r="I52" s="120"/>
      <c r="J52" s="157"/>
      <c r="K52" s="158"/>
      <c r="L52" s="158"/>
      <c r="M52" s="158"/>
      <c r="N52" s="158"/>
      <c r="O52" s="158"/>
      <c r="P52" s="143"/>
      <c r="Q52" s="143"/>
      <c r="R52" s="143"/>
      <c r="S52" s="143"/>
      <c r="T52" s="143"/>
      <c r="U52" s="168"/>
      <c r="V52" s="17"/>
      <c r="W52" s="17"/>
    </row>
    <row r="53" spans="1:34" ht="11.25" customHeight="1" outlineLevel="1">
      <c r="A53" s="17"/>
      <c r="B53" s="17"/>
      <c r="C53" s="167" t="str">
        <f t="shared" si="35"/>
        <v>WPI - average</v>
      </c>
      <c r="D53" s="120" t="s">
        <v>96</v>
      </c>
      <c r="E53" s="120" t="str">
        <f t="shared" si="36"/>
        <v>Per cent</v>
      </c>
      <c r="F53" s="120"/>
      <c r="G53" s="120"/>
      <c r="H53" s="120"/>
      <c r="I53" s="120"/>
      <c r="J53" s="157"/>
      <c r="K53" s="158"/>
      <c r="L53" s="158"/>
      <c r="M53" s="158"/>
      <c r="N53" s="158"/>
      <c r="O53" s="158"/>
      <c r="P53" s="143"/>
      <c r="Q53" s="143"/>
      <c r="R53" s="143"/>
      <c r="S53" s="143"/>
      <c r="T53" s="143"/>
      <c r="U53" s="168"/>
      <c r="V53" s="17"/>
      <c r="W53" s="17"/>
    </row>
    <row r="54" spans="1:34" ht="11.25" customHeight="1" outlineLevel="1">
      <c r="A54" s="17"/>
      <c r="B54" s="17"/>
      <c r="C54" s="167" t="str">
        <f t="shared" si="35"/>
        <v>Superannuation guarantee increases</v>
      </c>
      <c r="D54" s="120" t="s">
        <v>96</v>
      </c>
      <c r="E54" s="120" t="str">
        <f t="shared" si="36"/>
        <v>Per cent</v>
      </c>
      <c r="F54" s="120"/>
      <c r="G54" s="120"/>
      <c r="H54" s="120"/>
      <c r="I54" s="120"/>
      <c r="J54" s="157"/>
      <c r="K54" s="158"/>
      <c r="L54" s="158"/>
      <c r="M54" s="158"/>
      <c r="N54" s="158"/>
      <c r="O54" s="158"/>
      <c r="P54" s="143"/>
      <c r="Q54" s="143"/>
      <c r="R54" s="143"/>
      <c r="S54" s="143"/>
      <c r="T54" s="143"/>
      <c r="U54" s="168"/>
      <c r="V54" s="163"/>
      <c r="W54" s="17"/>
    </row>
    <row r="55" spans="1:34" ht="11.25" customHeight="1" outlineLevel="1">
      <c r="A55" s="17"/>
      <c r="B55" s="17"/>
      <c r="C55" s="167" t="str">
        <f t="shared" si="35"/>
        <v>WPI - average + super guarantee increases</v>
      </c>
      <c r="D55" s="120" t="s">
        <v>96</v>
      </c>
      <c r="E55" s="120" t="str">
        <f t="shared" si="36"/>
        <v>Per cent</v>
      </c>
      <c r="F55" s="120"/>
      <c r="G55" s="120"/>
      <c r="H55" s="120"/>
      <c r="I55" s="120"/>
      <c r="J55" s="157"/>
      <c r="K55" s="158"/>
      <c r="L55" s="158"/>
      <c r="M55" s="158"/>
      <c r="N55" s="158"/>
      <c r="O55" s="158"/>
      <c r="P55" s="169">
        <v>0.70399999999999996</v>
      </c>
      <c r="Q55" s="169">
        <v>0.70399999999999996</v>
      </c>
      <c r="R55" s="169">
        <v>0.70399999999999996</v>
      </c>
      <c r="S55" s="169">
        <v>0.70399999999999996</v>
      </c>
      <c r="T55" s="143"/>
      <c r="U55" s="168"/>
      <c r="V55" s="17"/>
      <c r="W55" s="17"/>
    </row>
    <row r="56" spans="1:34" ht="11.25" customHeight="1" outlineLevel="1">
      <c r="A56" s="17"/>
      <c r="B56" s="17"/>
      <c r="C56" s="167">
        <f t="shared" si="35"/>
        <v>0</v>
      </c>
      <c r="D56" s="120" t="s">
        <v>96</v>
      </c>
      <c r="E56" s="120" t="str">
        <f t="shared" si="36"/>
        <v>Per cent</v>
      </c>
      <c r="F56" s="120"/>
      <c r="G56" s="120"/>
      <c r="H56" s="120"/>
      <c r="I56" s="120"/>
      <c r="J56" s="157"/>
      <c r="K56" s="158"/>
      <c r="L56" s="158"/>
      <c r="M56" s="158"/>
      <c r="N56" s="158"/>
      <c r="O56" s="158"/>
      <c r="P56" s="143"/>
      <c r="Q56" s="143"/>
      <c r="R56" s="143"/>
      <c r="S56" s="143"/>
      <c r="T56" s="143"/>
      <c r="U56" s="168"/>
      <c r="V56" s="17"/>
      <c r="W56" s="17"/>
    </row>
    <row r="57" spans="1:34" ht="11.25" customHeight="1" outlineLevel="1">
      <c r="A57" s="17"/>
      <c r="B57" s="17"/>
      <c r="C57" s="167">
        <f t="shared" si="35"/>
        <v>0</v>
      </c>
      <c r="D57" s="120" t="s">
        <v>96</v>
      </c>
      <c r="E57" s="120" t="str">
        <f t="shared" si="36"/>
        <v>Per cent</v>
      </c>
      <c r="F57" s="120"/>
      <c r="G57" s="120"/>
      <c r="H57" s="120"/>
      <c r="I57" s="120"/>
      <c r="J57" s="157"/>
      <c r="K57" s="158"/>
      <c r="L57" s="158"/>
      <c r="M57" s="158"/>
      <c r="N57" s="158"/>
      <c r="O57" s="158"/>
      <c r="P57" s="143"/>
      <c r="Q57" s="143"/>
      <c r="R57" s="143"/>
      <c r="S57" s="143"/>
      <c r="T57" s="143"/>
      <c r="U57" s="168"/>
      <c r="V57" s="17"/>
      <c r="W57" s="17"/>
    </row>
    <row r="58" spans="1:34" ht="11.25" customHeight="1" outlineLevel="1">
      <c r="A58" s="17"/>
      <c r="B58" s="17"/>
      <c r="C58" s="167" t="str">
        <f t="shared" si="35"/>
        <v>CPI</v>
      </c>
      <c r="D58" s="120" t="s">
        <v>96</v>
      </c>
      <c r="E58" s="120" t="str">
        <f t="shared" si="36"/>
        <v>Per cent</v>
      </c>
      <c r="F58" s="120"/>
      <c r="G58" s="120"/>
      <c r="H58" s="120"/>
      <c r="I58" s="120"/>
      <c r="J58" s="157"/>
      <c r="K58" s="158"/>
      <c r="L58" s="158"/>
      <c r="M58" s="158"/>
      <c r="N58" s="158"/>
      <c r="O58" s="158"/>
      <c r="P58" s="143">
        <v>0.29600000000000004</v>
      </c>
      <c r="Q58" s="143">
        <v>0.29600000000000004</v>
      </c>
      <c r="R58" s="143">
        <v>0.29600000000000004</v>
      </c>
      <c r="S58" s="143">
        <v>0.29600000000000004</v>
      </c>
      <c r="T58" s="143"/>
      <c r="U58" s="168"/>
      <c r="V58" s="17"/>
      <c r="W58" s="17"/>
    </row>
    <row r="59" spans="1:34" ht="11.25" customHeight="1" outlineLevel="1">
      <c r="A59" s="17"/>
      <c r="B59" s="17"/>
      <c r="C59" s="17"/>
      <c r="D59" s="120"/>
      <c r="E59" s="120"/>
      <c r="F59" s="120"/>
      <c r="G59" s="120"/>
      <c r="H59" s="120"/>
      <c r="I59" s="120"/>
      <c r="J59" s="12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34" ht="10.5" outlineLevel="1">
      <c r="A60" s="17"/>
      <c r="B60" s="17"/>
      <c r="C60" s="17" t="s">
        <v>40</v>
      </c>
      <c r="D60" s="120" t="s">
        <v>93</v>
      </c>
      <c r="E60" s="120" t="s">
        <v>28</v>
      </c>
      <c r="F60" s="120" t="s">
        <v>36</v>
      </c>
      <c r="G60" s="120"/>
      <c r="H60" s="120"/>
      <c r="I60" s="120"/>
      <c r="J60" s="165" t="str">
        <f t="shared" ref="J60:S60" si="37">IF(J49=J$4,IF(SUM(J51:J58)=1,"Ok","Check"),"")</f>
        <v/>
      </c>
      <c r="K60" s="165" t="str">
        <f t="shared" si="37"/>
        <v/>
      </c>
      <c r="L60" s="165" t="str">
        <f t="shared" si="37"/>
        <v/>
      </c>
      <c r="M60" s="165" t="str">
        <f t="shared" si="37"/>
        <v/>
      </c>
      <c r="N60" s="165" t="str">
        <f t="shared" si="37"/>
        <v/>
      </c>
      <c r="O60" s="165" t="str">
        <f t="shared" si="37"/>
        <v/>
      </c>
      <c r="P60" s="165" t="str">
        <f t="shared" si="37"/>
        <v>Ok</v>
      </c>
      <c r="Q60" s="165" t="str">
        <f t="shared" si="37"/>
        <v>Ok</v>
      </c>
      <c r="R60" s="165" t="str">
        <f t="shared" si="37"/>
        <v>Ok</v>
      </c>
      <c r="S60" s="165" t="str">
        <f t="shared" si="37"/>
        <v>Ok</v>
      </c>
      <c r="T60" s="165" t="str">
        <f>IF(T49=T$4,IF(SUM(T51:T58)=1,"Ok","Check"),"")</f>
        <v/>
      </c>
      <c r="U60" s="165" t="str">
        <f>IF(U49=U$4,IF(SUM(U51:U58)=1,"Ok","Check"),"")</f>
        <v/>
      </c>
      <c r="V60" s="166"/>
      <c r="W60" s="17"/>
      <c r="X60" s="81" t="str">
        <f>IF(COUNTIF(J60:U60,"Check")=0,"Ok","Check")</f>
        <v>Ok</v>
      </c>
    </row>
    <row r="61" spans="1:34">
      <c r="A61" s="17"/>
      <c r="B61" s="17"/>
      <c r="C61" s="17"/>
      <c r="D61" s="120"/>
      <c r="E61" s="120"/>
      <c r="F61" s="120"/>
      <c r="G61" s="120"/>
      <c r="H61" s="120"/>
      <c r="I61" s="120"/>
      <c r="J61" s="120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34" customFormat="1" ht="13">
      <c r="A62" s="32"/>
      <c r="B62" s="38" t="s">
        <v>79</v>
      </c>
      <c r="C62" s="32"/>
      <c r="D62" s="32"/>
      <c r="E62" s="32"/>
      <c r="F62" s="118"/>
      <c r="G62" s="118"/>
      <c r="H62" s="118"/>
      <c r="I62" s="118"/>
      <c r="J62" s="118"/>
      <c r="K62" s="34"/>
      <c r="L62" s="119"/>
      <c r="M62" s="34"/>
      <c r="N62" s="119"/>
      <c r="O62" s="34"/>
      <c r="P62" s="34"/>
      <c r="Q62" s="34"/>
      <c r="R62" s="34"/>
      <c r="S62" s="34"/>
      <c r="T62" s="34"/>
      <c r="U62" s="34"/>
      <c r="V62" s="34"/>
      <c r="W62" s="34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7"/>
      <c r="B63" s="17"/>
      <c r="C63" s="17"/>
      <c r="D63" s="120"/>
      <c r="E63" s="120"/>
      <c r="F63" s="120"/>
      <c r="G63" s="121"/>
      <c r="H63" s="121"/>
      <c r="I63" s="120"/>
      <c r="J63" s="12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34" ht="10.5" outlineLevel="1">
      <c r="A64" s="17"/>
      <c r="B64" s="17"/>
      <c r="C64" s="122" t="s">
        <v>80</v>
      </c>
      <c r="D64" s="121" t="s">
        <v>7</v>
      </c>
      <c r="E64" s="121" t="s">
        <v>8</v>
      </c>
      <c r="F64" s="121" t="s">
        <v>22</v>
      </c>
      <c r="G64" s="121"/>
      <c r="H64" s="121"/>
      <c r="I64" s="120"/>
      <c r="J64" s="138" t="str">
        <f t="shared" ref="J64:U64" si="38">IF(YEAR(J$4)&gt;=PPLastYear,IF(YEAR(J$4)&lt;=FPLastYear,J$4,""),"")</f>
        <v/>
      </c>
      <c r="K64" s="138" t="str">
        <f t="shared" si="38"/>
        <v/>
      </c>
      <c r="L64" s="138" t="str">
        <f t="shared" si="38"/>
        <v/>
      </c>
      <c r="M64" s="138" t="str">
        <f t="shared" si="38"/>
        <v/>
      </c>
      <c r="N64" s="138" t="str">
        <f t="shared" si="38"/>
        <v/>
      </c>
      <c r="O64" s="138">
        <f t="shared" si="38"/>
        <v>46174</v>
      </c>
      <c r="P64" s="138">
        <f t="shared" si="38"/>
        <v>46539</v>
      </c>
      <c r="Q64" s="138">
        <f t="shared" si="38"/>
        <v>46905</v>
      </c>
      <c r="R64" s="138">
        <f t="shared" si="38"/>
        <v>47270</v>
      </c>
      <c r="S64" s="138">
        <f t="shared" si="38"/>
        <v>47635</v>
      </c>
      <c r="T64" s="138" t="str">
        <f t="shared" si="38"/>
        <v/>
      </c>
      <c r="U64" s="138" t="str">
        <f t="shared" si="38"/>
        <v/>
      </c>
      <c r="V64" s="17"/>
      <c r="W64" s="17"/>
    </row>
    <row r="65" spans="1:24" ht="10.5" outlineLevel="1">
      <c r="A65" s="17"/>
      <c r="B65" s="17"/>
      <c r="C65" s="125"/>
      <c r="D65" s="120"/>
      <c r="E65" s="120"/>
      <c r="F65" s="120"/>
      <c r="G65" s="121"/>
      <c r="H65" s="121"/>
      <c r="I65" s="120"/>
      <c r="J65" s="120"/>
      <c r="K65" s="126"/>
      <c r="L65" s="126"/>
      <c r="M65" s="126"/>
      <c r="N65" s="126"/>
      <c r="O65" s="126"/>
      <c r="P65" s="17"/>
      <c r="Q65" s="17"/>
      <c r="R65" s="17"/>
      <c r="S65" s="17"/>
      <c r="T65" s="17"/>
      <c r="U65" s="17"/>
      <c r="V65" s="17"/>
      <c r="W65" s="17"/>
    </row>
    <row r="66" spans="1:24" outlineLevel="1">
      <c r="A66" s="17"/>
      <c r="B66" s="17"/>
      <c r="C66" s="127" t="s">
        <v>224</v>
      </c>
      <c r="D66" s="120" t="s">
        <v>96</v>
      </c>
      <c r="E66" s="120" t="s">
        <v>18</v>
      </c>
      <c r="F66" s="120" t="s">
        <v>36</v>
      </c>
      <c r="G66" s="121"/>
      <c r="H66" s="121"/>
      <c r="I66" s="120"/>
      <c r="J66" s="157"/>
      <c r="K66" s="170"/>
      <c r="L66" s="170"/>
      <c r="M66" s="170"/>
      <c r="N66" s="170"/>
      <c r="O66" s="141">
        <v>1</v>
      </c>
      <c r="P66" s="141">
        <v>1</v>
      </c>
      <c r="Q66" s="141">
        <v>1</v>
      </c>
      <c r="R66" s="141">
        <v>1</v>
      </c>
      <c r="S66" s="141">
        <v>1</v>
      </c>
      <c r="T66" s="141"/>
      <c r="U66" s="141"/>
      <c r="V66" s="17"/>
      <c r="W66" s="17"/>
    </row>
    <row r="67" spans="1:24" outlineLevel="1">
      <c r="A67" s="17"/>
      <c r="B67" s="17"/>
      <c r="C67" s="127"/>
      <c r="D67" s="120" t="s">
        <v>96</v>
      </c>
      <c r="E67" s="120" t="s">
        <v>18</v>
      </c>
      <c r="F67" s="120" t="s">
        <v>36</v>
      </c>
      <c r="G67" s="121"/>
      <c r="H67" s="121"/>
      <c r="I67" s="120"/>
      <c r="J67" s="157"/>
      <c r="K67" s="170"/>
      <c r="L67" s="170"/>
      <c r="M67" s="170"/>
      <c r="N67" s="170"/>
      <c r="O67" s="141"/>
      <c r="P67" s="141"/>
      <c r="Q67" s="141"/>
      <c r="R67" s="141"/>
      <c r="S67" s="141"/>
      <c r="T67" s="141"/>
      <c r="U67" s="141"/>
      <c r="V67" s="17"/>
      <c r="W67" s="17"/>
    </row>
    <row r="68" spans="1:24" outlineLevel="1">
      <c r="A68" s="17"/>
      <c r="B68" s="17"/>
      <c r="C68" s="127"/>
      <c r="D68" s="120" t="s">
        <v>96</v>
      </c>
      <c r="E68" s="120" t="s">
        <v>18</v>
      </c>
      <c r="F68" s="120" t="s">
        <v>36</v>
      </c>
      <c r="G68" s="121"/>
      <c r="H68" s="121"/>
      <c r="I68" s="120"/>
      <c r="J68" s="157"/>
      <c r="K68" s="170"/>
      <c r="L68" s="170"/>
      <c r="M68" s="170"/>
      <c r="N68" s="170"/>
      <c r="O68" s="141"/>
      <c r="P68" s="141"/>
      <c r="Q68" s="141"/>
      <c r="R68" s="141"/>
      <c r="S68" s="141"/>
      <c r="T68" s="141"/>
      <c r="U68" s="141"/>
      <c r="V68" s="17"/>
      <c r="W68" s="17"/>
    </row>
    <row r="69" spans="1:24" outlineLevel="1">
      <c r="A69" s="17"/>
      <c r="B69" s="17"/>
      <c r="C69" s="127"/>
      <c r="D69" s="120" t="s">
        <v>96</v>
      </c>
      <c r="E69" s="120" t="s">
        <v>18</v>
      </c>
      <c r="F69" s="120" t="s">
        <v>36</v>
      </c>
      <c r="G69" s="121"/>
      <c r="H69" s="121"/>
      <c r="I69" s="120"/>
      <c r="J69" s="157"/>
      <c r="K69" s="170"/>
      <c r="L69" s="170"/>
      <c r="M69" s="170"/>
      <c r="N69" s="170"/>
      <c r="O69" s="141"/>
      <c r="P69" s="141"/>
      <c r="Q69" s="141"/>
      <c r="R69" s="141"/>
      <c r="S69" s="141"/>
      <c r="T69" s="141"/>
      <c r="U69" s="141"/>
      <c r="V69" s="17"/>
      <c r="W69" s="17"/>
    </row>
    <row r="70" spans="1:24" outlineLevel="1">
      <c r="A70" s="17"/>
      <c r="B70" s="17"/>
      <c r="C70" s="127"/>
      <c r="D70" s="120" t="s">
        <v>96</v>
      </c>
      <c r="E70" s="120" t="s">
        <v>18</v>
      </c>
      <c r="F70" s="120" t="s">
        <v>36</v>
      </c>
      <c r="G70" s="121"/>
      <c r="H70" s="121"/>
      <c r="I70" s="120"/>
      <c r="J70" s="157"/>
      <c r="K70" s="170"/>
      <c r="L70" s="170"/>
      <c r="M70" s="170"/>
      <c r="N70" s="170"/>
      <c r="O70" s="141"/>
      <c r="P70" s="141"/>
      <c r="Q70" s="141"/>
      <c r="R70" s="141"/>
      <c r="S70" s="141"/>
      <c r="T70" s="141"/>
      <c r="U70" s="141"/>
      <c r="V70" s="17"/>
      <c r="W70" s="17"/>
    </row>
    <row r="71" spans="1:24" outlineLevel="1">
      <c r="A71" s="17"/>
      <c r="B71" s="17"/>
      <c r="C71" s="127"/>
      <c r="D71" s="120" t="s">
        <v>96</v>
      </c>
      <c r="E71" s="120" t="s">
        <v>18</v>
      </c>
      <c r="F71" s="120" t="s">
        <v>36</v>
      </c>
      <c r="G71" s="121"/>
      <c r="H71" s="121"/>
      <c r="I71" s="120"/>
      <c r="J71" s="157"/>
      <c r="K71" s="170"/>
      <c r="L71" s="170"/>
      <c r="M71" s="170"/>
      <c r="N71" s="170"/>
      <c r="O71" s="141"/>
      <c r="P71" s="141"/>
      <c r="Q71" s="141"/>
      <c r="R71" s="141"/>
      <c r="S71" s="141"/>
      <c r="T71" s="141"/>
      <c r="U71" s="141"/>
      <c r="V71" s="17"/>
      <c r="W71" s="17"/>
    </row>
    <row r="72" spans="1:24" ht="10.5" outlineLevel="1">
      <c r="A72" s="17"/>
      <c r="B72" s="17"/>
      <c r="C72" s="125"/>
      <c r="D72" s="120"/>
      <c r="E72" s="120"/>
      <c r="F72" s="120"/>
      <c r="G72" s="121"/>
      <c r="H72" s="121"/>
      <c r="I72" s="120"/>
      <c r="J72" s="120"/>
      <c r="K72" s="126"/>
      <c r="L72" s="126"/>
      <c r="M72" s="126"/>
      <c r="N72" s="126"/>
      <c r="O72" s="126"/>
      <c r="P72" s="17"/>
      <c r="Q72" s="17"/>
      <c r="R72" s="17"/>
      <c r="S72" s="17"/>
      <c r="T72" s="17"/>
      <c r="U72" s="17"/>
      <c r="V72" s="17"/>
      <c r="W72" s="17"/>
    </row>
    <row r="73" spans="1:24" ht="10.5" outlineLevel="1">
      <c r="A73" s="17"/>
      <c r="B73" s="17"/>
      <c r="C73" s="17" t="s">
        <v>40</v>
      </c>
      <c r="D73" s="120" t="s">
        <v>93</v>
      </c>
      <c r="E73" s="120" t="s">
        <v>28</v>
      </c>
      <c r="F73" s="120" t="s">
        <v>36</v>
      </c>
      <c r="G73" s="120"/>
      <c r="H73" s="120"/>
      <c r="I73" s="120"/>
      <c r="J73" s="165" t="str">
        <f t="shared" ref="J73:S73" si="39">IF(J64=J$4,IF(COUNTA($C66:$C71)=COUNT(J66:J71),"Ok","Check"),"")</f>
        <v/>
      </c>
      <c r="K73" s="165" t="str">
        <f t="shared" si="39"/>
        <v/>
      </c>
      <c r="L73" s="165" t="str">
        <f t="shared" si="39"/>
        <v/>
      </c>
      <c r="M73" s="165" t="str">
        <f t="shared" si="39"/>
        <v/>
      </c>
      <c r="N73" s="165" t="str">
        <f t="shared" si="39"/>
        <v/>
      </c>
      <c r="O73" s="165" t="str">
        <f t="shared" si="39"/>
        <v>Ok</v>
      </c>
      <c r="P73" s="165" t="str">
        <f t="shared" si="39"/>
        <v>Ok</v>
      </c>
      <c r="Q73" s="165" t="str">
        <f t="shared" si="39"/>
        <v>Ok</v>
      </c>
      <c r="R73" s="165" t="str">
        <f t="shared" si="39"/>
        <v>Ok</v>
      </c>
      <c r="S73" s="165" t="str">
        <f t="shared" si="39"/>
        <v>Ok</v>
      </c>
      <c r="T73" s="165" t="str">
        <f>IF(T64=T$4,IF(COUNTA($C66:$C71)=COUNT(T66:T71),"Ok","Check"),"")</f>
        <v/>
      </c>
      <c r="U73" s="165" t="str">
        <f>IF(U64=U$4,IF(COUNTA($C66:$C71)=COUNT(U66:U71),"Ok","Check"),"")</f>
        <v/>
      </c>
      <c r="V73" s="166"/>
      <c r="W73" s="17"/>
      <c r="X73" s="81" t="str">
        <f>IF(COUNTIF(J73:U73,"Check")=0,"Ok","Check")</f>
        <v>Ok</v>
      </c>
    </row>
    <row r="74" spans="1:24" ht="10.5" outlineLevel="1">
      <c r="A74" s="17"/>
      <c r="B74" s="17"/>
      <c r="C74" s="125"/>
      <c r="D74" s="120"/>
      <c r="E74" s="120"/>
      <c r="F74" s="120"/>
      <c r="G74" s="121"/>
      <c r="H74" s="121"/>
      <c r="I74" s="120"/>
      <c r="J74" s="120"/>
      <c r="K74" s="126"/>
      <c r="L74" s="126"/>
      <c r="M74" s="126"/>
      <c r="N74" s="126"/>
      <c r="O74" s="126"/>
      <c r="P74" s="17"/>
      <c r="Q74" s="17"/>
      <c r="R74" s="17"/>
      <c r="S74" s="17"/>
      <c r="T74" s="17"/>
      <c r="U74" s="17"/>
      <c r="V74" s="17"/>
      <c r="W74" s="17"/>
    </row>
    <row r="75" spans="1:24" ht="10.5" outlineLevel="1">
      <c r="A75" s="17"/>
      <c r="B75" s="17"/>
      <c r="C75" s="122" t="s">
        <v>83</v>
      </c>
      <c r="D75" s="121" t="s">
        <v>7</v>
      </c>
      <c r="E75" s="121" t="s">
        <v>8</v>
      </c>
      <c r="F75" s="121" t="s">
        <v>22</v>
      </c>
      <c r="G75" s="121"/>
      <c r="H75" s="121"/>
      <c r="I75" s="120"/>
      <c r="J75" s="138" t="str">
        <f t="shared" ref="J75:U75" si="40">IF(YEAR(J$4)&gt;=FPFirstYear,IF(YEAR(J$4)&lt;=FPLastYear,J$4,""),"")</f>
        <v/>
      </c>
      <c r="K75" s="138" t="str">
        <f t="shared" si="40"/>
        <v/>
      </c>
      <c r="L75" s="138" t="str">
        <f t="shared" si="40"/>
        <v/>
      </c>
      <c r="M75" s="138" t="str">
        <f t="shared" si="40"/>
        <v/>
      </c>
      <c r="N75" s="138" t="str">
        <f t="shared" si="40"/>
        <v/>
      </c>
      <c r="O75" s="138" t="str">
        <f t="shared" si="40"/>
        <v/>
      </c>
      <c r="P75" s="138">
        <f t="shared" si="40"/>
        <v>46539</v>
      </c>
      <c r="Q75" s="138">
        <f t="shared" si="40"/>
        <v>46905</v>
      </c>
      <c r="R75" s="138">
        <f t="shared" si="40"/>
        <v>47270</v>
      </c>
      <c r="S75" s="138">
        <f t="shared" si="40"/>
        <v>47635</v>
      </c>
      <c r="T75" s="138" t="str">
        <f t="shared" si="40"/>
        <v/>
      </c>
      <c r="U75" s="138" t="str">
        <f t="shared" si="40"/>
        <v/>
      </c>
      <c r="V75" s="17" t="str">
        <f>IF(RIGHT(V$4,2)&gt;=RIGHT('Input|General'!$G$13,2),IF(RIGHT(V$4,2)&lt;='Input|General'!$G$14,'Input|Reported opex'!U$4,""),"")</f>
        <v/>
      </c>
      <c r="W75" s="17"/>
    </row>
    <row r="76" spans="1:24" ht="10.5" outlineLevel="1">
      <c r="A76" s="17"/>
      <c r="B76" s="17"/>
      <c r="C76" s="125"/>
      <c r="D76" s="120"/>
      <c r="E76" s="120"/>
      <c r="F76" s="120"/>
      <c r="G76" s="121"/>
      <c r="H76" s="121"/>
      <c r="I76" s="120"/>
      <c r="J76" s="120"/>
      <c r="K76" s="126"/>
      <c r="L76" s="126"/>
      <c r="M76" s="126"/>
      <c r="N76" s="126"/>
      <c r="O76" s="126"/>
      <c r="P76" s="17"/>
      <c r="Q76" s="17"/>
      <c r="R76" s="17"/>
      <c r="S76" s="17"/>
      <c r="T76" s="17"/>
      <c r="U76" s="17"/>
      <c r="V76" s="17"/>
      <c r="W76" s="17"/>
    </row>
    <row r="77" spans="1:24" outlineLevel="1">
      <c r="A77" s="17"/>
      <c r="B77" s="17"/>
      <c r="C77" s="167" t="str">
        <f>C66</f>
        <v>Zero output grrowth</v>
      </c>
      <c r="D77" s="120" t="s">
        <v>93</v>
      </c>
      <c r="E77" s="120" t="s">
        <v>18</v>
      </c>
      <c r="F77" s="120" t="s">
        <v>36</v>
      </c>
      <c r="G77" s="121"/>
      <c r="H77" s="121"/>
      <c r="I77" s="120"/>
      <c r="J77" s="171" t="str">
        <f t="shared" ref="J77:M77" si="41">IF(ISBLANK(I66),"",IF(ISBLANK(J66),"",LN(J66)-LN(I66)))</f>
        <v/>
      </c>
      <c r="K77" s="171" t="str">
        <f t="shared" si="41"/>
        <v/>
      </c>
      <c r="L77" s="171" t="str">
        <f t="shared" si="41"/>
        <v/>
      </c>
      <c r="M77" s="171" t="str">
        <f t="shared" si="41"/>
        <v/>
      </c>
      <c r="N77" s="171" t="str">
        <f>IF(ISBLANK(M66),"",IF(ISBLANK(N66),"",LN(N66)-LN(M66)))</f>
        <v/>
      </c>
      <c r="O77" s="171" t="str">
        <f t="shared" ref="O77:U77" si="42">IF(ISBLANK(N66),"",IF(ISBLANK(O66),"",LN(O66)-LN(N66)))</f>
        <v/>
      </c>
      <c r="P77" s="171">
        <f t="shared" si="42"/>
        <v>0</v>
      </c>
      <c r="Q77" s="171">
        <f t="shared" si="42"/>
        <v>0</v>
      </c>
      <c r="R77" s="171">
        <f t="shared" si="42"/>
        <v>0</v>
      </c>
      <c r="S77" s="171">
        <f t="shared" si="42"/>
        <v>0</v>
      </c>
      <c r="T77" s="171" t="str">
        <f t="shared" si="42"/>
        <v/>
      </c>
      <c r="U77" s="171" t="str">
        <f t="shared" si="42"/>
        <v/>
      </c>
      <c r="V77" s="17"/>
      <c r="W77" s="17"/>
    </row>
    <row r="78" spans="1:24" outlineLevel="1">
      <c r="A78" s="17"/>
      <c r="B78" s="17"/>
      <c r="C78" s="167">
        <f t="shared" ref="C78:C82" si="43">C67</f>
        <v>0</v>
      </c>
      <c r="D78" s="120" t="s">
        <v>93</v>
      </c>
      <c r="E78" s="120" t="s">
        <v>18</v>
      </c>
      <c r="F78" s="120" t="s">
        <v>36</v>
      </c>
      <c r="G78" s="121"/>
      <c r="H78" s="121"/>
      <c r="I78" s="120"/>
      <c r="J78" s="171" t="str">
        <f t="shared" ref="J78:U78" si="44">IF(ISBLANK(I67),"",IF(ISBLANK(J67),"",LN(J67)-LN(I67)))</f>
        <v/>
      </c>
      <c r="K78" s="171" t="str">
        <f t="shared" si="44"/>
        <v/>
      </c>
      <c r="L78" s="171" t="str">
        <f t="shared" si="44"/>
        <v/>
      </c>
      <c r="M78" s="171" t="str">
        <f t="shared" si="44"/>
        <v/>
      </c>
      <c r="N78" s="171" t="str">
        <f t="shared" si="44"/>
        <v/>
      </c>
      <c r="O78" s="171" t="str">
        <f t="shared" si="44"/>
        <v/>
      </c>
      <c r="P78" s="171" t="str">
        <f t="shared" si="44"/>
        <v/>
      </c>
      <c r="Q78" s="171" t="str">
        <f t="shared" si="44"/>
        <v/>
      </c>
      <c r="R78" s="171" t="str">
        <f t="shared" si="44"/>
        <v/>
      </c>
      <c r="S78" s="171" t="str">
        <f t="shared" si="44"/>
        <v/>
      </c>
      <c r="T78" s="171" t="str">
        <f t="shared" si="44"/>
        <v/>
      </c>
      <c r="U78" s="171" t="str">
        <f t="shared" si="44"/>
        <v/>
      </c>
      <c r="V78" s="17"/>
      <c r="W78" s="17"/>
    </row>
    <row r="79" spans="1:24" outlineLevel="1">
      <c r="A79" s="17"/>
      <c r="B79" s="17"/>
      <c r="C79" s="167">
        <f t="shared" si="43"/>
        <v>0</v>
      </c>
      <c r="D79" s="120" t="s">
        <v>93</v>
      </c>
      <c r="E79" s="120" t="s">
        <v>18</v>
      </c>
      <c r="F79" s="120" t="s">
        <v>36</v>
      </c>
      <c r="G79" s="121"/>
      <c r="H79" s="121"/>
      <c r="I79" s="120"/>
      <c r="J79" s="171" t="str">
        <f t="shared" ref="J79:U79" si="45">IF(ISBLANK(I68),"",IF(ISBLANK(J68),"",LN(J68)-LN(I68)))</f>
        <v/>
      </c>
      <c r="K79" s="171" t="str">
        <f t="shared" si="45"/>
        <v/>
      </c>
      <c r="L79" s="171" t="str">
        <f t="shared" si="45"/>
        <v/>
      </c>
      <c r="M79" s="171" t="str">
        <f t="shared" si="45"/>
        <v/>
      </c>
      <c r="N79" s="171" t="str">
        <f t="shared" si="45"/>
        <v/>
      </c>
      <c r="O79" s="171" t="str">
        <f t="shared" si="45"/>
        <v/>
      </c>
      <c r="P79" s="171" t="str">
        <f t="shared" si="45"/>
        <v/>
      </c>
      <c r="Q79" s="171" t="str">
        <f t="shared" si="45"/>
        <v/>
      </c>
      <c r="R79" s="171" t="str">
        <f t="shared" si="45"/>
        <v/>
      </c>
      <c r="S79" s="171" t="str">
        <f t="shared" si="45"/>
        <v/>
      </c>
      <c r="T79" s="171" t="str">
        <f t="shared" si="45"/>
        <v/>
      </c>
      <c r="U79" s="171" t="str">
        <f t="shared" si="45"/>
        <v/>
      </c>
      <c r="V79" s="17"/>
      <c r="W79" s="17"/>
    </row>
    <row r="80" spans="1:24" outlineLevel="1">
      <c r="A80" s="17"/>
      <c r="B80" s="17"/>
      <c r="C80" s="167">
        <f t="shared" si="43"/>
        <v>0</v>
      </c>
      <c r="D80" s="120" t="s">
        <v>93</v>
      </c>
      <c r="E80" s="120" t="s">
        <v>18</v>
      </c>
      <c r="F80" s="120" t="s">
        <v>36</v>
      </c>
      <c r="G80" s="121"/>
      <c r="H80" s="121"/>
      <c r="I80" s="120"/>
      <c r="J80" s="171" t="str">
        <f t="shared" ref="J80:U80" si="46">IF(ISBLANK(I69),"",IF(ISBLANK(J69),"",LN(J69)-LN(I69)))</f>
        <v/>
      </c>
      <c r="K80" s="171" t="str">
        <f t="shared" si="46"/>
        <v/>
      </c>
      <c r="L80" s="171" t="str">
        <f t="shared" si="46"/>
        <v/>
      </c>
      <c r="M80" s="171" t="str">
        <f t="shared" si="46"/>
        <v/>
      </c>
      <c r="N80" s="171" t="str">
        <f t="shared" si="46"/>
        <v/>
      </c>
      <c r="O80" s="171" t="str">
        <f t="shared" si="46"/>
        <v/>
      </c>
      <c r="P80" s="171" t="str">
        <f t="shared" si="46"/>
        <v/>
      </c>
      <c r="Q80" s="171" t="str">
        <f t="shared" si="46"/>
        <v/>
      </c>
      <c r="R80" s="171" t="str">
        <f t="shared" si="46"/>
        <v/>
      </c>
      <c r="S80" s="171" t="str">
        <f t="shared" si="46"/>
        <v/>
      </c>
      <c r="T80" s="171" t="str">
        <f t="shared" si="46"/>
        <v/>
      </c>
      <c r="U80" s="171" t="str">
        <f t="shared" si="46"/>
        <v/>
      </c>
      <c r="V80" s="17"/>
      <c r="W80" s="17"/>
    </row>
    <row r="81" spans="1:24" outlineLevel="1">
      <c r="A81" s="17"/>
      <c r="B81" s="17"/>
      <c r="C81" s="167">
        <f t="shared" si="43"/>
        <v>0</v>
      </c>
      <c r="D81" s="120" t="s">
        <v>93</v>
      </c>
      <c r="E81" s="120" t="s">
        <v>18</v>
      </c>
      <c r="F81" s="120" t="s">
        <v>36</v>
      </c>
      <c r="G81" s="121"/>
      <c r="H81" s="121"/>
      <c r="I81" s="120"/>
      <c r="J81" s="171" t="str">
        <f t="shared" ref="J81:T81" si="47">IF(ISBLANK(I70),"",IF(ISBLANK(J70),"",LN(J70)-LN(I70)))</f>
        <v/>
      </c>
      <c r="K81" s="171" t="str">
        <f t="shared" si="47"/>
        <v/>
      </c>
      <c r="L81" s="171" t="str">
        <f t="shared" si="47"/>
        <v/>
      </c>
      <c r="M81" s="171" t="str">
        <f t="shared" si="47"/>
        <v/>
      </c>
      <c r="N81" s="171" t="str">
        <f t="shared" si="47"/>
        <v/>
      </c>
      <c r="O81" s="171" t="str">
        <f t="shared" si="47"/>
        <v/>
      </c>
      <c r="P81" s="171" t="str">
        <f t="shared" si="47"/>
        <v/>
      </c>
      <c r="Q81" s="171" t="str">
        <f t="shared" si="47"/>
        <v/>
      </c>
      <c r="R81" s="171" t="str">
        <f t="shared" si="47"/>
        <v/>
      </c>
      <c r="S81" s="171" t="str">
        <f t="shared" si="47"/>
        <v/>
      </c>
      <c r="T81" s="171" t="str">
        <f t="shared" si="47"/>
        <v/>
      </c>
      <c r="U81" s="171"/>
      <c r="V81" s="17"/>
      <c r="W81" s="17"/>
    </row>
    <row r="82" spans="1:24" outlineLevel="1">
      <c r="A82" s="17"/>
      <c r="B82" s="17"/>
      <c r="C82" s="167">
        <f t="shared" si="43"/>
        <v>0</v>
      </c>
      <c r="D82" s="120" t="s">
        <v>93</v>
      </c>
      <c r="E82" s="120" t="s">
        <v>18</v>
      </c>
      <c r="F82" s="120" t="s">
        <v>36</v>
      </c>
      <c r="G82" s="121"/>
      <c r="H82" s="121"/>
      <c r="I82" s="120"/>
      <c r="J82" s="171" t="str">
        <f t="shared" ref="J82:T82" si="48">IF(ISBLANK(I71),"",IF(ISBLANK(J71),"",LN(J71)-LN(I71)))</f>
        <v/>
      </c>
      <c r="K82" s="171" t="str">
        <f t="shared" si="48"/>
        <v/>
      </c>
      <c r="L82" s="171" t="str">
        <f t="shared" si="48"/>
        <v/>
      </c>
      <c r="M82" s="171" t="str">
        <f t="shared" si="48"/>
        <v/>
      </c>
      <c r="N82" s="171" t="str">
        <f t="shared" si="48"/>
        <v/>
      </c>
      <c r="O82" s="171" t="str">
        <f t="shared" si="48"/>
        <v/>
      </c>
      <c r="P82" s="171" t="str">
        <f t="shared" si="48"/>
        <v/>
      </c>
      <c r="Q82" s="171" t="str">
        <f t="shared" si="48"/>
        <v/>
      </c>
      <c r="R82" s="171" t="str">
        <f t="shared" si="48"/>
        <v/>
      </c>
      <c r="S82" s="171" t="str">
        <f t="shared" si="48"/>
        <v/>
      </c>
      <c r="T82" s="171" t="str">
        <f t="shared" si="48"/>
        <v/>
      </c>
      <c r="U82" s="171"/>
      <c r="V82" s="17"/>
      <c r="W82" s="17"/>
    </row>
    <row r="83" spans="1:24" ht="10.5" outlineLevel="1">
      <c r="A83" s="17"/>
      <c r="B83" s="17"/>
      <c r="C83" s="125"/>
      <c r="D83" s="120"/>
      <c r="E83" s="120"/>
      <c r="F83" s="120"/>
      <c r="G83" s="121"/>
      <c r="H83" s="121"/>
      <c r="I83" s="120"/>
      <c r="J83" s="120"/>
      <c r="K83" s="126"/>
      <c r="L83" s="126"/>
      <c r="M83" s="126"/>
      <c r="N83" s="126"/>
      <c r="O83" s="126"/>
      <c r="P83" s="17"/>
      <c r="Q83" s="17"/>
      <c r="R83" s="17"/>
      <c r="S83" s="17"/>
      <c r="T83" s="17"/>
      <c r="U83" s="17"/>
      <c r="V83" s="17"/>
      <c r="W83" s="17"/>
    </row>
    <row r="84" spans="1:24" ht="10.5" outlineLevel="1">
      <c r="A84" s="17"/>
      <c r="B84" s="17"/>
      <c r="C84" s="122" t="s">
        <v>186</v>
      </c>
      <c r="D84" s="121" t="s">
        <v>7</v>
      </c>
      <c r="E84" s="121" t="s">
        <v>8</v>
      </c>
      <c r="F84" s="121" t="s">
        <v>22</v>
      </c>
      <c r="G84" s="121"/>
      <c r="H84" s="121"/>
      <c r="I84" s="120"/>
      <c r="J84" s="172" t="s">
        <v>225</v>
      </c>
      <c r="K84" s="172"/>
      <c r="L84" s="172"/>
      <c r="M84" s="172"/>
      <c r="N84" s="126"/>
      <c r="O84" s="126"/>
      <c r="P84" s="17"/>
      <c r="Q84" s="17"/>
      <c r="R84" s="17"/>
      <c r="S84" s="17"/>
      <c r="T84" s="17"/>
      <c r="U84" s="17"/>
      <c r="V84" s="17"/>
      <c r="W84" s="17"/>
    </row>
    <row r="85" spans="1:24" ht="10.5" outlineLevel="1">
      <c r="A85" s="17"/>
      <c r="B85" s="17"/>
      <c r="C85" s="125"/>
      <c r="D85" s="120"/>
      <c r="E85" s="120"/>
      <c r="F85" s="120"/>
      <c r="G85" s="121"/>
      <c r="H85" s="121"/>
      <c r="I85" s="120"/>
      <c r="J85" s="120"/>
      <c r="K85" s="126"/>
      <c r="L85" s="126"/>
      <c r="M85" s="126"/>
      <c r="N85" s="126"/>
      <c r="O85" s="126"/>
      <c r="P85" s="17"/>
      <c r="Q85" s="17"/>
      <c r="R85" s="17"/>
      <c r="S85" s="17"/>
      <c r="T85" s="17"/>
      <c r="U85" s="17"/>
      <c r="V85" s="17"/>
      <c r="W85" s="17"/>
    </row>
    <row r="86" spans="1:24" ht="10.5" outlineLevel="1">
      <c r="A86" s="17"/>
      <c r="B86" s="17"/>
      <c r="C86" s="167" t="str">
        <f>C66</f>
        <v>Zero output grrowth</v>
      </c>
      <c r="D86" s="120" t="s">
        <v>96</v>
      </c>
      <c r="E86" s="120" t="s">
        <v>18</v>
      </c>
      <c r="F86" s="120" t="s">
        <v>36</v>
      </c>
      <c r="G86" s="121"/>
      <c r="H86" s="121"/>
      <c r="I86" s="120"/>
      <c r="J86" s="173">
        <v>100</v>
      </c>
      <c r="K86" s="173"/>
      <c r="L86" s="173"/>
      <c r="M86" s="173"/>
      <c r="N86" s="126"/>
      <c r="O86" s="126"/>
      <c r="P86" s="17"/>
      <c r="Q86" s="17"/>
      <c r="R86" s="17"/>
      <c r="S86" s="17"/>
      <c r="T86" s="17"/>
      <c r="U86" s="17"/>
      <c r="V86" s="17"/>
      <c r="W86" s="17"/>
    </row>
    <row r="87" spans="1:24" ht="10.5" outlineLevel="1">
      <c r="A87" s="17"/>
      <c r="B87" s="17"/>
      <c r="C87" s="167">
        <f t="shared" ref="C87:C91" si="49">C67</f>
        <v>0</v>
      </c>
      <c r="D87" s="120" t="s">
        <v>96</v>
      </c>
      <c r="E87" s="120" t="s">
        <v>18</v>
      </c>
      <c r="F87" s="120" t="s">
        <v>36</v>
      </c>
      <c r="G87" s="121"/>
      <c r="H87" s="121"/>
      <c r="I87" s="120"/>
      <c r="J87" s="173"/>
      <c r="K87" s="173"/>
      <c r="L87" s="173"/>
      <c r="M87" s="173"/>
      <c r="N87" s="126"/>
      <c r="O87" s="126"/>
      <c r="P87" s="17"/>
      <c r="Q87" s="17"/>
      <c r="R87" s="17"/>
      <c r="S87" s="17"/>
      <c r="T87" s="17"/>
      <c r="U87" s="17"/>
      <c r="V87" s="17"/>
      <c r="W87" s="17"/>
    </row>
    <row r="88" spans="1:24" ht="10.5" outlineLevel="1">
      <c r="A88" s="17"/>
      <c r="B88" s="17"/>
      <c r="C88" s="167">
        <f t="shared" si="49"/>
        <v>0</v>
      </c>
      <c r="D88" s="120" t="s">
        <v>96</v>
      </c>
      <c r="E88" s="120" t="s">
        <v>18</v>
      </c>
      <c r="F88" s="120" t="s">
        <v>36</v>
      </c>
      <c r="G88" s="121"/>
      <c r="H88" s="121"/>
      <c r="I88" s="120"/>
      <c r="J88" s="173"/>
      <c r="K88" s="173"/>
      <c r="L88" s="173"/>
      <c r="M88" s="173"/>
      <c r="N88" s="126"/>
      <c r="O88" s="126"/>
      <c r="P88" s="17"/>
      <c r="Q88" s="17"/>
      <c r="R88" s="17"/>
      <c r="S88" s="17"/>
      <c r="T88" s="17"/>
      <c r="U88" s="17"/>
      <c r="V88" s="17"/>
      <c r="W88" s="17"/>
    </row>
    <row r="89" spans="1:24" ht="10.5" outlineLevel="1">
      <c r="A89" s="17"/>
      <c r="B89" s="17"/>
      <c r="C89" s="167">
        <f t="shared" si="49"/>
        <v>0</v>
      </c>
      <c r="D89" s="120" t="s">
        <v>96</v>
      </c>
      <c r="E89" s="120" t="s">
        <v>18</v>
      </c>
      <c r="F89" s="120" t="s">
        <v>36</v>
      </c>
      <c r="G89" s="121"/>
      <c r="H89" s="121"/>
      <c r="I89" s="120"/>
      <c r="J89" s="173"/>
      <c r="K89" s="174"/>
      <c r="L89" s="174"/>
      <c r="M89" s="173"/>
      <c r="N89" s="126"/>
      <c r="O89" s="126"/>
      <c r="P89" s="17"/>
      <c r="Q89" s="17"/>
      <c r="R89" s="17"/>
      <c r="S89" s="17"/>
      <c r="T89" s="17"/>
      <c r="U89" s="17"/>
      <c r="V89" s="17"/>
      <c r="W89" s="17"/>
    </row>
    <row r="90" spans="1:24" ht="10.5" outlineLevel="1">
      <c r="A90" s="17"/>
      <c r="B90" s="17"/>
      <c r="C90" s="167">
        <f t="shared" si="49"/>
        <v>0</v>
      </c>
      <c r="D90" s="120" t="s">
        <v>96</v>
      </c>
      <c r="E90" s="120" t="s">
        <v>18</v>
      </c>
      <c r="F90" s="120" t="s">
        <v>36</v>
      </c>
      <c r="G90" s="121"/>
      <c r="H90" s="121"/>
      <c r="I90" s="120"/>
      <c r="J90" s="174"/>
      <c r="K90" s="174"/>
      <c r="L90" s="174"/>
      <c r="M90" s="174"/>
      <c r="N90" s="126"/>
      <c r="O90" s="126"/>
      <c r="P90" s="17"/>
      <c r="Q90" s="17"/>
      <c r="R90" s="17"/>
      <c r="S90" s="17"/>
      <c r="T90" s="17"/>
      <c r="U90" s="17"/>
      <c r="V90" s="17"/>
      <c r="W90" s="17"/>
    </row>
    <row r="91" spans="1:24" ht="10.5" outlineLevel="1">
      <c r="A91" s="17"/>
      <c r="B91" s="17"/>
      <c r="C91" s="167">
        <f t="shared" si="49"/>
        <v>0</v>
      </c>
      <c r="D91" s="120" t="s">
        <v>96</v>
      </c>
      <c r="E91" s="120" t="s">
        <v>18</v>
      </c>
      <c r="F91" s="120" t="s">
        <v>36</v>
      </c>
      <c r="G91" s="121"/>
      <c r="H91" s="121"/>
      <c r="I91" s="120"/>
      <c r="J91" s="174"/>
      <c r="K91" s="174"/>
      <c r="L91" s="174"/>
      <c r="M91" s="174"/>
      <c r="N91" s="126"/>
      <c r="O91" s="126"/>
      <c r="P91" s="17"/>
      <c r="Q91" s="17"/>
      <c r="R91" s="17"/>
      <c r="S91" s="17"/>
      <c r="T91" s="17"/>
      <c r="U91" s="17"/>
      <c r="V91" s="17"/>
      <c r="W91" s="17"/>
    </row>
    <row r="92" spans="1:24" ht="10.5" outlineLevel="1">
      <c r="A92" s="17"/>
      <c r="B92" s="17"/>
      <c r="C92" s="125"/>
      <c r="D92" s="120"/>
      <c r="E92" s="120"/>
      <c r="F92" s="120"/>
      <c r="G92" s="121"/>
      <c r="H92" s="121"/>
      <c r="I92" s="120"/>
      <c r="J92" s="120"/>
      <c r="K92" s="126"/>
      <c r="L92" s="126"/>
      <c r="M92" s="126"/>
      <c r="N92" s="126"/>
      <c r="O92" s="126"/>
      <c r="P92" s="17"/>
      <c r="Q92" s="17"/>
      <c r="R92" s="17"/>
      <c r="S92" s="17"/>
      <c r="T92" s="17"/>
      <c r="U92" s="17"/>
      <c r="V92" s="17"/>
      <c r="W92" s="17"/>
    </row>
    <row r="93" spans="1:24" ht="10.5" outlineLevel="1">
      <c r="A93" s="17"/>
      <c r="B93" s="17"/>
      <c r="C93" s="17" t="s">
        <v>40</v>
      </c>
      <c r="D93" s="120" t="s">
        <v>93</v>
      </c>
      <c r="E93" s="120" t="s">
        <v>28</v>
      </c>
      <c r="F93" s="120" t="s">
        <v>36</v>
      </c>
      <c r="G93" s="120"/>
      <c r="H93" s="120"/>
      <c r="I93" s="120"/>
      <c r="J93" s="165" t="str">
        <f>IF(AND(ISBLANK(J84),COUNT(J86:J91)=0),"Ok",IF(COUNTA($C66:$C71)=COUNT(J86:J91),"Ok","Check"))</f>
        <v>Ok</v>
      </c>
      <c r="K93" s="165" t="str">
        <f t="shared" ref="K93:M93" si="50">IF(AND(ISBLANK(K84),COUNT(K86:K91)=0),"Ok",IF(COUNTA($C66:$C71)=COUNT(K86:K91),"Ok","Check"))</f>
        <v>Ok</v>
      </c>
      <c r="L93" s="165" t="str">
        <f t="shared" si="50"/>
        <v>Ok</v>
      </c>
      <c r="M93" s="165" t="str">
        <f t="shared" si="50"/>
        <v>Ok</v>
      </c>
      <c r="N93" s="165"/>
      <c r="O93" s="165"/>
      <c r="P93" s="165"/>
      <c r="Q93" s="165"/>
      <c r="R93" s="165"/>
      <c r="S93" s="165"/>
      <c r="T93" s="165"/>
      <c r="U93" s="165"/>
      <c r="V93" s="166"/>
      <c r="W93" s="17"/>
      <c r="X93" s="81" t="str">
        <f>IF(COUNTIF(K93:T93,"Check")=0,"Ok","Check")</f>
        <v>Ok</v>
      </c>
    </row>
    <row r="94" spans="1:24" ht="10.5" outlineLevel="1">
      <c r="A94" s="17"/>
      <c r="B94" s="17"/>
      <c r="C94" s="125"/>
      <c r="D94" s="120"/>
      <c r="E94" s="120"/>
      <c r="F94" s="120"/>
      <c r="G94" s="121"/>
      <c r="H94" s="121"/>
      <c r="I94" s="120"/>
      <c r="J94" s="120"/>
      <c r="K94" s="126"/>
      <c r="L94" s="126"/>
      <c r="M94" s="126"/>
      <c r="N94" s="126"/>
      <c r="O94" s="126"/>
      <c r="P94" s="17"/>
      <c r="Q94" s="17"/>
      <c r="R94" s="17"/>
      <c r="S94" s="17"/>
      <c r="T94" s="17"/>
      <c r="U94" s="17"/>
      <c r="V94" s="17"/>
      <c r="W94" s="17"/>
    </row>
    <row r="95" spans="1:24" ht="10.5" outlineLevel="1">
      <c r="A95" s="17"/>
      <c r="B95" s="17"/>
      <c r="C95" s="122" t="s">
        <v>152</v>
      </c>
      <c r="D95" s="121" t="s">
        <v>7</v>
      </c>
      <c r="E95" s="121" t="s">
        <v>8</v>
      </c>
      <c r="F95" s="121" t="s">
        <v>22</v>
      </c>
      <c r="G95" s="121"/>
      <c r="H95" s="121"/>
      <c r="I95" s="120"/>
      <c r="J95" s="205" t="str">
        <f>J84</f>
        <v>No Growth</v>
      </c>
      <c r="K95" s="205">
        <f>K84</f>
        <v>0</v>
      </c>
      <c r="L95" s="205">
        <f>L84</f>
        <v>0</v>
      </c>
      <c r="M95" s="205">
        <f>M84</f>
        <v>0</v>
      </c>
      <c r="N95" s="138"/>
      <c r="O95" s="138"/>
      <c r="P95" s="138"/>
      <c r="Q95" s="138"/>
      <c r="R95" s="138"/>
      <c r="S95" s="138"/>
      <c r="T95" s="138"/>
      <c r="U95" s="138"/>
      <c r="V95" s="17"/>
      <c r="W95" s="17"/>
    </row>
    <row r="96" spans="1:24" ht="10.5" outlineLevel="1">
      <c r="A96" s="17"/>
      <c r="B96" s="17"/>
      <c r="C96" s="125"/>
      <c r="D96" s="120"/>
      <c r="E96" s="120"/>
      <c r="F96" s="120"/>
      <c r="G96" s="121"/>
      <c r="H96" s="121"/>
      <c r="I96" s="120"/>
      <c r="J96" s="120"/>
      <c r="K96" s="126"/>
      <c r="L96" s="126"/>
      <c r="M96" s="126"/>
      <c r="N96" s="126"/>
      <c r="O96" s="175"/>
      <c r="P96" s="175"/>
      <c r="Q96" s="175"/>
      <c r="R96" s="175"/>
      <c r="S96" s="175"/>
      <c r="T96" s="175"/>
      <c r="U96" s="175"/>
      <c r="V96" s="17"/>
      <c r="W96" s="17"/>
    </row>
    <row r="97" spans="1:34" outlineLevel="1">
      <c r="A97" s="17"/>
      <c r="B97" s="17"/>
      <c r="C97" s="167" t="str">
        <f t="shared" ref="C97:C102" si="51">C66</f>
        <v>Zero output grrowth</v>
      </c>
      <c r="D97" s="120" t="s">
        <v>93</v>
      </c>
      <c r="E97" s="120" t="str">
        <f t="shared" ref="E97:E102" si="52">percent</f>
        <v>Per cent</v>
      </c>
      <c r="F97" s="120" t="s">
        <v>36</v>
      </c>
      <c r="G97" s="121"/>
      <c r="H97" s="121"/>
      <c r="I97" s="120"/>
      <c r="J97" s="206">
        <f>IF(SUM(J$86:J$91)=0,0,J86/SUM(J$86:J$91))</f>
        <v>1</v>
      </c>
      <c r="K97" s="206">
        <f t="shared" ref="K97:M97" si="53">IF(SUM(K$86:K$91)=0,0,K86/SUM(K$86:K$91))</f>
        <v>0</v>
      </c>
      <c r="L97" s="206">
        <f t="shared" si="53"/>
        <v>0</v>
      </c>
      <c r="M97" s="206">
        <f t="shared" si="53"/>
        <v>0</v>
      </c>
      <c r="N97" s="176"/>
      <c r="O97" s="176"/>
      <c r="P97" s="176"/>
      <c r="Q97" s="176"/>
      <c r="R97" s="176"/>
      <c r="S97" s="176"/>
      <c r="T97" s="176"/>
      <c r="U97" s="176"/>
      <c r="V97" s="17"/>
      <c r="W97" s="17"/>
    </row>
    <row r="98" spans="1:34" outlineLevel="1">
      <c r="A98" s="17"/>
      <c r="B98" s="17"/>
      <c r="C98" s="167">
        <f t="shared" si="51"/>
        <v>0</v>
      </c>
      <c r="D98" s="120" t="s">
        <v>93</v>
      </c>
      <c r="E98" s="120" t="str">
        <f t="shared" si="52"/>
        <v>Per cent</v>
      </c>
      <c r="F98" s="120" t="s">
        <v>36</v>
      </c>
      <c r="G98" s="121"/>
      <c r="H98" s="121"/>
      <c r="I98" s="120"/>
      <c r="J98" s="206">
        <f t="shared" ref="J98:M102" si="54">IF(SUM(J$86:J$91)=0,0,J87/SUM(J$86:J$91))</f>
        <v>0</v>
      </c>
      <c r="K98" s="206">
        <f t="shared" si="54"/>
        <v>0</v>
      </c>
      <c r="L98" s="206">
        <f t="shared" si="54"/>
        <v>0</v>
      </c>
      <c r="M98" s="206">
        <f t="shared" si="54"/>
        <v>0</v>
      </c>
      <c r="N98" s="176"/>
      <c r="O98" s="176"/>
      <c r="P98" s="176"/>
      <c r="Q98" s="176"/>
      <c r="R98" s="176"/>
      <c r="S98" s="176"/>
      <c r="T98" s="176"/>
      <c r="U98" s="176"/>
      <c r="V98" s="17"/>
      <c r="W98" s="17"/>
    </row>
    <row r="99" spans="1:34" outlineLevel="1">
      <c r="A99" s="17"/>
      <c r="B99" s="17"/>
      <c r="C99" s="167">
        <f t="shared" si="51"/>
        <v>0</v>
      </c>
      <c r="D99" s="120" t="s">
        <v>93</v>
      </c>
      <c r="E99" s="120" t="str">
        <f t="shared" si="52"/>
        <v>Per cent</v>
      </c>
      <c r="F99" s="120" t="s">
        <v>36</v>
      </c>
      <c r="G99" s="121"/>
      <c r="H99" s="121"/>
      <c r="I99" s="120"/>
      <c r="J99" s="206">
        <f t="shared" si="54"/>
        <v>0</v>
      </c>
      <c r="K99" s="206">
        <f t="shared" si="54"/>
        <v>0</v>
      </c>
      <c r="L99" s="206">
        <f t="shared" si="54"/>
        <v>0</v>
      </c>
      <c r="M99" s="206">
        <f t="shared" si="54"/>
        <v>0</v>
      </c>
      <c r="N99" s="176"/>
      <c r="O99" s="176"/>
      <c r="P99" s="176"/>
      <c r="Q99" s="176"/>
      <c r="R99" s="176"/>
      <c r="S99" s="176"/>
      <c r="T99" s="176"/>
      <c r="U99" s="176"/>
      <c r="V99" s="17"/>
      <c r="W99" s="17"/>
    </row>
    <row r="100" spans="1:34" outlineLevel="1">
      <c r="A100" s="17"/>
      <c r="B100" s="17"/>
      <c r="C100" s="167">
        <f t="shared" si="51"/>
        <v>0</v>
      </c>
      <c r="D100" s="120" t="s">
        <v>93</v>
      </c>
      <c r="E100" s="120" t="str">
        <f t="shared" si="52"/>
        <v>Per cent</v>
      </c>
      <c r="F100" s="120" t="s">
        <v>36</v>
      </c>
      <c r="G100" s="121"/>
      <c r="H100" s="121"/>
      <c r="I100" s="120"/>
      <c r="J100" s="206">
        <f t="shared" si="54"/>
        <v>0</v>
      </c>
      <c r="K100" s="206">
        <f t="shared" si="54"/>
        <v>0</v>
      </c>
      <c r="L100" s="206">
        <f t="shared" si="54"/>
        <v>0</v>
      </c>
      <c r="M100" s="206">
        <f t="shared" si="54"/>
        <v>0</v>
      </c>
      <c r="N100" s="176"/>
      <c r="O100" s="176"/>
      <c r="P100" s="176"/>
      <c r="Q100" s="176"/>
      <c r="R100" s="176"/>
      <c r="S100" s="176"/>
      <c r="T100" s="176"/>
      <c r="U100" s="176"/>
      <c r="V100" s="17"/>
      <c r="W100" s="17"/>
    </row>
    <row r="101" spans="1:34" outlineLevel="1">
      <c r="A101" s="17"/>
      <c r="B101" s="17"/>
      <c r="C101" s="167">
        <f t="shared" si="51"/>
        <v>0</v>
      </c>
      <c r="D101" s="120" t="s">
        <v>93</v>
      </c>
      <c r="E101" s="120" t="str">
        <f t="shared" si="52"/>
        <v>Per cent</v>
      </c>
      <c r="F101" s="120" t="s">
        <v>36</v>
      </c>
      <c r="G101" s="121"/>
      <c r="H101" s="121"/>
      <c r="I101" s="120"/>
      <c r="J101" s="206">
        <f t="shared" si="54"/>
        <v>0</v>
      </c>
      <c r="K101" s="206">
        <f t="shared" si="54"/>
        <v>0</v>
      </c>
      <c r="L101" s="206">
        <f t="shared" si="54"/>
        <v>0</v>
      </c>
      <c r="M101" s="206">
        <f t="shared" si="54"/>
        <v>0</v>
      </c>
      <c r="N101" s="176"/>
      <c r="O101" s="176"/>
      <c r="P101" s="176"/>
      <c r="Q101" s="176"/>
      <c r="R101" s="176"/>
      <c r="S101" s="176"/>
      <c r="T101" s="176"/>
      <c r="U101" s="176"/>
      <c r="V101" s="17"/>
      <c r="W101" s="17"/>
    </row>
    <row r="102" spans="1:34" outlineLevel="1">
      <c r="A102" s="17"/>
      <c r="B102" s="17"/>
      <c r="C102" s="167">
        <f t="shared" si="51"/>
        <v>0</v>
      </c>
      <c r="D102" s="120" t="s">
        <v>93</v>
      </c>
      <c r="E102" s="120" t="str">
        <f t="shared" si="52"/>
        <v>Per cent</v>
      </c>
      <c r="F102" s="120" t="s">
        <v>36</v>
      </c>
      <c r="G102" s="121"/>
      <c r="H102" s="121"/>
      <c r="I102" s="120"/>
      <c r="J102" s="206">
        <f t="shared" si="54"/>
        <v>0</v>
      </c>
      <c r="K102" s="206">
        <f t="shared" si="54"/>
        <v>0</v>
      </c>
      <c r="L102" s="206">
        <f t="shared" si="54"/>
        <v>0</v>
      </c>
      <c r="M102" s="206">
        <f t="shared" si="54"/>
        <v>0</v>
      </c>
      <c r="N102" s="176"/>
      <c r="O102" s="176"/>
      <c r="P102" s="176"/>
      <c r="Q102" s="176"/>
      <c r="R102" s="176"/>
      <c r="S102" s="176"/>
      <c r="T102" s="176"/>
      <c r="U102" s="176"/>
      <c r="V102" s="17"/>
      <c r="W102" s="17"/>
    </row>
    <row r="103" spans="1:34" ht="10.5" outlineLevel="1">
      <c r="A103" s="17"/>
      <c r="B103" s="17"/>
      <c r="C103" s="17"/>
      <c r="D103" s="120"/>
      <c r="E103" s="120"/>
      <c r="F103" s="120"/>
      <c r="G103" s="121"/>
      <c r="H103" s="121"/>
      <c r="I103" s="120"/>
      <c r="J103" s="17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34" ht="10.5" outlineLevel="1">
      <c r="A104" s="17"/>
      <c r="B104" s="17"/>
      <c r="C104" s="122" t="s">
        <v>153</v>
      </c>
      <c r="D104" s="121" t="s">
        <v>7</v>
      </c>
      <c r="E104" s="121" t="s">
        <v>8</v>
      </c>
      <c r="F104" s="121" t="s">
        <v>22</v>
      </c>
      <c r="G104" s="120"/>
      <c r="H104" s="120"/>
      <c r="I104" s="120"/>
      <c r="J104" s="138" t="str">
        <f t="shared" ref="J104:U104" si="55">IF(YEAR(J$4)&gt;=FPFirstYear,IF(YEAR(J$4)&lt;=FPLastYear,J$4,""),"")</f>
        <v/>
      </c>
      <c r="K104" s="138" t="str">
        <f t="shared" si="55"/>
        <v/>
      </c>
      <c r="L104" s="138" t="str">
        <f t="shared" si="55"/>
        <v/>
      </c>
      <c r="M104" s="138" t="str">
        <f t="shared" si="55"/>
        <v/>
      </c>
      <c r="N104" s="138" t="str">
        <f t="shared" si="55"/>
        <v/>
      </c>
      <c r="O104" s="138" t="str">
        <f t="shared" si="55"/>
        <v/>
      </c>
      <c r="P104" s="138">
        <f t="shared" si="55"/>
        <v>46539</v>
      </c>
      <c r="Q104" s="138">
        <f t="shared" si="55"/>
        <v>46905</v>
      </c>
      <c r="R104" s="138">
        <f t="shared" si="55"/>
        <v>47270</v>
      </c>
      <c r="S104" s="138">
        <f t="shared" si="55"/>
        <v>47635</v>
      </c>
      <c r="T104" s="138" t="str">
        <f t="shared" si="55"/>
        <v/>
      </c>
      <c r="U104" s="138" t="str">
        <f t="shared" si="55"/>
        <v/>
      </c>
      <c r="V104" s="166"/>
      <c r="W104" s="17"/>
      <c r="X104" s="82"/>
    </row>
    <row r="105" spans="1:34" ht="10.5" outlineLevel="1">
      <c r="A105" s="17"/>
      <c r="B105" s="17"/>
      <c r="C105" s="17"/>
      <c r="D105" s="120"/>
      <c r="E105" s="120"/>
      <c r="F105" s="120"/>
      <c r="G105" s="120"/>
      <c r="H105" s="120"/>
      <c r="I105" s="120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6"/>
      <c r="W105" s="17"/>
      <c r="X105" s="82"/>
    </row>
    <row r="106" spans="1:34" ht="10.5" outlineLevel="1">
      <c r="A106" s="17"/>
      <c r="B106" s="17"/>
      <c r="C106" s="167" t="str">
        <f t="array" ref="C106:C109">TRANSPOSE(J95:M95)</f>
        <v>No Growth</v>
      </c>
      <c r="D106" s="120" t="s">
        <v>93</v>
      </c>
      <c r="E106" s="120" t="s">
        <v>18</v>
      </c>
      <c r="F106" s="120" t="s">
        <v>36</v>
      </c>
      <c r="G106" s="120"/>
      <c r="H106" s="120"/>
      <c r="I106" s="120"/>
      <c r="J106" s="171" t="str">
        <f t="shared" ref="J106:U106" si="56">IF(J$104=J$4,SUMPRODUCT(J$77:J$82,$J$97:$J$102),"")</f>
        <v/>
      </c>
      <c r="K106" s="171" t="str">
        <f t="shared" si="56"/>
        <v/>
      </c>
      <c r="L106" s="171" t="str">
        <f t="shared" si="56"/>
        <v/>
      </c>
      <c r="M106" s="171" t="str">
        <f t="shared" si="56"/>
        <v/>
      </c>
      <c r="N106" s="171" t="str">
        <f t="shared" si="56"/>
        <v/>
      </c>
      <c r="O106" s="171" t="str">
        <f t="shared" si="56"/>
        <v/>
      </c>
      <c r="P106" s="171">
        <f t="shared" si="56"/>
        <v>0</v>
      </c>
      <c r="Q106" s="171">
        <f t="shared" si="56"/>
        <v>0</v>
      </c>
      <c r="R106" s="171">
        <f t="shared" si="56"/>
        <v>0</v>
      </c>
      <c r="S106" s="171">
        <f t="shared" si="56"/>
        <v>0</v>
      </c>
      <c r="T106" s="171" t="str">
        <f t="shared" si="56"/>
        <v/>
      </c>
      <c r="U106" s="171" t="str">
        <f t="shared" si="56"/>
        <v/>
      </c>
      <c r="V106" s="166"/>
      <c r="W106" s="17"/>
      <c r="X106" s="82"/>
    </row>
    <row r="107" spans="1:34" ht="10.5" outlineLevel="1">
      <c r="A107" s="17"/>
      <c r="B107" s="17"/>
      <c r="C107" s="167">
        <v>0</v>
      </c>
      <c r="D107" s="120" t="s">
        <v>93</v>
      </c>
      <c r="E107" s="120" t="s">
        <v>18</v>
      </c>
      <c r="F107" s="120" t="s">
        <v>36</v>
      </c>
      <c r="G107" s="120"/>
      <c r="H107" s="120"/>
      <c r="I107" s="120"/>
      <c r="J107" s="171" t="str">
        <f t="shared" ref="J107:U107" si="57">IF(J$104=J$4,SUMPRODUCT(J$77:J$82,$K$97:$K$102),"")</f>
        <v/>
      </c>
      <c r="K107" s="171" t="str">
        <f t="shared" si="57"/>
        <v/>
      </c>
      <c r="L107" s="171" t="str">
        <f t="shared" si="57"/>
        <v/>
      </c>
      <c r="M107" s="171" t="str">
        <f t="shared" si="57"/>
        <v/>
      </c>
      <c r="N107" s="171" t="str">
        <f t="shared" si="57"/>
        <v/>
      </c>
      <c r="O107" s="171" t="str">
        <f t="shared" si="57"/>
        <v/>
      </c>
      <c r="P107" s="171">
        <f t="shared" si="57"/>
        <v>0</v>
      </c>
      <c r="Q107" s="171">
        <f t="shared" si="57"/>
        <v>0</v>
      </c>
      <c r="R107" s="171">
        <f t="shared" si="57"/>
        <v>0</v>
      </c>
      <c r="S107" s="171">
        <f t="shared" si="57"/>
        <v>0</v>
      </c>
      <c r="T107" s="171" t="str">
        <f t="shared" si="57"/>
        <v/>
      </c>
      <c r="U107" s="171" t="str">
        <f t="shared" si="57"/>
        <v/>
      </c>
      <c r="V107" s="166"/>
      <c r="W107" s="17"/>
      <c r="X107" s="82"/>
    </row>
    <row r="108" spans="1:34" ht="10.5" outlineLevel="1">
      <c r="A108" s="17"/>
      <c r="B108" s="17"/>
      <c r="C108" s="167">
        <v>0</v>
      </c>
      <c r="D108" s="120" t="s">
        <v>93</v>
      </c>
      <c r="E108" s="120" t="s">
        <v>18</v>
      </c>
      <c r="F108" s="120" t="s">
        <v>36</v>
      </c>
      <c r="G108" s="120"/>
      <c r="H108" s="120"/>
      <c r="I108" s="120"/>
      <c r="J108" s="171" t="str">
        <f t="shared" ref="J108:U108" si="58">IF(J$104=J$4,SUMPRODUCT(J$77:J$82,$L$97:$L$102),"")</f>
        <v/>
      </c>
      <c r="K108" s="171" t="str">
        <f t="shared" si="58"/>
        <v/>
      </c>
      <c r="L108" s="171" t="str">
        <f t="shared" si="58"/>
        <v/>
      </c>
      <c r="M108" s="171" t="str">
        <f t="shared" si="58"/>
        <v/>
      </c>
      <c r="N108" s="171" t="str">
        <f t="shared" si="58"/>
        <v/>
      </c>
      <c r="O108" s="171" t="str">
        <f t="shared" si="58"/>
        <v/>
      </c>
      <c r="P108" s="171">
        <f t="shared" si="58"/>
        <v>0</v>
      </c>
      <c r="Q108" s="171">
        <f t="shared" si="58"/>
        <v>0</v>
      </c>
      <c r="R108" s="171">
        <f t="shared" si="58"/>
        <v>0</v>
      </c>
      <c r="S108" s="171">
        <f t="shared" si="58"/>
        <v>0</v>
      </c>
      <c r="T108" s="171" t="str">
        <f t="shared" si="58"/>
        <v/>
      </c>
      <c r="U108" s="171" t="str">
        <f t="shared" si="58"/>
        <v/>
      </c>
      <c r="V108" s="166"/>
      <c r="W108" s="17"/>
      <c r="X108" s="82"/>
    </row>
    <row r="109" spans="1:34" ht="10.5" outlineLevel="1">
      <c r="A109" s="17"/>
      <c r="B109" s="17"/>
      <c r="C109" s="167">
        <v>0</v>
      </c>
      <c r="D109" s="120" t="s">
        <v>93</v>
      </c>
      <c r="E109" s="120" t="s">
        <v>18</v>
      </c>
      <c r="F109" s="120" t="s">
        <v>36</v>
      </c>
      <c r="G109" s="120"/>
      <c r="H109" s="120"/>
      <c r="I109" s="120"/>
      <c r="J109" s="171" t="str">
        <f t="shared" ref="J109:U109" si="59">IF(J$104=J$4,SUMPRODUCT(J$77:J$82,$M$97:$M$102),"")</f>
        <v/>
      </c>
      <c r="K109" s="171" t="str">
        <f t="shared" si="59"/>
        <v/>
      </c>
      <c r="L109" s="171" t="str">
        <f t="shared" si="59"/>
        <v/>
      </c>
      <c r="M109" s="171" t="str">
        <f t="shared" si="59"/>
        <v/>
      </c>
      <c r="N109" s="171" t="str">
        <f t="shared" si="59"/>
        <v/>
      </c>
      <c r="O109" s="171" t="str">
        <f t="shared" si="59"/>
        <v/>
      </c>
      <c r="P109" s="171">
        <f t="shared" si="59"/>
        <v>0</v>
      </c>
      <c r="Q109" s="171">
        <f t="shared" si="59"/>
        <v>0</v>
      </c>
      <c r="R109" s="171">
        <f t="shared" si="59"/>
        <v>0</v>
      </c>
      <c r="S109" s="171">
        <f t="shared" si="59"/>
        <v>0</v>
      </c>
      <c r="T109" s="171" t="str">
        <f t="shared" si="59"/>
        <v/>
      </c>
      <c r="U109" s="171" t="str">
        <f t="shared" si="59"/>
        <v/>
      </c>
      <c r="V109" s="166"/>
      <c r="W109" s="17"/>
      <c r="X109" s="82"/>
    </row>
    <row r="110" spans="1:34" ht="10.5" outlineLevel="1">
      <c r="A110" s="17"/>
      <c r="B110" s="17"/>
      <c r="C110" s="125"/>
      <c r="D110" s="120"/>
      <c r="E110" s="120"/>
      <c r="F110" s="120"/>
      <c r="G110" s="121"/>
      <c r="H110" s="121"/>
      <c r="I110" s="120"/>
      <c r="J110" s="120"/>
      <c r="K110" s="126"/>
      <c r="L110" s="126"/>
      <c r="M110" s="126"/>
      <c r="N110" s="126"/>
      <c r="O110" s="126"/>
      <c r="P110" s="17"/>
      <c r="Q110" s="17"/>
      <c r="R110" s="17"/>
      <c r="S110" s="17"/>
      <c r="T110" s="17"/>
      <c r="U110" s="17"/>
      <c r="V110" s="17"/>
      <c r="W110" s="17"/>
    </row>
    <row r="111" spans="1:34" customFormat="1" ht="13">
      <c r="A111" s="32"/>
      <c r="B111" s="38" t="s">
        <v>73</v>
      </c>
      <c r="C111" s="32"/>
      <c r="D111" s="32"/>
      <c r="E111" s="32"/>
      <c r="F111" s="118"/>
      <c r="G111" s="118"/>
      <c r="H111" s="118"/>
      <c r="I111" s="118"/>
      <c r="J111" s="118"/>
      <c r="K111" s="34"/>
      <c r="L111" s="119"/>
      <c r="M111" s="34"/>
      <c r="N111" s="119"/>
      <c r="O111" s="34"/>
      <c r="P111" s="34"/>
      <c r="Q111" s="34"/>
      <c r="R111" s="34"/>
      <c r="S111" s="34"/>
      <c r="T111" s="34"/>
      <c r="U111" s="34"/>
      <c r="V111" s="34"/>
      <c r="W111" s="34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7"/>
      <c r="B112" s="17"/>
      <c r="C112" s="17"/>
      <c r="D112" s="120"/>
      <c r="E112" s="120"/>
      <c r="F112" s="120"/>
      <c r="G112" s="121"/>
      <c r="H112" s="121"/>
      <c r="I112" s="120"/>
      <c r="J112" s="120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34" ht="10.5" outlineLevel="1">
      <c r="A113" s="17"/>
      <c r="B113" s="17"/>
      <c r="C113" s="122" t="s">
        <v>47</v>
      </c>
      <c r="D113" s="121" t="s">
        <v>7</v>
      </c>
      <c r="E113" s="121" t="s">
        <v>8</v>
      </c>
      <c r="F113" s="121" t="s">
        <v>22</v>
      </c>
      <c r="G113" s="121"/>
      <c r="H113" s="121"/>
      <c r="I113" s="120"/>
      <c r="J113" s="138" t="str">
        <f t="shared" ref="J113:U113" si="60">IF(YEAR(J$4)&gt;=FPFirstYear,IF(YEAR(J$4)&lt;=FPLastYear,J$4,""),"")</f>
        <v/>
      </c>
      <c r="K113" s="138" t="str">
        <f t="shared" si="60"/>
        <v/>
      </c>
      <c r="L113" s="138" t="str">
        <f t="shared" si="60"/>
        <v/>
      </c>
      <c r="M113" s="138" t="str">
        <f t="shared" si="60"/>
        <v/>
      </c>
      <c r="N113" s="138" t="str">
        <f t="shared" si="60"/>
        <v/>
      </c>
      <c r="O113" s="138" t="str">
        <f t="shared" si="60"/>
        <v/>
      </c>
      <c r="P113" s="138">
        <f t="shared" si="60"/>
        <v>46539</v>
      </c>
      <c r="Q113" s="138">
        <f t="shared" si="60"/>
        <v>46905</v>
      </c>
      <c r="R113" s="138">
        <f t="shared" si="60"/>
        <v>47270</v>
      </c>
      <c r="S113" s="138">
        <f t="shared" si="60"/>
        <v>47635</v>
      </c>
      <c r="T113" s="138" t="str">
        <f t="shared" si="60"/>
        <v/>
      </c>
      <c r="U113" s="138" t="str">
        <f t="shared" si="60"/>
        <v/>
      </c>
      <c r="V113" s="17"/>
      <c r="W113" s="17"/>
    </row>
    <row r="114" spans="1:34" ht="10.5" outlineLevel="1">
      <c r="A114" s="17"/>
      <c r="B114" s="17"/>
      <c r="C114" s="125"/>
      <c r="D114" s="120"/>
      <c r="E114" s="120"/>
      <c r="F114" s="120"/>
      <c r="G114" s="121"/>
      <c r="H114" s="121"/>
      <c r="I114" s="120"/>
      <c r="J114" s="120"/>
      <c r="K114" s="126"/>
      <c r="L114" s="126"/>
      <c r="M114" s="126"/>
      <c r="N114" s="126"/>
      <c r="O114" s="126"/>
      <c r="P114" s="17"/>
      <c r="Q114" s="17"/>
      <c r="R114" s="17"/>
      <c r="S114" s="17"/>
      <c r="T114" s="17"/>
      <c r="U114" s="17"/>
      <c r="V114" s="17"/>
      <c r="W114" s="17"/>
    </row>
    <row r="115" spans="1:34" ht="10.5" outlineLevel="1">
      <c r="A115" s="17"/>
      <c r="B115" s="17"/>
      <c r="C115" s="125" t="s">
        <v>47</v>
      </c>
      <c r="D115" s="120" t="s">
        <v>96</v>
      </c>
      <c r="E115" s="120" t="str">
        <f>percent</f>
        <v>Per cent</v>
      </c>
      <c r="F115" s="120" t="s">
        <v>36</v>
      </c>
      <c r="G115" s="121"/>
      <c r="H115" s="121"/>
      <c r="I115" s="120"/>
      <c r="J115" s="157"/>
      <c r="K115" s="178"/>
      <c r="L115" s="178"/>
      <c r="M115" s="178"/>
      <c r="N115" s="178"/>
      <c r="O115" s="168"/>
      <c r="P115" s="213">
        <v>5.0000000000000001E-3</v>
      </c>
      <c r="Q115" s="213">
        <v>5.0000000000000001E-3</v>
      </c>
      <c r="R115" s="213">
        <v>5.0000000000000001E-3</v>
      </c>
      <c r="S115" s="213">
        <v>5.0000000000000001E-3</v>
      </c>
      <c r="T115" s="213"/>
      <c r="U115" s="168"/>
      <c r="V115" s="17"/>
      <c r="W115" s="17"/>
    </row>
    <row r="116" spans="1:34" ht="10.5" outlineLevel="1">
      <c r="A116" s="17"/>
      <c r="B116" s="17"/>
      <c r="C116" s="125"/>
      <c r="D116" s="120"/>
      <c r="E116" s="120"/>
      <c r="F116" s="120"/>
      <c r="G116" s="121"/>
      <c r="H116" s="121"/>
      <c r="I116" s="120"/>
      <c r="J116" s="120"/>
      <c r="K116" s="126"/>
      <c r="L116" s="126"/>
      <c r="M116" s="126"/>
      <c r="N116" s="126"/>
      <c r="O116" s="126"/>
      <c r="P116" s="179"/>
      <c r="Q116" s="179"/>
      <c r="R116" s="179"/>
      <c r="S116" s="179"/>
      <c r="T116" s="179"/>
      <c r="U116" s="179"/>
      <c r="V116" s="17"/>
      <c r="W116" s="17"/>
    </row>
    <row r="117" spans="1:34" ht="10.5" outlineLevel="1">
      <c r="A117" s="17"/>
      <c r="B117" s="17"/>
      <c r="C117" s="17" t="s">
        <v>40</v>
      </c>
      <c r="D117" s="120" t="s">
        <v>93</v>
      </c>
      <c r="E117" s="120" t="s">
        <v>28</v>
      </c>
      <c r="F117" s="120" t="s">
        <v>36</v>
      </c>
      <c r="G117" s="120"/>
      <c r="H117" s="120"/>
      <c r="I117" s="120"/>
      <c r="J117" s="165" t="str">
        <f t="shared" ref="J117:S117" si="61">IF(J113=J$4,IF(ISBLANK(J115),"Check","Ok"),"")</f>
        <v/>
      </c>
      <c r="K117" s="165" t="str">
        <f t="shared" si="61"/>
        <v/>
      </c>
      <c r="L117" s="165" t="str">
        <f t="shared" si="61"/>
        <v/>
      </c>
      <c r="M117" s="165" t="str">
        <f t="shared" si="61"/>
        <v/>
      </c>
      <c r="N117" s="165" t="str">
        <f t="shared" si="61"/>
        <v/>
      </c>
      <c r="O117" s="165" t="str">
        <f t="shared" si="61"/>
        <v/>
      </c>
      <c r="P117" s="165" t="str">
        <f>IF(P113=P$4,IF(ISBLANK(P115),"Check","Ok"),"")</f>
        <v>Ok</v>
      </c>
      <c r="Q117" s="165" t="str">
        <f>IF(Q113=Q$4,IF(ISBLANK(Q115),"Check","Ok"),"")</f>
        <v>Ok</v>
      </c>
      <c r="R117" s="165" t="str">
        <f t="shared" si="61"/>
        <v>Ok</v>
      </c>
      <c r="S117" s="165" t="str">
        <f t="shared" si="61"/>
        <v>Ok</v>
      </c>
      <c r="T117" s="165" t="str">
        <f>IF(T113=T$4,IF(ISBLANK(T115),"Check","Ok"),"")</f>
        <v/>
      </c>
      <c r="U117" s="165" t="str">
        <f>IF(U113=U$4,IF(ISBLANK(U115),"Check","Ok"),"")</f>
        <v/>
      </c>
      <c r="V117" s="166"/>
      <c r="W117" s="17"/>
      <c r="X117" s="81" t="str">
        <f>IF(COUNTIF(J117:T117,"Check")=0,"Ok","Check")</f>
        <v>Ok</v>
      </c>
    </row>
    <row r="118" spans="1:34" ht="10.5" outlineLevel="1">
      <c r="A118" s="17"/>
      <c r="B118" s="17"/>
      <c r="C118" s="125"/>
      <c r="D118" s="120"/>
      <c r="E118" s="120"/>
      <c r="F118" s="120"/>
      <c r="G118" s="121"/>
      <c r="H118" s="121"/>
      <c r="I118" s="120"/>
      <c r="J118" s="120"/>
      <c r="K118" s="126"/>
      <c r="L118" s="126"/>
      <c r="M118" s="126"/>
      <c r="N118" s="126"/>
      <c r="O118" s="126"/>
      <c r="P118" s="17"/>
      <c r="Q118" s="17"/>
      <c r="R118" s="17"/>
      <c r="S118" s="17"/>
      <c r="T118" s="17"/>
      <c r="U118" s="17"/>
      <c r="V118" s="17"/>
      <c r="W118" s="17"/>
    </row>
    <row r="119" spans="1:34" customFormat="1" ht="13">
      <c r="A119" s="32"/>
      <c r="B119" s="38" t="s">
        <v>21</v>
      </c>
      <c r="C119" s="32"/>
      <c r="D119" s="32"/>
      <c r="E119" s="32"/>
      <c r="F119" s="118"/>
      <c r="G119" s="118"/>
      <c r="H119" s="118"/>
      <c r="I119" s="118"/>
      <c r="J119" s="118"/>
      <c r="K119" s="34"/>
      <c r="L119" s="119"/>
      <c r="M119" s="34"/>
      <c r="N119" s="119"/>
      <c r="O119" s="34"/>
      <c r="P119" s="34"/>
      <c r="Q119" s="34"/>
      <c r="R119" s="34"/>
      <c r="S119" s="34"/>
      <c r="T119" s="34"/>
      <c r="U119" s="34"/>
      <c r="V119" s="34"/>
      <c r="W119" s="34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115:O115 U115">
    <cfRule type="expression" dxfId="118" priority="179">
      <formula>J$113=J$4</formula>
    </cfRule>
  </conditionalFormatting>
  <conditionalFormatting sqref="J38:T40">
    <cfRule type="expression" dxfId="117" priority="11">
      <formula>J$36=J$4</formula>
    </cfRule>
  </conditionalFormatting>
  <conditionalFormatting sqref="J16:U22">
    <cfRule type="cellIs" dxfId="116" priority="23" operator="equal">
      <formula>0</formula>
    </cfRule>
  </conditionalFormatting>
  <conditionalFormatting sqref="J26:U32">
    <cfRule type="cellIs" dxfId="115" priority="24" operator="equal">
      <formula>0</formula>
    </cfRule>
  </conditionalFormatting>
  <conditionalFormatting sqref="J36:U36">
    <cfRule type="expression" dxfId="114" priority="58">
      <formula>J$36=J$4</formula>
    </cfRule>
  </conditionalFormatting>
  <conditionalFormatting sqref="J47:U47">
    <cfRule type="cellIs" dxfId="113" priority="44" operator="equal">
      <formula>"Ok"</formula>
    </cfRule>
    <cfRule type="cellIs" dxfId="112" priority="43" operator="equal">
      <formula>"Check"</formula>
    </cfRule>
  </conditionalFormatting>
  <conditionalFormatting sqref="J49:U49">
    <cfRule type="expression" dxfId="111" priority="28">
      <formula>J$36=J$4</formula>
    </cfRule>
  </conditionalFormatting>
  <conditionalFormatting sqref="J51:U58">
    <cfRule type="expression" dxfId="110" priority="9">
      <formula>J$49=J$4</formula>
    </cfRule>
  </conditionalFormatting>
  <conditionalFormatting sqref="J60:U60">
    <cfRule type="cellIs" dxfId="109" priority="68" operator="equal">
      <formula>"Ok"</formula>
    </cfRule>
    <cfRule type="cellIs" dxfId="108" priority="67" operator="equal">
      <formula>"Check"</formula>
    </cfRule>
  </conditionalFormatting>
  <conditionalFormatting sqref="J64:U64">
    <cfRule type="expression" dxfId="107" priority="33">
      <formula>J$64=J$4</formula>
    </cfRule>
  </conditionalFormatting>
  <conditionalFormatting sqref="J66:U71">
    <cfRule type="expression" dxfId="106" priority="31">
      <formula>J$64=J$4</formula>
    </cfRule>
  </conditionalFormatting>
  <conditionalFormatting sqref="J73:U73">
    <cfRule type="cellIs" dxfId="105" priority="39" operator="equal">
      <formula>"Check"</formula>
    </cfRule>
    <cfRule type="cellIs" dxfId="104" priority="40" operator="equal">
      <formula>"Ok"</formula>
    </cfRule>
  </conditionalFormatting>
  <conditionalFormatting sqref="J75:U75">
    <cfRule type="expression" dxfId="103" priority="27">
      <formula>J$36=J$4</formula>
    </cfRule>
  </conditionalFormatting>
  <conditionalFormatting sqref="J93:U93">
    <cfRule type="cellIs" dxfId="102" priority="3" operator="equal">
      <formula>"Check"</formula>
    </cfRule>
    <cfRule type="cellIs" dxfId="101" priority="4" operator="equal">
      <formula>"Ok"</formula>
    </cfRule>
  </conditionalFormatting>
  <conditionalFormatting sqref="J104:U104">
    <cfRule type="expression" dxfId="100" priority="178">
      <formula>J$104=J$4</formula>
    </cfRule>
  </conditionalFormatting>
  <conditionalFormatting sqref="J105:U105">
    <cfRule type="cellIs" dxfId="99" priority="16" operator="equal">
      <formula>"Check"</formula>
    </cfRule>
    <cfRule type="cellIs" dxfId="98" priority="17" operator="equal">
      <formula>"Ok"</formula>
    </cfRule>
  </conditionalFormatting>
  <conditionalFormatting sqref="J113:U113">
    <cfRule type="expression" dxfId="97" priority="26">
      <formula>J$36=J$4</formula>
    </cfRule>
  </conditionalFormatting>
  <conditionalFormatting sqref="J117:U117">
    <cfRule type="cellIs" dxfId="96" priority="47" operator="equal">
      <formula>"Check"</formula>
    </cfRule>
    <cfRule type="cellIs" dxfId="95" priority="48" operator="equal">
      <formula>"Ok"</formula>
    </cfRule>
  </conditionalFormatting>
  <conditionalFormatting sqref="L86:M88 K89:M91">
    <cfRule type="expression" dxfId="94" priority="175">
      <formula>K$95=K$4</formula>
    </cfRule>
  </conditionalFormatting>
  <conditionalFormatting sqref="P40:T45 J41:U45">
    <cfRule type="expression" dxfId="93" priority="56">
      <formula>J$36=J$4</formula>
    </cfRule>
  </conditionalFormatting>
  <conditionalFormatting sqref="P115:T115">
    <cfRule type="expression" dxfId="92" priority="1">
      <formula>P$104=P$4</formula>
    </cfRule>
  </conditionalFormatting>
  <conditionalFormatting sqref="T1:U1">
    <cfRule type="cellIs" dxfId="91" priority="87" operator="equal">
      <formula>"Check"</formula>
    </cfRule>
    <cfRule type="cellIs" dxfId="90" priority="88" operator="equal">
      <formula>"Ok"</formula>
    </cfRule>
  </conditionalFormatting>
  <conditionalFormatting sqref="X1 X104:X109">
    <cfRule type="cellIs" dxfId="89" priority="123" operator="equal">
      <formula>"Check"</formula>
    </cfRule>
    <cfRule type="cellIs" dxfId="88" priority="124" operator="equal">
      <formula>"Ok"</formula>
    </cfRule>
  </conditionalFormatting>
  <conditionalFormatting sqref="X47">
    <cfRule type="cellIs" dxfId="87" priority="46" operator="equal">
      <formula>"Ok"</formula>
    </cfRule>
    <cfRule type="cellIs" dxfId="86" priority="45" operator="equal">
      <formula>"Check"</formula>
    </cfRule>
  </conditionalFormatting>
  <conditionalFormatting sqref="X60">
    <cfRule type="cellIs" dxfId="85" priority="75" operator="equal">
      <formula>"Check"</formula>
    </cfRule>
    <cfRule type="cellIs" dxfId="84" priority="76" operator="equal">
      <formula>"Ok"</formula>
    </cfRule>
  </conditionalFormatting>
  <conditionalFormatting sqref="X73">
    <cfRule type="cellIs" dxfId="83" priority="42" operator="equal">
      <formula>"Ok"</formula>
    </cfRule>
    <cfRule type="cellIs" dxfId="82" priority="41" operator="equal">
      <formula>"Check"</formula>
    </cfRule>
  </conditionalFormatting>
  <conditionalFormatting sqref="X93">
    <cfRule type="cellIs" dxfId="81" priority="5" operator="equal">
      <formula>"Check"</formula>
    </cfRule>
    <cfRule type="cellIs" dxfId="80" priority="6" operator="equal">
      <formula>"Ok"</formula>
    </cfRule>
  </conditionalFormatting>
  <conditionalFormatting sqref="X117">
    <cfRule type="cellIs" dxfId="79" priority="49" operator="equal">
      <formula>"Check"</formula>
    </cfRule>
    <cfRule type="cellIs" dxfId="78" priority="50" operator="equal">
      <formula>"Ok"</formula>
    </cfRule>
  </conditionalFormatting>
  <dataValidations count="2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>
      <selection activeCell="O31" sqref="O31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1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202" t="s">
        <v>24</v>
      </c>
      <c r="V1" s="29" t="str">
        <f>'Check|List'!$S$1</f>
        <v>Check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22"/>
      <c r="O3" s="222"/>
      <c r="P3" s="222"/>
      <c r="Q3" s="222"/>
      <c r="R3" s="222"/>
      <c r="S3" s="222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4" t="s">
        <v>22</v>
      </c>
      <c r="G4" s="145"/>
      <c r="H4" s="145"/>
      <c r="I4" s="145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180"/>
      <c r="W4" s="60"/>
    </row>
    <row r="5" spans="1:30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30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30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30" customFormat="1" ht="13">
      <c r="A8" s="32"/>
      <c r="B8" s="38" t="s">
        <v>49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119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30" ht="10.5" outlineLevel="1">
      <c r="A10" s="17"/>
      <c r="B10" s="17"/>
      <c r="C10" s="122" t="s">
        <v>74</v>
      </c>
      <c r="D10" s="121" t="s">
        <v>7</v>
      </c>
      <c r="E10" s="121" t="s">
        <v>8</v>
      </c>
      <c r="F10" s="121" t="s">
        <v>22</v>
      </c>
      <c r="G10" s="121"/>
      <c r="H10" s="121"/>
      <c r="I10" s="138"/>
      <c r="J10" s="138" t="str">
        <f t="shared" ref="J10:T10" si="0">IF(YEAR(J$4)&gt;=FPFirstYear,IF(YEAR(J$4)&lt;=FPLastYear,J$4,""),"")</f>
        <v/>
      </c>
      <c r="K10" s="138" t="str">
        <f t="shared" si="0"/>
        <v/>
      </c>
      <c r="L10" s="138" t="str">
        <f t="shared" si="0"/>
        <v/>
      </c>
      <c r="M10" s="138" t="str">
        <f t="shared" si="0"/>
        <v/>
      </c>
      <c r="N10" s="138" t="str">
        <f t="shared" si="0"/>
        <v/>
      </c>
      <c r="O10" s="138">
        <f t="shared" si="0"/>
        <v>46539</v>
      </c>
      <c r="P10" s="138">
        <f t="shared" si="0"/>
        <v>46905</v>
      </c>
      <c r="Q10" s="138">
        <f t="shared" si="0"/>
        <v>47270</v>
      </c>
      <c r="R10" s="138">
        <f t="shared" si="0"/>
        <v>47635</v>
      </c>
      <c r="S10" s="138" t="str">
        <f t="shared" si="0"/>
        <v/>
      </c>
      <c r="T10" s="138" t="str">
        <f t="shared" si="0"/>
        <v/>
      </c>
      <c r="U10" s="17"/>
      <c r="V10" s="17"/>
    </row>
    <row r="11" spans="1:30" outlineLevel="1">
      <c r="A11" s="17"/>
      <c r="B11" s="17"/>
      <c r="C11" s="17"/>
      <c r="D11" s="120"/>
      <c r="E11" s="120"/>
      <c r="F11" s="120"/>
      <c r="G11" s="121"/>
      <c r="H11" s="121"/>
      <c r="I11" s="1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30" ht="10.5" outlineLevel="1">
      <c r="A12" s="17"/>
      <c r="B12" s="17"/>
      <c r="C12" s="212" t="s">
        <v>235</v>
      </c>
      <c r="D12" s="120" t="s">
        <v>64</v>
      </c>
      <c r="E12" s="120" t="str">
        <f t="shared" ref="E12:E20" si="1">units</f>
        <v>$millions</v>
      </c>
      <c r="F12" s="139">
        <f t="shared" ref="F12:F20" si="2">DATE(PPLastYear,MONTH(month),1)</f>
        <v>46174</v>
      </c>
      <c r="G12" s="121"/>
      <c r="H12" s="121"/>
      <c r="I12" s="120"/>
      <c r="J12" s="158"/>
      <c r="K12" s="158"/>
      <c r="L12" s="158"/>
      <c r="M12" s="158"/>
      <c r="N12" s="158"/>
      <c r="O12" s="181">
        <v>1.0086120000000001</v>
      </c>
      <c r="P12" s="181">
        <v>1.0086120000000001</v>
      </c>
      <c r="Q12" s="181">
        <v>1.0086120000000001</v>
      </c>
      <c r="R12" s="181">
        <v>1.0086120000000001</v>
      </c>
      <c r="S12" s="181"/>
      <c r="T12" s="181"/>
      <c r="U12" s="17"/>
      <c r="V12" s="17"/>
      <c r="W12" s="81" t="str">
        <f>IF(ISBLANK(C12),IF(COUNT(J12:T12)=0,"Ok","Check"),IF(COUNT(J12:T12)=COUNT(J$10:T$10),"Ok","Check"))</f>
        <v>Ok</v>
      </c>
    </row>
    <row r="13" spans="1:30" ht="10.5" outlineLevel="1">
      <c r="A13" s="17"/>
      <c r="B13" s="17"/>
      <c r="C13" s="127"/>
      <c r="D13" s="120" t="s">
        <v>64</v>
      </c>
      <c r="E13" s="120" t="str">
        <f t="shared" si="1"/>
        <v>$millions</v>
      </c>
      <c r="F13" s="139">
        <f t="shared" si="2"/>
        <v>46174</v>
      </c>
      <c r="G13" s="121"/>
      <c r="H13" s="121"/>
      <c r="I13" s="120"/>
      <c r="J13" s="158"/>
      <c r="K13" s="158"/>
      <c r="L13" s="158"/>
      <c r="M13" s="158"/>
      <c r="N13" s="158"/>
      <c r="O13" s="181"/>
      <c r="P13" s="181"/>
      <c r="Q13" s="181"/>
      <c r="R13" s="181"/>
      <c r="S13" s="181"/>
      <c r="T13" s="181"/>
      <c r="U13" s="17"/>
      <c r="V13" s="17"/>
      <c r="W13" s="81" t="str">
        <f t="shared" ref="W13:W20" si="3">IF(ISBLANK(C13),IF(COUNT(J13:T13)=0,"Ok","Check"),IF(COUNT(J13:T13)=COUNT(J$10:T$10),"Ok","Check"))</f>
        <v>Ok</v>
      </c>
    </row>
    <row r="14" spans="1:30" ht="10.5" outlineLevel="1">
      <c r="A14" s="17"/>
      <c r="B14" s="17"/>
      <c r="C14" s="127"/>
      <c r="D14" s="120" t="s">
        <v>64</v>
      </c>
      <c r="E14" s="120" t="str">
        <f t="shared" si="1"/>
        <v>$millions</v>
      </c>
      <c r="F14" s="139">
        <f t="shared" si="2"/>
        <v>46174</v>
      </c>
      <c r="G14" s="121"/>
      <c r="H14" s="121"/>
      <c r="I14" s="120"/>
      <c r="J14" s="158"/>
      <c r="K14" s="158"/>
      <c r="L14" s="158"/>
      <c r="M14" s="158"/>
      <c r="N14" s="158"/>
      <c r="O14" s="181"/>
      <c r="P14" s="181"/>
      <c r="Q14" s="181"/>
      <c r="R14" s="181"/>
      <c r="S14" s="181"/>
      <c r="T14" s="181"/>
      <c r="U14" s="17"/>
      <c r="V14" s="17"/>
      <c r="W14" s="81" t="str">
        <f t="shared" si="3"/>
        <v>Ok</v>
      </c>
    </row>
    <row r="15" spans="1:30" ht="10.5" outlineLevel="1">
      <c r="A15" s="17"/>
      <c r="B15" s="17"/>
      <c r="C15" s="127"/>
      <c r="D15" s="120" t="s">
        <v>64</v>
      </c>
      <c r="E15" s="120" t="str">
        <f t="shared" si="1"/>
        <v>$millions</v>
      </c>
      <c r="F15" s="139">
        <f t="shared" si="2"/>
        <v>46174</v>
      </c>
      <c r="G15" s="121"/>
      <c r="H15" s="121"/>
      <c r="I15" s="120"/>
      <c r="J15" s="158"/>
      <c r="K15" s="158"/>
      <c r="L15" s="158"/>
      <c r="M15" s="158"/>
      <c r="N15" s="158"/>
      <c r="O15" s="181"/>
      <c r="P15" s="181"/>
      <c r="Q15" s="181"/>
      <c r="R15" s="181"/>
      <c r="S15" s="181"/>
      <c r="T15" s="181"/>
      <c r="U15" s="17"/>
      <c r="V15" s="17"/>
      <c r="W15" s="81" t="str">
        <f t="shared" si="3"/>
        <v>Ok</v>
      </c>
    </row>
    <row r="16" spans="1:30" ht="10.5" outlineLevel="1">
      <c r="A16" s="17"/>
      <c r="B16" s="17"/>
      <c r="C16" s="127"/>
      <c r="D16" s="120" t="s">
        <v>64</v>
      </c>
      <c r="E16" s="120" t="str">
        <f t="shared" si="1"/>
        <v>$millions</v>
      </c>
      <c r="F16" s="139">
        <f t="shared" si="2"/>
        <v>46174</v>
      </c>
      <c r="G16" s="121"/>
      <c r="H16" s="121"/>
      <c r="I16" s="120"/>
      <c r="J16" s="158"/>
      <c r="K16" s="158"/>
      <c r="L16" s="158"/>
      <c r="M16" s="158"/>
      <c r="N16" s="158"/>
      <c r="O16" s="181"/>
      <c r="P16" s="182"/>
      <c r="Q16" s="182"/>
      <c r="R16" s="182"/>
      <c r="S16" s="181"/>
      <c r="T16" s="181"/>
      <c r="U16" s="17"/>
      <c r="V16" s="17"/>
      <c r="W16" s="81" t="str">
        <f t="shared" si="3"/>
        <v>Ok</v>
      </c>
    </row>
    <row r="17" spans="1:30" ht="10.5" outlineLevel="1">
      <c r="A17" s="17"/>
      <c r="B17" s="17"/>
      <c r="C17" s="127"/>
      <c r="D17" s="120" t="s">
        <v>64</v>
      </c>
      <c r="E17" s="120" t="str">
        <f t="shared" si="1"/>
        <v>$millions</v>
      </c>
      <c r="F17" s="139">
        <f t="shared" si="2"/>
        <v>46174</v>
      </c>
      <c r="G17" s="121"/>
      <c r="H17" s="121"/>
      <c r="I17" s="120"/>
      <c r="J17" s="158"/>
      <c r="K17" s="158"/>
      <c r="L17" s="158"/>
      <c r="M17" s="158"/>
      <c r="N17" s="158"/>
      <c r="O17" s="181"/>
      <c r="P17" s="181"/>
      <c r="Q17" s="181"/>
      <c r="R17" s="181"/>
      <c r="S17" s="181"/>
      <c r="T17" s="181"/>
      <c r="U17" s="17"/>
      <c r="V17" s="17"/>
      <c r="W17" s="81" t="str">
        <f t="shared" si="3"/>
        <v>Ok</v>
      </c>
    </row>
    <row r="18" spans="1:30" ht="10.5" outlineLevel="1">
      <c r="A18" s="17"/>
      <c r="B18" s="17"/>
      <c r="C18" s="127"/>
      <c r="D18" s="120" t="s">
        <v>64</v>
      </c>
      <c r="E18" s="120" t="str">
        <f t="shared" si="1"/>
        <v>$millions</v>
      </c>
      <c r="F18" s="139">
        <f t="shared" si="2"/>
        <v>46174</v>
      </c>
      <c r="G18" s="121"/>
      <c r="H18" s="121"/>
      <c r="I18" s="120"/>
      <c r="J18" s="158"/>
      <c r="K18" s="158"/>
      <c r="L18" s="158"/>
      <c r="M18" s="158"/>
      <c r="N18" s="158"/>
      <c r="O18" s="181"/>
      <c r="P18" s="181"/>
      <c r="Q18" s="181"/>
      <c r="R18" s="181"/>
      <c r="S18" s="181"/>
      <c r="T18" s="181"/>
      <c r="U18" s="17"/>
      <c r="V18" s="17"/>
      <c r="W18" s="81" t="str">
        <f t="shared" si="3"/>
        <v>Ok</v>
      </c>
    </row>
    <row r="19" spans="1:30" ht="10.5" outlineLevel="1">
      <c r="A19" s="17"/>
      <c r="B19" s="17"/>
      <c r="C19" s="127"/>
      <c r="D19" s="120" t="s">
        <v>64</v>
      </c>
      <c r="E19" s="120" t="str">
        <f t="shared" si="1"/>
        <v>$millions</v>
      </c>
      <c r="F19" s="139">
        <f t="shared" si="2"/>
        <v>46174</v>
      </c>
      <c r="G19" s="121"/>
      <c r="H19" s="121"/>
      <c r="I19" s="120"/>
      <c r="J19" s="158"/>
      <c r="K19" s="158"/>
      <c r="L19" s="158"/>
      <c r="M19" s="158"/>
      <c r="N19" s="158"/>
      <c r="O19" s="181"/>
      <c r="P19" s="181"/>
      <c r="Q19" s="181"/>
      <c r="R19" s="181"/>
      <c r="S19" s="181"/>
      <c r="T19" s="181"/>
      <c r="U19" s="17"/>
      <c r="V19" s="17"/>
      <c r="W19" s="81" t="str">
        <f t="shared" si="3"/>
        <v>Ok</v>
      </c>
    </row>
    <row r="20" spans="1:30" ht="10.5" outlineLevel="1">
      <c r="A20" s="17"/>
      <c r="B20" s="17"/>
      <c r="C20" s="127"/>
      <c r="D20" s="120" t="s">
        <v>64</v>
      </c>
      <c r="E20" s="120" t="str">
        <f t="shared" si="1"/>
        <v>$millions</v>
      </c>
      <c r="F20" s="139">
        <f t="shared" si="2"/>
        <v>46174</v>
      </c>
      <c r="G20" s="121"/>
      <c r="H20" s="121"/>
      <c r="I20" s="120"/>
      <c r="J20" s="158"/>
      <c r="K20" s="158"/>
      <c r="L20" s="158"/>
      <c r="M20" s="158"/>
      <c r="N20" s="158"/>
      <c r="O20" s="181"/>
      <c r="P20" s="181"/>
      <c r="Q20" s="181"/>
      <c r="R20" s="181"/>
      <c r="S20" s="181"/>
      <c r="T20" s="181"/>
      <c r="U20" s="17"/>
      <c r="V20" s="17"/>
      <c r="W20" s="81" t="str">
        <f t="shared" si="3"/>
        <v>Ok</v>
      </c>
    </row>
    <row r="21" spans="1:30" outlineLevel="1">
      <c r="A21" s="17"/>
      <c r="B21" s="17"/>
      <c r="C21" s="17"/>
      <c r="D21" s="120"/>
      <c r="E21" s="120"/>
      <c r="F21" s="120"/>
      <c r="G21" s="121"/>
      <c r="H21" s="121"/>
      <c r="I21" s="1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0" ht="10.5" outlineLevel="1">
      <c r="A22" s="17"/>
      <c r="B22" s="17"/>
      <c r="C22" s="17" t="s">
        <v>40</v>
      </c>
      <c r="D22" s="120" t="s">
        <v>93</v>
      </c>
      <c r="E22" s="120" t="s">
        <v>28</v>
      </c>
      <c r="F22" s="120" t="s">
        <v>36</v>
      </c>
      <c r="G22" s="120"/>
      <c r="H22" s="120"/>
      <c r="I22" s="120"/>
      <c r="J22" s="165" t="str">
        <f t="shared" ref="J22:S22" si="4">IF(J10=J4,IF(COUNTA($C12:$C20)=COUNT(J12:J20),"Ok","Check"),"")</f>
        <v/>
      </c>
      <c r="K22" s="165" t="str">
        <f t="shared" si="4"/>
        <v/>
      </c>
      <c r="L22" s="165" t="str">
        <f t="shared" si="4"/>
        <v/>
      </c>
      <c r="M22" s="165" t="str">
        <f t="shared" si="4"/>
        <v/>
      </c>
      <c r="N22" s="165" t="str">
        <f t="shared" si="4"/>
        <v/>
      </c>
      <c r="O22" s="165" t="str">
        <f t="shared" si="4"/>
        <v>Ok</v>
      </c>
      <c r="P22" s="165" t="str">
        <f t="shared" si="4"/>
        <v>Ok</v>
      </c>
      <c r="Q22" s="165" t="str">
        <f t="shared" si="4"/>
        <v>Ok</v>
      </c>
      <c r="R22" s="165" t="str">
        <f t="shared" si="4"/>
        <v>Ok</v>
      </c>
      <c r="S22" s="165" t="str">
        <f t="shared" si="4"/>
        <v/>
      </c>
      <c r="T22" s="165" t="str">
        <f t="shared" ref="T22" si="5">IF(T10=T4,IF(COUNTA($C12:$C20)=COUNT(T12:T20),"Ok","Check"),"")</f>
        <v/>
      </c>
      <c r="U22" s="166"/>
      <c r="V22" s="17"/>
      <c r="W22" s="81" t="str">
        <f>IF(COUNTIF(J22:T22,"Check")=0,"Ok","Check")</f>
        <v>Ok</v>
      </c>
    </row>
    <row r="23" spans="1:30">
      <c r="A23" s="17"/>
      <c r="B23" s="17"/>
      <c r="C23" s="17"/>
      <c r="D23" s="120"/>
      <c r="E23" s="120"/>
      <c r="F23" s="120"/>
      <c r="G23" s="121"/>
      <c r="H23" s="121"/>
      <c r="I23" s="12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30" customFormat="1" ht="13">
      <c r="A24" s="32"/>
      <c r="B24" s="38" t="s">
        <v>106</v>
      </c>
      <c r="C24" s="32"/>
      <c r="D24" s="32"/>
      <c r="E24" s="32"/>
      <c r="F24" s="118"/>
      <c r="G24" s="118"/>
      <c r="H24" s="118"/>
      <c r="I24" s="118"/>
      <c r="J24" s="34"/>
      <c r="K24" s="119"/>
      <c r="L24" s="34"/>
      <c r="M24" s="119"/>
      <c r="N24" s="34"/>
      <c r="O24" s="34"/>
      <c r="P24" s="34"/>
      <c r="Q24" s="34"/>
      <c r="R24" s="34"/>
      <c r="S24" s="34"/>
      <c r="T24" s="34"/>
      <c r="U24" s="34"/>
      <c r="V24" s="119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7"/>
      <c r="B25" s="17"/>
      <c r="C25" s="17"/>
      <c r="D25" s="120"/>
      <c r="E25" s="120"/>
      <c r="F25" s="120"/>
      <c r="G25" s="121"/>
      <c r="H25" s="121"/>
      <c r="I25" s="1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0" ht="10.5" outlineLevel="1">
      <c r="A26" s="17"/>
      <c r="B26" s="17"/>
      <c r="C26" s="122" t="s">
        <v>102</v>
      </c>
      <c r="D26" s="121" t="s">
        <v>7</v>
      </c>
      <c r="E26" s="121" t="s">
        <v>8</v>
      </c>
      <c r="F26" s="121" t="s">
        <v>22</v>
      </c>
      <c r="G26" s="121"/>
      <c r="H26" s="121"/>
      <c r="I26" s="120"/>
      <c r="J26" s="138" t="str">
        <f t="shared" ref="J26:T26" si="6">IF(YEAR(J$4)&gt;=FPFirstYear,IF(YEAR(J$4)&lt;=FPLastYear,J$4,""),"")</f>
        <v/>
      </c>
      <c r="K26" s="138" t="str">
        <f t="shared" si="6"/>
        <v/>
      </c>
      <c r="L26" s="138" t="str">
        <f t="shared" si="6"/>
        <v/>
      </c>
      <c r="M26" s="138" t="str">
        <f t="shared" si="6"/>
        <v/>
      </c>
      <c r="N26" s="138" t="str">
        <f t="shared" si="6"/>
        <v/>
      </c>
      <c r="O26" s="138">
        <f t="shared" si="6"/>
        <v>46539</v>
      </c>
      <c r="P26" s="138">
        <f t="shared" si="6"/>
        <v>46905</v>
      </c>
      <c r="Q26" s="138">
        <f t="shared" si="6"/>
        <v>47270</v>
      </c>
      <c r="R26" s="138">
        <f t="shared" si="6"/>
        <v>47635</v>
      </c>
      <c r="S26" s="138" t="str">
        <f t="shared" si="6"/>
        <v/>
      </c>
      <c r="T26" s="138" t="str">
        <f t="shared" si="6"/>
        <v/>
      </c>
      <c r="U26" s="17"/>
      <c r="V26" s="17"/>
    </row>
    <row r="27" spans="1:30" outlineLevel="1">
      <c r="A27" s="17"/>
      <c r="B27" s="17"/>
      <c r="C27" s="17"/>
      <c r="D27" s="120"/>
      <c r="E27" s="120"/>
      <c r="F27" s="120"/>
      <c r="G27" s="121"/>
      <c r="H27" s="121"/>
      <c r="I27" s="1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0" ht="10.5" outlineLevel="1">
      <c r="A28" s="17"/>
      <c r="B28" s="17"/>
      <c r="C28" s="183" t="s">
        <v>223</v>
      </c>
      <c r="D28" s="120" t="s">
        <v>64</v>
      </c>
      <c r="E28" s="120" t="str">
        <f>units</f>
        <v>$millions</v>
      </c>
      <c r="F28" s="139">
        <f>DATE(PPLastYear,MONTH(month),1)</f>
        <v>46174</v>
      </c>
      <c r="G28" s="121"/>
      <c r="H28" s="121"/>
      <c r="I28" s="120"/>
      <c r="J28" s="158"/>
      <c r="K28" s="158"/>
      <c r="L28" s="158"/>
      <c r="M28" s="158"/>
      <c r="N28" s="181"/>
      <c r="O28" s="216">
        <v>8.9663945999999992</v>
      </c>
      <c r="P28" s="216">
        <v>9.3541629327000013</v>
      </c>
      <c r="Q28" s="216">
        <v>9.5715950359014013</v>
      </c>
      <c r="R28" s="216">
        <v>9.8013157192195095</v>
      </c>
      <c r="S28" s="214"/>
      <c r="T28" s="181"/>
      <c r="U28" s="17"/>
      <c r="V28" s="17"/>
      <c r="W28" s="81" t="str">
        <f>IF(ISBLANK(C28),IF(COUNT(J28:T28)=0,"Ok","Check"),IF(COUNT(J28:T28)=COUNT(J$10:T$10),"Ok","Check"))</f>
        <v>Ok</v>
      </c>
    </row>
    <row r="29" spans="1:30" ht="10.5" outlineLevel="1">
      <c r="A29" s="17"/>
      <c r="B29" s="17"/>
      <c r="C29" s="183" t="s">
        <v>232</v>
      </c>
      <c r="D29" s="120" t="s">
        <v>64</v>
      </c>
      <c r="E29" s="120" t="str">
        <f>units</f>
        <v>$millions</v>
      </c>
      <c r="F29" s="139">
        <f>DATE(PPLastYear,MONTH(month),1)</f>
        <v>46174</v>
      </c>
      <c r="G29" s="121"/>
      <c r="H29" s="121"/>
      <c r="I29" s="120"/>
      <c r="J29" s="158"/>
      <c r="K29" s="158"/>
      <c r="L29" s="158"/>
      <c r="M29" s="158"/>
      <c r="N29" s="181"/>
      <c r="O29" s="216">
        <v>2.7981908319436357</v>
      </c>
      <c r="P29" s="216">
        <v>2.8155251248845294</v>
      </c>
      <c r="Q29" s="216">
        <v>2.8384058208986116</v>
      </c>
      <c r="R29" s="216">
        <v>2.8645095298081604</v>
      </c>
      <c r="S29" s="214"/>
      <c r="T29" s="181"/>
      <c r="U29" s="17"/>
      <c r="V29" s="17"/>
      <c r="W29" s="81" t="str">
        <f>IF(ISBLANK(C29),IF(COUNT(J29:T29)=0,"Ok","Check"),IF(COUNT(J29:T29)=COUNT(J$10:T$10),"Ok","Check"))</f>
        <v>Ok</v>
      </c>
    </row>
    <row r="30" spans="1:30" ht="10.5" outlineLevel="1">
      <c r="A30" s="17"/>
      <c r="B30" s="17"/>
      <c r="C30" s="183" t="s">
        <v>233</v>
      </c>
      <c r="D30" s="120" t="s">
        <v>64</v>
      </c>
      <c r="E30" s="120" t="str">
        <f>units</f>
        <v>$millions</v>
      </c>
      <c r="F30" s="139">
        <f>DATE(PPLastYear,MONTH(month),1)</f>
        <v>46174</v>
      </c>
      <c r="G30" s="121"/>
      <c r="H30" s="121"/>
      <c r="I30" s="120"/>
      <c r="J30" s="158"/>
      <c r="K30" s="158"/>
      <c r="L30" s="158"/>
      <c r="M30" s="158"/>
      <c r="N30" s="181"/>
      <c r="O30" s="216">
        <v>1.0959993488303648</v>
      </c>
      <c r="P30" s="216">
        <v>0.76819224337037995</v>
      </c>
      <c r="Q30" s="216">
        <v>0.76819224337037995</v>
      </c>
      <c r="R30" s="216">
        <v>0.76819224337037995</v>
      </c>
      <c r="S30" s="214"/>
      <c r="T30" s="181"/>
      <c r="U30" s="17"/>
      <c r="V30" s="17"/>
      <c r="W30" s="81" t="str">
        <f>IF(ISBLANK(C30),IF(COUNT(J30:T30)=0,"Ok","Check"),IF(COUNT(J30:T30)=COUNT(J$10:T$10),"Ok","Check"))</f>
        <v>Ok</v>
      </c>
    </row>
    <row r="31" spans="1:30" ht="10.5" outlineLevel="1">
      <c r="A31" s="17"/>
      <c r="B31" s="17"/>
      <c r="C31" s="184" t="s">
        <v>234</v>
      </c>
      <c r="D31" s="120" t="s">
        <v>64</v>
      </c>
      <c r="E31" s="120" t="str">
        <f>units</f>
        <v>$millions</v>
      </c>
      <c r="F31" s="139">
        <f>DATE(PPLastYear,MONTH(month),1)</f>
        <v>46174</v>
      </c>
      <c r="G31" s="121"/>
      <c r="H31" s="121"/>
      <c r="I31" s="120"/>
      <c r="J31" s="158"/>
      <c r="K31" s="158"/>
      <c r="L31" s="158"/>
      <c r="M31" s="158"/>
      <c r="N31" s="181"/>
      <c r="O31" s="216">
        <v>2.2678204594369675</v>
      </c>
      <c r="P31" s="216">
        <v>2.1503660734925947</v>
      </c>
      <c r="Q31" s="216">
        <v>2.0834462131026954</v>
      </c>
      <c r="R31" s="216">
        <v>2.1123872166117339</v>
      </c>
      <c r="S31" s="214"/>
      <c r="T31" s="181"/>
      <c r="U31" s="17"/>
      <c r="V31" s="17"/>
      <c r="W31" s="81" t="str">
        <f>IF(ISBLANK(C31),IF(COUNT(J31:T31)=0,"Ok","Check"),IF(COUNT(J31:T31)=COUNT(J$10:T$10),"Ok","Check"))</f>
        <v>Ok</v>
      </c>
    </row>
    <row r="32" spans="1:30" ht="10.5" outlineLevel="1">
      <c r="A32" s="17"/>
      <c r="B32" s="17"/>
      <c r="C32" s="127"/>
      <c r="D32" s="120" t="s">
        <v>64</v>
      </c>
      <c r="E32" s="120" t="str">
        <f>units</f>
        <v>$millions</v>
      </c>
      <c r="F32" s="139">
        <f>DATE(PPLastYear,MONTH(month),1)</f>
        <v>46174</v>
      </c>
      <c r="G32" s="121"/>
      <c r="H32" s="121"/>
      <c r="I32" s="120"/>
      <c r="J32" s="158"/>
      <c r="K32" s="158"/>
      <c r="L32" s="158"/>
      <c r="M32" s="158"/>
      <c r="N32" s="181"/>
      <c r="O32" s="181"/>
      <c r="P32" s="214"/>
      <c r="Q32" s="214"/>
      <c r="R32" s="214"/>
      <c r="S32" s="214"/>
      <c r="T32" s="181"/>
      <c r="U32" s="17"/>
      <c r="V32" s="17"/>
      <c r="W32" s="81" t="str">
        <f>IF(ISBLANK(C32),IF(COUNT(J32:T32)=0,"Ok","Check"),IF(COUNT(J32:T32)=COUNT(J$10:T$10),"Ok","Check"))</f>
        <v>Ok</v>
      </c>
    </row>
    <row r="33" spans="1:30" outlineLevel="1">
      <c r="A33" s="17"/>
      <c r="B33" s="17"/>
      <c r="C33" s="17"/>
      <c r="D33" s="120"/>
      <c r="E33" s="120"/>
      <c r="F33" s="120"/>
      <c r="G33" s="121"/>
      <c r="H33" s="121"/>
      <c r="I33" s="12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30" ht="10.5" outlineLevel="1">
      <c r="A34" s="17"/>
      <c r="B34" s="17"/>
      <c r="C34" s="17" t="s">
        <v>40</v>
      </c>
      <c r="D34" s="120" t="s">
        <v>93</v>
      </c>
      <c r="E34" s="120" t="s">
        <v>28</v>
      </c>
      <c r="F34" s="120" t="s">
        <v>36</v>
      </c>
      <c r="G34" s="120"/>
      <c r="H34" s="120"/>
      <c r="I34" s="120"/>
      <c r="J34" s="165" t="str">
        <f t="shared" ref="J34:T34" si="7">IF(J26=J4,IF(COUNTA($C28:$C32)=COUNT(J28:J32),"Ok","Check"),"")</f>
        <v/>
      </c>
      <c r="K34" s="165" t="str">
        <f t="shared" si="7"/>
        <v/>
      </c>
      <c r="L34" s="165" t="str">
        <f t="shared" si="7"/>
        <v/>
      </c>
      <c r="M34" s="165" t="str">
        <f t="shared" si="7"/>
        <v/>
      </c>
      <c r="N34" s="165" t="str">
        <f t="shared" si="7"/>
        <v/>
      </c>
      <c r="O34" s="165" t="str">
        <f t="shared" si="7"/>
        <v>Ok</v>
      </c>
      <c r="P34" s="165" t="str">
        <f t="shared" si="7"/>
        <v>Ok</v>
      </c>
      <c r="Q34" s="165" t="str">
        <f t="shared" si="7"/>
        <v>Ok</v>
      </c>
      <c r="R34" s="165" t="str">
        <f t="shared" si="7"/>
        <v>Ok</v>
      </c>
      <c r="S34" s="165" t="str">
        <f t="shared" si="7"/>
        <v/>
      </c>
      <c r="T34" s="165" t="str">
        <f t="shared" si="7"/>
        <v/>
      </c>
      <c r="U34" s="166"/>
      <c r="V34" s="17"/>
      <c r="W34" s="81" t="str">
        <f>IF(COUNTIF(J34:T34,"Check")=0,"Ok","Check")</f>
        <v>Ok</v>
      </c>
    </row>
    <row r="35" spans="1:30">
      <c r="A35" s="17"/>
      <c r="B35" s="17"/>
      <c r="C35" s="17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30" customFormat="1" ht="13">
      <c r="A36" s="32"/>
      <c r="B36" s="38" t="s">
        <v>44</v>
      </c>
      <c r="C36" s="32"/>
      <c r="D36" s="32"/>
      <c r="E36" s="32"/>
      <c r="F36" s="118"/>
      <c r="G36" s="118"/>
      <c r="H36" s="118"/>
      <c r="I36" s="118"/>
      <c r="J36" s="34"/>
      <c r="K36" s="119"/>
      <c r="L36" s="34"/>
      <c r="M36" s="119"/>
      <c r="N36" s="34"/>
      <c r="O36" s="34"/>
      <c r="P36" s="34"/>
      <c r="Q36" s="34"/>
      <c r="R36" s="34"/>
      <c r="S36" s="34"/>
      <c r="T36" s="34"/>
      <c r="U36" s="34"/>
      <c r="V36" s="119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7"/>
      <c r="B37" s="17"/>
      <c r="C37" s="17"/>
      <c r="D37" s="120"/>
      <c r="E37" s="120"/>
      <c r="F37" s="120"/>
      <c r="G37" s="121"/>
      <c r="H37" s="121"/>
      <c r="I37" s="12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30" ht="10.5" outlineLevel="1">
      <c r="A38" s="17"/>
      <c r="B38" s="17"/>
      <c r="C38" s="122" t="s">
        <v>32</v>
      </c>
      <c r="D38" s="121" t="s">
        <v>7</v>
      </c>
      <c r="E38" s="121" t="s">
        <v>8</v>
      </c>
      <c r="F38" s="121" t="s">
        <v>22</v>
      </c>
      <c r="G38" s="121"/>
      <c r="H38" s="121"/>
      <c r="I38" s="120"/>
      <c r="J38" s="138" t="str">
        <f t="shared" ref="J38:T38" si="8">IF(YEAR(J$4)&gt;=FPFirstYear,IF(YEAR(J$4)&lt;=FPLastYear,J$4,""),"")</f>
        <v/>
      </c>
      <c r="K38" s="138" t="str">
        <f t="shared" si="8"/>
        <v/>
      </c>
      <c r="L38" s="138" t="str">
        <f t="shared" si="8"/>
        <v/>
      </c>
      <c r="M38" s="138" t="str">
        <f t="shared" si="8"/>
        <v/>
      </c>
      <c r="N38" s="138" t="str">
        <f t="shared" si="8"/>
        <v/>
      </c>
      <c r="O38" s="138">
        <f t="shared" si="8"/>
        <v>46539</v>
      </c>
      <c r="P38" s="138">
        <f t="shared" si="8"/>
        <v>46905</v>
      </c>
      <c r="Q38" s="138">
        <f t="shared" si="8"/>
        <v>47270</v>
      </c>
      <c r="R38" s="138">
        <f t="shared" si="8"/>
        <v>47635</v>
      </c>
      <c r="S38" s="138" t="str">
        <f t="shared" si="8"/>
        <v/>
      </c>
      <c r="T38" s="138" t="str">
        <f t="shared" si="8"/>
        <v/>
      </c>
      <c r="U38" s="17"/>
      <c r="V38" s="17"/>
    </row>
    <row r="39" spans="1:30" outlineLevel="1">
      <c r="A39" s="17"/>
      <c r="B39" s="17"/>
      <c r="C39" s="17"/>
      <c r="D39" s="120"/>
      <c r="E39" s="120"/>
      <c r="F39" s="120"/>
      <c r="G39" s="121"/>
      <c r="H39" s="121"/>
      <c r="I39" s="12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30" outlineLevel="1">
      <c r="A40" s="17"/>
      <c r="B40" s="17"/>
      <c r="C40" s="125" t="s">
        <v>39</v>
      </c>
      <c r="D40" s="120" t="s">
        <v>67</v>
      </c>
      <c r="E40" s="120" t="s">
        <v>15</v>
      </c>
      <c r="F40" s="139">
        <f>DATE(PPLastYear,MONTH(month),1)</f>
        <v>46174</v>
      </c>
      <c r="G40" s="121"/>
      <c r="H40" s="121"/>
      <c r="I40" s="121"/>
      <c r="J40" s="181"/>
      <c r="K40" s="181"/>
      <c r="L40" s="181"/>
      <c r="M40" s="181"/>
      <c r="N40" s="181"/>
      <c r="O40" s="181">
        <v>0.44062207537039444</v>
      </c>
      <c r="P40" s="181">
        <v>0.4314275811084064</v>
      </c>
      <c r="Q40" s="181">
        <v>0.42437444089229664</v>
      </c>
      <c r="R40" s="181">
        <v>0.41803398819833854</v>
      </c>
      <c r="S40" s="181"/>
      <c r="T40" s="181"/>
      <c r="U40" s="17"/>
      <c r="V40" s="17"/>
    </row>
    <row r="41" spans="1:30" outlineLevel="1">
      <c r="A41" s="17"/>
      <c r="B41" s="17"/>
      <c r="C41" s="17"/>
      <c r="D41" s="120"/>
      <c r="E41" s="120"/>
      <c r="F41" s="120"/>
      <c r="G41" s="121"/>
      <c r="H41" s="121"/>
      <c r="I41" s="12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30" ht="10.5" outlineLevel="1">
      <c r="A42" s="17"/>
      <c r="B42" s="17"/>
      <c r="C42" s="17" t="s">
        <v>40</v>
      </c>
      <c r="D42" s="120" t="s">
        <v>93</v>
      </c>
      <c r="E42" s="120" t="s">
        <v>28</v>
      </c>
      <c r="F42" s="120" t="s">
        <v>36</v>
      </c>
      <c r="G42" s="120"/>
      <c r="H42" s="120"/>
      <c r="I42" s="120"/>
      <c r="J42" s="165" t="str">
        <f t="shared" ref="J42:T42" si="9">IF(J38=J4,IF(ISBLANK(J40),"Check","Ok"),"")</f>
        <v/>
      </c>
      <c r="K42" s="165" t="str">
        <f t="shared" si="9"/>
        <v/>
      </c>
      <c r="L42" s="165" t="str">
        <f t="shared" si="9"/>
        <v/>
      </c>
      <c r="M42" s="165" t="str">
        <f t="shared" si="9"/>
        <v/>
      </c>
      <c r="N42" s="165" t="str">
        <f t="shared" si="9"/>
        <v/>
      </c>
      <c r="O42" s="165" t="str">
        <f t="shared" si="9"/>
        <v>Ok</v>
      </c>
      <c r="P42" s="165" t="str">
        <f t="shared" si="9"/>
        <v>Ok</v>
      </c>
      <c r="Q42" s="165" t="str">
        <f t="shared" si="9"/>
        <v>Ok</v>
      </c>
      <c r="R42" s="165" t="str">
        <f t="shared" si="9"/>
        <v>Ok</v>
      </c>
      <c r="S42" s="165" t="str">
        <f t="shared" si="9"/>
        <v/>
      </c>
      <c r="T42" s="165" t="str">
        <f t="shared" si="9"/>
        <v/>
      </c>
      <c r="U42" s="166"/>
      <c r="V42" s="17"/>
      <c r="W42" s="81" t="str">
        <f>IF(COUNTIF(J42:T42,"Check")=0,"Ok","Check")</f>
        <v>Ok</v>
      </c>
    </row>
    <row r="43" spans="1:30">
      <c r="A43" s="17"/>
      <c r="B43" s="17"/>
      <c r="C43" s="17"/>
      <c r="D43" s="120"/>
      <c r="E43" s="120"/>
      <c r="F43" s="120"/>
      <c r="G43" s="121"/>
      <c r="H43" s="121"/>
      <c r="I43" s="12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30" customFormat="1" ht="13">
      <c r="A44" s="32"/>
      <c r="B44" s="38" t="s">
        <v>21</v>
      </c>
      <c r="C44" s="32"/>
      <c r="D44" s="32"/>
      <c r="E44" s="32"/>
      <c r="F44" s="118"/>
      <c r="G44" s="118"/>
      <c r="H44" s="118"/>
      <c r="I44" s="118"/>
      <c r="J44" s="34"/>
      <c r="K44" s="119"/>
      <c r="L44" s="34"/>
      <c r="M44" s="119"/>
      <c r="N44" s="34"/>
      <c r="O44" s="34"/>
      <c r="P44" s="34"/>
      <c r="Q44" s="34"/>
      <c r="R44" s="34"/>
      <c r="S44" s="34"/>
      <c r="T44" s="34"/>
      <c r="U44" s="34"/>
      <c r="V44" s="119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J28:M32 O32">
    <cfRule type="expression" dxfId="77" priority="27">
      <formula>J$26=J$4</formula>
    </cfRule>
  </conditionalFormatting>
  <conditionalFormatting sqref="J10:T10">
    <cfRule type="expression" dxfId="76" priority="39">
      <formula>J$10=J$4</formula>
    </cfRule>
  </conditionalFormatting>
  <conditionalFormatting sqref="J12:T20">
    <cfRule type="expression" dxfId="75" priority="15">
      <formula>J$10=J$4</formula>
    </cfRule>
  </conditionalFormatting>
  <conditionalFormatting sqref="J22:T22">
    <cfRule type="cellIs" dxfId="74" priority="32" operator="equal">
      <formula>"Check"</formula>
    </cfRule>
    <cfRule type="cellIs" dxfId="73" priority="33" operator="equal">
      <formula>"Ok"</formula>
    </cfRule>
  </conditionalFormatting>
  <conditionalFormatting sqref="J26:T26">
    <cfRule type="expression" dxfId="72" priority="17">
      <formula>J$10=J$4</formula>
    </cfRule>
  </conditionalFormatting>
  <conditionalFormatting sqref="J34:T34">
    <cfRule type="cellIs" dxfId="71" priority="28" operator="equal">
      <formula>"Check"</formula>
    </cfRule>
    <cfRule type="cellIs" dxfId="70" priority="29" operator="equal">
      <formula>"Ok"</formula>
    </cfRule>
  </conditionalFormatting>
  <conditionalFormatting sqref="J38:T38">
    <cfRule type="expression" dxfId="69" priority="16">
      <formula>J$10=J$4</formula>
    </cfRule>
  </conditionalFormatting>
  <conditionalFormatting sqref="J40:T40">
    <cfRule type="expression" dxfId="68" priority="18">
      <formula>J$38=J$4</formula>
    </cfRule>
  </conditionalFormatting>
  <conditionalFormatting sqref="J42:T42">
    <cfRule type="cellIs" dxfId="67" priority="23" operator="equal">
      <formula>"Check"</formula>
    </cfRule>
    <cfRule type="cellIs" dxfId="66" priority="24" operator="equal">
      <formula>"Ok"</formula>
    </cfRule>
  </conditionalFormatting>
  <conditionalFormatting sqref="N28:N32">
    <cfRule type="expression" dxfId="65" priority="21">
      <formula>N$10=N$4</formula>
    </cfRule>
  </conditionalFormatting>
  <conditionalFormatting sqref="O28:S30 P32:S32">
    <cfRule type="expression" dxfId="64" priority="1">
      <formula>O$10=O$4</formula>
    </cfRule>
  </conditionalFormatting>
  <conditionalFormatting sqref="O31:S31">
    <cfRule type="expression" dxfId="63" priority="2">
      <formula>O$26=O$4</formula>
    </cfRule>
  </conditionalFormatting>
  <conditionalFormatting sqref="S1">
    <cfRule type="cellIs" dxfId="62" priority="41" operator="equal">
      <formula>"Check"</formula>
    </cfRule>
    <cfRule type="cellIs" dxfId="61" priority="42" operator="equal">
      <formula>"Ok"</formula>
    </cfRule>
  </conditionalFormatting>
  <conditionalFormatting sqref="T28:T32">
    <cfRule type="expression" dxfId="60" priority="22">
      <formula>T$10=T$4</formula>
    </cfRule>
  </conditionalFormatting>
  <conditionalFormatting sqref="V1">
    <cfRule type="cellIs" dxfId="59" priority="43" operator="equal">
      <formula>"Check"</formula>
    </cfRule>
    <cfRule type="cellIs" dxfId="58" priority="44" operator="equal">
      <formula>"Ok"</formula>
    </cfRule>
  </conditionalFormatting>
  <conditionalFormatting sqref="W12:W20">
    <cfRule type="cellIs" dxfId="57" priority="13" operator="equal">
      <formula>"Check"</formula>
    </cfRule>
    <cfRule type="cellIs" dxfId="56" priority="14" operator="equal">
      <formula>"Ok"</formula>
    </cfRule>
  </conditionalFormatting>
  <conditionalFormatting sqref="W22">
    <cfRule type="cellIs" dxfId="55" priority="34" operator="equal">
      <formula>"Check"</formula>
    </cfRule>
    <cfRule type="cellIs" dxfId="54" priority="35" operator="equal">
      <formula>"Ok"</formula>
    </cfRule>
  </conditionalFormatting>
  <conditionalFormatting sqref="W28:W32">
    <cfRule type="cellIs" dxfId="53" priority="3" operator="equal">
      <formula>"Check"</formula>
    </cfRule>
    <cfRule type="cellIs" dxfId="52" priority="4" operator="equal">
      <formula>"Ok"</formula>
    </cfRule>
  </conditionalFormatting>
  <conditionalFormatting sqref="W34">
    <cfRule type="cellIs" dxfId="51" priority="30" operator="equal">
      <formula>"Check"</formula>
    </cfRule>
    <cfRule type="cellIs" dxfId="50" priority="31" operator="equal">
      <formula>"Ok"</formula>
    </cfRule>
  </conditionalFormatting>
  <conditionalFormatting sqref="W42">
    <cfRule type="cellIs" dxfId="49" priority="25" operator="equal">
      <formula>"Check"</formula>
    </cfRule>
    <cfRule type="cellIs" dxfId="48" priority="26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zoomScaleNormal="100" workbookViewId="0">
      <selection activeCell="Q81" sqref="Q81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44140625" style="16" customWidth="1"/>
    <col min="10" max="24" width="10.664062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1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2" t="s">
        <v>24</v>
      </c>
      <c r="W1" s="29" t="str">
        <f>'Check|List'!$S$1</f>
        <v>Check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2"/>
      <c r="O3" s="222"/>
      <c r="P3" s="222"/>
      <c r="Q3" s="222"/>
      <c r="R3" s="222"/>
      <c r="S3" s="222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44713</v>
      </c>
      <c r="K10" s="99">
        <f t="shared" si="0"/>
        <v>45078</v>
      </c>
      <c r="L10" s="99">
        <f t="shared" si="0"/>
        <v>45444</v>
      </c>
      <c r="M10" s="99">
        <f t="shared" si="0"/>
        <v>45809</v>
      </c>
      <c r="N10" s="99">
        <f t="shared" si="0"/>
        <v>46174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19.769639773915927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0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46174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23.574368472908702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218</v>
      </c>
      <c r="D14" s="65" t="s">
        <v>87</v>
      </c>
      <c r="E14" s="16" t="str">
        <f>'Input|Reported opex'!E15</f>
        <v>$millions</v>
      </c>
      <c r="F14" s="98">
        <f>'Input|Reported opex'!F15</f>
        <v>44348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0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218</v>
      </c>
      <c r="D15" s="16" t="s">
        <v>30</v>
      </c>
      <c r="E15" s="16" t="str">
        <f>$E$8</f>
        <v>$millions</v>
      </c>
      <c r="F15" s="98">
        <f>$F$8</f>
        <v>46174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219</v>
      </c>
      <c r="D16" s="65" t="s">
        <v>87</v>
      </c>
      <c r="E16" s="16" t="str">
        <f>'Input|Reported opex'!E15</f>
        <v>$millions</v>
      </c>
      <c r="F16" s="98">
        <f>'Input|Reported opex'!F15</f>
        <v>44348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0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219</v>
      </c>
      <c r="D17" s="16" t="s">
        <v>30</v>
      </c>
      <c r="E17" s="16" t="str">
        <f>$E$8</f>
        <v>$millions</v>
      </c>
      <c r="F17" s="98">
        <f>$F$8</f>
        <v>46174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11.25839845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46174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13.425112268626453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220</v>
      </c>
      <c r="D21" s="65" t="s">
        <v>87</v>
      </c>
      <c r="E21" s="16" t="str">
        <f>'Input|Reported opex'!E22</f>
        <v>$millions</v>
      </c>
      <c r="F21" s="98">
        <f>'Input|Reported opex'!F29</f>
        <v>44348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0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220</v>
      </c>
      <c r="D22" s="16" t="s">
        <v>30</v>
      </c>
      <c r="E22" s="16" t="str">
        <f>$E$8</f>
        <v>$millions</v>
      </c>
      <c r="F22" s="98">
        <f>$F$8</f>
        <v>46174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221</v>
      </c>
      <c r="D23" s="65" t="s">
        <v>87</v>
      </c>
      <c r="E23" s="16" t="str">
        <f>'Input|Reported opex'!E22</f>
        <v>$millions</v>
      </c>
      <c r="F23" s="98">
        <f>'Input|Reported opex'!F29</f>
        <v>44348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0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221</v>
      </c>
      <c r="D24" s="16" t="s">
        <v>30</v>
      </c>
      <c r="E24" s="16" t="str">
        <f>$E$8</f>
        <v>$millions</v>
      </c>
      <c r="F24" s="98">
        <f>$F$8</f>
        <v>46174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46174</v>
      </c>
      <c r="J26" s="70">
        <f ca="1">J13</f>
        <v>23.574368472908702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0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46174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46174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46174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46174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23.574368472908702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46174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-13.425112268626453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>
        <f>'Input|Reported opex'!$C$63</f>
        <v>0</v>
      </c>
      <c r="D37" s="65" t="s">
        <v>87</v>
      </c>
      <c r="E37" s="16" t="str">
        <f>'Input|Reported opex'!E63</f>
        <v>$millions</v>
      </c>
      <c r="F37" s="98">
        <f>'Input|Reported opex'!F63</f>
        <v>46174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0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>
        <f>C37</f>
        <v>0</v>
      </c>
      <c r="D38" s="16" t="s">
        <v>30</v>
      </c>
      <c r="E38" s="16" t="str">
        <f>$E$8</f>
        <v>$millions</v>
      </c>
      <c r="F38" s="98">
        <f>$F$8</f>
        <v>46174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46174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46174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46174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46174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46174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46174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46174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46174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46174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46174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10.149256204282249</v>
      </c>
      <c r="O54" s="70"/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  <c r="N55" s="218">
        <f ca="1">N54</f>
        <v>10.149256204282249</v>
      </c>
      <c r="O55" s="218"/>
      <c r="P55" s="218"/>
      <c r="Q55" s="218"/>
      <c r="R55" s="218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219"/>
      <c r="L57" s="219"/>
      <c r="M57" s="219"/>
      <c r="N57" s="219"/>
      <c r="O57" s="219"/>
      <c r="P57" s="219"/>
      <c r="Q57" s="219"/>
      <c r="R57" s="219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46539</v>
      </c>
      <c r="P58" s="99">
        <f>IF(YEAR(P$4)&gt;='Input|General'!$G$13,IF(YEAR(P$4)&lt;='Input|General'!$G$14,P$4,""),"")</f>
        <v>46905</v>
      </c>
      <c r="Q58" s="99">
        <f>IF(YEAR(Q$4)&gt;='Input|General'!$G$13,IF(YEAR(Q$4)&lt;='Input|General'!$G$14,Q$4,""),"")</f>
        <v>47270</v>
      </c>
      <c r="R58" s="99">
        <f>IF(YEAR(R$4)&gt;='Input|General'!$G$13,IF(YEAR(R$4)&lt;='Input|General'!$G$14,R$4,""),"")</f>
        <v>47635</v>
      </c>
      <c r="S58" s="99" t="str">
        <f>IF(YEAR(S$4)&gt;='Input|General'!$G$13,IF(YEAR(S$4)&lt;='Input|General'!$G$14,S$4,""),"")</f>
        <v/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164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0</v>
      </c>
      <c r="P61" s="72">
        <f ca="1">IF(P58=P4,AVERAGE(OFFSET('Input|Rate of change'!Q106,0,0,COUNTA('Input|Rate of change'!$J$95:$M$95),1)),0)</f>
        <v>0</v>
      </c>
      <c r="Q61" s="72">
        <f ca="1">IF(Q58=Q4,AVERAGE(OFFSET('Input|Rate of change'!R106,0,0,COUNTA('Input|Rate of change'!$J$95:$M$95),1)),0)</f>
        <v>0</v>
      </c>
      <c r="R61" s="72">
        <f ca="1">IF(R58=R4,AVERAGE(OFFSET('Input|Rate of change'!S106,0,0,COUNTA('Input|Rate of change'!$J$95:$M$95),1)),0)</f>
        <v>0</v>
      </c>
      <c r="S61" s="72">
        <f ca="1">IF(S58=S4,AVERAGE(OFFSET('Input|Rate of change'!T106,0,0,COUNTA('Input|Rate of change'!$J$95:$M$95),1)),0)</f>
        <v>0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167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0</v>
      </c>
      <c r="P62" s="72">
        <f t="array" aca="1" ref="P62" ca="1">IF(P$58=P$4,PRODUCT(1+$J61:P61)-1,0)</f>
        <v>0</v>
      </c>
      <c r="Q62" s="72">
        <f t="array" aca="1" ref="Q62" ca="1">IF(Q$58=Q$4,PRODUCT(1+$J61:Q61)-1,0)</f>
        <v>0</v>
      </c>
      <c r="R62" s="72">
        <f t="array" aca="1" ref="R62" ca="1">IF(R$58=R$4,PRODUCT(1+$J61:R61)-1,0)</f>
        <v>0</v>
      </c>
      <c r="S62" s="72">
        <f t="array" ref="S62">IF(S$58=S$4,PRODUCT(1+$J61:S61)-1,0)</f>
        <v>0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165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6.5054222174453996E-3</v>
      </c>
      <c r="P64" s="72">
        <f>SUMPRODUCT('Input|Rate of change'!Q38:Q45,'Input|Rate of change'!Q51:Q58)</f>
        <v>6.0696138453885358E-3</v>
      </c>
      <c r="Q64" s="72">
        <f>SUMPRODUCT('Input|Rate of change'!R38:R45,'Input|Rate of change'!R51:R58)</f>
        <v>7.2054783817960145E-3</v>
      </c>
      <c r="R64" s="72">
        <f>SUMPRODUCT('Input|Rate of change'!S38:S45,'Input|Rate of change'!S51:S58)</f>
        <v>8.6502886945735991E-3</v>
      </c>
      <c r="S64" s="72">
        <f>SUMPRODUCT('Input|Rate of change'!T38:T45,'Input|Rate of change'!T51:T58)</f>
        <v>0</v>
      </c>
      <c r="T64" s="72">
        <f>SUMPRODUCT('Input|Rate of change'!U38:U45,'Input|Rate of change'!U51:U58)</f>
        <v>0</v>
      </c>
    </row>
    <row r="65" spans="1:31" outlineLevel="1">
      <c r="C65" s="15" t="s">
        <v>168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6.5054222174454335E-3</v>
      </c>
      <c r="P65" s="72">
        <f t="array" ref="P65">IF(P$58=P$4,PRODUCT(1+$J64:P64)-1,0)</f>
        <v>1.2614521463595096E-2</v>
      </c>
      <c r="Q65" s="72">
        <f t="array" ref="Q65">IF(Q$58=Q$4,PRODUCT(1+$J64:Q64)-1,0)</f>
        <v>1.9910893507093741E-2</v>
      </c>
      <c r="R65" s="72">
        <f t="array" ref="R65">IF(R$58=R$4,PRODUCT(1+$J64:R64)-1,0)</f>
        <v>2.8733417178670617E-2</v>
      </c>
      <c r="S65" s="72">
        <f t="array" ref="S65">IF(S$58=S$4,PRODUCT(1+$J64:S64)-1,0)</f>
        <v>0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166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change'!P114</f>
        <v>0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0</v>
      </c>
      <c r="T67" s="72">
        <f>'Input|Rate of change'!U115</f>
        <v>0</v>
      </c>
    </row>
    <row r="68" spans="1:31" outlineLevel="1">
      <c r="C68" s="15" t="s">
        <v>169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0</v>
      </c>
      <c r="P68" s="72">
        <f t="array" ref="P68">IF(P$58=P$4,PRODUCT(1+$J67:P67)-1,0)</f>
        <v>4.9999999999998934E-3</v>
      </c>
      <c r="Q68" s="72">
        <f t="array" ref="Q68">IF(Q$58=Q$4,PRODUCT(1+$J67:Q67)-1,0)</f>
        <v>1.0024999999999729E-2</v>
      </c>
      <c r="R68" s="72">
        <f t="array" ref="R68">IF(R$58=R$4,PRODUCT(1+$J67:R67)-1,0)</f>
        <v>1.5075124999999634E-2</v>
      </c>
      <c r="S68" s="72">
        <f t="array" ref="S68">IF(S$58=S$4,PRODUCT(1+$J67:S67)-1,0)</f>
        <v>0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6.5054222174454335E-3</v>
      </c>
      <c r="P70" s="88">
        <f t="shared" ca="1" si="6"/>
        <v>1.0392657761617574E-3</v>
      </c>
      <c r="Q70" s="88">
        <f t="shared" ca="1" si="6"/>
        <v>2.1694509898870784E-3</v>
      </c>
      <c r="R70" s="88">
        <f t="shared" ca="1" si="6"/>
        <v>3.6070372511007864E-3</v>
      </c>
      <c r="S70" s="88">
        <f t="shared" ca="1" si="6"/>
        <v>0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6.5054222174454335E-3</v>
      </c>
      <c r="P71" s="72">
        <f t="array" aca="1" ref="P71" ca="1">IF(P$58=P$4,PRODUCT(1+$J70:P70)-1,"")</f>
        <v>7.551448856277343E-3</v>
      </c>
      <c r="Q71" s="72">
        <f t="array" aca="1" ref="Q71" ca="1">IF(Q$58=Q$4,PRODUCT(1+$J70:Q70)-1,"")</f>
        <v>9.7372823443606649E-3</v>
      </c>
      <c r="R71" s="72">
        <f t="array" aca="1" ref="R71" ca="1">IF(R$58=R$4,PRODUCT(1+$J70:R70)-1,"")</f>
        <v>1.3379442335601954E-2</v>
      </c>
      <c r="S71" s="72" t="str">
        <f t="array" ref="S71">IF(S$58=S$4,PRODUCT(1+$J70:S70)-1,"")</f>
        <v/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46539</v>
      </c>
      <c r="P75" s="99">
        <f>IF(YEAR(P$4)&gt;='Input|General'!$G$13,IF(YEAR(P$4)&lt;='Input|General'!$G$14,P$4,""),"")</f>
        <v>46905</v>
      </c>
      <c r="Q75" s="99">
        <f>IF(YEAR(Q$4)&gt;='Input|General'!$G$13,IF(YEAR(Q$4)&lt;='Input|General'!$G$14,Q$4,""),"")</f>
        <v>47270</v>
      </c>
      <c r="R75" s="99">
        <f>IF(YEAR(R$4)&gt;='Input|General'!$G$13,IF(YEAR(R$4)&lt;='Input|General'!$G$14,R$4,""),"")</f>
        <v>47635</v>
      </c>
      <c r="S75" s="99" t="str">
        <f>IF(YEAR(S$4)&gt;='Input|General'!$G$13,IF(YEAR(S$4)&lt;='Input|General'!$G$14,S$4,""),"")</f>
        <v/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FCSPS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46174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1.0086120000000001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1.0086120000000001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1.0086120000000001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1.0086120000000001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30</v>
      </c>
      <c r="E78" s="16" t="str">
        <f t="shared" si="8"/>
        <v>$millions</v>
      </c>
      <c r="F78" s="98">
        <f t="shared" si="9"/>
        <v>46174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30</v>
      </c>
      <c r="E79" s="16" t="str">
        <f t="shared" si="8"/>
        <v>$millions</v>
      </c>
      <c r="F79" s="98">
        <f t="shared" si="9"/>
        <v>46174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30</v>
      </c>
      <c r="E80" s="16" t="str">
        <f t="shared" si="8"/>
        <v>$millions</v>
      </c>
      <c r="F80" s="98">
        <f t="shared" si="9"/>
        <v>46174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30</v>
      </c>
      <c r="E81" s="16" t="str">
        <f t="shared" si="8"/>
        <v>$millions</v>
      </c>
      <c r="F81" s="98">
        <f t="shared" si="9"/>
        <v>46174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30</v>
      </c>
      <c r="E82" s="16" t="str">
        <f t="shared" si="8"/>
        <v>$millions</v>
      </c>
      <c r="F82" s="98">
        <f t="shared" si="9"/>
        <v>46174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46174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46174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46174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ht="10.5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46174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1.0086120000000001</v>
      </c>
      <c r="P87" s="80">
        <f t="shared" si="10"/>
        <v>1.0086120000000001</v>
      </c>
      <c r="Q87" s="80">
        <f t="shared" si="10"/>
        <v>1.0086120000000001</v>
      </c>
      <c r="R87" s="80">
        <f t="shared" si="10"/>
        <v>1.0086120000000001</v>
      </c>
      <c r="S87" s="80">
        <f t="shared" si="10"/>
        <v>0</v>
      </c>
      <c r="T87" s="80">
        <f t="shared" ref="T87" si="11">SUM(T76:T86)</f>
        <v>0</v>
      </c>
    </row>
    <row r="88" spans="1:31" ht="10.5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ht="10.5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46539</v>
      </c>
      <c r="P91" s="99">
        <f>IF(YEAR(P$4)&gt;='Input|General'!$G$13,IF(YEAR(P$4)&lt;='Input|General'!$G$14,P$4,""),"")</f>
        <v>46905</v>
      </c>
      <c r="Q91" s="99">
        <f>IF(YEAR(Q$4)&gt;='Input|General'!$G$13,IF(YEAR(Q$4)&lt;='Input|General'!$G$14,Q$4,""),"")</f>
        <v>47270</v>
      </c>
      <c r="R91" s="99">
        <f>IF(YEAR(R$4)&gt;='Input|General'!$G$13,IF(YEAR(R$4)&lt;='Input|General'!$G$14,R$4,""),"")</f>
        <v>47635</v>
      </c>
      <c r="S91" s="99" t="str">
        <f>IF(YEAR(S$4)&gt;='Input|General'!$G$13,IF(YEAR(S$4)&lt;='Input|General'!$G$14,S$4,""),"")</f>
        <v/>
      </c>
      <c r="T91" s="99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Insurance</v>
      </c>
      <c r="D93" s="16" t="s">
        <v>30</v>
      </c>
      <c r="E93" s="16" t="str">
        <f t="shared" si="8"/>
        <v>$millions</v>
      </c>
      <c r="F93" s="98">
        <f t="shared" ref="F93:F97" si="12">$F$8</f>
        <v>46174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8.9663945999999992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9.3541629327000013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9.5715950359014013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9.8013157192195095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 t="str">
        <f>'Input|Step changes'!C29</f>
        <v>Corporate Opex</v>
      </c>
      <c r="D94" s="16" t="s">
        <v>30</v>
      </c>
      <c r="E94" s="16" t="str">
        <f t="shared" si="8"/>
        <v>$millions</v>
      </c>
      <c r="F94" s="98">
        <f t="shared" si="12"/>
        <v>46174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2.7981908319436357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2.8155251248845294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2.8384058208986116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2.8645095298081604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 t="str">
        <f>'Input|Step changes'!C30</f>
        <v>SOCI Cyber</v>
      </c>
      <c r="D95" s="16" t="s">
        <v>30</v>
      </c>
      <c r="E95" s="16" t="str">
        <f t="shared" si="8"/>
        <v>$millions</v>
      </c>
      <c r="F95" s="98">
        <f t="shared" si="12"/>
        <v>46174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1.095999348830365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0.76819224337037995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0.76819224337037995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0.76819224337037995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 t="str">
        <f>'Input|Step changes'!C31</f>
        <v>IT and OT</v>
      </c>
      <c r="D96" s="16" t="s">
        <v>30</v>
      </c>
      <c r="E96" s="16" t="str">
        <f t="shared" si="8"/>
        <v>$millions</v>
      </c>
      <c r="F96" s="98">
        <f t="shared" si="12"/>
        <v>46174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2.2678204594369675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2.1503660734925947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2.0834462131026954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2.1123872166117343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46174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ht="10.5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46174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15.128405240210967</v>
      </c>
      <c r="P99" s="80">
        <f t="shared" si="14"/>
        <v>15.088246374447506</v>
      </c>
      <c r="Q99" s="80">
        <f t="shared" si="14"/>
        <v>15.261639313273088</v>
      </c>
      <c r="R99" s="80">
        <f t="shared" si="14"/>
        <v>15.546404709009785</v>
      </c>
      <c r="S99" s="80">
        <f t="shared" si="14"/>
        <v>0</v>
      </c>
      <c r="T99" s="80">
        <f t="shared" si="14"/>
        <v>0</v>
      </c>
    </row>
    <row r="100" spans="1:39" ht="10.5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ht="10.5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46539</v>
      </c>
      <c r="P103" s="99">
        <f>IF(YEAR(P$4)&gt;='Input|General'!$G$13,IF(YEAR(P$4)&lt;='Input|General'!$G$14,P$4,""),"")</f>
        <v>46905</v>
      </c>
      <c r="Q103" s="99">
        <f>IF(YEAR(Q$4)&gt;='Input|General'!$G$13,IF(YEAR(Q$4)&lt;='Input|General'!$G$14,Q$4,""),"")</f>
        <v>47270</v>
      </c>
      <c r="R103" s="99">
        <f>IF(YEAR(R$4)&gt;='Input|General'!$G$13,IF(YEAR(R$4)&lt;='Input|General'!$G$14,R$4,""),"")</f>
        <v>47635</v>
      </c>
      <c r="S103" s="99" t="str">
        <f>IF(YEAR(S$4)&gt;='Input|General'!$G$13,IF(YEAR(S$4)&lt;='Input|General'!$G$14,S$4,""),"")</f>
        <v/>
      </c>
      <c r="T103" s="99" t="str">
        <f>IF(YEAR(T$4)&gt;='Input|General'!$G$13,IF(YEAR(T$4)&lt;='Input|General'!$G$14,T$4,""),"")</f>
        <v/>
      </c>
    </row>
    <row r="104" spans="1:39" ht="10.5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ht="10.5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46174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11.223893401084132</v>
      </c>
      <c r="P105" s="90">
        <f t="shared" ca="1" si="16"/>
        <v>11.234509793438141</v>
      </c>
      <c r="Q105" s="90">
        <f t="shared" ca="1" si="16"/>
        <v>11.2566943775286</v>
      </c>
      <c r="R105" s="90">
        <f t="shared" ca="1" si="16"/>
        <v>11.293659592416693</v>
      </c>
      <c r="S105" s="90" t="str">
        <f t="shared" si="16"/>
        <v/>
      </c>
      <c r="T105" s="90" t="str">
        <f t="shared" si="16"/>
        <v/>
      </c>
    </row>
    <row r="106" spans="1:39" ht="10.5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46174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26.3522986412951</v>
      </c>
      <c r="P106" s="90">
        <f t="shared" ca="1" si="17"/>
        <v>26.322756167885647</v>
      </c>
      <c r="Q106" s="90">
        <f t="shared" ca="1" si="17"/>
        <v>26.51833369080169</v>
      </c>
      <c r="R106" s="90">
        <f t="shared" ca="1" si="17"/>
        <v>26.84006430142648</v>
      </c>
      <c r="S106" s="90" t="str">
        <f t="shared" si="17"/>
        <v/>
      </c>
      <c r="T106" s="90" t="str">
        <f t="shared" si="17"/>
        <v/>
      </c>
    </row>
    <row r="107" spans="1:39" ht="10.5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46174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26.792920716665495</v>
      </c>
      <c r="P107" s="90">
        <f ca="1">IF(YEAR(P$4)&gt;=FPFirstYear,IF(YEAR(P$4)&lt;=FPLastYear,P106+'Input|Step changes'!P40,""),"")</f>
        <v>26.754183748994052</v>
      </c>
      <c r="Q107" s="90">
        <f ca="1">IF(YEAR(Q$4)&gt;=FPFirstYear,IF(YEAR(Q$4)&lt;=FPLastYear,Q106+'Input|Step changes'!Q40,""),"")</f>
        <v>26.942708131693987</v>
      </c>
      <c r="R107" s="90">
        <f ca="1">IF(YEAR(R$4)&gt;=FPFirstYear,IF(YEAR(R$4)&lt;=FPLastYear,R106+'Input|Step changes'!R40,""),"")</f>
        <v>27.258098289624819</v>
      </c>
      <c r="S107" s="90" t="str">
        <f>IF(YEAR(S$4)&gt;=FPFirstYear,IF(YEAR(S$4)&lt;=FPLastYear,S106+'Input|Step changes'!S40,""),"")</f>
        <v/>
      </c>
      <c r="T107" s="90" t="str">
        <f>IF(YEAR(T$4)&gt;=FPFirstYear,IF(YEAR(T$4)&lt;=FPLastYear,T106+'Input|Step changes'!T40,""),"")</f>
        <v/>
      </c>
      <c r="X107" s="209"/>
    </row>
    <row r="108" spans="1:39" ht="10.5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7" priority="28">
      <formula>J$10=J$4</formula>
    </cfRule>
  </conditionalFormatting>
  <conditionalFormatting sqref="J12:T24">
    <cfRule type="cellIs" dxfId="46" priority="9" operator="equal">
      <formula>0</formula>
    </cfRule>
  </conditionalFormatting>
  <conditionalFormatting sqref="J25:T25">
    <cfRule type="expression" dxfId="45" priority="27">
      <formula>J$10=J$4</formula>
    </cfRule>
  </conditionalFormatting>
  <conditionalFormatting sqref="J26:T54">
    <cfRule type="cellIs" dxfId="44" priority="1" operator="equal">
      <formula>0</formula>
    </cfRule>
  </conditionalFormatting>
  <conditionalFormatting sqref="J54:T54">
    <cfRule type="expression" dxfId="43" priority="26">
      <formula>J$10=J$4</formula>
    </cfRule>
  </conditionalFormatting>
  <conditionalFormatting sqref="J58:T58 J75:T75 J91:T91">
    <cfRule type="expression" dxfId="42" priority="118">
      <formula>J$58=J$4</formula>
    </cfRule>
  </conditionalFormatting>
  <conditionalFormatting sqref="J61:T68">
    <cfRule type="cellIs" dxfId="41" priority="100" operator="equal">
      <formula>0</formula>
    </cfRule>
  </conditionalFormatting>
  <conditionalFormatting sqref="J70:T70">
    <cfRule type="expression" dxfId="40" priority="112">
      <formula>J$58=J$4</formula>
    </cfRule>
  </conditionalFormatting>
  <conditionalFormatting sqref="J70:T71">
    <cfRule type="cellIs" dxfId="39" priority="19" operator="equal">
      <formula>0</formula>
    </cfRule>
  </conditionalFormatting>
  <conditionalFormatting sqref="J77:T85 J93:T99">
    <cfRule type="cellIs" dxfId="38" priority="98" operator="equal">
      <formula>0</formula>
    </cfRule>
  </conditionalFormatting>
  <conditionalFormatting sqref="J87:T87">
    <cfRule type="expression" dxfId="37" priority="116">
      <formula>J$75=J$4</formula>
    </cfRule>
    <cfRule type="cellIs" dxfId="36" priority="117" operator="equal">
      <formula>0</formula>
    </cfRule>
  </conditionalFormatting>
  <conditionalFormatting sqref="J99:T99">
    <cfRule type="expression" dxfId="35" priority="114">
      <formula>J$91=J$4</formula>
    </cfRule>
  </conditionalFormatting>
  <conditionalFormatting sqref="J103:T103">
    <cfRule type="expression" dxfId="34" priority="121">
      <formula>J$103=J$4</formula>
    </cfRule>
  </conditionalFormatting>
  <conditionalFormatting sqref="J105:T107">
    <cfRule type="cellIs" dxfId="33" priority="29" operator="equal">
      <formula>0</formula>
    </cfRule>
  </conditionalFormatting>
  <conditionalFormatting sqref="S1:T1">
    <cfRule type="cellIs" dxfId="32" priority="107" operator="equal">
      <formula>"Check"</formula>
    </cfRule>
    <cfRule type="cellIs" dxfId="31" priority="108" operator="equal">
      <formula>"Ok"</formula>
    </cfRule>
  </conditionalFormatting>
  <conditionalFormatting sqref="W1">
    <cfRule type="cellIs" dxfId="30" priority="109" operator="equal">
      <formula>"Check"</formula>
    </cfRule>
    <cfRule type="cellIs" dxfId="29" priority="110" operator="equal">
      <formula>"Ok"</formula>
    </cfRule>
  </conditionalFormatting>
  <dataValidations disablePrompts="1"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O13" sqref="O13:R13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1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2" t="s">
        <v>24</v>
      </c>
      <c r="W1" s="29" t="str">
        <f>'Check|List'!$S$1</f>
        <v>Check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2"/>
      <c r="O3" s="222"/>
      <c r="P3" s="222"/>
      <c r="Q3" s="222"/>
      <c r="R3" s="222"/>
      <c r="S3" s="222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46539</v>
      </c>
      <c r="P11" s="99">
        <f>IF(YEAR(P$4)&gt;='Input|General'!$G$13,IF(YEAR(P$4)&lt;='Input|General'!$G$14,P$4,""),"")</f>
        <v>46905</v>
      </c>
      <c r="Q11" s="99">
        <f>IF(YEAR(Q$4)&gt;='Input|General'!$G$13,IF(YEAR(Q$4)&lt;='Input|General'!$G$14,Q$4,""),"")</f>
        <v>47270</v>
      </c>
      <c r="R11" s="99">
        <f>IF(YEAR(R$4)&gt;='Input|General'!$G$13,IF(YEAR(R$4)&lt;='Input|General'!$G$14,R$4,""),"")</f>
        <v>47635</v>
      </c>
      <c r="S11" s="99" t="str">
        <f>IF(YEAR(S$4)&gt;='Input|General'!$G$13,IF(YEAR(S$4)&lt;='Input|General'!$G$14,S$4,""),"")</f>
        <v/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46174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217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11.223893401084133</v>
      </c>
      <c r="P13" s="217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11.234509793438141</v>
      </c>
      <c r="Q13" s="217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11.2566943775286</v>
      </c>
      <c r="R13" s="217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11.293659592416693</v>
      </c>
      <c r="S13" s="104">
        <f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Insurance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46174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217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8.9663945999999992</v>
      </c>
      <c r="P14" s="217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9.3541629327000013</v>
      </c>
      <c r="Q14" s="217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9.5715950359014013</v>
      </c>
      <c r="R14" s="217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9.8013157192195095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 t="str">
        <f>'Input|Step changes'!C29</f>
        <v>Corporate Opex</v>
      </c>
      <c r="D15" s="24" t="s">
        <v>98</v>
      </c>
      <c r="E15" s="16" t="str">
        <f t="shared" si="0"/>
        <v>$millions</v>
      </c>
      <c r="F15" s="98">
        <f t="shared" si="1"/>
        <v>46174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217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2.7981908319436357</v>
      </c>
      <c r="P15" s="217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2.8155251248845294</v>
      </c>
      <c r="Q15" s="217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2.8384058208986116</v>
      </c>
      <c r="R15" s="217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2.8645095298081604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 t="str">
        <f>'Input|Step changes'!C30</f>
        <v>SOCI Cyber</v>
      </c>
      <c r="D16" s="24" t="s">
        <v>98</v>
      </c>
      <c r="E16" s="16" t="str">
        <f t="shared" si="0"/>
        <v>$millions</v>
      </c>
      <c r="F16" s="98">
        <f t="shared" si="1"/>
        <v>46174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217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1.095999348830365</v>
      </c>
      <c r="P16" s="217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0.76819224337037995</v>
      </c>
      <c r="Q16" s="217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0.76819224337037995</v>
      </c>
      <c r="R16" s="217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0.76819224337037995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 t="str">
        <f>'Input|Step changes'!C31</f>
        <v>IT and OT</v>
      </c>
      <c r="D17" s="24" t="s">
        <v>98</v>
      </c>
      <c r="E17" s="16" t="str">
        <f t="shared" si="0"/>
        <v>$millions</v>
      </c>
      <c r="F17" s="98">
        <f t="shared" si="1"/>
        <v>46174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217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2.2678204594369675</v>
      </c>
      <c r="P17" s="217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2.1503660734925947</v>
      </c>
      <c r="Q17" s="217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2.0834462131026954</v>
      </c>
      <c r="R17" s="217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2.1123872166117343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46174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28" priority="7">
      <formula>J$11=J$4</formula>
    </cfRule>
  </conditionalFormatting>
  <conditionalFormatting sqref="J13:T18">
    <cfRule type="expression" dxfId="27" priority="3">
      <formula>AND($C13=0,J$11=J$4)</formula>
    </cfRule>
    <cfRule type="expression" dxfId="26" priority="4">
      <formula>NOT(J$11=J$4)</formula>
    </cfRule>
    <cfRule type="expression" dxfId="25" priority="5">
      <formula>J$11=J$4</formula>
    </cfRule>
  </conditionalFormatting>
  <conditionalFormatting sqref="S1:T1">
    <cfRule type="cellIs" dxfId="24" priority="1" operator="equal">
      <formula>"Check"</formula>
    </cfRule>
    <cfRule type="cellIs" dxfId="23" priority="2" operator="equal">
      <formula>"Ok"</formula>
    </cfRule>
  </conditionalFormatting>
  <conditionalFormatting sqref="W1">
    <cfRule type="cellIs" dxfId="22" priority="13" operator="equal">
      <formula>"Check"</formula>
    </cfRule>
    <cfRule type="cellIs" dxfId="21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>
      <selection activeCell="C12" sqref="C12"/>
    </sheetView>
  </sheetViews>
  <sheetFormatPr defaultColWidth="0" defaultRowHeight="11.25" customHeight="1" zeroHeight="1" outlineLevelCol="1"/>
  <cols>
    <col min="1" max="1" width="1.44140625" customWidth="1"/>
    <col min="2" max="2" width="45" bestFit="1" customWidth="1"/>
    <col min="3" max="3" width="22.44140625" hidden="1" customWidth="1" outlineLevel="1"/>
    <col min="4" max="4" width="10" hidden="1" customWidth="1" outlineLevel="1"/>
    <col min="5" max="5" width="9" hidden="1" customWidth="1" outlineLevel="1"/>
    <col min="6" max="8" width="3.44140625" hidden="1" customWidth="1" outlineLevel="1"/>
    <col min="9" max="13" width="11" hidden="1" customWidth="1" outlineLevel="1"/>
    <col min="14" max="14" width="11" customWidth="1" collapsed="1"/>
    <col min="15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1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2" t="s">
        <v>24</v>
      </c>
      <c r="Y1" s="29" t="str">
        <f>'Check|List'!$S$1</f>
        <v>Check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201</v>
      </c>
      <c r="C2" s="41"/>
      <c r="D2" s="41"/>
      <c r="E2" s="41"/>
      <c r="F2" s="105"/>
      <c r="G2" s="105"/>
      <c r="H2" s="105"/>
      <c r="I2" s="100" t="s">
        <v>109</v>
      </c>
      <c r="J2" s="100"/>
      <c r="K2" s="100"/>
      <c r="L2" s="105"/>
      <c r="M2" s="222"/>
      <c r="N2" s="222"/>
      <c r="O2" s="222"/>
      <c r="P2" s="222"/>
      <c r="Q2" s="222"/>
      <c r="R2" s="222"/>
      <c r="S2" s="105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44713</v>
      </c>
      <c r="J3" s="94">
        <f>DATE(PPFirstYear+1,MONTH('Input|General'!$G$9),1)</f>
        <v>45078</v>
      </c>
      <c r="K3" s="94">
        <f>DATE(PPFirstYear+2,MONTH('Input|General'!$G$9),1)</f>
        <v>45444</v>
      </c>
      <c r="L3" s="94">
        <f>DATE(PPFirstYear+3,MONTH('Input|General'!$G$9),1)</f>
        <v>45809</v>
      </c>
      <c r="M3" s="94">
        <f>DATE(PPFirstYear+4,MONTH('Input|General'!$G$9),1)</f>
        <v>46174</v>
      </c>
      <c r="N3" s="94">
        <f>DATE(PPFirstYear+5,MONTH('Input|General'!$G$9),1)</f>
        <v>46539</v>
      </c>
      <c r="O3" s="94">
        <f>DATE(PPFirstYear+6,MONTH('Input|General'!$G$9),1)</f>
        <v>46905</v>
      </c>
      <c r="P3" s="94">
        <f>DATE(PPFirstYear+7,MONTH('Input|General'!$G$9),1)</f>
        <v>47270</v>
      </c>
      <c r="Q3" s="94">
        <f>DATE(PPFirstYear+8,MONTH('Input|General'!$G$9),1)</f>
        <v>47635</v>
      </c>
      <c r="R3" s="94">
        <f>DATE(PPFirstYear+9,MONTH('Input|General'!$G$9),1)</f>
        <v>48000</v>
      </c>
      <c r="S3" s="94">
        <f>DATE(PPFirstYear+10,MONTH('Input|General'!$G$9),1)</f>
        <v>48366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187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185"/>
      <c r="B8" s="185"/>
      <c r="C8" s="185"/>
      <c r="D8" s="185"/>
      <c r="E8" s="185"/>
      <c r="F8" s="16"/>
      <c r="G8" s="16"/>
      <c r="H8" s="16"/>
      <c r="I8" s="186"/>
      <c r="J8" s="185"/>
      <c r="K8" s="185"/>
      <c r="L8" s="185"/>
      <c r="M8" s="185"/>
      <c r="N8" s="186"/>
      <c r="O8" s="185"/>
      <c r="P8" s="185"/>
      <c r="Q8" s="185"/>
      <c r="R8" s="185"/>
      <c r="S8" s="185"/>
      <c r="T8" s="185"/>
      <c r="U8" s="185"/>
      <c r="V8" s="185"/>
      <c r="W8" s="185"/>
      <c r="X8" s="186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</row>
    <row r="9" spans="1:39" ht="14.5">
      <c r="A9" s="185"/>
      <c r="B9" s="185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forecast'!J103</f>
        <v/>
      </c>
      <c r="J9" s="99" t="str">
        <f>'Calc|Opex forecast'!K103</f>
        <v/>
      </c>
      <c r="K9" s="99" t="str">
        <f>'Calc|Opex forecast'!L103</f>
        <v/>
      </c>
      <c r="L9" s="99" t="str">
        <f>'Calc|Opex forecast'!M103</f>
        <v/>
      </c>
      <c r="M9" s="99" t="str">
        <f>'Calc|Opex forecast'!N103</f>
        <v/>
      </c>
      <c r="N9" s="99">
        <f>'Calc|Opex forecast'!O103</f>
        <v>46539</v>
      </c>
      <c r="O9" s="99">
        <f>'Calc|Opex forecast'!P103</f>
        <v>46905</v>
      </c>
      <c r="P9" s="99">
        <f>'Calc|Opex forecast'!Q103</f>
        <v>47270</v>
      </c>
      <c r="Q9" s="99">
        <f>'Calc|Opex forecast'!R103</f>
        <v>47635</v>
      </c>
      <c r="R9" s="99" t="str">
        <f>'Calc|Opex forecast'!S103</f>
        <v/>
      </c>
      <c r="S9" s="99" t="str">
        <f>'Calc|Opex forecast'!T103</f>
        <v/>
      </c>
      <c r="T9" s="187"/>
      <c r="U9" s="99" t="s">
        <v>188</v>
      </c>
      <c r="V9" s="185"/>
      <c r="W9" s="185"/>
      <c r="X9" s="188" t="s">
        <v>189</v>
      </c>
      <c r="Y9" s="188" t="s">
        <v>190</v>
      </c>
      <c r="Z9" s="188" t="s">
        <v>191</v>
      </c>
      <c r="AA9" s="188" t="s">
        <v>192</v>
      </c>
      <c r="AB9" s="187"/>
      <c r="AC9" s="187"/>
      <c r="AD9" s="187"/>
      <c r="AE9" s="185"/>
      <c r="AF9" s="185"/>
      <c r="AG9" s="185"/>
      <c r="AH9" s="185"/>
      <c r="AI9" s="185"/>
      <c r="AJ9" s="185"/>
      <c r="AK9" s="185"/>
      <c r="AL9" s="185"/>
      <c r="AM9" s="185"/>
    </row>
    <row r="10" spans="1:39" ht="14.5">
      <c r="A10" s="185"/>
      <c r="B10" s="185"/>
      <c r="C10" s="16"/>
      <c r="D10" s="16"/>
      <c r="E10" s="16"/>
      <c r="F10" s="16"/>
      <c r="G10" s="16"/>
      <c r="H10" s="16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</row>
    <row r="11" spans="1:39" ht="14.5">
      <c r="A11" s="185"/>
      <c r="B11" s="15" t="str">
        <f>"Based on reported opex in "&amp;IF(MONTH('Input|General'!$G$9)=12,BaseYear,BaseYear-1&amp;"–"&amp;RIGHT(BaseYear,2))</f>
        <v>Based on reported opex in 2021–22</v>
      </c>
      <c r="C11" s="65" t="s">
        <v>193</v>
      </c>
      <c r="D11" s="16" t="str">
        <f>'Calc|Opex forecast'!$E$8</f>
        <v>$millions</v>
      </c>
      <c r="E11" s="98">
        <f>'Calc|Opex forecast'!$F$8</f>
        <v>46174</v>
      </c>
      <c r="F11" s="16"/>
      <c r="G11" s="16"/>
      <c r="H11" s="16"/>
      <c r="I11" s="66" t="str">
        <f>IF('Calc|Opex forecast'!J103='Calc|Opex forecast'!J4,SUM('Calc|Opex forecast'!$J$26:$S$26),"")</f>
        <v/>
      </c>
      <c r="J11" s="66" t="str">
        <f>IF('Calc|Opex forecast'!K103='Calc|Opex forecast'!K4,SUM('Calc|Opex forecast'!$J$26:$S$26),"")</f>
        <v/>
      </c>
      <c r="K11" s="66" t="str">
        <f>IF('Calc|Opex forecast'!L103='Calc|Opex forecast'!L4,SUM('Calc|Opex forecast'!$J$26:$S$26),"")</f>
        <v/>
      </c>
      <c r="L11" s="66" t="str">
        <f>IF('Calc|Opex forecast'!M103='Calc|Opex forecast'!M4,SUM('Calc|Opex forecast'!$J$26:$S$26),"")</f>
        <v/>
      </c>
      <c r="M11" s="66" t="str">
        <f>IF('Calc|Opex forecast'!N103='Calc|Opex forecast'!N4,SUM('Calc|Opex forecast'!$J$26:$S$26),"")</f>
        <v/>
      </c>
      <c r="N11" s="66">
        <f ca="1">IF('Calc|Opex forecast'!O103='Calc|Opex forecast'!O4,SUM('Calc|Opex forecast'!$J$26:$S$26),"")</f>
        <v>23.574368472908702</v>
      </c>
      <c r="O11" s="66">
        <f ca="1">IF('Calc|Opex forecast'!P103='Calc|Opex forecast'!P4,SUM('Calc|Opex forecast'!$J$26:$S$26),"")</f>
        <v>23.574368472908702</v>
      </c>
      <c r="P11" s="66">
        <f ca="1">IF('Calc|Opex forecast'!Q103='Calc|Opex forecast'!Q4,SUM('Calc|Opex forecast'!$J$26:$S$26),"")</f>
        <v>23.574368472908702</v>
      </c>
      <c r="Q11" s="66">
        <f ca="1">IF('Calc|Opex forecast'!R103='Calc|Opex forecast'!R4,SUM('Calc|Opex forecast'!$J$26:$S$26),"")</f>
        <v>23.574368472908702</v>
      </c>
      <c r="R11" s="66" t="str">
        <f>IF('Calc|Opex forecast'!S103='Calc|Opex forecast'!S4,SUM('Calc|Opex forecast'!$J$26:$S$26),"")</f>
        <v/>
      </c>
      <c r="S11" s="66" t="str">
        <f>IF('Calc|Opex forecast'!T103='Calc|Opex forecast'!T4,SUM('Calc|Opex forecast'!$J$26:$S$26),"")</f>
        <v/>
      </c>
      <c r="T11" s="66"/>
      <c r="U11" s="70">
        <f ca="1">SUM(I11:S11)</f>
        <v>94.297473891634809</v>
      </c>
      <c r="V11" s="189"/>
      <c r="W11" s="185"/>
      <c r="X11" s="66"/>
      <c r="Y11" s="66">
        <f ca="1">U11</f>
        <v>94.297473891634809</v>
      </c>
      <c r="Z11" s="66"/>
      <c r="AA11" s="66"/>
      <c r="AB11" s="187"/>
      <c r="AC11" s="187"/>
      <c r="AD11" s="187"/>
      <c r="AE11" s="187"/>
      <c r="AF11" s="187"/>
      <c r="AG11" s="185"/>
      <c r="AH11" s="185"/>
      <c r="AI11" s="185"/>
      <c r="AJ11" s="185"/>
      <c r="AK11" s="185"/>
      <c r="AL11" s="185"/>
      <c r="AM11" s="185"/>
    </row>
    <row r="12" spans="1:39" ht="14.5">
      <c r="A12" s="185"/>
      <c r="B12" s="15" t="s">
        <v>84</v>
      </c>
      <c r="C12" s="65" t="s">
        <v>193</v>
      </c>
      <c r="D12" s="16" t="str">
        <f>'Calc|Opex forecast'!$E$8</f>
        <v>$millions</v>
      </c>
      <c r="E12" s="98">
        <f>'Calc|Opex forecast'!$F$8</f>
        <v>46174</v>
      </c>
      <c r="F12" s="16"/>
      <c r="G12" s="16"/>
      <c r="H12" s="16"/>
      <c r="I12" s="66" t="str">
        <f>IF('Calc|Opex forecast'!J103='Calc|Opex forecast'!J4,SUM('Calc|Opex forecast'!$J$52:$S$52),"")</f>
        <v/>
      </c>
      <c r="J12" s="66" t="str">
        <f>IF('Calc|Opex forecast'!K103='Calc|Opex forecast'!K4,SUM('Calc|Opex forecast'!$J$52:$S$52),"")</f>
        <v/>
      </c>
      <c r="K12" s="66" t="str">
        <f>IF('Calc|Opex forecast'!L103='Calc|Opex forecast'!L4,SUM('Calc|Opex forecast'!$J$52:$S$52),"")</f>
        <v/>
      </c>
      <c r="L12" s="66" t="str">
        <f>IF('Calc|Opex forecast'!M103='Calc|Opex forecast'!M4,SUM('Calc|Opex forecast'!$J$52:$S$52),"")</f>
        <v/>
      </c>
      <c r="M12" s="66" t="str">
        <f>IF('Calc|Opex forecast'!N103='Calc|Opex forecast'!N4,SUM('Calc|Opex forecast'!$J$52:$S$52),"")</f>
        <v/>
      </c>
      <c r="N12" s="66">
        <f ca="1">IF('Calc|Opex forecast'!O103='Calc|Opex forecast'!O4,SUM('Calc|Opex forecast'!$J$52:$S$52),"")</f>
        <v>0</v>
      </c>
      <c r="O12" s="66">
        <f ca="1">IF('Calc|Opex forecast'!P103='Calc|Opex forecast'!P4,SUM('Calc|Opex forecast'!$J$52:$S$52),"")</f>
        <v>0</v>
      </c>
      <c r="P12" s="66">
        <f ca="1">IF('Calc|Opex forecast'!Q103='Calc|Opex forecast'!Q4,SUM('Calc|Opex forecast'!$J$52:$S$52),"")</f>
        <v>0</v>
      </c>
      <c r="Q12" s="66">
        <f ca="1">IF('Calc|Opex forecast'!R103='Calc|Opex forecast'!R4,SUM('Calc|Opex forecast'!$J$52:$S$52),"")</f>
        <v>0</v>
      </c>
      <c r="R12" s="66" t="str">
        <f>IF('Calc|Opex forecast'!S103='Calc|Opex forecast'!S4,SUM('Calc|Opex forecast'!$J$52:$S$52),"")</f>
        <v/>
      </c>
      <c r="S12" s="66" t="str">
        <f>IF('Calc|Opex forecast'!T103='Calc|Opex forecast'!T4,SUM('Calc|Opex forecast'!$J$52:$S$52),"")</f>
        <v/>
      </c>
      <c r="T12" s="66"/>
      <c r="U12" s="70">
        <f ca="1">SUM(I12:S12)</f>
        <v>0</v>
      </c>
      <c r="V12" s="189">
        <f t="shared" ref="V12:V22" ca="1" si="0">U12/($U$23-U12)</f>
        <v>0</v>
      </c>
      <c r="W12" s="185"/>
      <c r="X12" s="66">
        <f ca="1">SUM($U$11:$U11)-AA12</f>
        <v>94.297473891634809</v>
      </c>
      <c r="Y12" s="66"/>
      <c r="Z12" s="66">
        <f ca="1">IF(U12&gt;0,U12,0)</f>
        <v>0</v>
      </c>
      <c r="AA12" s="66">
        <f ca="1">IF(U12&lt;0,-U12,0)</f>
        <v>0</v>
      </c>
      <c r="AB12" s="187"/>
      <c r="AC12" s="187"/>
      <c r="AD12" s="187"/>
      <c r="AE12" s="187"/>
      <c r="AF12" s="187"/>
      <c r="AG12" s="185"/>
      <c r="AH12" s="185"/>
      <c r="AI12" s="185"/>
      <c r="AJ12" s="185"/>
      <c r="AK12" s="185"/>
      <c r="AL12" s="185"/>
      <c r="AM12" s="185"/>
    </row>
    <row r="13" spans="1:39" ht="14.5">
      <c r="A13" s="185"/>
      <c r="B13" s="15" t="s">
        <v>194</v>
      </c>
      <c r="C13" s="65" t="s">
        <v>193</v>
      </c>
      <c r="D13" s="16" t="str">
        <f>'Calc|Opex forecast'!$E$8</f>
        <v>$millions</v>
      </c>
      <c r="E13" s="98">
        <f>'Calc|Opex forecast'!$F$8</f>
        <v>46174</v>
      </c>
      <c r="F13" s="16"/>
      <c r="G13" s="16"/>
      <c r="H13" s="16"/>
      <c r="I13" s="66" t="str">
        <f>IF('Calc|Opex forecast'!J103='Calc|Opex forecast'!J4,SUM('Calc|Opex forecast'!$J$29:$S$29),"")</f>
        <v/>
      </c>
      <c r="J13" s="66" t="str">
        <f>IF('Calc|Opex forecast'!K103='Calc|Opex forecast'!K4,SUM('Calc|Opex forecast'!$J$29:$S$29),"")</f>
        <v/>
      </c>
      <c r="K13" s="66" t="str">
        <f>IF('Calc|Opex forecast'!L103='Calc|Opex forecast'!L4,SUM('Calc|Opex forecast'!$J$29:$S$29),"")</f>
        <v/>
      </c>
      <c r="L13" s="66" t="str">
        <f>IF('Calc|Opex forecast'!M103='Calc|Opex forecast'!M4,SUM('Calc|Opex forecast'!$J$29:$S$29),"")</f>
        <v/>
      </c>
      <c r="M13" s="66" t="str">
        <f>IF('Calc|Opex forecast'!N103='Calc|Opex forecast'!N4,SUM('Calc|Opex forecast'!$J$29:$S$29),"")</f>
        <v/>
      </c>
      <c r="N13" s="66">
        <f>IF('Calc|Opex forecast'!O103='Calc|Opex forecast'!O4,SUM('Calc|Opex forecast'!$J$29:$S$29),"")</f>
        <v>0</v>
      </c>
      <c r="O13" s="66">
        <f>IF('Calc|Opex forecast'!P103='Calc|Opex forecast'!P4,SUM('Calc|Opex forecast'!$J$29:$S$29),"")</f>
        <v>0</v>
      </c>
      <c r="P13" s="66">
        <f>IF('Calc|Opex forecast'!Q103='Calc|Opex forecast'!Q4,SUM('Calc|Opex forecast'!$J$29:$S$29),"")</f>
        <v>0</v>
      </c>
      <c r="Q13" s="66">
        <f>IF('Calc|Opex forecast'!R103='Calc|Opex forecast'!R4,SUM('Calc|Opex forecast'!$J$29:$S$29),"")</f>
        <v>0</v>
      </c>
      <c r="R13" s="66" t="str">
        <f>IF('Calc|Opex forecast'!S103='Calc|Opex forecast'!S4,SUM('Calc|Opex forecast'!$J$29:$S$29),"")</f>
        <v/>
      </c>
      <c r="S13" s="66" t="str">
        <f>IF('Calc|Opex forecast'!T103='Calc|Opex forecast'!T4,SUM('Calc|Opex forecast'!$J$29:$S$29),"")</f>
        <v/>
      </c>
      <c r="T13" s="66"/>
      <c r="U13" s="70">
        <f>SUM(I13:S13)</f>
        <v>0</v>
      </c>
      <c r="V13" s="189">
        <f t="shared" ca="1" si="0"/>
        <v>0</v>
      </c>
      <c r="W13" s="185"/>
      <c r="X13" s="66">
        <f ca="1">SUM($U$11:$U12)-AA13</f>
        <v>94.297473891634809</v>
      </c>
      <c r="Y13" s="66"/>
      <c r="Z13" s="66">
        <f t="shared" ref="Z13:Z22" si="1">IF(U13&gt;0,U13,0)</f>
        <v>0</v>
      </c>
      <c r="AA13" s="66">
        <f t="shared" ref="AA13:AA22" si="2">IF(U13&lt;0,-U13,0)</f>
        <v>0</v>
      </c>
      <c r="AB13" s="187"/>
      <c r="AC13" s="187"/>
      <c r="AD13" s="187"/>
      <c r="AE13" s="187"/>
      <c r="AF13" s="187"/>
      <c r="AG13" s="185"/>
      <c r="AH13" s="185"/>
      <c r="AI13" s="185"/>
      <c r="AJ13" s="185"/>
      <c r="AK13" s="185"/>
      <c r="AL13" s="185"/>
      <c r="AM13" s="185"/>
    </row>
    <row r="14" spans="1:39" ht="14.5">
      <c r="A14" s="185"/>
      <c r="B14" s="15" t="s">
        <v>195</v>
      </c>
      <c r="C14" s="65" t="s">
        <v>193</v>
      </c>
      <c r="D14" s="16" t="str">
        <f>'Calc|Opex forecast'!$E$8</f>
        <v>$millions</v>
      </c>
      <c r="E14" s="98">
        <f>'Calc|Opex forecast'!$F$8</f>
        <v>46174</v>
      </c>
      <c r="F14" s="16"/>
      <c r="G14" s="16"/>
      <c r="H14" s="16"/>
      <c r="I14" s="66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forecast'!O103='Calc|Opex forecast'!O4,SUM('Calc|Opex forecast'!$J$38:$S$38,'Calc|Opex forecast'!$J$41:$S$41,'Calc|Opex forecast'!$J$44:$S$44,'Calc|Opex forecast'!$J$47:$S$47,'Calc|Opex forecast'!$J$50:$S$50),"")</f>
        <v>0</v>
      </c>
      <c r="O14" s="66">
        <f>IF('Calc|Opex forecast'!P103='Calc|Opex forecast'!P4,SUM('Calc|Opex forecast'!$J$38:$S$38,'Calc|Opex forecast'!$J$41:$S$41,'Calc|Opex forecast'!$J$44:$S$44,'Calc|Opex forecast'!$J$47:$S$47,'Calc|Opex forecast'!$J$50:$S$50),"")</f>
        <v>0</v>
      </c>
      <c r="P14" s="66">
        <f>IF('Calc|Opex forecast'!Q103='Calc|Opex forecast'!Q4,SUM('Calc|Opex forecast'!$J$38:$S$38,'Calc|Opex forecast'!$J$41:$S$41,'Calc|Opex forecast'!$J$44:$S$44,'Calc|Opex forecast'!$J$47:$S$47,'Calc|Opex forecast'!$J$50:$S$50),"")</f>
        <v>0</v>
      </c>
      <c r="Q14" s="66">
        <f>IF('Calc|Opex forecast'!R103='Calc|Opex forecast'!R4,SUM('Calc|Opex forecast'!$J$38:$S$38,'Calc|Opex forecast'!$J$41:$S$41,'Calc|Opex forecast'!$J$44:$S$44,'Calc|Opex forecast'!$J$47:$S$47,'Calc|Opex forecast'!$J$50:$S$50),"")</f>
        <v>0</v>
      </c>
      <c r="R14" s="66" t="str">
        <f>IF('Calc|Opex forecast'!S103='Calc|Opex forecast'!S4,SUM('Calc|Opex forecast'!$J$38:$S$38,'Calc|Opex forecast'!$J$41:$S$41,'Calc|Opex forecast'!$J$44:$S$44,'Calc|Opex forecast'!$J$47:$S$47,'Calc|Opex forecast'!$J$50:$S$50),"")</f>
        <v/>
      </c>
      <c r="S14" s="66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0</v>
      </c>
      <c r="V14" s="189">
        <f t="shared" ca="1" si="0"/>
        <v>0</v>
      </c>
      <c r="W14" s="185"/>
      <c r="X14" s="66">
        <f ca="1">SUM($U$11:$U13)-AA14</f>
        <v>94.297473891634809</v>
      </c>
      <c r="Y14" s="66"/>
      <c r="Z14" s="66">
        <f t="shared" si="1"/>
        <v>0</v>
      </c>
      <c r="AA14" s="66">
        <f t="shared" si="2"/>
        <v>0</v>
      </c>
      <c r="AB14" s="187"/>
      <c r="AC14" s="187"/>
      <c r="AD14" s="187"/>
      <c r="AE14" s="187"/>
      <c r="AF14" s="187"/>
      <c r="AG14" s="185"/>
      <c r="AH14" s="185"/>
      <c r="AI14" s="185"/>
      <c r="AJ14" s="185"/>
      <c r="AK14" s="185"/>
      <c r="AL14" s="185"/>
      <c r="AM14" s="185"/>
    </row>
    <row r="15" spans="1:39" ht="14.5">
      <c r="A15" s="185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2021–22 to 2025–26 increment</v>
      </c>
      <c r="C15" s="65" t="s">
        <v>193</v>
      </c>
      <c r="D15" s="16" t="str">
        <f>'Calc|Opex forecast'!$E$8</f>
        <v>$millions</v>
      </c>
      <c r="E15" s="98">
        <f>'Calc|Opex forecast'!$F$8</f>
        <v>46174</v>
      </c>
      <c r="F15" s="16"/>
      <c r="G15" s="16"/>
      <c r="H15" s="16"/>
      <c r="I15" s="66" t="str">
        <f>IF('Calc|Opex forecast'!J103='Calc|Opex forecast'!J4,SUM('Calc|Opex forecast'!$J$31:$S$31),"")</f>
        <v/>
      </c>
      <c r="J15" s="66" t="str">
        <f>IF('Calc|Opex forecast'!K103='Calc|Opex forecast'!K4,SUM('Calc|Opex forecast'!$J$31:$S$31),"")</f>
        <v/>
      </c>
      <c r="K15" s="66" t="str">
        <f>IF('Calc|Opex forecast'!L103='Calc|Opex forecast'!L4,SUM('Calc|Opex forecast'!$J$31:$S$31),"")</f>
        <v/>
      </c>
      <c r="L15" s="66" t="str">
        <f>IF('Calc|Opex forecast'!M103='Calc|Opex forecast'!M4,SUM('Calc|Opex forecast'!$J$31:$S$31),"")</f>
        <v/>
      </c>
      <c r="M15" s="66" t="str">
        <f>IF('Calc|Opex forecast'!N103='Calc|Opex forecast'!N4,SUM('Calc|Opex forecast'!$J$31:$S$31),"")</f>
        <v/>
      </c>
      <c r="N15" s="66">
        <f>IF('Calc|Opex forecast'!O103='Calc|Opex forecast'!O4,SUM('Calc|Opex forecast'!$J$31:$S$31),"")</f>
        <v>0</v>
      </c>
      <c r="O15" s="66">
        <f>IF('Calc|Opex forecast'!P103='Calc|Opex forecast'!P4,SUM('Calc|Opex forecast'!$J$31:$S$31),"")</f>
        <v>0</v>
      </c>
      <c r="P15" s="66">
        <f>IF('Calc|Opex forecast'!Q103='Calc|Opex forecast'!Q4,SUM('Calc|Opex forecast'!$J$31:$S$31),"")</f>
        <v>0</v>
      </c>
      <c r="Q15" s="66">
        <f>IF('Calc|Opex forecast'!R103='Calc|Opex forecast'!R4,SUM('Calc|Opex forecast'!$J$31:$S$31),"")</f>
        <v>0</v>
      </c>
      <c r="R15" s="66" t="str">
        <f>IF('Calc|Opex forecast'!S103='Calc|Opex forecast'!S4,SUM('Calc|Opex forecast'!$J$31:$S$31),"")</f>
        <v/>
      </c>
      <c r="S15" s="66" t="str">
        <f>IF('Calc|Opex forecast'!T103='Calc|Opex forecast'!T4,SUM('Calc|Opex forecast'!$J$31:$S$31),"")</f>
        <v/>
      </c>
      <c r="T15" s="66"/>
      <c r="U15" s="70">
        <f>SUM(I15:S15)</f>
        <v>0</v>
      </c>
      <c r="V15" s="189">
        <f t="shared" ca="1" si="0"/>
        <v>0</v>
      </c>
      <c r="W15" s="185"/>
      <c r="X15" s="66">
        <f ca="1">SUM($U$11:$U14)-AA15</f>
        <v>94.297473891634809</v>
      </c>
      <c r="Y15" s="66"/>
      <c r="Z15" s="66">
        <f t="shared" si="1"/>
        <v>0</v>
      </c>
      <c r="AA15" s="66">
        <f t="shared" si="2"/>
        <v>0</v>
      </c>
      <c r="AB15" s="187"/>
      <c r="AC15" s="187"/>
      <c r="AD15" s="187"/>
      <c r="AE15" s="187"/>
      <c r="AF15" s="187"/>
      <c r="AG15" s="185"/>
      <c r="AH15" s="185"/>
      <c r="AI15" s="185"/>
      <c r="AJ15" s="185"/>
      <c r="AK15" s="185"/>
      <c r="AL15" s="185"/>
      <c r="AM15" s="185"/>
    </row>
    <row r="16" spans="1:39" ht="14.5">
      <c r="A16" s="185"/>
      <c r="B16" s="15" t="s">
        <v>196</v>
      </c>
      <c r="C16" s="65" t="s">
        <v>193</v>
      </c>
      <c r="D16" s="16" t="str">
        <f>'Calc|Opex forecast'!$E$8</f>
        <v>$millions</v>
      </c>
      <c r="E16" s="98">
        <f>'Calc|Opex forecast'!$F$8</f>
        <v>46174</v>
      </c>
      <c r="F16" s="16"/>
      <c r="G16" s="16"/>
      <c r="H16" s="16"/>
      <c r="I16" s="66" t="str">
        <f>IF('Calc|Opex forecast'!J103='Calc|Opex forecast'!J4,SUM('Calc|Opex forecast'!$J$35:$T$35),"")</f>
        <v/>
      </c>
      <c r="J16" s="66" t="str">
        <f>IF('Calc|Opex forecast'!K103='Calc|Opex forecast'!K4,SUM('Calc|Opex forecast'!$J$35:$T$35),"")</f>
        <v/>
      </c>
      <c r="K16" s="66" t="str">
        <f>IF('Calc|Opex forecast'!L103='Calc|Opex forecast'!L4,SUM('Calc|Opex forecast'!$J$35:$T$35),"")</f>
        <v/>
      </c>
      <c r="L16" s="66" t="str">
        <f>IF('Calc|Opex forecast'!M103='Calc|Opex forecast'!M4,SUM('Calc|Opex forecast'!$J$35:$T$35),"")</f>
        <v/>
      </c>
      <c r="M16" s="66" t="str">
        <f>IF('Calc|Opex forecast'!N103='Calc|Opex forecast'!N4,SUM('Calc|Opex forecast'!$J$35:$T$35),"")</f>
        <v/>
      </c>
      <c r="N16" s="66">
        <f>IF('Calc|Opex forecast'!O103='Calc|Opex forecast'!O4,SUM('Calc|Opex forecast'!$J$35:$T$35),"")</f>
        <v>-13.425112268626453</v>
      </c>
      <c r="O16" s="66">
        <f>IF('Calc|Opex forecast'!P103='Calc|Opex forecast'!P4,SUM('Calc|Opex forecast'!$J$35:$T$35),"")</f>
        <v>-13.425112268626453</v>
      </c>
      <c r="P16" s="66">
        <f>IF('Calc|Opex forecast'!Q103='Calc|Opex forecast'!Q4,SUM('Calc|Opex forecast'!$J$35:$T$35),"")</f>
        <v>-13.425112268626453</v>
      </c>
      <c r="Q16" s="66">
        <f>IF('Calc|Opex forecast'!R103='Calc|Opex forecast'!R4,SUM('Calc|Opex forecast'!$J$35:$T$35),"")</f>
        <v>-13.425112268626453</v>
      </c>
      <c r="R16" s="66" t="str">
        <f>IF('Calc|Opex forecast'!S103='Calc|Opex forecast'!S4,SUM('Calc|Opex forecast'!$J$35:$T$35),"")</f>
        <v/>
      </c>
      <c r="S16" s="66" t="str">
        <f>IF('Calc|Opex forecast'!T103='Calc|Opex forecast'!T4,SUM('Calc|Opex forecast'!$J$35:$T$35),"")</f>
        <v/>
      </c>
      <c r="T16" s="66"/>
      <c r="U16" s="70">
        <f t="shared" ref="U16:U22" si="3">SUM(I16:S16)</f>
        <v>-53.700449074505812</v>
      </c>
      <c r="V16" s="189">
        <f t="shared" ca="1" si="0"/>
        <v>-0.33261687568283022</v>
      </c>
      <c r="W16" s="185"/>
      <c r="X16" s="66">
        <f ca="1">SUM($U$11:$U15)-AA16</f>
        <v>40.597024817128997</v>
      </c>
      <c r="Y16" s="66"/>
      <c r="Z16" s="66">
        <f t="shared" si="1"/>
        <v>0</v>
      </c>
      <c r="AA16" s="66">
        <f t="shared" si="2"/>
        <v>53.700449074505812</v>
      </c>
      <c r="AB16" s="187"/>
      <c r="AC16" s="187"/>
      <c r="AD16" s="187"/>
      <c r="AE16" s="187"/>
      <c r="AF16" s="187"/>
      <c r="AG16" s="185"/>
      <c r="AH16" s="185"/>
      <c r="AI16" s="185"/>
      <c r="AJ16" s="185"/>
      <c r="AK16" s="185"/>
      <c r="AL16" s="185"/>
      <c r="AM16" s="185"/>
    </row>
    <row r="17" spans="1:39" ht="14.5">
      <c r="A17" s="185"/>
      <c r="B17" s="15" t="s">
        <v>197</v>
      </c>
      <c r="C17" s="16" t="s">
        <v>30</v>
      </c>
      <c r="D17" s="16" t="str">
        <f>'Calc|Opex forecast'!$E$8</f>
        <v>$millions</v>
      </c>
      <c r="E17" s="98">
        <f>'Calc|Opex forecast'!$F$8</f>
        <v>46174</v>
      </c>
      <c r="F17" s="16"/>
      <c r="G17" s="16"/>
      <c r="H17" s="16"/>
      <c r="I17" s="66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forecast'!O103='Calc|Opex forecast'!O4,'Calc|Opex forecast'!O62/('Calc|Opex forecast'!O$62+'Calc|Opex forecast'!O$65-'Calc|Opex forecast'!O$68)*'Calc|Opex forecast'!O$71*SUM('Calc|Opex forecast'!$J$54:$T$54),"")</f>
        <v>0</v>
      </c>
      <c r="O17" s="66">
        <f ca="1">IF('Calc|Opex forecast'!P103='Calc|Opex forecast'!P4,'Calc|Opex forecast'!P62/('Calc|Opex forecast'!P$62+'Calc|Opex forecast'!P$65-'Calc|Opex forecast'!P$68)*'Calc|Opex forecast'!P$71*SUM('Calc|Opex forecast'!$J$54:$T$54),"")</f>
        <v>0</v>
      </c>
      <c r="P17" s="66">
        <f ca="1">IF('Calc|Opex forecast'!Q103='Calc|Opex forecast'!Q4,'Calc|Opex forecast'!Q62/('Calc|Opex forecast'!Q$62+'Calc|Opex forecast'!Q$65-'Calc|Opex forecast'!Q$68)*'Calc|Opex forecast'!Q$71*SUM('Calc|Opex forecast'!$J$54:$T$54),"")</f>
        <v>0</v>
      </c>
      <c r="Q17" s="66">
        <f ca="1">IF('Calc|Opex forecast'!R103='Calc|Opex forecast'!R4,'Calc|Opex forecast'!R62/('Calc|Opex forecast'!R$62+'Calc|Opex forecast'!R$65-'Calc|Opex forecast'!R$68)*'Calc|Opex forecast'!R$71*SUM('Calc|Opex forecast'!$J$54:$T$54),"")</f>
        <v>0</v>
      </c>
      <c r="R17" s="66" t="str">
        <f>IF('Calc|Opex forecast'!S103='Calc|Opex forecast'!S4,'Calc|Opex forecast'!S62/('Calc|Opex forecast'!S$62+'Calc|Opex forecast'!S$65-'Calc|Opex forecast'!S$68)*'Calc|Opex forecast'!S$71*SUM('Calc|Opex forecast'!$J$54:$T$54),"")</f>
        <v/>
      </c>
      <c r="S17" s="66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66"/>
      <c r="U17" s="190">
        <f t="shared" ca="1" si="3"/>
        <v>0</v>
      </c>
      <c r="V17" s="189">
        <f t="shared" ca="1" si="0"/>
        <v>0</v>
      </c>
      <c r="W17" s="185"/>
      <c r="X17" s="66">
        <f ca="1">SUM($U$11:$U16)-AA17</f>
        <v>40.597024817128997</v>
      </c>
      <c r="Y17" s="66"/>
      <c r="Z17" s="66">
        <f t="shared" ca="1" si="1"/>
        <v>0</v>
      </c>
      <c r="AA17" s="66">
        <f t="shared" ca="1" si="2"/>
        <v>0</v>
      </c>
      <c r="AB17" s="187"/>
      <c r="AC17" s="187"/>
      <c r="AD17" s="187"/>
      <c r="AE17" s="187"/>
      <c r="AF17" s="191"/>
      <c r="AG17" s="185"/>
      <c r="AH17" s="185"/>
      <c r="AI17" s="185"/>
      <c r="AJ17" s="185"/>
      <c r="AK17" s="185"/>
      <c r="AL17" s="185"/>
      <c r="AM17" s="185"/>
    </row>
    <row r="18" spans="1:39" ht="14.5">
      <c r="A18" s="185"/>
      <c r="B18" s="15" t="s">
        <v>198</v>
      </c>
      <c r="C18" s="16" t="s">
        <v>30</v>
      </c>
      <c r="D18" s="16" t="str">
        <f>'Calc|Opex forecast'!$E$8</f>
        <v>$millions</v>
      </c>
      <c r="E18" s="98">
        <f>'Calc|Opex forecast'!$F$8</f>
        <v>46174</v>
      </c>
      <c r="F18" s="16"/>
      <c r="G18" s="16"/>
      <c r="H18" s="16"/>
      <c r="I18" s="66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forecast'!O103='Calc|Opex forecast'!O4,'Calc|Opex forecast'!O65/('Calc|Opex forecast'!O$62+'Calc|Opex forecast'!O$65-'Calc|Opex forecast'!O$68)*'Calc|Opex forecast'!O$71*SUM('Calc|Opex forecast'!$J$54:$T$54),"")</f>
        <v>6.6025196801883651E-2</v>
      </c>
      <c r="O18" s="66">
        <f ca="1">IF('Calc|Opex forecast'!P103='Calc|Opex forecast'!P4,'Calc|Opex forecast'!P65/('Calc|Opex forecast'!P$62+'Calc|Opex forecast'!P$65-'Calc|Opex forecast'!P$68)*'Calc|Opex forecast'!P$71*SUM('Calc|Opex forecast'!$J$54:$T$54),"")</f>
        <v>0.12696752856148288</v>
      </c>
      <c r="P18" s="66">
        <f ca="1">IF('Calc|Opex forecast'!Q103='Calc|Opex forecast'!Q4,'Calc|Opex forecast'!Q65/('Calc|Opex forecast'!Q$62+'Calc|Opex forecast'!Q$65-'Calc|Opex forecast'!Q$68)*'Calc|Opex forecast'!Q$71*SUM('Calc|Opex forecast'!$J$54:$T$54),"")</f>
        <v>0.19904295042321341</v>
      </c>
      <c r="Q18" s="66">
        <f ca="1">IF('Calc|Opex forecast'!R103='Calc|Opex forecast'!R4,'Calc|Opex forecast'!R65/('Calc|Opex forecast'!R$62+'Calc|Opex forecast'!R$65-'Calc|Opex forecast'!R$68)*'Calc|Opex forecast'!R$71*SUM('Calc|Opex forecast'!$J$54:$T$54),"")</f>
        <v>0.28566899532511264</v>
      </c>
      <c r="R18" s="66" t="str">
        <f>IF('Calc|Opex forecast'!S103='Calc|Opex forecast'!S4,'Calc|Opex forecast'!S65/('Calc|Opex forecast'!S$62+'Calc|Opex forecast'!S$65-'Calc|Opex forecast'!S$68)*'Calc|Opex forecast'!S$71*SUM('Calc|Opex forecast'!$J$54:$T$54),"")</f>
        <v/>
      </c>
      <c r="S18" s="66" t="str">
        <f t="array" ref="S18">IF('Calc|Opex forecast'!T103='Calc|Opex forecast'!T4,(PRODUCT(1+'Calc|Opex forecast'!$J64:T64)-1)*PRODUCT(1-'Calc|Opex forecast'!$J67:T67)*SUM('Calc|Opex forecast'!$J$54:$S$54),"")</f>
        <v/>
      </c>
      <c r="T18" s="66"/>
      <c r="U18" s="190">
        <f t="shared" ca="1" si="3"/>
        <v>0.67770467111169252</v>
      </c>
      <c r="V18" s="189">
        <f t="shared" ca="1" si="0"/>
        <v>6.3295354988422911E-3</v>
      </c>
      <c r="W18" s="185"/>
      <c r="X18" s="66">
        <f ca="1">SUM($U$11:$U17)-AA18</f>
        <v>40.597024817128997</v>
      </c>
      <c r="Y18" s="66"/>
      <c r="Z18" s="66">
        <f t="shared" ca="1" si="1"/>
        <v>0.67770467111169252</v>
      </c>
      <c r="AA18" s="66">
        <f t="shared" ca="1" si="2"/>
        <v>0</v>
      </c>
      <c r="AB18" s="187"/>
      <c r="AC18" s="187"/>
      <c r="AD18" s="187"/>
      <c r="AE18" s="187"/>
      <c r="AF18" s="187"/>
      <c r="AG18" s="185"/>
      <c r="AH18" s="185"/>
      <c r="AI18" s="185"/>
      <c r="AJ18" s="185"/>
      <c r="AK18" s="185"/>
      <c r="AL18" s="185"/>
      <c r="AM18" s="185"/>
    </row>
    <row r="19" spans="1:39" ht="14.5">
      <c r="A19" s="185"/>
      <c r="B19" s="15" t="s">
        <v>199</v>
      </c>
      <c r="C19" s="16" t="s">
        <v>30</v>
      </c>
      <c r="D19" s="16" t="str">
        <f>'Calc|Opex forecast'!$E$8</f>
        <v>$millions</v>
      </c>
      <c r="E19" s="98">
        <f>'Calc|Opex forecast'!$F$8</f>
        <v>46174</v>
      </c>
      <c r="F19" s="16"/>
      <c r="G19" s="16"/>
      <c r="H19" s="16"/>
      <c r="I19" s="66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forecast'!O103='Calc|Opex forecast'!O4,-'Calc|Opex forecast'!O68/('Calc|Opex forecast'!O$62+'Calc|Opex forecast'!O$65-'Calc|Opex forecast'!O$68)*'Calc|Opex forecast'!O$71*SUM('Calc|Opex forecast'!$J$54:$T$54),"")</f>
        <v>0</v>
      </c>
      <c r="O19" s="66">
        <f ca="1">IF('Calc|Opex forecast'!P103='Calc|Opex forecast'!P4,-'Calc|Opex forecast'!P68/('Calc|Opex forecast'!P$62+'Calc|Opex forecast'!P$65-'Calc|Opex forecast'!P$68)*'Calc|Opex forecast'!P$71*SUM('Calc|Opex forecast'!$J$54:$T$54),"")</f>
        <v>-5.0325939405589971E-2</v>
      </c>
      <c r="P19" s="66">
        <f ca="1">IF('Calc|Opex forecast'!Q103='Calc|Opex forecast'!Q4,-'Calc|Opex forecast'!Q68/('Calc|Opex forecast'!Q$62+'Calc|Opex forecast'!Q$65-'Calc|Opex forecast'!Q$68)*'Calc|Opex forecast'!Q$71*SUM('Calc|Opex forecast'!$J$54:$T$54),"")</f>
        <v>-0.10021677717686293</v>
      </c>
      <c r="Q19" s="66">
        <f ca="1">IF('Calc|Opex forecast'!R103='Calc|Opex forecast'!R4,-'Calc|Opex forecast'!R68/('Calc|Opex forecast'!R$62+'Calc|Opex forecast'!R$65-'Calc|Opex forecast'!R$68)*'Calc|Opex forecast'!R$71*SUM('Calc|Opex forecast'!$J$54:$T$54),"")</f>
        <v>-0.14987760719066789</v>
      </c>
      <c r="R19" s="66" t="str">
        <f>IF('Calc|Opex forecast'!S103='Calc|Opex forecast'!S4,-'Calc|Opex forecast'!S68/('Calc|Opex forecast'!S$62+'Calc|Opex forecast'!S$65-'Calc|Opex forecast'!S$68)*'Calc|Opex forecast'!S$71*SUM('Calc|Opex forecast'!$J$54:$T$54),"")</f>
        <v/>
      </c>
      <c r="S19" s="66" t="str">
        <f t="array" ref="S19">IF('Calc|Opex forecast'!T103='Calc|Opex forecast'!T4,(PRODUCT(1-'Calc|Opex forecast'!$J67:T67)-1)*SUM('Calc|Opex forecast'!$J$54:$S$54),"")</f>
        <v/>
      </c>
      <c r="T19" s="66"/>
      <c r="U19" s="190">
        <f t="shared" ca="1" si="3"/>
        <v>-0.30042032377312078</v>
      </c>
      <c r="V19" s="189">
        <f t="shared" ca="1" si="0"/>
        <v>-2.7804253930321424E-3</v>
      </c>
      <c r="W19" s="192"/>
      <c r="X19" s="66">
        <f ca="1">SUM($U$11:$U18)-AA19</f>
        <v>40.97430916446757</v>
      </c>
      <c r="Y19" s="66"/>
      <c r="Z19" s="66">
        <f t="shared" ca="1" si="1"/>
        <v>0</v>
      </c>
      <c r="AA19" s="66">
        <f t="shared" ca="1" si="2"/>
        <v>0.30042032377312078</v>
      </c>
      <c r="AB19" s="187"/>
      <c r="AC19" s="187"/>
      <c r="AD19" s="187"/>
      <c r="AE19" s="187"/>
      <c r="AF19" s="187"/>
      <c r="AG19" s="185"/>
      <c r="AH19" s="185"/>
      <c r="AI19" s="185"/>
      <c r="AJ19" s="185"/>
      <c r="AK19" s="185"/>
      <c r="AL19" s="185"/>
      <c r="AM19" s="185"/>
    </row>
    <row r="20" spans="1:39" ht="14.5">
      <c r="A20" s="185"/>
      <c r="B20" s="15" t="s">
        <v>97</v>
      </c>
      <c r="C20" s="65" t="s">
        <v>193</v>
      </c>
      <c r="D20" s="16" t="str">
        <f>'Calc|Opex forecast'!$E$8</f>
        <v>$millions</v>
      </c>
      <c r="E20" s="98">
        <f>'Calc|Opex forecast'!$F$8</f>
        <v>46174</v>
      </c>
      <c r="F20" s="16"/>
      <c r="G20" s="16"/>
      <c r="H20" s="16"/>
      <c r="I20" s="66" t="str">
        <f>IF('Calc|Opex forecast'!J103='Calc|Opex forecast'!J4,'Calc|Opex forecast'!J87,"")</f>
        <v/>
      </c>
      <c r="J20" s="66" t="str">
        <f>IF('Calc|Opex forecast'!K103='Calc|Opex forecast'!K4,'Calc|Opex forecast'!K87,"")</f>
        <v/>
      </c>
      <c r="K20" s="66" t="str">
        <f>IF('Calc|Opex forecast'!L103='Calc|Opex forecast'!L4,'Calc|Opex forecast'!L87,"")</f>
        <v/>
      </c>
      <c r="L20" s="66" t="str">
        <f>IF('Calc|Opex forecast'!M103='Calc|Opex forecast'!M4,'Calc|Opex forecast'!M87,"")</f>
        <v/>
      </c>
      <c r="M20" s="66" t="str">
        <f>IF('Calc|Opex forecast'!N103='Calc|Opex forecast'!N4,'Calc|Opex forecast'!N87,"")</f>
        <v/>
      </c>
      <c r="N20" s="66">
        <f>IF('Calc|Opex forecast'!O103='Calc|Opex forecast'!O4,'Calc|Opex forecast'!O87,"")</f>
        <v>1.0086120000000001</v>
      </c>
      <c r="O20" s="66">
        <f>IF('Calc|Opex forecast'!P103='Calc|Opex forecast'!P4,'Calc|Opex forecast'!P87,"")</f>
        <v>1.0086120000000001</v>
      </c>
      <c r="P20" s="66">
        <f>IF('Calc|Opex forecast'!Q103='Calc|Opex forecast'!Q4,'Calc|Opex forecast'!Q87,"")</f>
        <v>1.0086120000000001</v>
      </c>
      <c r="Q20" s="66">
        <f>IF('Calc|Opex forecast'!R103='Calc|Opex forecast'!R4,'Calc|Opex forecast'!R87,"")</f>
        <v>1.0086120000000001</v>
      </c>
      <c r="R20" s="66" t="str">
        <f>IF('Calc|Opex forecast'!S103='Calc|Opex forecast'!S4,'Calc|Opex forecast'!S87,"")</f>
        <v/>
      </c>
      <c r="S20" s="66" t="str">
        <f>IF('Calc|Opex forecast'!T103='Calc|Opex forecast'!T4,'Calc|Opex forecast'!T87,"")</f>
        <v/>
      </c>
      <c r="T20" s="66"/>
      <c r="U20" s="70">
        <f t="shared" si="3"/>
        <v>4.0344480000000003</v>
      </c>
      <c r="V20" s="189">
        <f t="shared" ca="1" si="0"/>
        <v>3.8899944980108667E-2</v>
      </c>
      <c r="W20" s="193"/>
      <c r="X20" s="66">
        <f ca="1">SUM($U$11:$U19)-AA20</f>
        <v>40.97430916446757</v>
      </c>
      <c r="Y20" s="66"/>
      <c r="Z20" s="66">
        <f t="shared" si="1"/>
        <v>4.0344480000000003</v>
      </c>
      <c r="AA20" s="66">
        <f t="shared" si="2"/>
        <v>0</v>
      </c>
      <c r="AB20" s="187"/>
      <c r="AC20" s="187"/>
      <c r="AD20" s="187"/>
      <c r="AE20" s="187"/>
      <c r="AF20" s="187"/>
      <c r="AG20" s="185"/>
      <c r="AH20" s="185"/>
      <c r="AI20" s="185"/>
      <c r="AJ20" s="185"/>
      <c r="AK20" s="185"/>
      <c r="AL20" s="185"/>
      <c r="AM20" s="185"/>
    </row>
    <row r="21" spans="1:39" ht="14.5">
      <c r="A21" s="185"/>
      <c r="B21" s="15" t="s">
        <v>102</v>
      </c>
      <c r="C21" s="65" t="s">
        <v>193</v>
      </c>
      <c r="D21" s="16" t="str">
        <f>'Calc|Opex forecast'!$E$8</f>
        <v>$millions</v>
      </c>
      <c r="E21" s="98">
        <f>'Calc|Opex forecast'!$F$8</f>
        <v>46174</v>
      </c>
      <c r="F21" s="16"/>
      <c r="G21" s="16"/>
      <c r="H21" s="16"/>
      <c r="I21" s="66" t="str">
        <f>IF('Calc|Opex forecast'!J103='Calc|Opex forecast'!J4,'Calc|Opex forecast'!J99,"")</f>
        <v/>
      </c>
      <c r="J21" s="66" t="str">
        <f>IF('Calc|Opex forecast'!K103='Calc|Opex forecast'!K4,'Calc|Opex forecast'!K99,"")</f>
        <v/>
      </c>
      <c r="K21" s="66" t="str">
        <f>IF('Calc|Opex forecast'!L103='Calc|Opex forecast'!L4,'Calc|Opex forecast'!L99,"")</f>
        <v/>
      </c>
      <c r="L21" s="66" t="str">
        <f>IF('Calc|Opex forecast'!M103='Calc|Opex forecast'!M4,'Calc|Opex forecast'!M99,"")</f>
        <v/>
      </c>
      <c r="M21" s="66" t="str">
        <f>IF('Calc|Opex forecast'!N103='Calc|Opex forecast'!N4,'Calc|Opex forecast'!N99,"")</f>
        <v/>
      </c>
      <c r="N21" s="66">
        <f>IF('Calc|Opex forecast'!O103='Calc|Opex forecast'!O4,'Calc|Opex forecast'!O99,"")</f>
        <v>15.128405240210967</v>
      </c>
      <c r="O21" s="66">
        <f>IF('Calc|Opex forecast'!P103='Calc|Opex forecast'!P4,'Calc|Opex forecast'!P99,"")</f>
        <v>15.088246374447506</v>
      </c>
      <c r="P21" s="66">
        <f>IF('Calc|Opex forecast'!Q103='Calc|Opex forecast'!Q4,'Calc|Opex forecast'!Q99,"")</f>
        <v>15.261639313273088</v>
      </c>
      <c r="Q21" s="66">
        <f>IF('Calc|Opex forecast'!R103='Calc|Opex forecast'!R4,'Calc|Opex forecast'!R99,"")</f>
        <v>15.546404709009785</v>
      </c>
      <c r="R21" s="66" t="str">
        <f>IF('Calc|Opex forecast'!S103='Calc|Opex forecast'!S4,'Calc|Opex forecast'!S99,"")</f>
        <v/>
      </c>
      <c r="S21" s="66" t="str">
        <f>IF('Calc|Opex forecast'!T103='Calc|Opex forecast'!T4,'Calc|Opex forecast'!T99,"")</f>
        <v/>
      </c>
      <c r="T21" s="66"/>
      <c r="U21" s="70">
        <f t="shared" si="3"/>
        <v>61.024695636941345</v>
      </c>
      <c r="V21" s="189">
        <f t="shared" ca="1" si="0"/>
        <v>1.3060893885485119</v>
      </c>
      <c r="W21" s="193"/>
      <c r="X21" s="66">
        <f ca="1">SUM($U$11:$U20)-AA21</f>
        <v>45.008757164467568</v>
      </c>
      <c r="Y21" s="66"/>
      <c r="Z21" s="66">
        <f t="shared" si="1"/>
        <v>61.024695636941345</v>
      </c>
      <c r="AA21" s="66">
        <f t="shared" si="2"/>
        <v>0</v>
      </c>
      <c r="AB21" s="187"/>
      <c r="AC21" s="187"/>
      <c r="AD21" s="187"/>
      <c r="AE21" s="187"/>
      <c r="AF21" s="187"/>
      <c r="AG21" s="185"/>
      <c r="AH21" s="185"/>
      <c r="AI21" s="185"/>
      <c r="AJ21" s="185"/>
      <c r="AK21" s="185"/>
      <c r="AL21" s="185"/>
      <c r="AM21" s="185"/>
    </row>
    <row r="22" spans="1:39" ht="14.5">
      <c r="A22" s="185"/>
      <c r="B22" s="15" t="s">
        <v>39</v>
      </c>
      <c r="C22" s="65" t="s">
        <v>193</v>
      </c>
      <c r="D22" s="16" t="str">
        <f>'Calc|Opex forecast'!$E$8</f>
        <v>$millions</v>
      </c>
      <c r="E22" s="98">
        <f>'Calc|Opex forecast'!$F$8</f>
        <v>46174</v>
      </c>
      <c r="F22" s="16"/>
      <c r="G22" s="16"/>
      <c r="H22" s="16"/>
      <c r="I22" s="66" t="str">
        <f>IF('Calc|Opex forecast'!J103='Calc|Opex forecast'!J4,'Input|Step changes'!J40,"")</f>
        <v/>
      </c>
      <c r="J22" s="66" t="str">
        <f>IF('Calc|Opex forecast'!K103='Calc|Opex forecast'!K4,'Input|Step changes'!K40,"")</f>
        <v/>
      </c>
      <c r="K22" s="66" t="str">
        <f>IF('Calc|Opex forecast'!L103='Calc|Opex forecast'!L4,'Input|Step changes'!L40,"")</f>
        <v/>
      </c>
      <c r="L22" s="66" t="str">
        <f>IF('Calc|Opex forecast'!M103='Calc|Opex forecast'!M4,'Input|Step changes'!M40,"")</f>
        <v/>
      </c>
      <c r="M22" s="66" t="str">
        <f>IF('Calc|Opex forecast'!N103='Calc|Opex forecast'!N4,'Input|Step changes'!N40,"")</f>
        <v/>
      </c>
      <c r="N22" s="66">
        <f>IF('Calc|Opex forecast'!O103='Calc|Opex forecast'!O4,'Input|Step changes'!O40,"")</f>
        <v>0.44062207537039444</v>
      </c>
      <c r="O22" s="66">
        <f>IF('Calc|Opex forecast'!P103='Calc|Opex forecast'!P4,'Input|Step changes'!P40,"")</f>
        <v>0.4314275811084064</v>
      </c>
      <c r="P22" s="66">
        <f>IF('Calc|Opex forecast'!Q103='Calc|Opex forecast'!Q4,'Input|Step changes'!Q40,"")</f>
        <v>0.42437444089229664</v>
      </c>
      <c r="Q22" s="66">
        <f>IF('Calc|Opex forecast'!R103='Calc|Opex forecast'!R4,'Input|Step changes'!R40,"")</f>
        <v>0.41803398819833854</v>
      </c>
      <c r="R22" s="66" t="str">
        <f>IF('Calc|Opex forecast'!S103='Calc|Opex forecast'!S4,'Input|Step changes'!S40,"")</f>
        <v/>
      </c>
      <c r="S22" s="66" t="str">
        <f>IF('Calc|Opex forecast'!T103='Calc|Opex forecast'!T4,'Input|Step changes'!T40,"")</f>
        <v/>
      </c>
      <c r="T22" s="66"/>
      <c r="U22" s="70">
        <f t="shared" si="3"/>
        <v>1.714458085569436</v>
      </c>
      <c r="V22" s="189">
        <f t="shared" ca="1" si="0"/>
        <v>1.6169030058659516E-2</v>
      </c>
      <c r="W22" s="185"/>
      <c r="X22" s="66">
        <f ca="1">SUM($U$11:$U21)-AA22</f>
        <v>106.03345280140891</v>
      </c>
      <c r="Y22" s="66"/>
      <c r="Z22" s="66">
        <f t="shared" si="1"/>
        <v>1.714458085569436</v>
      </c>
      <c r="AA22" s="66">
        <f t="shared" si="2"/>
        <v>0</v>
      </c>
      <c r="AB22" s="187"/>
      <c r="AC22" s="187"/>
      <c r="AD22" s="187"/>
      <c r="AE22" s="187"/>
      <c r="AF22" s="187"/>
      <c r="AG22" s="185"/>
      <c r="AH22" s="185"/>
      <c r="AI22" s="185"/>
      <c r="AJ22" s="185"/>
      <c r="AK22" s="185"/>
      <c r="AL22" s="185"/>
      <c r="AM22" s="185"/>
    </row>
    <row r="23" spans="1:39" ht="14.5">
      <c r="A23" s="185"/>
      <c r="B23" s="15" t="s">
        <v>200</v>
      </c>
      <c r="C23" s="65" t="s">
        <v>193</v>
      </c>
      <c r="D23" s="16" t="str">
        <f>'Calc|Opex forecast'!$E$8</f>
        <v>$millions</v>
      </c>
      <c r="E23" s="98">
        <f>'Calc|Opex forecast'!$F$8</f>
        <v>46174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forecast'!O107</f>
        <v>26.792920716665495</v>
      </c>
      <c r="O23" s="66">
        <f ca="1">'Calc|Opex forecast'!P107</f>
        <v>26.754183748994052</v>
      </c>
      <c r="P23" s="66">
        <f ca="1">'Calc|Opex forecast'!Q107</f>
        <v>26.942708131693987</v>
      </c>
      <c r="Q23" s="66">
        <f ca="1">'Calc|Opex forecast'!R107</f>
        <v>27.258098289624819</v>
      </c>
      <c r="R23" s="66" t="str">
        <f>'Calc|Opex forecast'!S107</f>
        <v/>
      </c>
      <c r="S23" s="66" t="str">
        <f>'Calc|Opex forecast'!T107</f>
        <v/>
      </c>
      <c r="T23" s="66"/>
      <c r="U23" s="70">
        <f ca="1">SUM(I23:S23)</f>
        <v>107.74791088697836</v>
      </c>
      <c r="V23" s="81" t="str">
        <f ca="1">IF(ROUND(U23,6)=ROUND(SUM(U11:U22),6),"OK","Check")</f>
        <v>OK</v>
      </c>
      <c r="W23" s="185"/>
      <c r="X23" s="66"/>
      <c r="Y23" s="66">
        <f ca="1">U23</f>
        <v>107.74791088697836</v>
      </c>
      <c r="Z23" s="66"/>
      <c r="AA23" s="66"/>
      <c r="AB23" s="187"/>
      <c r="AC23" s="185"/>
      <c r="AD23" s="194"/>
      <c r="AE23" s="185"/>
      <c r="AF23" s="187"/>
      <c r="AG23" s="185"/>
      <c r="AH23" s="185"/>
      <c r="AI23" s="185"/>
      <c r="AJ23" s="185"/>
      <c r="AK23" s="185"/>
      <c r="AL23" s="185"/>
      <c r="AM23" s="185"/>
    </row>
    <row r="24" spans="1:39" ht="14.5">
      <c r="A24" s="185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89"/>
      <c r="W24" s="185"/>
      <c r="X24" s="187"/>
      <c r="Y24" s="187"/>
      <c r="Z24" s="187"/>
      <c r="AA24" s="187"/>
      <c r="AB24" s="187"/>
      <c r="AC24" s="187"/>
      <c r="AD24" s="187"/>
      <c r="AE24" s="187"/>
      <c r="AF24" s="187"/>
      <c r="AG24" s="185"/>
      <c r="AH24" s="185"/>
      <c r="AI24" s="185"/>
      <c r="AJ24" s="185"/>
      <c r="AK24" s="185"/>
      <c r="AL24" s="185"/>
      <c r="AM24" s="185"/>
    </row>
    <row r="25" spans="1:39" ht="14.5">
      <c r="A25" s="185"/>
      <c r="B25" s="195"/>
      <c r="C25" s="195"/>
      <c r="D25" s="195"/>
      <c r="E25" s="195"/>
      <c r="F25" s="16"/>
      <c r="G25" s="16"/>
      <c r="H25" s="16"/>
      <c r="I25" s="195"/>
      <c r="J25" s="195"/>
      <c r="K25" s="195"/>
      <c r="L25" s="195"/>
      <c r="M25" s="195"/>
      <c r="N25" s="185"/>
      <c r="O25" s="185"/>
      <c r="P25" s="185"/>
      <c r="Q25" s="185"/>
      <c r="R25" s="185"/>
      <c r="S25" s="185"/>
      <c r="T25" s="196"/>
      <c r="U25" s="197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</row>
    <row r="26" spans="1:39" ht="14.5">
      <c r="A26" s="185"/>
      <c r="B26" s="185"/>
      <c r="C26" s="185"/>
      <c r="D26" s="185"/>
      <c r="E26" s="185"/>
      <c r="F26" s="16"/>
      <c r="G26" s="16"/>
      <c r="H26" s="16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</row>
    <row r="27" spans="1:39" ht="14.5">
      <c r="A27" s="185"/>
      <c r="B27" s="185"/>
      <c r="C27" s="185"/>
      <c r="D27" s="185"/>
      <c r="E27" s="185"/>
      <c r="F27" s="16"/>
      <c r="G27" s="16"/>
      <c r="H27" s="16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</row>
    <row r="28" spans="1:39" ht="14.5">
      <c r="A28" s="185"/>
      <c r="B28" s="185"/>
      <c r="C28" s="185"/>
      <c r="D28" s="185"/>
      <c r="E28" s="185"/>
      <c r="F28" s="16"/>
      <c r="G28" s="16"/>
      <c r="H28" s="16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</row>
    <row r="29" spans="1:39" ht="14.5">
      <c r="A29" s="185"/>
      <c r="B29" s="185"/>
      <c r="C29" s="185"/>
      <c r="D29" s="185"/>
      <c r="E29" s="185"/>
      <c r="F29" s="16"/>
      <c r="G29" s="16"/>
      <c r="H29" s="16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</row>
    <row r="30" spans="1:39" ht="14.5">
      <c r="A30" s="185"/>
      <c r="B30" s="185"/>
      <c r="C30" s="185"/>
      <c r="D30" s="185"/>
      <c r="E30" s="185"/>
      <c r="F30" s="16"/>
      <c r="G30" s="16"/>
      <c r="H30" s="16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98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mergeCells count="1">
    <mergeCell ref="M2:R2"/>
  </mergeCells>
  <conditionalFormatting sqref="I9:S9 U9">
    <cfRule type="expression" dxfId="20" priority="12">
      <formula>I$88=I$4</formula>
    </cfRule>
  </conditionalFormatting>
  <conditionalFormatting sqref="I11:V22 I23:U23 I24:V24">
    <cfRule type="cellIs" dxfId="19" priority="9" operator="equal">
      <formula>0</formula>
    </cfRule>
  </conditionalFormatting>
  <conditionalFormatting sqref="V1">
    <cfRule type="cellIs" dxfId="18" priority="1" operator="equal">
      <formula>"Check"</formula>
    </cfRule>
    <cfRule type="cellIs" dxfId="17" priority="2" operator="equal">
      <formula>"Ok"</formula>
    </cfRule>
  </conditionalFormatting>
  <conditionalFormatting sqref="V23">
    <cfRule type="cellIs" dxfId="16" priority="7" operator="equal">
      <formula>"Check"</formula>
    </cfRule>
    <cfRule type="cellIs" dxfId="15" priority="8" operator="equal">
      <formula>"Ok"</formula>
    </cfRule>
  </conditionalFormatting>
  <conditionalFormatting sqref="X11:AA23">
    <cfRule type="cellIs" dxfId="14" priority="3" operator="equal">
      <formula>0</formula>
    </cfRule>
  </conditionalFormatting>
  <conditionalFormatting sqref="Y1">
    <cfRule type="cellIs" dxfId="13" priority="10" operator="equal">
      <formula>"Check"</formula>
    </cfRule>
    <cfRule type="cellIs" dxfId="12" priority="11" operator="equal">
      <formula>"Ok"</formula>
    </cfRule>
  </conditionalFormatting>
  <dataValidations disablePrompts="1"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3" workbookViewId="0">
      <selection activeCell="G12" sqref="G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1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2" t="s">
        <v>24</v>
      </c>
      <c r="V1" s="29" t="str">
        <f>'Check|List'!$S$1</f>
        <v>Check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176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177</v>
      </c>
      <c r="D8" s="16" t="s">
        <v>180</v>
      </c>
      <c r="E8" s="16"/>
      <c r="F8" s="16"/>
      <c r="G8" s="39" t="s">
        <v>177</v>
      </c>
    </row>
    <row r="9" spans="1:30">
      <c r="C9" s="15" t="s">
        <v>178</v>
      </c>
      <c r="D9" s="16" t="s">
        <v>180</v>
      </c>
      <c r="E9" s="16"/>
      <c r="F9" s="16"/>
      <c r="G9" s="39" t="s">
        <v>178</v>
      </c>
    </row>
    <row r="10" spans="1:30">
      <c r="C10" s="15" t="s">
        <v>179</v>
      </c>
      <c r="D10" s="16" t="s">
        <v>64</v>
      </c>
      <c r="E10" s="16"/>
      <c r="F10" s="16"/>
      <c r="G10" s="39" t="s">
        <v>179</v>
      </c>
      <c r="T10" s="17"/>
    </row>
    <row r="11" spans="1:30">
      <c r="C11" s="15" t="s">
        <v>181</v>
      </c>
      <c r="D11" s="16" t="s">
        <v>180</v>
      </c>
      <c r="E11" s="16"/>
      <c r="F11" s="16"/>
      <c r="G11" s="39" t="s">
        <v>181</v>
      </c>
    </row>
    <row r="12" spans="1:30">
      <c r="C12" s="15" t="s">
        <v>182</v>
      </c>
      <c r="D12" s="16" t="s">
        <v>64</v>
      </c>
      <c r="E12" s="16"/>
      <c r="F12" s="16"/>
      <c r="G12" s="39" t="s">
        <v>182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159</v>
      </c>
      <c r="D72" s="16" t="s">
        <v>93</v>
      </c>
      <c r="E72" s="20"/>
      <c r="F72" s="14"/>
      <c r="G72" s="106" t="str">
        <f>IF(H72="","",IF(MONTH(H72)=12,YEAR(H72),YEAR(H72)-1&amp;"–"&amp;RIGHT(YEAR(H72),2)))</f>
        <v>2020–21</v>
      </c>
      <c r="H72" s="107">
        <f>DATE(PPFirstYear-1,MONTH('Input|General'!$G$9),1)</f>
        <v>44348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2021–22</v>
      </c>
      <c r="H73" s="107">
        <f>DATE(PPFirstYear,MONTH('Input|General'!$G$9),1)</f>
        <v>44713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2022–23</v>
      </c>
      <c r="H74" s="107">
        <f>IF(PPLastYear-PPFirstYear&lt;1,"",DATE(PPFirstYear+1,MONTH('Input|General'!$G$9),1))</f>
        <v>45078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2023–24</v>
      </c>
      <c r="H75" s="107">
        <f>IF(PPLastYear-PPFirstYear&lt;2,"",DATE(PPFirstYear+2,MONTH('Input|General'!$G$9),1))</f>
        <v>45444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2024–25</v>
      </c>
      <c r="H76" s="107">
        <f>IF(PPLastYear-PPFirstYear&lt;3,"",DATE(PPFirstYear+3,MONTH('Input|General'!$G$9),1))</f>
        <v>45809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2025–26</v>
      </c>
      <c r="H77" s="107">
        <f>IF(PPLastYear-PPFirstYear&lt;4,"",DATE(PPFirstYear+4,MONTH('Input|General'!$G$9),1))</f>
        <v>46174</v>
      </c>
    </row>
    <row r="78" spans="1:30">
      <c r="C78" s="15" t="s">
        <v>161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2026–27</v>
      </c>
      <c r="H79" s="107">
        <f>DATE(FPFirstYear,MONTH('Input|General'!$G$9),1)</f>
        <v>46539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2027–28</v>
      </c>
      <c r="H80" s="107">
        <f>IF(FPLastYear-FPFirstYear&lt;1,"",DATE(FPFirstYear+1,MONTH('Input|General'!$G$9),1))</f>
        <v>46905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2028–29</v>
      </c>
      <c r="H81" s="107">
        <f>IF(FPLastYear-FPFirstYear&lt;2,"",DATE(FPFirstYear+2,MONTH('Input|General'!$G$9),1))</f>
        <v>47270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2029–30</v>
      </c>
      <c r="H82" s="107">
        <f>IF(FPLastYear-FPFirstYear&lt;3,"",DATE(FPFirstYear+3,MONTH('Input|General'!$G$9),1))</f>
        <v>47635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/>
      </c>
      <c r="H83" s="107" t="str">
        <f>IF(FPLastYear-FPFirstYear&lt;4,"",DATE(FPFirstYear+4,MONTH('Input|General'!$G$9),1))</f>
        <v/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1" priority="55" stopIfTrue="1">
      <formula>#REF!="Actual"</formula>
    </cfRule>
  </conditionalFormatting>
  <conditionalFormatting sqref="P68: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D12" sqref="D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1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2" t="s">
        <v>24</v>
      </c>
      <c r="S1" s="29" t="str">
        <f>IF(COUNTIF(G10:G16,"Check")=0,"Ok","Check")</f>
        <v>Check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03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20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03" t="str">
        <f t="shared" ref="D12:D16" si="0">C12</f>
        <v>Input | Reported opex</v>
      </c>
      <c r="E12" s="16" t="s">
        <v>28</v>
      </c>
      <c r="G12" s="18" t="str">
        <f>'Input|Reported opex'!S1</f>
        <v>Check</v>
      </c>
      <c r="H12" s="16"/>
      <c r="T12" s="17"/>
    </row>
    <row r="13" spans="1:30" ht="10.5">
      <c r="C13" s="15" t="str">
        <f>Index!C10</f>
        <v>Input | Rate of change</v>
      </c>
      <c r="D13" s="203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03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03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203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ae7821-a946-4260-8774-bcebb4263047" xsi:nil="true"/>
    <lcf76f155ced4ddcb4097134ff3c332f xmlns="22f559db-fd0e-4983-bd46-a36235db0a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F3C394-E34A-45C1-89B4-A87D2D67F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CA5EE2-5FEE-4A4D-846B-7C396A702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828EA7-22FD-4E03-8035-D4206B4853ED}">
  <ds:schemaRefs>
    <ds:schemaRef ds:uri="58ae7821-a946-4260-8774-bcebb4263047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2f559db-fd0e-4983-bd46-a36235db0ac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McSween, Conor</cp:lastModifiedBy>
  <dcterms:created xsi:type="dcterms:W3CDTF">2025-04-10T04:42:39Z</dcterms:created>
  <dcterms:modified xsi:type="dcterms:W3CDTF">2025-08-28T04:45:39Z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2025-04-10T05:03:56Z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97de3878-a0b0-4bbf-92f9-76f5ae5909ae</vt:lpwstr>
  </property>
  <property fmtid="{D5CDD505-2E9C-101B-9397-08002B2CF9AE}" pid="8" name="MSIP_Label_d9d5a995-dfdf-4407-9a97-edbbc68c9f53_ContentBits">
    <vt:lpwstr>0</vt:lpwstr>
  </property>
  <property fmtid="{D5CDD505-2E9C-101B-9397-08002B2CF9AE}" pid="9" name="ContentTypeId">
    <vt:lpwstr>0x01010044999E2DDF31A04D94AF06A952899FAD</vt:lpwstr>
  </property>
  <property fmtid="{D5CDD505-2E9C-101B-9397-08002B2CF9AE}" pid="10" name="MSIP_Label_b17cf72f-dc04-4766-87fe-c147305a620c_Enabled">
    <vt:lpwstr>true</vt:lpwstr>
  </property>
  <property fmtid="{D5CDD505-2E9C-101B-9397-08002B2CF9AE}" pid="11" name="MSIP_Label_b17cf72f-dc04-4766-87fe-c147305a620c_SetDate">
    <vt:lpwstr>2025-08-04T01:47:44Z</vt:lpwstr>
  </property>
  <property fmtid="{D5CDD505-2E9C-101B-9397-08002B2CF9AE}" pid="12" name="MSIP_Label_b17cf72f-dc04-4766-87fe-c147305a620c_Method">
    <vt:lpwstr>Privileged</vt:lpwstr>
  </property>
  <property fmtid="{D5CDD505-2E9C-101B-9397-08002B2CF9AE}" pid="13" name="MSIP_Label_b17cf72f-dc04-4766-87fe-c147305a620c_Name">
    <vt:lpwstr>Public</vt:lpwstr>
  </property>
  <property fmtid="{D5CDD505-2E9C-101B-9397-08002B2CF9AE}" pid="14" name="MSIP_Label_b17cf72f-dc04-4766-87fe-c147305a620c_SiteId">
    <vt:lpwstr>234ac309-c216-4661-a5ba-18879f6c4c75</vt:lpwstr>
  </property>
  <property fmtid="{D5CDD505-2E9C-101B-9397-08002B2CF9AE}" pid="15" name="MSIP_Label_b17cf72f-dc04-4766-87fe-c147305a620c_ActionId">
    <vt:lpwstr>3b1337ce-fdf1-4e71-9c0f-2495ec9868a5</vt:lpwstr>
  </property>
  <property fmtid="{D5CDD505-2E9C-101B-9397-08002B2CF9AE}" pid="16" name="MSIP_Label_b17cf72f-dc04-4766-87fe-c147305a620c_ContentBits">
    <vt:lpwstr>0</vt:lpwstr>
  </property>
  <property fmtid="{D5CDD505-2E9C-101B-9397-08002B2CF9AE}" pid="17" name="MSIP_Label_b17cf72f-dc04-4766-87fe-c147305a620c_Tag">
    <vt:lpwstr>10, 0, 1, 1</vt:lpwstr>
  </property>
  <property fmtid="{D5CDD505-2E9C-101B-9397-08002B2CF9AE}" pid="18" name="MediaServiceImageTags">
    <vt:lpwstr/>
  </property>
</Properties>
</file>