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marinuslink-my.sharepoint.com/personal/ben_wagner_marinuslink_com_au/Documents/Desktop/"/>
    </mc:Choice>
  </mc:AlternateContent>
  <xr:revisionPtr revIDLastSave="0" documentId="8_{78A70FDD-67FF-4E3E-AC27-8FFE898CC4F9}" xr6:coauthVersionLast="47" xr6:coauthVersionMax="47" xr10:uidLastSave="{00000000-0000-0000-0000-000000000000}"/>
  <bookViews>
    <workbookView xWindow="-12195" yWindow="-21600" windowWidth="26010" windowHeight="20985" xr2:uid="{A2D2B472-8820-456D-AE31-E2947906465D}"/>
  </bookViews>
  <sheets>
    <sheet name="Input data" sheetId="9" r:id="rId1"/>
    <sheet name="1. Non-concessional" sheetId="2" r:id="rId2"/>
    <sheet name="1b. Non-conc EqRaisCost Part B"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2" l="1"/>
  <c r="G31" i="2" s="1"/>
  <c r="G7" i="2"/>
  <c r="G24" i="9" l="1"/>
  <c r="K5" i="9" l="1"/>
  <c r="J5" i="9"/>
  <c r="I5" i="9"/>
  <c r="H5" i="9"/>
  <c r="F67" i="4" l="1"/>
  <c r="G67" i="4"/>
  <c r="H67" i="4"/>
  <c r="I67" i="4"/>
  <c r="J67" i="4"/>
  <c r="K67" i="4"/>
  <c r="E67" i="4"/>
  <c r="F45" i="9"/>
  <c r="I46" i="9" l="1"/>
  <c r="J46" i="9" s="1"/>
  <c r="L30" i="9" l="1"/>
  <c r="H19" i="2" l="1"/>
  <c r="I19" i="2"/>
  <c r="J19" i="2"/>
  <c r="K19" i="2"/>
  <c r="C74" i="4" l="1"/>
  <c r="C73" i="4"/>
  <c r="E24" i="4" l="1"/>
  <c r="F24" i="4"/>
  <c r="G24" i="4"/>
  <c r="H24" i="4"/>
  <c r="I24" i="4"/>
  <c r="J24" i="4"/>
  <c r="K24" i="4"/>
  <c r="E25" i="4"/>
  <c r="F25" i="4"/>
  <c r="G25" i="4"/>
  <c r="H25" i="4"/>
  <c r="I25" i="4"/>
  <c r="J25" i="4"/>
  <c r="K25" i="4"/>
  <c r="E26" i="4"/>
  <c r="F26" i="4"/>
  <c r="G26" i="4"/>
  <c r="H26" i="4"/>
  <c r="I26" i="4"/>
  <c r="J26" i="4"/>
  <c r="K26" i="4"/>
  <c r="F23" i="4"/>
  <c r="G23" i="4"/>
  <c r="H23" i="4"/>
  <c r="I23" i="4"/>
  <c r="J23" i="4"/>
  <c r="K23" i="4"/>
  <c r="E23" i="4"/>
  <c r="F18" i="4"/>
  <c r="G18" i="4"/>
  <c r="H18" i="4"/>
  <c r="I18" i="4"/>
  <c r="J18" i="4"/>
  <c r="K18" i="4"/>
  <c r="E18" i="4"/>
  <c r="F17" i="4"/>
  <c r="G17" i="4"/>
  <c r="H17" i="4"/>
  <c r="I17" i="4"/>
  <c r="J17" i="4"/>
  <c r="K17" i="4"/>
  <c r="E17" i="4"/>
  <c r="D33" i="2" l="1"/>
  <c r="E33" i="2"/>
  <c r="F33" i="2"/>
  <c r="G33" i="2"/>
  <c r="H33" i="2"/>
  <c r="I33" i="2"/>
  <c r="J33" i="2"/>
  <c r="K33" i="2"/>
  <c r="C33" i="2"/>
  <c r="F21" i="2" l="1"/>
  <c r="G21" i="2"/>
  <c r="H21" i="2"/>
  <c r="I21" i="2"/>
  <c r="J21" i="2"/>
  <c r="K21" i="2"/>
  <c r="E21" i="2"/>
  <c r="D32" i="2"/>
  <c r="F32" i="2"/>
  <c r="G32" i="2"/>
  <c r="H32" i="2"/>
  <c r="I32" i="2"/>
  <c r="J32" i="2"/>
  <c r="K32" i="2"/>
  <c r="E20" i="2" l="1"/>
  <c r="E32" i="2" s="1"/>
  <c r="H31" i="2" l="1"/>
  <c r="I31" i="2"/>
  <c r="J31" i="2"/>
  <c r="K31" i="2"/>
  <c r="G69" i="4" l="1"/>
  <c r="K69" i="4"/>
  <c r="F69" i="4"/>
  <c r="E68" i="4"/>
  <c r="G45" i="9"/>
  <c r="H69" i="4" l="1"/>
  <c r="F68" i="4"/>
  <c r="G68" i="4"/>
  <c r="H45" i="9"/>
  <c r="D15" i="9"/>
  <c r="E15" i="9"/>
  <c r="F15" i="9"/>
  <c r="C15" i="9"/>
  <c r="F43" i="4" l="1"/>
  <c r="H68" i="4"/>
  <c r="D12" i="2"/>
  <c r="D36" i="2" s="1"/>
  <c r="E12" i="2"/>
  <c r="F12" i="2"/>
  <c r="C12" i="2"/>
  <c r="C36" i="2" s="1"/>
  <c r="D11" i="2"/>
  <c r="D35" i="2" s="1"/>
  <c r="E11" i="2"/>
  <c r="F11" i="2"/>
  <c r="C11" i="2"/>
  <c r="C35" i="2" s="1"/>
  <c r="D10" i="2"/>
  <c r="D34" i="2" s="1"/>
  <c r="E10" i="2"/>
  <c r="F10" i="2"/>
  <c r="C10" i="2"/>
  <c r="C34" i="2" s="1"/>
  <c r="D13" i="2" l="1"/>
  <c r="C13" i="2"/>
  <c r="F13" i="2"/>
  <c r="E13" i="2"/>
  <c r="D37" i="2" l="1"/>
  <c r="F19" i="2"/>
  <c r="E19" i="2"/>
  <c r="E18" i="2"/>
  <c r="D9" i="2"/>
  <c r="E9" i="2"/>
  <c r="F9" i="2"/>
  <c r="C9" i="2"/>
  <c r="C8" i="2"/>
  <c r="C32" i="2" s="1"/>
  <c r="C6" i="2"/>
  <c r="C30" i="2" s="1"/>
  <c r="C37" i="2" l="1"/>
  <c r="F23" i="2"/>
  <c r="F35" i="2" s="1"/>
  <c r="G23" i="2"/>
  <c r="G35" i="2" s="1"/>
  <c r="I23" i="2"/>
  <c r="I35" i="2" s="1"/>
  <c r="H23" i="2"/>
  <c r="H35" i="2" s="1"/>
  <c r="E24" i="2"/>
  <c r="E36" i="2" s="1"/>
  <c r="K23" i="2"/>
  <c r="K35" i="2" s="1"/>
  <c r="J23" i="2"/>
  <c r="J35" i="2" s="1"/>
  <c r="E22" i="2" l="1"/>
  <c r="E34" i="2" s="1"/>
  <c r="D24" i="9"/>
  <c r="C24" i="9"/>
  <c r="E23" i="2" l="1"/>
  <c r="D7" i="2"/>
  <c r="D31" i="2" s="1"/>
  <c r="C7" i="2"/>
  <c r="E24" i="9"/>
  <c r="F24" i="9"/>
  <c r="E35" i="2" l="1"/>
  <c r="E11" i="4"/>
  <c r="E7" i="2"/>
  <c r="E31" i="2" s="1"/>
  <c r="C31" i="2"/>
  <c r="C14" i="2"/>
  <c r="E25" i="2"/>
  <c r="E26" i="2" s="1"/>
  <c r="F7" i="2"/>
  <c r="F31" i="2" l="1"/>
  <c r="E37" i="2"/>
  <c r="K29" i="4" l="1"/>
  <c r="J29" i="4"/>
  <c r="I29" i="4"/>
  <c r="H29" i="4"/>
  <c r="G29" i="4"/>
  <c r="F29" i="4"/>
  <c r="E29" i="4"/>
  <c r="I28" i="4"/>
  <c r="I30" i="4" s="1"/>
  <c r="I37" i="4" s="1"/>
  <c r="K27" i="4"/>
  <c r="K28" i="4" s="1"/>
  <c r="J27" i="4"/>
  <c r="J28" i="4" s="1"/>
  <c r="J30" i="4" s="1"/>
  <c r="J37" i="4" s="1"/>
  <c r="I27" i="4"/>
  <c r="H27" i="4"/>
  <c r="H28" i="4" s="1"/>
  <c r="G27" i="4"/>
  <c r="G28" i="4" s="1"/>
  <c r="F27" i="4"/>
  <c r="F28" i="4" s="1"/>
  <c r="E27" i="4"/>
  <c r="E28" i="4" s="1"/>
  <c r="L26" i="4"/>
  <c r="L25" i="4"/>
  <c r="L24" i="4"/>
  <c r="L23" i="4"/>
  <c r="K19" i="4"/>
  <c r="J19" i="4"/>
  <c r="I19" i="4"/>
  <c r="H19" i="4"/>
  <c r="G19" i="4"/>
  <c r="F19" i="4"/>
  <c r="E19" i="4"/>
  <c r="E46" i="4" s="1"/>
  <c r="L18" i="4"/>
  <c r="L17" i="4"/>
  <c r="E9" i="4"/>
  <c r="L9" i="4" s="1"/>
  <c r="H30" i="4" l="1"/>
  <c r="H37" i="4" s="1"/>
  <c r="G30" i="4"/>
  <c r="G37" i="4" s="1"/>
  <c r="K30" i="4"/>
  <c r="K37" i="4" s="1"/>
  <c r="F30" i="4"/>
  <c r="F37" i="4" s="1"/>
  <c r="L19" i="4"/>
  <c r="L29" i="4"/>
  <c r="L28" i="4"/>
  <c r="L27" i="4"/>
  <c r="G46" i="4"/>
  <c r="H46" i="4"/>
  <c r="G43" i="4"/>
  <c r="F46" i="4"/>
  <c r="H43" i="4"/>
  <c r="E30" i="4"/>
  <c r="L30" i="4" l="1"/>
  <c r="E37" i="4"/>
  <c r="L37" i="4" l="1"/>
  <c r="E43" i="4"/>
  <c r="F8" i="4" l="1"/>
  <c r="H8" i="4"/>
  <c r="E8" i="4"/>
  <c r="I8" i="4" l="1"/>
  <c r="E10" i="4"/>
  <c r="E7" i="4"/>
  <c r="J8" i="4"/>
  <c r="G8" i="4"/>
  <c r="K8" i="4"/>
  <c r="F18" i="2" l="1"/>
  <c r="L8" i="4"/>
  <c r="F22" i="2" l="1"/>
  <c r="F24" i="2"/>
  <c r="F36" i="2" s="1"/>
  <c r="F7" i="4"/>
  <c r="E12" i="4"/>
  <c r="F34" i="2" l="1"/>
  <c r="F11" i="4"/>
  <c r="F25" i="2"/>
  <c r="F26" i="2" s="1"/>
  <c r="F10" i="4"/>
  <c r="E34" i="4"/>
  <c r="E35" i="4" s="1"/>
  <c r="F37" i="2" l="1"/>
  <c r="F12" i="4"/>
  <c r="F34" i="4" s="1"/>
  <c r="F35" i="4" s="1"/>
  <c r="F36" i="4" s="1"/>
  <c r="F42" i="4" s="1"/>
  <c r="E36" i="4"/>
  <c r="C38" i="2" l="1"/>
  <c r="F38" i="4"/>
  <c r="E38" i="4"/>
  <c r="E42" i="4"/>
  <c r="D6" i="2"/>
  <c r="D14" i="2" s="1"/>
  <c r="D30" i="2" l="1"/>
  <c r="F44" i="4"/>
  <c r="E44" i="4"/>
  <c r="D38" i="2" l="1"/>
  <c r="E6" i="2"/>
  <c r="E14" i="2" s="1"/>
  <c r="F6" i="2" l="1"/>
  <c r="F14" i="2" s="1"/>
  <c r="E30" i="2"/>
  <c r="E38" i="2" s="1"/>
  <c r="G18" i="2" l="1"/>
  <c r="G30" i="2" s="1"/>
  <c r="F30" i="2"/>
  <c r="G22" i="2" l="1"/>
  <c r="G11" i="4" s="1"/>
  <c r="G24" i="2"/>
  <c r="G7" i="4"/>
  <c r="F38" i="2"/>
  <c r="G10" i="4" l="1"/>
  <c r="G36" i="2"/>
  <c r="G34" i="2"/>
  <c r="G25" i="2"/>
  <c r="G26" i="2" s="1"/>
  <c r="H18" i="2" s="1"/>
  <c r="H30" i="2" s="1"/>
  <c r="G12" i="4" l="1"/>
  <c r="G34" i="4" s="1"/>
  <c r="G35" i="4" s="1"/>
  <c r="G36" i="4" s="1"/>
  <c r="G38" i="4" s="1"/>
  <c r="H24" i="2"/>
  <c r="H7" i="4"/>
  <c r="H22" i="2"/>
  <c r="H11" i="4" s="1"/>
  <c r="G42" i="4" l="1"/>
  <c r="G44" i="4" s="1"/>
  <c r="H34" i="2"/>
  <c r="H10" i="4"/>
  <c r="H36" i="2"/>
  <c r="H25" i="2"/>
  <c r="H26" i="2" s="1"/>
  <c r="I18" i="2" s="1"/>
  <c r="I30" i="2" s="1"/>
  <c r="I22" i="2" l="1"/>
  <c r="I11" i="4" s="1"/>
  <c r="I24" i="2"/>
  <c r="I10" i="4" s="1"/>
  <c r="H12" i="4"/>
  <c r="H34" i="4" s="1"/>
  <c r="H35" i="4" s="1"/>
  <c r="H36" i="4" s="1"/>
  <c r="I7" i="4"/>
  <c r="G37" i="2"/>
  <c r="G38" i="2" l="1"/>
  <c r="I12" i="4"/>
  <c r="I34" i="4" s="1"/>
  <c r="I35" i="4" s="1"/>
  <c r="I25" i="2"/>
  <c r="I26" i="2" s="1"/>
  <c r="J18" i="2" s="1"/>
  <c r="J30" i="2" s="1"/>
  <c r="I34" i="2"/>
  <c r="I36" i="2"/>
  <c r="H38" i="4"/>
  <c r="H42" i="4"/>
  <c r="H44" i="4" s="1"/>
  <c r="I36" i="4" l="1"/>
  <c r="J22" i="2"/>
  <c r="J7" i="4"/>
  <c r="J24" i="2"/>
  <c r="J10" i="4" s="1"/>
  <c r="J34" i="2" l="1"/>
  <c r="J11" i="4"/>
  <c r="J12" i="4" s="1"/>
  <c r="J34" i="4" s="1"/>
  <c r="J35" i="4" s="1"/>
  <c r="I38" i="4"/>
  <c r="J36" i="2"/>
  <c r="J25" i="2"/>
  <c r="J26" i="2" s="1"/>
  <c r="K18" i="2" s="1"/>
  <c r="K30" i="2" s="1"/>
  <c r="H37" i="2"/>
  <c r="H38" i="2" s="1"/>
  <c r="K7" i="4" l="1"/>
  <c r="L7" i="4" s="1"/>
  <c r="K24" i="2"/>
  <c r="K36" i="2" s="1"/>
  <c r="K22" i="2"/>
  <c r="J36" i="4"/>
  <c r="K34" i="2" l="1"/>
  <c r="K11" i="4"/>
  <c r="L11" i="4" s="1"/>
  <c r="K25" i="2"/>
  <c r="K26" i="2" s="1"/>
  <c r="K10" i="4"/>
  <c r="L10" i="4" s="1"/>
  <c r="J38" i="4"/>
  <c r="K12" i="4" l="1"/>
  <c r="K34" i="4" s="1"/>
  <c r="K35" i="4" s="1"/>
  <c r="L35" i="4" s="1"/>
  <c r="L34" i="4" l="1"/>
  <c r="L12" i="4"/>
  <c r="I37" i="2"/>
  <c r="I38" i="2" s="1"/>
  <c r="K36" i="4"/>
  <c r="K38" i="4" l="1"/>
  <c r="L38" i="4" s="1"/>
  <c r="L36" i="4"/>
  <c r="J37" i="2" l="1"/>
  <c r="J38" i="2" s="1"/>
  <c r="K37" i="2" l="1"/>
  <c r="K38" i="2" s="1"/>
  <c r="J69" i="4" l="1"/>
  <c r="I69" i="4"/>
  <c r="I45" i="9" l="1"/>
  <c r="I68" i="4" l="1"/>
  <c r="J45" i="9"/>
  <c r="K45" i="9" l="1"/>
  <c r="K68" i="4" s="1"/>
  <c r="J68" i="4"/>
  <c r="I42" i="4"/>
  <c r="I46" i="4"/>
  <c r="I43" i="4"/>
  <c r="I44" i="4" l="1"/>
  <c r="J42" i="4"/>
  <c r="J43" i="4"/>
  <c r="J46" i="4"/>
  <c r="K43" i="4"/>
  <c r="K46" i="4"/>
  <c r="K42" i="4"/>
  <c r="L42" i="4" l="1"/>
  <c r="L46" i="4"/>
  <c r="L43" i="4"/>
  <c r="J44" i="4"/>
  <c r="K44" i="4"/>
  <c r="L44" i="4" l="1"/>
  <c r="L50" i="4" s="1"/>
  <c r="L51" i="4" l="1"/>
  <c r="L55" i="4" s="1"/>
  <c r="L54" i="4"/>
  <c r="L56" i="4" l="1"/>
  <c r="L62" i="4" s="1"/>
  <c r="L64" i="4" s="1"/>
  <c r="L65" i="4" s="1"/>
  <c r="I2" i="2" s="1"/>
  <c r="L5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Sward</author>
  </authors>
  <commentList>
    <comment ref="G44" authorId="0" shapeId="0" xr:uid="{6FE92E9D-EC93-48FE-A1A7-DFF6518418C3}">
      <text>
        <r>
          <rPr>
            <sz val="9"/>
            <color indexed="81"/>
            <rFont val="Tahoma"/>
            <family val="2"/>
          </rPr>
          <t>In the Part B Revenue Proposal MLPL proposed adopting inflation forecasts to December for each year for the purpose of calculating equity raising costs. The AER's Initial Draft Decision adopted inflation forecast for the year to June from 2025-26. As the majority of expenditure to be funded by equity is assumed to be in mid-year dollars, then MLPL considers inflation forecasts for the year to December are more appropriate for the use in calculating the equity raising costs</t>
        </r>
        <r>
          <rPr>
            <b/>
            <sz val="9"/>
            <color indexed="81"/>
            <rFont val="Tahoma"/>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8" authorId="0" shapeId="0" xr:uid="{35FE83A9-FA69-420C-9EB1-EE17E7830386}">
      <text>
        <r>
          <rPr>
            <b/>
            <sz val="9"/>
            <color indexed="81"/>
            <rFont val="Tahoma"/>
            <family val="2"/>
          </rPr>
          <t>The 2025-26 Opening RAB includes the Part A 2024-25 Early works Closing RAB.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9" authorId="0" shapeId="0" xr:uid="{659ACB99-8D8D-44BC-9C1C-9F2FF75337D3}">
      <text>
        <r>
          <rPr>
            <sz val="9"/>
            <color indexed="81"/>
            <rFont val="Tahoma"/>
            <family val="2"/>
          </rPr>
          <t xml:space="preserve">Value determined through iteration using Goal Seek function.  See cell G63.
</t>
        </r>
      </text>
    </comment>
    <comment ref="B25" authorId="0" shapeId="0" xr:uid="{906C0AFE-206A-4B11-8DC1-0C4D2DF3E8DA}">
      <text>
        <r>
          <rPr>
            <sz val="9"/>
            <color indexed="81"/>
            <rFont val="Tahoma"/>
            <family val="2"/>
          </rPr>
          <t xml:space="preserve">Interest payments are included in the Capitalised allowed return (Row 11), so a separate allowance is not required.
</t>
        </r>
      </text>
    </comment>
  </commentList>
</comments>
</file>

<file path=xl/sharedStrings.xml><?xml version="1.0" encoding="utf-8"?>
<sst xmlns="http://schemas.openxmlformats.org/spreadsheetml/2006/main" count="256" uniqueCount="125">
  <si>
    <t>Financing rates and information</t>
  </si>
  <si>
    <t>Non-concessional</t>
  </si>
  <si>
    <t>2021-22</t>
  </si>
  <si>
    <t>2022-23</t>
  </si>
  <si>
    <t>2023-24</t>
  </si>
  <si>
    <t>2024-25</t>
  </si>
  <si>
    <t>2025-26</t>
  </si>
  <si>
    <t>2026-27</t>
  </si>
  <si>
    <t>2027-28</t>
  </si>
  <si>
    <t>2028-29</t>
  </si>
  <si>
    <t>2029-30</t>
  </si>
  <si>
    <t>WACC</t>
  </si>
  <si>
    <t>Debt raising costs %</t>
  </si>
  <si>
    <t>Gearing (as per 2022 RORI)</t>
  </si>
  <si>
    <t>Part A decision - early works equity raising costs and allowed revenue</t>
  </si>
  <si>
    <t>$m nominal</t>
  </si>
  <si>
    <t>2030-31</t>
  </si>
  <si>
    <t>Part A decision equity raising costs</t>
  </si>
  <si>
    <t>Part A decision allowed return on Opening RAB</t>
  </si>
  <si>
    <t>Part A decision allowed return on annual expenditure and equity raising costs</t>
  </si>
  <si>
    <t>Part A decision debt raising costs</t>
  </si>
  <si>
    <t>Part A decision allowed return</t>
  </si>
  <si>
    <t>Early works updated actual and forecast expenditure and grant funding</t>
  </si>
  <si>
    <t>Actual as per Part A Decision</t>
  </si>
  <si>
    <t>Actual (updated from the Part A Decision forecast)</t>
  </si>
  <si>
    <t>Forecast (updated from the Part A Decision forecast)</t>
  </si>
  <si>
    <t>Opening RAB 1 July 2021</t>
  </si>
  <si>
    <t>Expenditure</t>
  </si>
  <si>
    <t>Grant funding</t>
  </si>
  <si>
    <t>Net expenditure</t>
  </si>
  <si>
    <t>Construction costs (to 30 June 2030)</t>
  </si>
  <si>
    <t>Construction costs forecast</t>
  </si>
  <si>
    <t>Total</t>
  </si>
  <si>
    <t>Construction costs Opening RAB</t>
  </si>
  <si>
    <t>Construction expenditure</t>
  </si>
  <si>
    <r>
      <t xml:space="preserve">Equity raising costs inputs </t>
    </r>
    <r>
      <rPr>
        <b/>
        <sz val="12"/>
        <color theme="4"/>
        <rFont val="Calibri"/>
        <family val="2"/>
        <scheme val="minor"/>
      </rPr>
      <t>(these are all zero because revenue will not be recovered from customers until the link is operational in 2030-31, ie after the first regulatory period)</t>
    </r>
  </si>
  <si>
    <t>Tax Payable</t>
  </si>
  <si>
    <t>Dividends</t>
  </si>
  <si>
    <t>Revenue (smoothed)</t>
  </si>
  <si>
    <t>Opex</t>
  </si>
  <si>
    <t>Interest Payment</t>
  </si>
  <si>
    <t>Revenue Adjustments</t>
  </si>
  <si>
    <t>Equity raising cost inflation forecasts</t>
  </si>
  <si>
    <t>CPI</t>
  </si>
  <si>
    <t xml:space="preserve">Index (ABS actual and forecast calculated) </t>
  </si>
  <si>
    <t>% change</t>
  </si>
  <si>
    <t>Equity raising cost rate assumptions</t>
  </si>
  <si>
    <t>Dividend Reinvestment Plan Costs</t>
  </si>
  <si>
    <t>DRPC</t>
  </si>
  <si>
    <t>Subsequent Equity Raising Costs of 3.00%</t>
  </si>
  <si>
    <t>SEO</t>
  </si>
  <si>
    <t>Non-concessional RAB roll forward including capitalised return on capital to 30 June 2030</t>
  </si>
  <si>
    <t>Equity raising costs check</t>
  </si>
  <si>
    <t>Part A - Early works</t>
  </si>
  <si>
    <t>Opening RAB</t>
  </si>
  <si>
    <t>Expenditure net of grant funding</t>
  </si>
  <si>
    <t>Allowed rate of return</t>
  </si>
  <si>
    <t>Maximum allowed revenue</t>
  </si>
  <si>
    <t>Closing RAB</t>
  </si>
  <si>
    <t>Part B - Construction costs</t>
  </si>
  <si>
    <t>Part B equity raising costs</t>
  </si>
  <si>
    <t>Part B allowed return on Opening RAB</t>
  </si>
  <si>
    <t>Part B allowed return on annual expenditure and equity raising costs</t>
  </si>
  <si>
    <t>Part B debt raising costs</t>
  </si>
  <si>
    <t>Part A and Part B combined</t>
  </si>
  <si>
    <t>Equity raising costs</t>
  </si>
  <si>
    <t>Allowed return on Opening RAB</t>
  </si>
  <si>
    <t>Allowed return on annual expenditure and equity raising costs</t>
  </si>
  <si>
    <t>Debt raising costs</t>
  </si>
  <si>
    <t>MLPL Equity Raising Costs Calculation</t>
  </si>
  <si>
    <t xml:space="preserve">Please note:  Inputs are contained in yellow shaded cells. </t>
  </si>
  <si>
    <t>Year</t>
  </si>
  <si>
    <t>RAB and Expenditure ($m Nominal)</t>
  </si>
  <si>
    <t>Equity raising costs (see cell G61)</t>
  </si>
  <si>
    <t>Capitalised allowed return</t>
  </si>
  <si>
    <t>Total expenditure including capitalised allowed return</t>
  </si>
  <si>
    <t>Expenditure Rate</t>
  </si>
  <si>
    <t>na</t>
  </si>
  <si>
    <t>Dividend Assessment ($m Nominal)</t>
  </si>
  <si>
    <t>Dividend Reinvestment</t>
  </si>
  <si>
    <t>Benchmark Cash Flows ($m Nominal)</t>
  </si>
  <si>
    <t>Internal Cash Flow</t>
  </si>
  <si>
    <t>Retained Cash Flow (excl. dividend reinvestment)</t>
  </si>
  <si>
    <t>Benchmark Expenditure Funding ($m Nominal)</t>
  </si>
  <si>
    <t>Expenditure Funding Requirement</t>
  </si>
  <si>
    <t>Debt Component</t>
  </si>
  <si>
    <t>Equity Component</t>
  </si>
  <si>
    <t>Equity Requirement (SEO)</t>
  </si>
  <si>
    <t>Benchmark Expenditure Funding ($m Real Dec 2023)</t>
  </si>
  <si>
    <t>Equity Requirement</t>
  </si>
  <si>
    <t>Equity Raising Costs ($m Real Dec 2023)</t>
  </si>
  <si>
    <t>Dividend Reinvestment Plan Requirement</t>
  </si>
  <si>
    <t>External Equity (SEO) Requirement</t>
  </si>
  <si>
    <t>Total Equity Requirement</t>
  </si>
  <si>
    <t>External Equity Raising (SEO) Costs</t>
  </si>
  <si>
    <t>Total Equity Raising Costs</t>
  </si>
  <si>
    <t>Detailed calculations and assumptions</t>
  </si>
  <si>
    <t>Iterative calculation of Equity Raising cost allowance</t>
  </si>
  <si>
    <t>Total Equity Raising Costs as calculated above</t>
  </si>
  <si>
    <t>Equity raising cost allowance required (determined by Goal Seek)</t>
  </si>
  <si>
    <t>Difference</t>
  </si>
  <si>
    <t xml:space="preserve">Difference = </t>
  </si>
  <si>
    <t>Consumer Price Index, actual and forecast</t>
  </si>
  <si>
    <t xml:space="preserve">Index (ABS actual and RBA forecast) </t>
  </si>
  <si>
    <t>Early works expenditure and grant funding</t>
  </si>
  <si>
    <t>&lt;- AER Goal seek for zero difference</t>
  </si>
  <si>
    <t>Dec-23
(Actual)</t>
  </si>
  <si>
    <t>Dec-24 
(Actual)</t>
  </si>
  <si>
    <t>MLPL amendments/updates from Initial Draft Decision</t>
  </si>
  <si>
    <t>Forecast</t>
  </si>
  <si>
    <t>Formula amended in 2025-26 so as not to double count the deferred early works grant funding which has already been included in the net construction costs expenditure</t>
  </si>
  <si>
    <t>Updated forecast</t>
  </si>
  <si>
    <t>Updated forecast and deferred early works grant funding to 2025-26</t>
  </si>
  <si>
    <t>Updated data based on the RBA May 2025 Statement on Monetary Policy</t>
  </si>
  <si>
    <t>Formula in 2025-26 amended to include the deferred early works grant funding so that it's included in the RAB roll forward and revenue calculations</t>
  </si>
  <si>
    <t>Recalculated in "1b. Non-conc EqRaisCost Part B" tab</t>
  </si>
  <si>
    <t>Minor amendment due to actual December 2024 CPI update in the Part A Decision</t>
  </si>
  <si>
    <t>Dec 25
(Forecast)</t>
  </si>
  <si>
    <t>Dec 26
(Forecast)</t>
  </si>
  <si>
    <t>Dec 27 
(Forecast)</t>
  </si>
  <si>
    <t>Dec 28 
(Forecast)</t>
  </si>
  <si>
    <t>Dec 29 
(Forecast)</t>
  </si>
  <si>
    <t>Amended from the Initial Draft Decision so as to use inflation forecasts to December of each year</t>
  </si>
  <si>
    <t>See the note in the "Input data" tab. Forecasts to December for each year have been proposed instead of the AER's Initial Draft Decision use of year to June forecasts.</t>
  </si>
  <si>
    <t>2025-26 reflects deferred early works grant funding now to be received in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</si>
</sst>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0.0"/>
    <numFmt numFmtId="166" formatCode="0.0"/>
    <numFmt numFmtId="167" formatCode="0.000%"/>
    <numFmt numFmtId="168" formatCode="0.000000000000"/>
    <numFmt numFmtId="169" formatCode="0.0;\-0.0;0.0;@"/>
    <numFmt numFmtId="170" formatCode="[$$-C09]#,##0.00"/>
    <numFmt numFmtId="171" formatCode="_-* #,##0.0_-;\-* #,##0.0_-;_-* &quot;-&quot;?_-;_-@_-"/>
    <numFmt numFmtId="172" formatCode="0.0000000"/>
    <numFmt numFmtId="173" formatCode="_-* #,##0.00_-;\-* #,##0.00_-;_-* &quot;-&quot;?_-;_-@_-"/>
    <numFmt numFmtId="174" formatCode="_-* #,##0.00000000000000_-;\-* #,##0.00000000000000_-;_-* &quot;-&quot;?_-;_-@_-"/>
    <numFmt numFmtId="175" formatCode="0.000000000"/>
    <numFmt numFmtId="176" formatCode="0.0000000000"/>
  </numFmts>
  <fonts count="20" x14ac:knownFonts="1">
    <font>
      <sz val="11"/>
      <color theme="1"/>
      <name val="Calibri"/>
      <family val="2"/>
      <scheme val="minor"/>
    </font>
    <font>
      <b/>
      <sz val="11"/>
      <color theme="1"/>
      <name val="Calibri"/>
      <family val="2"/>
      <scheme val="minor"/>
    </font>
    <font>
      <b/>
      <sz val="20"/>
      <color theme="4"/>
      <name val="Calibri"/>
      <family val="2"/>
      <scheme val="minor"/>
    </font>
    <font>
      <sz val="11"/>
      <color theme="1"/>
      <name val="Calibri"/>
      <family val="2"/>
      <scheme val="minor"/>
    </font>
    <font>
      <sz val="10"/>
      <name val="Arial"/>
      <family val="2"/>
    </font>
    <font>
      <sz val="10"/>
      <color theme="1"/>
      <name val="Arial"/>
      <family val="2"/>
    </font>
    <font>
      <b/>
      <sz val="10"/>
      <color theme="1"/>
      <name val="Arial"/>
      <family val="2"/>
    </font>
    <font>
      <b/>
      <sz val="10"/>
      <name val="Arial"/>
      <family val="2"/>
    </font>
    <font>
      <sz val="10"/>
      <color rgb="FFFF0000"/>
      <name val="Arial"/>
      <family val="2"/>
    </font>
    <font>
      <sz val="9"/>
      <color indexed="81"/>
      <name val="Tahoma"/>
      <family val="2"/>
    </font>
    <font>
      <sz val="8"/>
      <name val="Arial"/>
      <family val="2"/>
    </font>
    <font>
      <b/>
      <sz val="16"/>
      <color theme="4"/>
      <name val="Calibri"/>
      <family val="2"/>
      <scheme val="minor"/>
    </font>
    <font>
      <b/>
      <sz val="11"/>
      <color rgb="FFFF0000"/>
      <name val="Calibri"/>
      <family val="2"/>
      <scheme val="minor"/>
    </font>
    <font>
      <b/>
      <sz val="9"/>
      <color indexed="81"/>
      <name val="Tahoma"/>
      <family val="2"/>
    </font>
    <font>
      <i/>
      <sz val="11"/>
      <color theme="1"/>
      <name val="Calibri"/>
      <family val="2"/>
      <scheme val="minor"/>
    </font>
    <font>
      <b/>
      <sz val="12"/>
      <color theme="4"/>
      <name val="Calibri"/>
      <family val="2"/>
      <scheme val="minor"/>
    </font>
    <font>
      <sz val="11"/>
      <color rgb="FFFF0000"/>
      <name val="Calibri"/>
      <family val="2"/>
      <scheme val="minor"/>
    </font>
    <font>
      <b/>
      <sz val="11"/>
      <color theme="1"/>
      <name val="Arial"/>
      <family val="2"/>
    </font>
    <font>
      <sz val="11"/>
      <name val="Arial"/>
      <family val="2"/>
    </font>
    <font>
      <sz val="8"/>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rgb="FFFFCC99"/>
        <bgColor indexed="64"/>
      </patternFill>
    </fill>
    <fill>
      <patternFill patternType="lightTrellis">
        <fgColor theme="0" tint="-0.14990691854609822"/>
        <bgColor indexed="65"/>
      </patternFill>
    </fill>
    <fill>
      <patternFill patternType="lightTrellis">
        <fgColor theme="0" tint="-0.14990691854609822"/>
        <bgColor theme="0" tint="-0.14999847407452621"/>
      </patternFill>
    </fill>
    <fill>
      <patternFill patternType="solid">
        <fgColor theme="4" tint="0.59999389629810485"/>
        <bgColor indexed="64"/>
      </patternFill>
    </fill>
  </fills>
  <borders count="44">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auto="1"/>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bottom style="medium">
        <color auto="1"/>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diagonal/>
    </border>
    <border>
      <left style="thin">
        <color indexed="23"/>
      </left>
      <right/>
      <top style="thin">
        <color indexed="23"/>
      </top>
      <bottom/>
      <diagonal/>
    </border>
    <border>
      <left/>
      <right/>
      <top style="thin">
        <color indexed="23"/>
      </top>
      <bottom/>
      <diagonal/>
    </border>
    <border>
      <left/>
      <right style="medium">
        <color indexed="64"/>
      </right>
      <top style="thin">
        <color indexed="23"/>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theme="0" tint="-0.499984740745262"/>
      </top>
      <bottom/>
      <diagonal/>
    </border>
    <border>
      <left style="thin">
        <color theme="0" tint="-0.499984740745262"/>
      </left>
      <right style="medium">
        <color indexed="64"/>
      </right>
      <top style="thin">
        <color theme="0" tint="-0.499984740745262"/>
      </top>
      <bottom/>
      <diagonal/>
    </border>
    <border>
      <left style="thin">
        <color indexed="23"/>
      </left>
      <right style="medium">
        <color indexed="64"/>
      </right>
      <top style="thin">
        <color indexed="23"/>
      </top>
      <bottom/>
      <diagonal/>
    </border>
    <border>
      <left style="thin">
        <color indexed="64"/>
      </left>
      <right style="thin">
        <color indexed="64"/>
      </right>
      <top style="medium">
        <color indexed="64"/>
      </top>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bottom style="medium">
        <color auto="1"/>
      </bottom>
      <diagonal/>
    </border>
  </borders>
  <cellStyleXfs count="3">
    <xf numFmtId="0" fontId="0" fillId="0" borderId="0"/>
    <xf numFmtId="9" fontId="3" fillId="0" borderId="0" applyFont="0" applyFill="0" applyBorder="0" applyAlignment="0" applyProtection="0"/>
    <xf numFmtId="0" fontId="4" fillId="0" borderId="0"/>
  </cellStyleXfs>
  <cellXfs count="222">
    <xf numFmtId="0" fontId="0" fillId="0" borderId="0" xfId="0"/>
    <xf numFmtId="165" fontId="0" fillId="0" borderId="0" xfId="0" applyNumberFormat="1"/>
    <xf numFmtId="0" fontId="1" fillId="0" borderId="0" xfId="0" applyFont="1" applyAlignment="1">
      <alignment horizontal="right"/>
    </xf>
    <xf numFmtId="0" fontId="1" fillId="2" borderId="5" xfId="0" applyFont="1" applyFill="1" applyBorder="1" applyAlignment="1">
      <alignment horizontal="right"/>
    </xf>
    <xf numFmtId="0" fontId="1" fillId="2" borderId="6" xfId="0" applyFont="1" applyFill="1" applyBorder="1" applyAlignment="1">
      <alignment horizontal="right"/>
    </xf>
    <xf numFmtId="166" fontId="0" fillId="0" borderId="0" xfId="0" applyNumberFormat="1"/>
    <xf numFmtId="0" fontId="0" fillId="0" borderId="0" xfId="0" applyAlignment="1">
      <alignment horizontal="right"/>
    </xf>
    <xf numFmtId="0" fontId="0" fillId="0" borderId="3" xfId="0" applyBorder="1" applyAlignment="1">
      <alignment horizontal="right"/>
    </xf>
    <xf numFmtId="0" fontId="0" fillId="0" borderId="10" xfId="0" applyBorder="1"/>
    <xf numFmtId="0" fontId="1" fillId="0" borderId="3" xfId="0" applyFont="1" applyBorder="1" applyAlignment="1">
      <alignment horizontal="right"/>
    </xf>
    <xf numFmtId="0" fontId="0" fillId="0" borderId="1" xfId="0" applyBorder="1" applyAlignment="1">
      <alignment horizontal="right"/>
    </xf>
    <xf numFmtId="0" fontId="0" fillId="0" borderId="11" xfId="0" applyBorder="1"/>
    <xf numFmtId="0" fontId="0" fillId="0" borderId="12" xfId="0" applyBorder="1"/>
    <xf numFmtId="166" fontId="0" fillId="0" borderId="13" xfId="0" applyNumberFormat="1" applyBorder="1"/>
    <xf numFmtId="0" fontId="0" fillId="0" borderId="13" xfId="0" applyBorder="1"/>
    <xf numFmtId="166" fontId="0" fillId="0" borderId="7" xfId="0" applyNumberFormat="1" applyBorder="1"/>
    <xf numFmtId="0" fontId="0" fillId="0" borderId="14" xfId="0" applyBorder="1"/>
    <xf numFmtId="0" fontId="0" fillId="0" borderId="7" xfId="0" applyBorder="1"/>
    <xf numFmtId="0" fontId="1" fillId="0" borderId="9" xfId="0" applyFont="1" applyBorder="1" applyAlignment="1">
      <alignment horizontal="right"/>
    </xf>
    <xf numFmtId="0" fontId="0" fillId="0" borderId="9" xfId="0" applyBorder="1" applyAlignment="1">
      <alignment horizontal="right"/>
    </xf>
    <xf numFmtId="0" fontId="1" fillId="0" borderId="1" xfId="0" applyFont="1" applyBorder="1" applyAlignment="1">
      <alignment horizontal="right"/>
    </xf>
    <xf numFmtId="165" fontId="0" fillId="0" borderId="11" xfId="0" applyNumberFormat="1" applyBorder="1"/>
    <xf numFmtId="0" fontId="1" fillId="2" borderId="15" xfId="0" applyFont="1" applyFill="1" applyBorder="1" applyAlignment="1">
      <alignment horizontal="right"/>
    </xf>
    <xf numFmtId="10" fontId="0" fillId="0" borderId="13" xfId="0" applyNumberFormat="1" applyBorder="1"/>
    <xf numFmtId="0" fontId="1" fillId="0" borderId="10" xfId="0" applyFont="1" applyBorder="1" applyAlignment="1">
      <alignment horizontal="right"/>
    </xf>
    <xf numFmtId="0" fontId="0" fillId="0" borderId="12" xfId="0" applyBorder="1" applyAlignment="1">
      <alignment horizontal="right"/>
    </xf>
    <xf numFmtId="165" fontId="0" fillId="0" borderId="12" xfId="0" applyNumberFormat="1" applyBorder="1"/>
    <xf numFmtId="165" fontId="0" fillId="0" borderId="19" xfId="0" applyNumberFormat="1" applyBorder="1"/>
    <xf numFmtId="0" fontId="2" fillId="0" borderId="4" xfId="0" applyFont="1" applyBorder="1" applyAlignment="1">
      <alignment horizontal="center"/>
    </xf>
    <xf numFmtId="0" fontId="0" fillId="0" borderId="21" xfId="0" applyBorder="1" applyAlignment="1">
      <alignment horizontal="right"/>
    </xf>
    <xf numFmtId="165" fontId="1" fillId="0" borderId="2" xfId="0" applyNumberFormat="1" applyFont="1" applyBorder="1"/>
    <xf numFmtId="165" fontId="1" fillId="0" borderId="12" xfId="0" applyNumberFormat="1" applyFont="1" applyBorder="1"/>
    <xf numFmtId="165" fontId="1" fillId="0" borderId="13" xfId="0" applyNumberFormat="1" applyFont="1" applyBorder="1"/>
    <xf numFmtId="0" fontId="2" fillId="0" borderId="0" xfId="0" applyFont="1" applyAlignment="1">
      <alignment horizontal="left"/>
    </xf>
    <xf numFmtId="165" fontId="1" fillId="0" borderId="19" xfId="0" applyNumberFormat="1" applyFont="1" applyBorder="1"/>
    <xf numFmtId="165" fontId="1" fillId="0" borderId="7" xfId="0" applyNumberFormat="1" applyFont="1" applyBorder="1"/>
    <xf numFmtId="0" fontId="1" fillId="0" borderId="4" xfId="0" applyFont="1" applyBorder="1" applyAlignment="1">
      <alignment horizontal="right"/>
    </xf>
    <xf numFmtId="0" fontId="5" fillId="0" borderId="0" xfId="0" applyFont="1"/>
    <xf numFmtId="0" fontId="5" fillId="0" borderId="0" xfId="0" applyFont="1" applyAlignment="1">
      <alignment wrapText="1"/>
    </xf>
    <xf numFmtId="0" fontId="6" fillId="0" borderId="9" xfId="0" applyFont="1" applyBorder="1"/>
    <xf numFmtId="0" fontId="5" fillId="0" borderId="24" xfId="0" applyFont="1" applyBorder="1"/>
    <xf numFmtId="0" fontId="5" fillId="0" borderId="25" xfId="0" applyFont="1" applyBorder="1"/>
    <xf numFmtId="0" fontId="5" fillId="3" borderId="0" xfId="0" applyFont="1" applyFill="1"/>
    <xf numFmtId="0" fontId="5" fillId="0" borderId="3" xfId="0" applyFont="1" applyBorder="1"/>
    <xf numFmtId="0" fontId="5" fillId="0" borderId="10" xfId="0" applyFont="1" applyBorder="1"/>
    <xf numFmtId="0" fontId="7" fillId="4" borderId="18" xfId="0" applyFont="1" applyFill="1" applyBorder="1"/>
    <xf numFmtId="0" fontId="7" fillId="4" borderId="16" xfId="0" applyFont="1" applyFill="1" applyBorder="1" applyAlignment="1">
      <alignment horizontal="right"/>
    </xf>
    <xf numFmtId="0" fontId="7" fillId="4" borderId="17" xfId="0" applyFont="1" applyFill="1" applyBorder="1" applyAlignment="1">
      <alignment horizontal="right"/>
    </xf>
    <xf numFmtId="0" fontId="7" fillId="5" borderId="18" xfId="0" applyFont="1" applyFill="1" applyBorder="1"/>
    <xf numFmtId="0" fontId="7" fillId="5" borderId="16" xfId="0" applyFont="1" applyFill="1" applyBorder="1" applyAlignment="1">
      <alignment horizontal="right"/>
    </xf>
    <xf numFmtId="0" fontId="7" fillId="5" borderId="17" xfId="0" applyFont="1" applyFill="1" applyBorder="1" applyAlignment="1">
      <alignment horizontal="right"/>
    </xf>
    <xf numFmtId="0" fontId="7" fillId="0" borderId="3" xfId="0" applyFont="1" applyBorder="1"/>
    <xf numFmtId="0" fontId="7" fillId="0" borderId="0" xfId="0" applyFont="1" applyAlignment="1">
      <alignment horizontal="right"/>
    </xf>
    <xf numFmtId="0" fontId="7" fillId="0" borderId="10" xfId="0" applyFont="1" applyBorder="1" applyAlignment="1">
      <alignment horizontal="right"/>
    </xf>
    <xf numFmtId="0" fontId="6" fillId="0" borderId="3" xfId="0" applyFont="1" applyBorder="1"/>
    <xf numFmtId="164" fontId="6" fillId="0" borderId="0" xfId="0" applyNumberFormat="1" applyFont="1"/>
    <xf numFmtId="164" fontId="6" fillId="0" borderId="10" xfId="0" applyNumberFormat="1" applyFont="1" applyBorder="1"/>
    <xf numFmtId="0" fontId="5" fillId="0" borderId="3" xfId="0" applyFont="1" applyBorder="1" applyAlignment="1">
      <alignment horizontal="left" indent="2"/>
    </xf>
    <xf numFmtId="164" fontId="5" fillId="0" borderId="0" xfId="0" applyNumberFormat="1" applyFont="1"/>
    <xf numFmtId="164" fontId="5" fillId="0" borderId="10" xfId="0" applyNumberFormat="1" applyFont="1" applyBorder="1"/>
    <xf numFmtId="0" fontId="5" fillId="0" borderId="0" xfId="0" applyFont="1" applyAlignment="1">
      <alignment horizontal="right"/>
    </xf>
    <xf numFmtId="4" fontId="5" fillId="0" borderId="0" xfId="0" applyNumberFormat="1" applyFont="1"/>
    <xf numFmtId="10" fontId="5" fillId="3" borderId="0" xfId="0" applyNumberFormat="1" applyFont="1" applyFill="1"/>
    <xf numFmtId="0" fontId="4" fillId="0" borderId="26" xfId="0" applyFont="1" applyBorder="1"/>
    <xf numFmtId="10" fontId="4" fillId="0" borderId="27" xfId="1" applyNumberFormat="1" applyFont="1" applyFill="1" applyBorder="1" applyAlignment="1">
      <alignment horizontal="right" indent="1"/>
    </xf>
    <xf numFmtId="10" fontId="4" fillId="0" borderId="28" xfId="1" applyNumberFormat="1" applyFont="1" applyFill="1" applyBorder="1" applyAlignment="1">
      <alignment horizontal="right" indent="1"/>
    </xf>
    <xf numFmtId="10" fontId="4" fillId="0" borderId="29" xfId="1" applyNumberFormat="1" applyFont="1" applyFill="1" applyBorder="1" applyAlignment="1">
      <alignment horizontal="right" indent="1"/>
    </xf>
    <xf numFmtId="10" fontId="4" fillId="0" borderId="0" xfId="1" applyNumberFormat="1" applyFont="1" applyFill="1" applyBorder="1" applyAlignment="1">
      <alignment horizontal="left" wrapText="1"/>
    </xf>
    <xf numFmtId="10" fontId="4" fillId="0" borderId="0" xfId="1" applyNumberFormat="1" applyFont="1" applyFill="1" applyBorder="1"/>
    <xf numFmtId="10" fontId="7" fillId="0" borderId="10" xfId="1" applyNumberFormat="1" applyFont="1" applyFill="1" applyBorder="1"/>
    <xf numFmtId="0" fontId="5" fillId="6" borderId="0" xfId="0" applyFont="1" applyFill="1"/>
    <xf numFmtId="0" fontId="7" fillId="0" borderId="30" xfId="0" applyFont="1" applyBorder="1"/>
    <xf numFmtId="0" fontId="7" fillId="0" borderId="31" xfId="0" applyFont="1" applyBorder="1" applyAlignment="1">
      <alignment horizontal="right"/>
    </xf>
    <xf numFmtId="0" fontId="7" fillId="0" borderId="22" xfId="0" applyFont="1" applyBorder="1" applyAlignment="1">
      <alignment horizontal="right"/>
    </xf>
    <xf numFmtId="0" fontId="4" fillId="0" borderId="3" xfId="0" applyFont="1" applyBorder="1"/>
    <xf numFmtId="164" fontId="6" fillId="0" borderId="14" xfId="0" applyNumberFormat="1" applyFont="1" applyBorder="1"/>
    <xf numFmtId="164" fontId="5" fillId="0" borderId="28" xfId="0" applyNumberFormat="1" applyFont="1" applyBorder="1"/>
    <xf numFmtId="0" fontId="5" fillId="0" borderId="0" xfId="0" applyFont="1" applyAlignment="1">
      <alignment horizontal="left" wrapText="1"/>
    </xf>
    <xf numFmtId="10" fontId="5" fillId="0" borderId="0" xfId="1" applyNumberFormat="1" applyFont="1" applyFill="1"/>
    <xf numFmtId="10" fontId="5" fillId="0" borderId="0" xfId="1" applyNumberFormat="1" applyFont="1"/>
    <xf numFmtId="164" fontId="4" fillId="0" borderId="0" xfId="1" applyNumberFormat="1" applyFont="1" applyFill="1" applyBorder="1"/>
    <xf numFmtId="164" fontId="7" fillId="5" borderId="16" xfId="0" applyNumberFormat="1" applyFont="1" applyFill="1" applyBorder="1" applyAlignment="1">
      <alignment horizontal="right"/>
    </xf>
    <xf numFmtId="164" fontId="7" fillId="5" borderId="17" xfId="0" applyNumberFormat="1" applyFont="1" applyFill="1" applyBorder="1" applyAlignment="1">
      <alignment horizontal="right"/>
    </xf>
    <xf numFmtId="164" fontId="7" fillId="0" borderId="0" xfId="0" applyNumberFormat="1" applyFont="1" applyAlignment="1">
      <alignment horizontal="right"/>
    </xf>
    <xf numFmtId="164" fontId="7" fillId="0" borderId="10" xfId="0" applyNumberFormat="1" applyFont="1" applyBorder="1" applyAlignment="1">
      <alignment horizontal="right"/>
    </xf>
    <xf numFmtId="0" fontId="4" fillId="0" borderId="3" xfId="2" applyBorder="1"/>
    <xf numFmtId="164" fontId="6" fillId="0" borderId="29" xfId="0" applyNumberFormat="1" applyFont="1" applyBorder="1"/>
    <xf numFmtId="164" fontId="5" fillId="0" borderId="27" xfId="0" applyNumberFormat="1" applyFont="1" applyBorder="1"/>
    <xf numFmtId="164" fontId="6" fillId="0" borderId="32" xfId="0" applyNumberFormat="1" applyFont="1" applyBorder="1"/>
    <xf numFmtId="164" fontId="7" fillId="0" borderId="31" xfId="0" applyNumberFormat="1" applyFont="1" applyBorder="1" applyAlignment="1">
      <alignment horizontal="right"/>
    </xf>
    <xf numFmtId="164" fontId="7" fillId="0" borderId="22" xfId="0" applyNumberFormat="1" applyFont="1" applyBorder="1" applyAlignment="1">
      <alignment horizontal="right"/>
    </xf>
    <xf numFmtId="164" fontId="6" fillId="0" borderId="33" xfId="0" applyNumberFormat="1" applyFont="1" applyBorder="1"/>
    <xf numFmtId="164" fontId="6" fillId="0" borderId="34" xfId="0" applyNumberFormat="1" applyFont="1" applyBorder="1"/>
    <xf numFmtId="0" fontId="5" fillId="0" borderId="1" xfId="0" applyFont="1" applyBorder="1"/>
    <xf numFmtId="0" fontId="5" fillId="0" borderId="23" xfId="0" applyFont="1" applyBorder="1"/>
    <xf numFmtId="0" fontId="5" fillId="0" borderId="11" xfId="0" applyFont="1" applyBorder="1"/>
    <xf numFmtId="0" fontId="6" fillId="7" borderId="18" xfId="0" applyFont="1" applyFill="1" applyBorder="1"/>
    <xf numFmtId="0" fontId="5" fillId="7" borderId="16" xfId="0" applyFont="1" applyFill="1" applyBorder="1"/>
    <xf numFmtId="0" fontId="6" fillId="7" borderId="17" xfId="0" applyFont="1" applyFill="1" applyBorder="1"/>
    <xf numFmtId="0" fontId="5" fillId="0" borderId="0" xfId="0" applyFont="1" applyAlignment="1">
      <alignment horizontal="right" vertical="center"/>
    </xf>
    <xf numFmtId="168" fontId="5" fillId="0" borderId="10" xfId="0" applyNumberFormat="1" applyFont="1" applyBorder="1"/>
    <xf numFmtId="0" fontId="8" fillId="0" borderId="0" xfId="0" applyFont="1" applyAlignment="1">
      <alignment wrapText="1"/>
    </xf>
    <xf numFmtId="0" fontId="5" fillId="0" borderId="0" xfId="0" applyFont="1" applyAlignment="1">
      <alignment horizontal="right" vertical="center" wrapText="1"/>
    </xf>
    <xf numFmtId="17" fontId="5" fillId="0" borderId="0" xfId="0" applyNumberFormat="1" applyFont="1"/>
    <xf numFmtId="169" fontId="5" fillId="0" borderId="0" xfId="0" applyNumberFormat="1" applyFont="1"/>
    <xf numFmtId="170" fontId="5" fillId="0" borderId="10" xfId="0" applyNumberFormat="1" applyFont="1" applyBorder="1"/>
    <xf numFmtId="0" fontId="5" fillId="7" borderId="17" xfId="0" applyFont="1" applyFill="1" applyBorder="1"/>
    <xf numFmtId="17" fontId="5" fillId="0" borderId="3" xfId="0" applyNumberFormat="1" applyFont="1" applyBorder="1" applyAlignment="1">
      <alignment horizontal="right"/>
    </xf>
    <xf numFmtId="169" fontId="5" fillId="0" borderId="3" xfId="0" applyNumberFormat="1" applyFont="1" applyBorder="1" applyAlignment="1">
      <alignment horizontal="right"/>
    </xf>
    <xf numFmtId="0" fontId="5" fillId="0" borderId="3" xfId="0" applyFont="1" applyBorder="1" applyAlignment="1">
      <alignment horizontal="right"/>
    </xf>
    <xf numFmtId="10" fontId="5" fillId="0" borderId="0" xfId="0" applyNumberFormat="1" applyFont="1"/>
    <xf numFmtId="0" fontId="6" fillId="7" borderId="16" xfId="0" applyFont="1" applyFill="1" applyBorder="1"/>
    <xf numFmtId="0" fontId="5" fillId="0" borderId="3" xfId="0" applyFont="1" applyBorder="1" applyAlignment="1">
      <alignment horizontal="left" wrapText="1"/>
    </xf>
    <xf numFmtId="0" fontId="10" fillId="0" borderId="0" xfId="0" applyFont="1"/>
    <xf numFmtId="166" fontId="0" fillId="0" borderId="21" xfId="0" applyNumberFormat="1" applyBorder="1"/>
    <xf numFmtId="0" fontId="1" fillId="0" borderId="15" xfId="0" applyFont="1" applyBorder="1" applyAlignment="1">
      <alignment horizontal="right"/>
    </xf>
    <xf numFmtId="0" fontId="11" fillId="0" borderId="0" xfId="0" applyFont="1"/>
    <xf numFmtId="0" fontId="1" fillId="0" borderId="23" xfId="0" applyFont="1" applyBorder="1" applyAlignment="1">
      <alignment horizontal="right"/>
    </xf>
    <xf numFmtId="0" fontId="0" fillId="0" borderId="23" xfId="0" applyBorder="1"/>
    <xf numFmtId="167" fontId="0" fillId="0" borderId="35" xfId="0" applyNumberFormat="1" applyBorder="1"/>
    <xf numFmtId="10" fontId="0" fillId="0" borderId="11" xfId="0" applyNumberFormat="1" applyBorder="1"/>
    <xf numFmtId="171" fontId="0" fillId="0" borderId="12" xfId="0" applyNumberFormat="1" applyBorder="1"/>
    <xf numFmtId="171" fontId="0" fillId="0" borderId="0" xfId="0" applyNumberFormat="1" applyAlignment="1">
      <alignment horizontal="left"/>
    </xf>
    <xf numFmtId="172" fontId="0" fillId="0" borderId="0" xfId="0" applyNumberFormat="1"/>
    <xf numFmtId="0" fontId="12" fillId="0" borderId="0" xfId="0" applyFont="1"/>
    <xf numFmtId="0" fontId="1" fillId="0" borderId="0" xfId="0" applyFont="1"/>
    <xf numFmtId="171" fontId="1" fillId="0" borderId="12" xfId="0" applyNumberFormat="1" applyFont="1" applyBorder="1"/>
    <xf numFmtId="165" fontId="0" fillId="0" borderId="37" xfId="0" applyNumberFormat="1" applyBorder="1"/>
    <xf numFmtId="165" fontId="0" fillId="0" borderId="36" xfId="0" applyNumberFormat="1" applyBorder="1"/>
    <xf numFmtId="0" fontId="1" fillId="8" borderId="12" xfId="0" applyFont="1" applyFill="1" applyBorder="1"/>
    <xf numFmtId="0" fontId="0" fillId="8" borderId="12" xfId="0" applyFill="1" applyBorder="1"/>
    <xf numFmtId="0" fontId="0" fillId="8" borderId="37" xfId="0" applyFill="1" applyBorder="1"/>
    <xf numFmtId="0" fontId="1" fillId="8" borderId="7" xfId="0" applyFont="1" applyFill="1" applyBorder="1"/>
    <xf numFmtId="0" fontId="1" fillId="8" borderId="13" xfId="0" applyFont="1" applyFill="1" applyBorder="1"/>
    <xf numFmtId="171" fontId="1" fillId="0" borderId="7" xfId="0" applyNumberFormat="1" applyFont="1" applyBorder="1"/>
    <xf numFmtId="171" fontId="0" fillId="0" borderId="37" xfId="0" applyNumberFormat="1" applyBorder="1"/>
    <xf numFmtId="0" fontId="0" fillId="0" borderId="38" xfId="0" applyBorder="1" applyAlignment="1">
      <alignment horizontal="right"/>
    </xf>
    <xf numFmtId="0" fontId="0" fillId="2" borderId="38" xfId="0" applyFill="1" applyBorder="1" applyAlignment="1">
      <alignment horizontal="right"/>
    </xf>
    <xf numFmtId="10" fontId="0" fillId="2" borderId="37" xfId="0" applyNumberFormat="1" applyFill="1" applyBorder="1"/>
    <xf numFmtId="10" fontId="0" fillId="2" borderId="36" xfId="0" applyNumberFormat="1" applyFill="1" applyBorder="1"/>
    <xf numFmtId="10" fontId="0" fillId="9" borderId="37" xfId="0" applyNumberFormat="1" applyFill="1" applyBorder="1"/>
    <xf numFmtId="0" fontId="5" fillId="0" borderId="1" xfId="0" applyFont="1" applyBorder="1" applyAlignment="1">
      <alignment horizontal="right"/>
    </xf>
    <xf numFmtId="0" fontId="5" fillId="0" borderId="9" xfId="0" applyFont="1" applyBorder="1" applyAlignment="1">
      <alignment horizontal="right" wrapText="1"/>
    </xf>
    <xf numFmtId="0" fontId="5" fillId="0" borderId="1" xfId="0" applyFont="1" applyBorder="1" applyAlignment="1">
      <alignment horizontal="right" wrapText="1"/>
    </xf>
    <xf numFmtId="17" fontId="6" fillId="0" borderId="9" xfId="0" applyNumberFormat="1" applyFont="1" applyBorder="1" applyAlignment="1">
      <alignment horizontal="right"/>
    </xf>
    <xf numFmtId="17" fontId="1" fillId="2" borderId="5" xfId="0" applyNumberFormat="1" applyFont="1" applyFill="1" applyBorder="1" applyAlignment="1">
      <alignment horizontal="center"/>
    </xf>
    <xf numFmtId="0" fontId="0" fillId="8" borderId="12" xfId="0" applyFill="1" applyBorder="1" applyAlignment="1">
      <alignment horizontal="center"/>
    </xf>
    <xf numFmtId="169" fontId="5" fillId="0" borderId="10" xfId="0" applyNumberFormat="1" applyFont="1" applyBorder="1" applyAlignment="1">
      <alignment horizontal="center"/>
    </xf>
    <xf numFmtId="0" fontId="0" fillId="8" borderId="13" xfId="0" applyFill="1" applyBorder="1" applyAlignment="1">
      <alignment horizontal="center"/>
    </xf>
    <xf numFmtId="169" fontId="5" fillId="0" borderId="12" xfId="0" applyNumberFormat="1" applyFont="1" applyBorder="1" applyAlignment="1">
      <alignment horizontal="center"/>
    </xf>
    <xf numFmtId="10" fontId="5" fillId="0" borderId="13" xfId="0" applyNumberFormat="1" applyFont="1" applyBorder="1" applyAlignment="1">
      <alignment horizontal="center"/>
    </xf>
    <xf numFmtId="0" fontId="0" fillId="8" borderId="7" xfId="0" applyFill="1" applyBorder="1" applyAlignment="1">
      <alignment horizontal="center"/>
    </xf>
    <xf numFmtId="0" fontId="0" fillId="8" borderId="19" xfId="0" applyFill="1" applyBorder="1" applyAlignment="1">
      <alignment horizontal="center"/>
    </xf>
    <xf numFmtId="0" fontId="0" fillId="8" borderId="8" xfId="0" applyFill="1" applyBorder="1" applyAlignment="1">
      <alignment horizontal="center"/>
    </xf>
    <xf numFmtId="0" fontId="0" fillId="8" borderId="20" xfId="0" applyFill="1" applyBorder="1" applyAlignment="1">
      <alignment horizontal="center"/>
    </xf>
    <xf numFmtId="10" fontId="5" fillId="0" borderId="0" xfId="1" applyNumberFormat="1" applyFont="1" applyFill="1" applyBorder="1"/>
    <xf numFmtId="0" fontId="2" fillId="0" borderId="4" xfId="0" applyFont="1" applyBorder="1" applyAlignment="1">
      <alignment horizontal="center" wrapText="1"/>
    </xf>
    <xf numFmtId="17" fontId="6" fillId="2" borderId="5" xfId="0" applyNumberFormat="1" applyFont="1" applyFill="1" applyBorder="1" applyAlignment="1">
      <alignment horizontal="center"/>
    </xf>
    <xf numFmtId="17" fontId="6" fillId="2" borderId="15" xfId="0" applyNumberFormat="1" applyFont="1" applyFill="1" applyBorder="1" applyAlignment="1">
      <alignment horizontal="center"/>
    </xf>
    <xf numFmtId="165" fontId="1" fillId="0" borderId="8" xfId="0" applyNumberFormat="1" applyFont="1" applyBorder="1"/>
    <xf numFmtId="165" fontId="1" fillId="0" borderId="20" xfId="0" applyNumberFormat="1" applyFont="1" applyBorder="1"/>
    <xf numFmtId="171" fontId="1" fillId="0" borderId="19" xfId="0" applyNumberFormat="1" applyFont="1" applyBorder="1"/>
    <xf numFmtId="171" fontId="0" fillId="0" borderId="19" xfId="0" applyNumberFormat="1" applyBorder="1"/>
    <xf numFmtId="171" fontId="0" fillId="0" borderId="36" xfId="0" applyNumberFormat="1" applyBorder="1"/>
    <xf numFmtId="171" fontId="1" fillId="0" borderId="8" xfId="0" applyNumberFormat="1" applyFont="1" applyBorder="1"/>
    <xf numFmtId="43" fontId="0" fillId="0" borderId="0" xfId="0" applyNumberFormat="1"/>
    <xf numFmtId="173" fontId="0" fillId="0" borderId="0" xfId="0" applyNumberFormat="1"/>
    <xf numFmtId="0" fontId="0" fillId="0" borderId="0" xfId="0" applyAlignment="1">
      <alignment wrapText="1"/>
    </xf>
    <xf numFmtId="165" fontId="0" fillId="0" borderId="39" xfId="0" applyNumberFormat="1" applyBorder="1" applyAlignment="1">
      <alignment horizontal="center"/>
    </xf>
    <xf numFmtId="165" fontId="0" fillId="0" borderId="40" xfId="0" applyNumberFormat="1" applyBorder="1"/>
    <xf numFmtId="0" fontId="0" fillId="0" borderId="40" xfId="0" applyBorder="1"/>
    <xf numFmtId="0" fontId="0" fillId="0" borderId="41" xfId="0" applyBorder="1"/>
    <xf numFmtId="0" fontId="1" fillId="0" borderId="3" xfId="0" applyFont="1" applyBorder="1" applyAlignment="1">
      <alignment horizontal="right" wrapText="1"/>
    </xf>
    <xf numFmtId="0" fontId="1" fillId="0" borderId="7" xfId="0" applyFont="1" applyBorder="1" applyAlignment="1">
      <alignment horizontal="right" wrapText="1"/>
    </xf>
    <xf numFmtId="0" fontId="1" fillId="0" borderId="14" xfId="0" applyFont="1" applyBorder="1" applyAlignment="1">
      <alignment horizontal="right" wrapText="1"/>
    </xf>
    <xf numFmtId="165" fontId="0" fillId="0" borderId="0" xfId="0" applyNumberFormat="1" applyAlignment="1">
      <alignment horizontal="center"/>
    </xf>
    <xf numFmtId="0" fontId="0" fillId="0" borderId="7" xfId="0" applyBorder="1" applyAlignment="1">
      <alignment horizontal="center" wrapText="1"/>
    </xf>
    <xf numFmtId="0" fontId="0" fillId="0" borderId="9" xfId="0" applyBorder="1"/>
    <xf numFmtId="0" fontId="0" fillId="0" borderId="3" xfId="0" applyBorder="1"/>
    <xf numFmtId="0" fontId="0" fillId="0" borderId="42" xfId="0" applyBorder="1" applyAlignment="1">
      <alignment horizontal="right"/>
    </xf>
    <xf numFmtId="0" fontId="0" fillId="0" borderId="7" xfId="0" applyBorder="1" applyAlignment="1">
      <alignment horizontal="center"/>
    </xf>
    <xf numFmtId="0" fontId="14" fillId="0" borderId="0" xfId="0" applyFont="1" applyAlignment="1">
      <alignment horizontal="right"/>
    </xf>
    <xf numFmtId="166" fontId="14" fillId="0" borderId="0" xfId="0" applyNumberFormat="1" applyFont="1"/>
    <xf numFmtId="0" fontId="14" fillId="0" borderId="0" xfId="0" applyFont="1"/>
    <xf numFmtId="166" fontId="0" fillId="0" borderId="12" xfId="0" applyNumberFormat="1" applyBorder="1"/>
    <xf numFmtId="171" fontId="0" fillId="0" borderId="0" xfId="0" applyNumberFormat="1"/>
    <xf numFmtId="17" fontId="6" fillId="2" borderId="5" xfId="0" applyNumberFormat="1" applyFont="1" applyFill="1" applyBorder="1" applyAlignment="1">
      <alignment horizontal="center" wrapText="1"/>
    </xf>
    <xf numFmtId="171" fontId="1" fillId="0" borderId="13" xfId="0" applyNumberFormat="1" applyFont="1" applyBorder="1"/>
    <xf numFmtId="171" fontId="1" fillId="0" borderId="20" xfId="0" applyNumberFormat="1" applyFont="1" applyBorder="1"/>
    <xf numFmtId="174" fontId="0" fillId="0" borderId="0" xfId="0" applyNumberFormat="1"/>
    <xf numFmtId="17" fontId="7" fillId="2" borderId="5" xfId="0" applyNumberFormat="1" applyFont="1" applyFill="1" applyBorder="1" applyAlignment="1">
      <alignment horizontal="center" wrapText="1"/>
    </xf>
    <xf numFmtId="10" fontId="0" fillId="0" borderId="0" xfId="0" applyNumberFormat="1"/>
    <xf numFmtId="0" fontId="17" fillId="0" borderId="0" xfId="0" applyFont="1"/>
    <xf numFmtId="10" fontId="0" fillId="0" borderId="14" xfId="1" applyNumberFormat="1" applyFont="1" applyFill="1" applyBorder="1" applyAlignment="1">
      <alignment horizontal="right" wrapText="1"/>
    </xf>
    <xf numFmtId="167" fontId="0" fillId="0" borderId="25" xfId="0" applyNumberFormat="1" applyBorder="1"/>
    <xf numFmtId="10" fontId="5" fillId="0" borderId="35" xfId="1" applyNumberFormat="1" applyFont="1" applyFill="1" applyBorder="1"/>
    <xf numFmtId="10" fontId="5" fillId="0" borderId="13" xfId="1" applyNumberFormat="1" applyFont="1" applyFill="1" applyBorder="1"/>
    <xf numFmtId="17" fontId="7" fillId="0" borderId="5" xfId="0" applyNumberFormat="1" applyFont="1" applyBorder="1" applyAlignment="1">
      <alignment horizontal="center" wrapText="1"/>
    </xf>
    <xf numFmtId="10" fontId="5" fillId="0" borderId="11" xfId="0" applyNumberFormat="1" applyFont="1" applyBorder="1" applyAlignment="1">
      <alignment horizontal="center"/>
    </xf>
    <xf numFmtId="175" fontId="0" fillId="0" borderId="0" xfId="0" applyNumberFormat="1"/>
    <xf numFmtId="176" fontId="0" fillId="0" borderId="0" xfId="0" applyNumberFormat="1"/>
    <xf numFmtId="0" fontId="0" fillId="10" borderId="0" xfId="0" applyFill="1"/>
    <xf numFmtId="0" fontId="17" fillId="10" borderId="0" xfId="0" applyFont="1" applyFill="1"/>
    <xf numFmtId="166" fontId="0" fillId="10" borderId="21" xfId="0" applyNumberFormat="1" applyFill="1" applyBorder="1"/>
    <xf numFmtId="0" fontId="1" fillId="10" borderId="21" xfId="0" applyFont="1" applyFill="1" applyBorder="1" applyAlignment="1">
      <alignment horizontal="right"/>
    </xf>
    <xf numFmtId="166" fontId="0" fillId="10" borderId="12" xfId="0" applyNumberFormat="1" applyFill="1" applyBorder="1"/>
    <xf numFmtId="166" fontId="0" fillId="10" borderId="7" xfId="0" applyNumberFormat="1" applyFill="1" applyBorder="1"/>
    <xf numFmtId="166" fontId="0" fillId="10" borderId="13" xfId="0" applyNumberFormat="1" applyFill="1" applyBorder="1"/>
    <xf numFmtId="0" fontId="16" fillId="10" borderId="0" xfId="0" applyFont="1" applyFill="1"/>
    <xf numFmtId="0" fontId="0" fillId="10" borderId="7" xfId="0" applyFill="1" applyBorder="1" applyAlignment="1">
      <alignment horizontal="center" wrapText="1"/>
    </xf>
    <xf numFmtId="10" fontId="4" fillId="10" borderId="13" xfId="0" applyNumberFormat="1" applyFont="1" applyFill="1" applyBorder="1" applyAlignment="1">
      <alignment horizontal="center"/>
    </xf>
    <xf numFmtId="10" fontId="4" fillId="10" borderId="43" xfId="0" applyNumberFormat="1" applyFont="1" applyFill="1" applyBorder="1" applyAlignment="1">
      <alignment horizontal="center"/>
    </xf>
    <xf numFmtId="10" fontId="5" fillId="10" borderId="13" xfId="0" applyNumberFormat="1" applyFont="1" applyFill="1" applyBorder="1" applyAlignment="1">
      <alignment horizontal="center"/>
    </xf>
    <xf numFmtId="165" fontId="1" fillId="10" borderId="12" xfId="0" applyNumberFormat="1" applyFont="1" applyFill="1" applyBorder="1"/>
    <xf numFmtId="171" fontId="1" fillId="10" borderId="12" xfId="0" applyNumberFormat="1" applyFont="1" applyFill="1" applyBorder="1"/>
    <xf numFmtId="168" fontId="5" fillId="10" borderId="10" xfId="0" applyNumberFormat="1" applyFont="1" applyFill="1" applyBorder="1"/>
    <xf numFmtId="0" fontId="18" fillId="10" borderId="0" xfId="0" applyFont="1" applyFill="1"/>
    <xf numFmtId="165" fontId="0" fillId="10" borderId="0" xfId="0" applyNumberFormat="1" applyFill="1"/>
    <xf numFmtId="175" fontId="0" fillId="10" borderId="0" xfId="0" applyNumberFormat="1" applyFill="1"/>
    <xf numFmtId="17" fontId="7" fillId="10" borderId="5" xfId="0" applyNumberFormat="1" applyFont="1" applyFill="1" applyBorder="1" applyAlignment="1">
      <alignment horizontal="center" wrapText="1"/>
    </xf>
    <xf numFmtId="17" fontId="5" fillId="10" borderId="0" xfId="0" applyNumberFormat="1" applyFont="1" applyFill="1"/>
    <xf numFmtId="0" fontId="8" fillId="10" borderId="0" xfId="0" applyFont="1" applyFill="1"/>
  </cellXfs>
  <cellStyles count="3">
    <cellStyle name="Normal" xfId="0" builtinId="0"/>
    <cellStyle name="Normal 2 2" xfId="2" xr:uid="{1DDD0B96-F033-4EF2-A090-9AD6571A82C5}"/>
    <cellStyle name="Percent" xfId="1" builtinId="5"/>
  </cellStyles>
  <dxfs count="4">
    <dxf>
      <font>
        <b/>
        <i val="0"/>
        <strike val="0"/>
        <color rgb="FF00B050"/>
      </font>
    </dxf>
    <dxf>
      <font>
        <b/>
        <i val="0"/>
        <strike val="0"/>
        <color rgb="FFFF0000"/>
      </font>
    </dxf>
    <dxf>
      <font>
        <b/>
        <i val="0"/>
        <strike val="0"/>
        <color rgb="FF00B050"/>
      </font>
    </dxf>
    <dxf>
      <font>
        <b/>
        <i val="0"/>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customXml" Target="../customXml/item5.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customXml" Target="../customXml/item4.xml" Id="rId11" /><Relationship Type="http://schemas.openxmlformats.org/officeDocument/2006/relationships/styles" Target="styles.xml" Id="rId5" /><Relationship Type="http://schemas.openxmlformats.org/officeDocument/2006/relationships/customXml" Target="../customXml/item3.xml" Id="rId10" /><Relationship Type="http://schemas.openxmlformats.org/officeDocument/2006/relationships/theme" Target="theme/theme1.xml" Id="rId4" /><Relationship Type="http://schemas.openxmlformats.org/officeDocument/2006/relationships/customXml" Target="../customXml/item2.xml" Id="rId9" /></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EB77E-C70B-4DA0-A041-E8ED62CBED25}">
  <dimension ref="B1:W50"/>
  <sheetViews>
    <sheetView tabSelected="1" zoomScale="85" zoomScaleNormal="85" workbookViewId="0"/>
  </sheetViews>
  <sheetFormatPr defaultRowHeight="15" x14ac:dyDescent="0.25"/>
  <cols>
    <col min="1" max="1" width="11.42578125" customWidth="1"/>
    <col min="2" max="2" width="75.140625" customWidth="1"/>
    <col min="3" max="3" width="10.85546875" customWidth="1"/>
    <col min="4" max="13" width="10.5703125" customWidth="1"/>
    <col min="18" max="18" width="12.42578125" bestFit="1" customWidth="1"/>
    <col min="19" max="19" width="10.5703125" customWidth="1"/>
    <col min="20" max="22" width="11.42578125" bestFit="1" customWidth="1"/>
    <col min="23" max="23" width="14.42578125" bestFit="1" customWidth="1"/>
  </cols>
  <sheetData>
    <row r="1" spans="2:23" x14ac:dyDescent="0.25">
      <c r="C1" s="216" t="s">
        <v>108</v>
      </c>
      <c r="D1" s="201"/>
      <c r="E1" s="202"/>
      <c r="F1" s="202"/>
      <c r="G1" s="202"/>
      <c r="H1" s="192"/>
      <c r="I1" s="192"/>
    </row>
    <row r="2" spans="2:23" ht="20.45" customHeight="1" thickBot="1" x14ac:dyDescent="0.4">
      <c r="B2" s="116" t="s">
        <v>0</v>
      </c>
    </row>
    <row r="3" spans="2:23" x14ac:dyDescent="0.25">
      <c r="B3" s="18" t="s">
        <v>1</v>
      </c>
      <c r="C3" s="3" t="s">
        <v>2</v>
      </c>
      <c r="D3" s="3" t="s">
        <v>3</v>
      </c>
      <c r="E3" s="3" t="s">
        <v>4</v>
      </c>
      <c r="F3" s="3" t="s">
        <v>5</v>
      </c>
      <c r="G3" s="3" t="s">
        <v>6</v>
      </c>
      <c r="H3" s="3" t="s">
        <v>7</v>
      </c>
      <c r="I3" s="3" t="s">
        <v>8</v>
      </c>
      <c r="J3" s="3" t="s">
        <v>9</v>
      </c>
      <c r="K3" s="22" t="s">
        <v>10</v>
      </c>
    </row>
    <row r="4" spans="2:23" ht="15.75" thickBot="1" x14ac:dyDescent="0.3">
      <c r="B4" s="10" t="s">
        <v>11</v>
      </c>
      <c r="C4" s="23">
        <v>3.2928406449951805E-2</v>
      </c>
      <c r="D4" s="23">
        <v>3.3858772158287365E-2</v>
      </c>
      <c r="E4" s="23">
        <v>3.6448994199134846E-2</v>
      </c>
      <c r="F4" s="23">
        <v>3.8724034525525405E-2</v>
      </c>
      <c r="G4" s="23">
        <v>5.3560369577362293E-2</v>
      </c>
      <c r="H4" s="23">
        <v>5.5864188002101065E-2</v>
      </c>
      <c r="I4" s="23">
        <v>5.8168006426839849E-2</v>
      </c>
      <c r="J4" s="23">
        <v>6.0471824851578621E-2</v>
      </c>
      <c r="K4" s="193">
        <v>6.2775643276317405E-2</v>
      </c>
    </row>
    <row r="5" spans="2:23" x14ac:dyDescent="0.25">
      <c r="B5" s="19" t="s">
        <v>12</v>
      </c>
      <c r="C5" s="119">
        <v>8.8802683870124234E-4</v>
      </c>
      <c r="D5" s="119">
        <v>8.8802683870124234E-4</v>
      </c>
      <c r="E5" s="119">
        <v>8.8802683870124234E-4</v>
      </c>
      <c r="F5" s="119">
        <v>8.8802683870124234E-4</v>
      </c>
      <c r="G5" s="119">
        <v>9.7406045178996016E-4</v>
      </c>
      <c r="H5" s="119">
        <f>+G5</f>
        <v>9.7406045178996016E-4</v>
      </c>
      <c r="I5" s="119">
        <f>+G5</f>
        <v>9.7406045178996016E-4</v>
      </c>
      <c r="J5" s="119">
        <f>+G5</f>
        <v>9.7406045178996016E-4</v>
      </c>
      <c r="K5" s="194">
        <f>+G5</f>
        <v>9.7406045178996016E-4</v>
      </c>
    </row>
    <row r="6" spans="2:23" ht="15.75" thickBot="1" x14ac:dyDescent="0.3">
      <c r="B6" s="10" t="s">
        <v>13</v>
      </c>
      <c r="C6" s="23">
        <v>0.6</v>
      </c>
      <c r="D6" s="23">
        <v>0.6</v>
      </c>
      <c r="E6" s="23">
        <v>0.6</v>
      </c>
      <c r="F6" s="23">
        <v>0.6</v>
      </c>
      <c r="G6" s="23">
        <v>0.6</v>
      </c>
      <c r="H6" s="23">
        <v>0.6</v>
      </c>
      <c r="I6" s="23">
        <v>0.6</v>
      </c>
      <c r="J6" s="23">
        <v>0.6</v>
      </c>
      <c r="K6" s="120">
        <v>0.6</v>
      </c>
    </row>
    <row r="7" spans="2:23" x14ac:dyDescent="0.25">
      <c r="O7" s="191"/>
    </row>
    <row r="8" spans="2:23" ht="21" x14ac:dyDescent="0.35">
      <c r="B8" s="116" t="s">
        <v>14</v>
      </c>
      <c r="E8" s="124"/>
      <c r="F8" s="125"/>
      <c r="G8" s="125"/>
    </row>
    <row r="9" spans="2:23" ht="15.75" thickBot="1" x14ac:dyDescent="0.3">
      <c r="B9" s="117" t="s">
        <v>15</v>
      </c>
      <c r="C9" s="118"/>
      <c r="D9" s="118"/>
      <c r="E9" s="118"/>
      <c r="F9" s="118"/>
      <c r="G9" s="118"/>
      <c r="H9" s="118"/>
      <c r="I9" s="118"/>
      <c r="J9" s="118"/>
      <c r="K9" s="118"/>
      <c r="L9" s="118"/>
    </row>
    <row r="10" spans="2:23" x14ac:dyDescent="0.25">
      <c r="B10" s="18"/>
      <c r="C10" s="3" t="s">
        <v>2</v>
      </c>
      <c r="D10" s="3" t="s">
        <v>3</v>
      </c>
      <c r="E10" s="3" t="s">
        <v>4</v>
      </c>
      <c r="F10" s="3" t="s">
        <v>5</v>
      </c>
      <c r="G10" s="3" t="s">
        <v>6</v>
      </c>
      <c r="H10" s="3" t="s">
        <v>7</v>
      </c>
      <c r="I10" s="3" t="s">
        <v>8</v>
      </c>
      <c r="J10" s="3" t="s">
        <v>9</v>
      </c>
      <c r="K10" s="3" t="s">
        <v>10</v>
      </c>
      <c r="L10" s="4" t="s">
        <v>16</v>
      </c>
    </row>
    <row r="11" spans="2:23" x14ac:dyDescent="0.25">
      <c r="B11" s="7" t="s">
        <v>17</v>
      </c>
      <c r="C11" s="203">
        <v>1.5654486489435231</v>
      </c>
      <c r="D11" s="204"/>
      <c r="E11" s="204"/>
      <c r="F11" s="204"/>
      <c r="G11" s="146"/>
      <c r="H11" s="146"/>
      <c r="I11" s="146"/>
      <c r="J11" s="146"/>
      <c r="K11" s="146"/>
      <c r="L11" s="152"/>
      <c r="M11" s="208" t="s">
        <v>116</v>
      </c>
      <c r="N11" s="208"/>
      <c r="O11" s="208"/>
      <c r="P11" s="208"/>
      <c r="Q11" s="208"/>
      <c r="R11" s="208"/>
      <c r="S11" s="208"/>
      <c r="T11" s="218"/>
      <c r="U11" s="199"/>
      <c r="V11" s="199"/>
      <c r="W11" s="199"/>
    </row>
    <row r="12" spans="2:23" x14ac:dyDescent="0.25">
      <c r="B12" s="7" t="s">
        <v>18</v>
      </c>
      <c r="C12" s="205">
        <v>0.16460398281753799</v>
      </c>
      <c r="D12" s="205">
        <v>1.286755217425666</v>
      </c>
      <c r="E12" s="205">
        <v>2.4356842662326987</v>
      </c>
      <c r="F12" s="205">
        <v>4.8064472040485624</v>
      </c>
      <c r="G12" s="146"/>
      <c r="H12" s="146"/>
      <c r="I12" s="146"/>
      <c r="J12" s="146"/>
      <c r="K12" s="146"/>
      <c r="L12" s="152"/>
      <c r="M12" s="208" t="s">
        <v>116</v>
      </c>
      <c r="N12" s="208"/>
      <c r="O12" s="208"/>
      <c r="P12" s="208"/>
      <c r="Q12" s="208"/>
      <c r="R12" s="208"/>
      <c r="S12" s="208"/>
      <c r="T12" s="218"/>
      <c r="U12" s="199"/>
      <c r="V12" s="199"/>
      <c r="W12" s="199"/>
    </row>
    <row r="13" spans="2:23" x14ac:dyDescent="0.25">
      <c r="B13" s="7" t="s">
        <v>19</v>
      </c>
      <c r="C13" s="205">
        <v>0.52764731078937543</v>
      </c>
      <c r="D13" s="205">
        <v>0.45428842940891867</v>
      </c>
      <c r="E13" s="205">
        <v>0.97264426450138608</v>
      </c>
      <c r="F13" s="205">
        <v>0.49770842372183649</v>
      </c>
      <c r="G13" s="146"/>
      <c r="H13" s="146"/>
      <c r="I13" s="146"/>
      <c r="J13" s="146"/>
      <c r="K13" s="146"/>
      <c r="L13" s="152"/>
      <c r="M13" s="208" t="s">
        <v>116</v>
      </c>
      <c r="N13" s="208"/>
      <c r="O13" s="208"/>
      <c r="P13" s="208"/>
      <c r="Q13" s="208"/>
      <c r="R13" s="208"/>
      <c r="S13" s="208"/>
      <c r="T13" s="218"/>
      <c r="U13" s="199"/>
      <c r="V13" s="199"/>
      <c r="W13" s="199"/>
    </row>
    <row r="14" spans="2:23" x14ac:dyDescent="0.25">
      <c r="B14" s="7" t="s">
        <v>20</v>
      </c>
      <c r="C14" s="206">
        <v>2.6634648364401337E-3</v>
      </c>
      <c r="D14" s="206">
        <v>2.0248929805917255E-2</v>
      </c>
      <c r="E14" s="206">
        <v>3.5605147080875858E-2</v>
      </c>
      <c r="F14" s="206">
        <v>6.6133410451055141E-2</v>
      </c>
      <c r="G14" s="151"/>
      <c r="H14" s="151"/>
      <c r="I14" s="151"/>
      <c r="J14" s="151"/>
      <c r="K14" s="151"/>
      <c r="L14" s="153"/>
      <c r="M14" s="208" t="s">
        <v>116</v>
      </c>
      <c r="N14" s="208"/>
      <c r="O14" s="208"/>
      <c r="P14" s="208"/>
      <c r="Q14" s="208"/>
      <c r="R14" s="208"/>
      <c r="S14" s="208"/>
      <c r="T14" s="218"/>
      <c r="U14" s="199"/>
      <c r="V14" s="199"/>
      <c r="W14" s="199"/>
    </row>
    <row r="15" spans="2:23" ht="15.75" thickBot="1" x14ac:dyDescent="0.3">
      <c r="B15" s="10" t="s">
        <v>21</v>
      </c>
      <c r="C15" s="207">
        <f>SUM(C12:C14)</f>
        <v>0.69491475844335349</v>
      </c>
      <c r="D15" s="207">
        <f t="shared" ref="D15:F15" si="0">SUM(D12:D14)</f>
        <v>1.7612925766405019</v>
      </c>
      <c r="E15" s="207">
        <f t="shared" si="0"/>
        <v>3.4439336778149605</v>
      </c>
      <c r="F15" s="207">
        <f t="shared" si="0"/>
        <v>5.3702890382214541</v>
      </c>
      <c r="G15" s="148"/>
      <c r="H15" s="148"/>
      <c r="I15" s="148"/>
      <c r="J15" s="148"/>
      <c r="K15" s="148"/>
      <c r="L15" s="154"/>
      <c r="M15" s="208" t="s">
        <v>116</v>
      </c>
      <c r="N15" s="208"/>
      <c r="O15" s="208"/>
      <c r="P15" s="208"/>
      <c r="Q15" s="208"/>
      <c r="R15" s="208"/>
      <c r="S15" s="208"/>
      <c r="T15" s="218"/>
      <c r="U15" s="199"/>
      <c r="V15" s="199"/>
      <c r="W15" s="199"/>
    </row>
    <row r="16" spans="2:23" x14ac:dyDescent="0.25">
      <c r="B16" s="6"/>
      <c r="C16" s="123"/>
      <c r="D16" s="123"/>
      <c r="E16" s="123"/>
      <c r="F16" s="123"/>
      <c r="G16" s="5"/>
      <c r="H16" s="5"/>
      <c r="I16" s="5"/>
      <c r="J16" s="5"/>
      <c r="K16" s="5"/>
      <c r="R16" s="200"/>
      <c r="W16" s="199"/>
    </row>
    <row r="17" spans="2:23" ht="21" x14ac:dyDescent="0.35">
      <c r="B17" s="116" t="s">
        <v>104</v>
      </c>
      <c r="C17" s="5"/>
      <c r="D17" s="5"/>
      <c r="E17" s="5"/>
      <c r="F17" s="5"/>
      <c r="G17" s="5"/>
      <c r="H17" s="5"/>
      <c r="I17" s="5"/>
      <c r="J17" s="5"/>
      <c r="K17" s="5"/>
      <c r="W17" s="199"/>
    </row>
    <row r="18" spans="2:23" ht="15.75" thickBot="1" x14ac:dyDescent="0.3">
      <c r="B18" s="117" t="s">
        <v>15</v>
      </c>
      <c r="C18" s="5"/>
      <c r="D18" s="5"/>
      <c r="E18" s="5"/>
      <c r="F18" s="5"/>
      <c r="G18" s="5"/>
      <c r="H18" s="5"/>
      <c r="I18" s="5"/>
      <c r="J18" s="5"/>
      <c r="K18" s="5"/>
    </row>
    <row r="19" spans="2:23" x14ac:dyDescent="0.25">
      <c r="B19" s="18" t="s">
        <v>22</v>
      </c>
      <c r="C19" s="3" t="s">
        <v>2</v>
      </c>
      <c r="D19" s="3" t="s">
        <v>3</v>
      </c>
      <c r="E19" s="3" t="s">
        <v>4</v>
      </c>
      <c r="F19" s="3" t="s">
        <v>5</v>
      </c>
      <c r="G19" s="3" t="s">
        <v>6</v>
      </c>
      <c r="H19" s="3" t="s">
        <v>7</v>
      </c>
      <c r="I19" s="3" t="s">
        <v>8</v>
      </c>
      <c r="J19" s="3" t="s">
        <v>9</v>
      </c>
      <c r="K19" s="3" t="s">
        <v>10</v>
      </c>
      <c r="L19" s="4" t="s">
        <v>16</v>
      </c>
    </row>
    <row r="20" spans="2:23" s="167" customFormat="1" ht="90" x14ac:dyDescent="0.25">
      <c r="B20" s="172"/>
      <c r="C20" s="176" t="s">
        <v>23</v>
      </c>
      <c r="D20" s="176" t="s">
        <v>24</v>
      </c>
      <c r="E20" s="176" t="s">
        <v>24</v>
      </c>
      <c r="F20" s="176" t="s">
        <v>25</v>
      </c>
      <c r="G20" s="209" t="s">
        <v>109</v>
      </c>
      <c r="H20" s="173"/>
      <c r="I20" s="173"/>
      <c r="J20" s="173"/>
      <c r="K20" s="173"/>
      <c r="L20" s="174"/>
    </row>
    <row r="21" spans="2:23" x14ac:dyDescent="0.25">
      <c r="B21" s="7" t="s">
        <v>26</v>
      </c>
      <c r="C21" s="15">
        <v>4.9988444800000007</v>
      </c>
      <c r="D21" s="15"/>
      <c r="E21" s="15"/>
      <c r="F21" s="15"/>
      <c r="G21" s="17"/>
      <c r="H21" s="17"/>
      <c r="I21" s="17"/>
      <c r="J21" s="17"/>
      <c r="K21" s="17"/>
      <c r="L21" s="16"/>
    </row>
    <row r="22" spans="2:23" x14ac:dyDescent="0.25">
      <c r="B22" s="7" t="s">
        <v>27</v>
      </c>
      <c r="C22" s="184">
        <v>40.148643055070004</v>
      </c>
      <c r="D22" s="184">
        <v>48.243290540000004</v>
      </c>
      <c r="E22" s="184">
        <v>56.162873749999996</v>
      </c>
      <c r="F22" s="205">
        <v>104.503303</v>
      </c>
      <c r="G22" s="184"/>
      <c r="H22" s="12"/>
      <c r="I22" s="12"/>
      <c r="J22" s="12"/>
      <c r="K22" s="12"/>
      <c r="L22" s="8"/>
      <c r="M22" s="208" t="s">
        <v>111</v>
      </c>
      <c r="N22" s="208"/>
      <c r="O22" s="208"/>
      <c r="P22" s="208"/>
      <c r="Q22" s="208"/>
      <c r="R22" s="208"/>
      <c r="S22" s="208"/>
    </row>
    <row r="23" spans="2:23" x14ac:dyDescent="0.25">
      <c r="B23" s="7" t="s">
        <v>28</v>
      </c>
      <c r="C23" s="15">
        <v>-9.4042514199999996</v>
      </c>
      <c r="D23" s="15">
        <v>-27.167000000000002</v>
      </c>
      <c r="E23" s="15">
        <v>-9.7025000000000006</v>
      </c>
      <c r="F23" s="206">
        <v>-9.75</v>
      </c>
      <c r="G23" s="206">
        <v>-11.7</v>
      </c>
      <c r="H23" s="17"/>
      <c r="I23" s="17"/>
      <c r="J23" s="17"/>
      <c r="K23" s="17"/>
      <c r="L23" s="16"/>
      <c r="M23" s="208" t="s">
        <v>112</v>
      </c>
      <c r="N23" s="208"/>
      <c r="O23" s="208"/>
      <c r="P23" s="208"/>
      <c r="Q23" s="208"/>
      <c r="R23" s="208"/>
      <c r="S23" s="208"/>
    </row>
    <row r="24" spans="2:23" ht="15.75" thickBot="1" x14ac:dyDescent="0.3">
      <c r="B24" s="10" t="s">
        <v>29</v>
      </c>
      <c r="C24" s="13">
        <f>C22+C23</f>
        <v>30.744391635070002</v>
      </c>
      <c r="D24" s="13">
        <f t="shared" ref="D24:G24" si="1">D22+D23</f>
        <v>21.076290540000002</v>
      </c>
      <c r="E24" s="13">
        <f t="shared" si="1"/>
        <v>46.460373749999995</v>
      </c>
      <c r="F24" s="207">
        <f t="shared" si="1"/>
        <v>94.753303000000002</v>
      </c>
      <c r="G24" s="207">
        <f t="shared" si="1"/>
        <v>-11.7</v>
      </c>
      <c r="H24" s="14"/>
      <c r="I24" s="14"/>
      <c r="J24" s="14"/>
      <c r="K24" s="14"/>
      <c r="L24" s="11"/>
      <c r="M24" s="208" t="s">
        <v>112</v>
      </c>
      <c r="N24" s="201"/>
      <c r="O24" s="201"/>
      <c r="P24" s="201"/>
      <c r="Q24" s="201"/>
      <c r="R24" s="201"/>
      <c r="S24" s="201"/>
    </row>
    <row r="25" spans="2:23" x14ac:dyDescent="0.25">
      <c r="B25" s="181"/>
      <c r="C25" s="182"/>
      <c r="D25" s="182"/>
      <c r="E25" s="182"/>
      <c r="F25" s="182"/>
      <c r="G25" s="183"/>
      <c r="H25" s="183"/>
      <c r="I25" s="183"/>
      <c r="J25" s="183"/>
      <c r="K25" s="183"/>
      <c r="L25" s="183"/>
      <c r="M25" s="182"/>
    </row>
    <row r="26" spans="2:23" ht="21" x14ac:dyDescent="0.35">
      <c r="B26" s="116" t="s">
        <v>30</v>
      </c>
      <c r="C26" s="5"/>
      <c r="D26" s="5"/>
      <c r="E26" s="5"/>
      <c r="F26" s="5"/>
    </row>
    <row r="27" spans="2:23" ht="15.75" thickBot="1" x14ac:dyDescent="0.3">
      <c r="B27" s="117" t="s">
        <v>15</v>
      </c>
      <c r="C27" s="5"/>
      <c r="D27" s="5"/>
      <c r="E27" s="5"/>
      <c r="F27" s="5"/>
      <c r="G27" s="5"/>
      <c r="H27" s="5"/>
    </row>
    <row r="28" spans="2:23" x14ac:dyDescent="0.25">
      <c r="B28" s="36" t="s">
        <v>31</v>
      </c>
      <c r="C28" s="3" t="s">
        <v>2</v>
      </c>
      <c r="D28" s="3" t="s">
        <v>3</v>
      </c>
      <c r="E28" s="3" t="s">
        <v>4</v>
      </c>
      <c r="F28" s="3" t="s">
        <v>5</v>
      </c>
      <c r="G28" s="3" t="s">
        <v>6</v>
      </c>
      <c r="H28" s="3" t="s">
        <v>7</v>
      </c>
      <c r="I28" s="3" t="s">
        <v>8</v>
      </c>
      <c r="J28" s="3" t="s">
        <v>9</v>
      </c>
      <c r="K28" s="3" t="s">
        <v>10</v>
      </c>
      <c r="L28" s="115" t="s">
        <v>32</v>
      </c>
    </row>
    <row r="29" spans="2:23" x14ac:dyDescent="0.25">
      <c r="B29" s="7" t="s">
        <v>33</v>
      </c>
      <c r="C29" s="146"/>
      <c r="D29" s="146"/>
      <c r="E29" s="114">
        <v>0</v>
      </c>
      <c r="F29" s="25"/>
      <c r="G29" s="29"/>
      <c r="H29" s="25"/>
      <c r="I29" s="25"/>
      <c r="J29" s="25"/>
      <c r="K29" s="25"/>
      <c r="L29" s="24"/>
    </row>
    <row r="30" spans="2:23" ht="15.75" thickBot="1" x14ac:dyDescent="0.3">
      <c r="B30" s="10" t="s">
        <v>34</v>
      </c>
      <c r="C30" s="148"/>
      <c r="D30" s="148"/>
      <c r="E30" s="207">
        <v>36.788287883609371</v>
      </c>
      <c r="F30" s="207">
        <v>121.51765447028912</v>
      </c>
      <c r="G30" s="207">
        <v>499.48660297974681</v>
      </c>
      <c r="H30" s="207">
        <v>1155.3142323034542</v>
      </c>
      <c r="I30" s="207">
        <v>953.17476237490382</v>
      </c>
      <c r="J30" s="207">
        <v>805.2919038636411</v>
      </c>
      <c r="K30" s="207">
        <v>401.82761120736041</v>
      </c>
      <c r="L30" s="21">
        <f>SUM(E30:K30)</f>
        <v>3973.4010550830048</v>
      </c>
      <c r="M30" s="208" t="s">
        <v>111</v>
      </c>
      <c r="N30" s="201"/>
    </row>
    <row r="31" spans="2:23" x14ac:dyDescent="0.25">
      <c r="K31" s="5"/>
    </row>
    <row r="32" spans="2:23" ht="21" x14ac:dyDescent="0.35">
      <c r="B32" s="116" t="s">
        <v>35</v>
      </c>
    </row>
    <row r="33" spans="2:20" ht="15.75" thickBot="1" x14ac:dyDescent="0.3">
      <c r="B33" s="117" t="s">
        <v>15</v>
      </c>
    </row>
    <row r="34" spans="2:20" x14ac:dyDescent="0.25">
      <c r="B34" s="177"/>
      <c r="C34" s="145">
        <v>44531</v>
      </c>
      <c r="D34" s="145">
        <v>44896</v>
      </c>
      <c r="E34" s="157">
        <v>45261</v>
      </c>
      <c r="F34" s="157">
        <v>45627</v>
      </c>
      <c r="G34" s="157">
        <v>45992</v>
      </c>
      <c r="H34" s="157">
        <v>46357</v>
      </c>
      <c r="I34" s="157">
        <v>46722</v>
      </c>
      <c r="J34" s="157">
        <v>47088</v>
      </c>
      <c r="K34" s="158">
        <v>47453</v>
      </c>
    </row>
    <row r="35" spans="2:20" x14ac:dyDescent="0.25">
      <c r="B35" s="7" t="s">
        <v>36</v>
      </c>
      <c r="C35" s="12"/>
      <c r="D35" s="12"/>
      <c r="E35" s="12">
        <v>0</v>
      </c>
      <c r="F35" s="12">
        <v>0</v>
      </c>
      <c r="G35" s="12">
        <v>0</v>
      </c>
      <c r="H35" s="12">
        <v>0</v>
      </c>
      <c r="I35" s="12">
        <v>0</v>
      </c>
      <c r="J35" s="12">
        <v>0</v>
      </c>
      <c r="K35" s="8">
        <v>0</v>
      </c>
    </row>
    <row r="36" spans="2:20" x14ac:dyDescent="0.25">
      <c r="B36" s="179" t="s">
        <v>37</v>
      </c>
      <c r="C36" s="180"/>
      <c r="D36" s="17"/>
      <c r="E36" s="17">
        <v>0</v>
      </c>
      <c r="F36" s="17">
        <v>0</v>
      </c>
      <c r="G36" s="17">
        <v>0</v>
      </c>
      <c r="H36" s="17">
        <v>0</v>
      </c>
      <c r="I36" s="17">
        <v>0</v>
      </c>
      <c r="J36" s="17">
        <v>0</v>
      </c>
      <c r="K36" s="16">
        <v>0</v>
      </c>
    </row>
    <row r="37" spans="2:20" x14ac:dyDescent="0.25">
      <c r="B37" s="178"/>
      <c r="C37" s="12"/>
      <c r="D37" s="12"/>
      <c r="E37" s="12"/>
      <c r="F37" s="12"/>
      <c r="G37" s="12"/>
      <c r="H37" s="12"/>
      <c r="I37" s="12"/>
      <c r="J37" s="12"/>
      <c r="K37" s="8"/>
    </row>
    <row r="38" spans="2:20" x14ac:dyDescent="0.25">
      <c r="B38" s="7" t="s">
        <v>38</v>
      </c>
      <c r="C38" s="12"/>
      <c r="D38" s="12"/>
      <c r="E38" s="12">
        <v>0</v>
      </c>
      <c r="F38" s="12">
        <v>0</v>
      </c>
      <c r="G38" s="12">
        <v>0</v>
      </c>
      <c r="H38" s="12">
        <v>0</v>
      </c>
      <c r="I38" s="12">
        <v>0</v>
      </c>
      <c r="J38" s="12">
        <v>0</v>
      </c>
      <c r="K38" s="8">
        <v>0</v>
      </c>
    </row>
    <row r="39" spans="2:20" x14ac:dyDescent="0.25">
      <c r="B39" s="7" t="s">
        <v>39</v>
      </c>
      <c r="C39" s="12"/>
      <c r="D39" s="12"/>
      <c r="E39" s="12">
        <v>0</v>
      </c>
      <c r="F39" s="12">
        <v>0</v>
      </c>
      <c r="G39" s="12">
        <v>0</v>
      </c>
      <c r="H39" s="12">
        <v>0</v>
      </c>
      <c r="I39" s="12">
        <v>0</v>
      </c>
      <c r="J39" s="12">
        <v>0</v>
      </c>
      <c r="K39" s="8">
        <v>0</v>
      </c>
    </row>
    <row r="40" spans="2:20" x14ac:dyDescent="0.25">
      <c r="B40" s="7" t="s">
        <v>40</v>
      </c>
      <c r="C40" s="12"/>
      <c r="D40" s="12"/>
      <c r="E40" s="12">
        <v>0</v>
      </c>
      <c r="F40" s="12">
        <v>0</v>
      </c>
      <c r="G40" s="12">
        <v>0</v>
      </c>
      <c r="H40" s="12">
        <v>0</v>
      </c>
      <c r="I40" s="12">
        <v>0</v>
      </c>
      <c r="J40" s="12">
        <v>0</v>
      </c>
      <c r="K40" s="8">
        <v>0</v>
      </c>
    </row>
    <row r="41" spans="2:20" ht="15.75" thickBot="1" x14ac:dyDescent="0.3">
      <c r="B41" s="10" t="s">
        <v>41</v>
      </c>
      <c r="C41" s="14"/>
      <c r="D41" s="14"/>
      <c r="E41" s="14">
        <v>0</v>
      </c>
      <c r="F41" s="14">
        <v>0</v>
      </c>
      <c r="G41" s="14">
        <v>0</v>
      </c>
      <c r="H41" s="14">
        <v>0</v>
      </c>
      <c r="I41" s="14">
        <v>0</v>
      </c>
      <c r="J41" s="14">
        <v>0</v>
      </c>
      <c r="K41" s="11">
        <v>0</v>
      </c>
    </row>
    <row r="43" spans="2:20" ht="21.6" customHeight="1" thickBot="1" x14ac:dyDescent="0.4">
      <c r="B43" s="116" t="s">
        <v>42</v>
      </c>
      <c r="E43" s="2" t="s">
        <v>4</v>
      </c>
      <c r="F43" s="2" t="s">
        <v>5</v>
      </c>
      <c r="G43" s="2" t="s">
        <v>6</v>
      </c>
      <c r="H43" s="2" t="s">
        <v>7</v>
      </c>
      <c r="I43" s="2" t="s">
        <v>8</v>
      </c>
      <c r="J43" s="2" t="s">
        <v>9</v>
      </c>
      <c r="K43" s="2" t="s">
        <v>10</v>
      </c>
    </row>
    <row r="44" spans="2:20" ht="26.25" x14ac:dyDescent="0.25">
      <c r="B44" s="144" t="s">
        <v>43</v>
      </c>
      <c r="C44" s="186"/>
      <c r="D44" s="186"/>
      <c r="E44" s="190" t="s">
        <v>106</v>
      </c>
      <c r="F44" s="197" t="s">
        <v>107</v>
      </c>
      <c r="G44" s="219" t="s">
        <v>117</v>
      </c>
      <c r="H44" s="219" t="s">
        <v>118</v>
      </c>
      <c r="I44" s="219" t="s">
        <v>119</v>
      </c>
      <c r="J44" s="219" t="s">
        <v>120</v>
      </c>
      <c r="K44" s="219" t="s">
        <v>121</v>
      </c>
      <c r="L44" s="208" t="s">
        <v>122</v>
      </c>
      <c r="M44" s="201"/>
      <c r="N44" s="201"/>
      <c r="O44" s="201"/>
      <c r="P44" s="201"/>
      <c r="Q44" s="201"/>
      <c r="R44" s="201"/>
      <c r="S44" s="201"/>
      <c r="T44" s="201"/>
    </row>
    <row r="45" spans="2:20" x14ac:dyDescent="0.25">
      <c r="B45" s="108" t="s">
        <v>44</v>
      </c>
      <c r="C45" s="146"/>
      <c r="D45" s="146"/>
      <c r="E45" s="149">
        <v>136.1</v>
      </c>
      <c r="F45" s="149">
        <f t="shared" ref="F45:K45" si="2">E45*(1+F46)</f>
        <v>139.4</v>
      </c>
      <c r="G45" s="149">
        <f t="shared" si="2"/>
        <v>143.58200000000002</v>
      </c>
      <c r="H45" s="149">
        <f t="shared" si="2"/>
        <v>147.745878</v>
      </c>
      <c r="I45" s="149">
        <f t="shared" si="2"/>
        <v>151.83351395800003</v>
      </c>
      <c r="J45" s="149">
        <f t="shared" si="2"/>
        <v>155.83179649222737</v>
      </c>
      <c r="K45" s="147">
        <f t="shared" si="2"/>
        <v>159.72759140453303</v>
      </c>
    </row>
    <row r="46" spans="2:20" ht="15.75" thickBot="1" x14ac:dyDescent="0.3">
      <c r="B46" s="141" t="s">
        <v>45</v>
      </c>
      <c r="C46" s="148"/>
      <c r="D46" s="148"/>
      <c r="E46" s="150"/>
      <c r="F46" s="150">
        <v>2.4246877296105973E-2</v>
      </c>
      <c r="G46" s="210">
        <v>0.03</v>
      </c>
      <c r="H46" s="211">
        <v>2.9000000000000001E-2</v>
      </c>
      <c r="I46" s="212">
        <f>H46-($H$46-$K$46)/3</f>
        <v>2.7666666666666669E-2</v>
      </c>
      <c r="J46" s="212">
        <f>I46-($I$46-$K$46)/2</f>
        <v>2.6333333333333334E-2</v>
      </c>
      <c r="K46" s="198">
        <v>2.5000000000000001E-2</v>
      </c>
      <c r="L46" s="208" t="s">
        <v>113</v>
      </c>
      <c r="M46" s="201"/>
      <c r="N46" s="201"/>
      <c r="O46" s="201"/>
      <c r="P46" s="201"/>
      <c r="Q46" s="201"/>
      <c r="R46" s="201"/>
      <c r="S46" s="201"/>
    </row>
    <row r="48" spans="2:20" ht="20.45" customHeight="1" thickBot="1" x14ac:dyDescent="0.4">
      <c r="B48" s="116" t="s">
        <v>46</v>
      </c>
      <c r="C48" s="37"/>
      <c r="D48" s="37"/>
    </row>
    <row r="49" spans="2:4" x14ac:dyDescent="0.25">
      <c r="B49" s="142" t="s">
        <v>47</v>
      </c>
      <c r="C49" s="195">
        <v>0.01</v>
      </c>
      <c r="D49" s="41" t="s">
        <v>48</v>
      </c>
    </row>
    <row r="50" spans="2:4" ht="15.75" thickBot="1" x14ac:dyDescent="0.3">
      <c r="B50" s="143" t="s">
        <v>49</v>
      </c>
      <c r="C50" s="196">
        <v>0.03</v>
      </c>
      <c r="D50" s="95" t="s">
        <v>50</v>
      </c>
    </row>
  </sheetData>
  <phoneticPr fontId="19" type="noConversion"/>
  <conditionalFormatting sqref="C36">
    <cfRule type="cellIs" dxfId="3" priority="1" operator="equal">
      <formula>"ERROR"</formula>
    </cfRule>
    <cfRule type="cellIs" dxfId="2" priority="2" operator="equal">
      <formula>"OK"</formula>
    </cfRule>
  </conditionalFormatting>
  <pageMargins left="0.7" right="0.7" top="0.75" bottom="0.75" header="0.3" footer="0.3"/>
  <pageSetup paperSize="9" orientation="portrait" r:id="rId1"/>
  <ignoredErrors>
    <ignoredError sqref="C15:F15" formulaRange="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ACE2B-30E8-40F0-9F63-4215EDF9C9A7}">
  <dimension ref="B1:AC41"/>
  <sheetViews>
    <sheetView zoomScale="85" zoomScaleNormal="85" workbookViewId="0"/>
  </sheetViews>
  <sheetFormatPr defaultRowHeight="15" x14ac:dyDescent="0.25"/>
  <cols>
    <col min="2" max="2" width="88.85546875" customWidth="1"/>
    <col min="3" max="11" width="9.5703125" customWidth="1"/>
    <col min="12" max="12" width="9.7109375" customWidth="1"/>
    <col min="19" max="19" width="10.42578125" customWidth="1"/>
  </cols>
  <sheetData>
    <row r="1" spans="2:19" ht="24.95" customHeight="1" thickBot="1" x14ac:dyDescent="0.3">
      <c r="B1" s="6"/>
      <c r="C1" s="216" t="s">
        <v>108</v>
      </c>
      <c r="D1" s="201"/>
      <c r="E1" s="217"/>
      <c r="F1" s="217"/>
      <c r="G1" s="217"/>
      <c r="H1" s="1"/>
      <c r="I1" s="1"/>
      <c r="J1" s="1"/>
      <c r="K1" s="1"/>
      <c r="L1" s="1"/>
      <c r="M1" s="1"/>
    </row>
    <row r="2" spans="2:19" ht="27" thickBot="1" x14ac:dyDescent="0.45">
      <c r="B2" s="33" t="s">
        <v>51</v>
      </c>
      <c r="C2" s="1"/>
      <c r="E2" s="1"/>
      <c r="F2" s="1"/>
      <c r="G2" s="1"/>
      <c r="H2" s="1"/>
      <c r="I2" s="168" t="str">
        <f>IF('1b. Non-conc EqRaisCost Part B'!L65=0,"OK","ERROR")</f>
        <v>OK</v>
      </c>
      <c r="J2" s="169" t="s">
        <v>52</v>
      </c>
      <c r="K2" s="170"/>
      <c r="L2" s="171"/>
    </row>
    <row r="3" spans="2:19" ht="26.25" x14ac:dyDescent="0.4">
      <c r="B3" s="33"/>
      <c r="C3" s="1"/>
      <c r="E3" s="1"/>
      <c r="F3" s="1"/>
      <c r="G3" s="1"/>
      <c r="H3" s="1"/>
      <c r="I3" s="1"/>
      <c r="L3" s="175"/>
      <c r="M3" s="1"/>
    </row>
    <row r="4" spans="2:19" ht="15.75" thickBot="1" x14ac:dyDescent="0.3">
      <c r="B4" s="2" t="s">
        <v>15</v>
      </c>
    </row>
    <row r="5" spans="2:19" ht="26.25" x14ac:dyDescent="0.4">
      <c r="B5" s="28" t="s">
        <v>53</v>
      </c>
      <c r="C5" s="3" t="s">
        <v>2</v>
      </c>
      <c r="D5" s="3" t="s">
        <v>3</v>
      </c>
      <c r="E5" s="3" t="s">
        <v>4</v>
      </c>
      <c r="F5" s="3" t="s">
        <v>5</v>
      </c>
      <c r="G5" s="3" t="s">
        <v>6</v>
      </c>
      <c r="H5" s="3" t="s">
        <v>7</v>
      </c>
      <c r="I5" s="3" t="s">
        <v>8</v>
      </c>
      <c r="J5" s="3" t="s">
        <v>9</v>
      </c>
      <c r="K5" s="4" t="s">
        <v>10</v>
      </c>
    </row>
    <row r="6" spans="2:19" x14ac:dyDescent="0.25">
      <c r="B6" s="9" t="s">
        <v>54</v>
      </c>
      <c r="C6" s="31">
        <f>'Input data'!C21</f>
        <v>4.9988444800000007</v>
      </c>
      <c r="D6" s="31">
        <f>C14</f>
        <v>38.003599522456881</v>
      </c>
      <c r="E6" s="31">
        <f t="shared" ref="E6:F6" si="0">D14</f>
        <v>60.841182639097383</v>
      </c>
      <c r="F6" s="31">
        <f t="shared" si="0"/>
        <v>110.74549006691234</v>
      </c>
      <c r="G6" s="129"/>
      <c r="H6" s="129"/>
      <c r="I6" s="129"/>
      <c r="J6" s="129"/>
      <c r="K6" s="129"/>
    </row>
    <row r="7" spans="2:19" x14ac:dyDescent="0.25">
      <c r="B7" s="9" t="s">
        <v>55</v>
      </c>
      <c r="C7" s="31">
        <f>'Input data'!C24</f>
        <v>30.744391635070002</v>
      </c>
      <c r="D7" s="31">
        <f>'Input data'!D24</f>
        <v>21.076290540000002</v>
      </c>
      <c r="E7" s="31">
        <f>'Input data'!E24</f>
        <v>46.460373749999995</v>
      </c>
      <c r="F7" s="31">
        <f>'Input data'!F24</f>
        <v>94.753303000000002</v>
      </c>
      <c r="G7" s="213">
        <f>'Input data'!G24</f>
        <v>-11.7</v>
      </c>
      <c r="H7" s="129"/>
      <c r="I7" s="129"/>
      <c r="J7" s="129"/>
      <c r="K7" s="129"/>
      <c r="L7" s="208" t="s">
        <v>124</v>
      </c>
      <c r="M7" s="201"/>
      <c r="N7" s="201"/>
      <c r="O7" s="201"/>
      <c r="P7" s="201"/>
      <c r="Q7" s="201"/>
      <c r="R7" s="201"/>
      <c r="S7" s="201"/>
    </row>
    <row r="8" spans="2:19" x14ac:dyDescent="0.25">
      <c r="B8" s="9" t="s">
        <v>17</v>
      </c>
      <c r="C8" s="31">
        <f>'Input data'!C11</f>
        <v>1.5654486489435231</v>
      </c>
      <c r="D8" s="31"/>
      <c r="E8" s="31"/>
      <c r="F8" s="31"/>
      <c r="G8" s="129"/>
      <c r="H8" s="129"/>
      <c r="I8" s="129"/>
      <c r="J8" s="129"/>
      <c r="K8" s="129"/>
    </row>
    <row r="9" spans="2:19" x14ac:dyDescent="0.25">
      <c r="B9" s="137" t="s">
        <v>56</v>
      </c>
      <c r="C9" s="138">
        <f>'Input data'!C4</f>
        <v>3.2928406449951805E-2</v>
      </c>
      <c r="D9" s="138">
        <f>'Input data'!D4</f>
        <v>3.3858772158287365E-2</v>
      </c>
      <c r="E9" s="138">
        <f>'Input data'!E4</f>
        <v>3.6448994199134846E-2</v>
      </c>
      <c r="F9" s="138">
        <f>'Input data'!F4</f>
        <v>3.8724034525525405E-2</v>
      </c>
      <c r="G9" s="140"/>
      <c r="H9" s="140"/>
      <c r="I9" s="140"/>
      <c r="J9" s="140"/>
      <c r="K9" s="140"/>
    </row>
    <row r="10" spans="2:19" x14ac:dyDescent="0.25">
      <c r="B10" s="7" t="s">
        <v>18</v>
      </c>
      <c r="C10" s="26">
        <f>'Input data'!C12</f>
        <v>0.16460398281753799</v>
      </c>
      <c r="D10" s="26">
        <f>'Input data'!D12</f>
        <v>1.286755217425666</v>
      </c>
      <c r="E10" s="26">
        <f>'Input data'!E12</f>
        <v>2.4356842662326987</v>
      </c>
      <c r="F10" s="26">
        <f>'Input data'!F12</f>
        <v>4.8064472040485624</v>
      </c>
      <c r="G10" s="130"/>
      <c r="H10" s="130"/>
      <c r="I10" s="130"/>
      <c r="J10" s="130"/>
      <c r="K10" s="130"/>
    </row>
    <row r="11" spans="2:19" x14ac:dyDescent="0.25">
      <c r="B11" s="7" t="s">
        <v>19</v>
      </c>
      <c r="C11" s="26">
        <f>'Input data'!C13</f>
        <v>0.52764731078937543</v>
      </c>
      <c r="D11" s="26">
        <f>'Input data'!D13</f>
        <v>0.45428842940891867</v>
      </c>
      <c r="E11" s="26">
        <f>'Input data'!E13</f>
        <v>0.97264426450138608</v>
      </c>
      <c r="F11" s="26">
        <f>'Input data'!F13</f>
        <v>0.49770842372183649</v>
      </c>
      <c r="G11" s="130"/>
      <c r="H11" s="130"/>
      <c r="I11" s="130"/>
      <c r="J11" s="130"/>
      <c r="K11" s="130"/>
    </row>
    <row r="12" spans="2:19" x14ac:dyDescent="0.25">
      <c r="B12" s="7" t="s">
        <v>20</v>
      </c>
      <c r="C12" s="26">
        <f>'Input data'!C14</f>
        <v>2.6634648364401337E-3</v>
      </c>
      <c r="D12" s="26">
        <f>'Input data'!D14</f>
        <v>2.0248929805917255E-2</v>
      </c>
      <c r="E12" s="26">
        <f>'Input data'!E14</f>
        <v>3.5605147080875858E-2</v>
      </c>
      <c r="F12" s="26">
        <f>'Input data'!F14</f>
        <v>6.6133410451055141E-2</v>
      </c>
      <c r="G12" s="131"/>
      <c r="H12" s="131"/>
      <c r="I12" s="131"/>
      <c r="J12" s="131"/>
      <c r="K12" s="131"/>
    </row>
    <row r="13" spans="2:19" x14ac:dyDescent="0.25">
      <c r="B13" s="9" t="s">
        <v>57</v>
      </c>
      <c r="C13" s="31">
        <f>SUM(C10:C12)</f>
        <v>0.69491475844335349</v>
      </c>
      <c r="D13" s="31">
        <f>SUM(D10:D12)</f>
        <v>1.7612925766405019</v>
      </c>
      <c r="E13" s="31">
        <f>SUM(E10:E12)</f>
        <v>3.4439336778149605</v>
      </c>
      <c r="F13" s="31">
        <f>SUM(F10:F12)</f>
        <v>5.3702890382214541</v>
      </c>
      <c r="G13" s="132"/>
      <c r="H13" s="132"/>
      <c r="I13" s="132"/>
      <c r="J13" s="132"/>
      <c r="K13" s="132"/>
    </row>
    <row r="14" spans="2:19" ht="15.75" thickBot="1" x14ac:dyDescent="0.3">
      <c r="B14" s="20" t="s">
        <v>58</v>
      </c>
      <c r="C14" s="30">
        <f>C6+C7+C8+C13</f>
        <v>38.003599522456881</v>
      </c>
      <c r="D14" s="30">
        <f t="shared" ref="D14:F14" si="1">D6+D7+D8+D13</f>
        <v>60.841182639097383</v>
      </c>
      <c r="E14" s="30">
        <f t="shared" si="1"/>
        <v>110.74549006691234</v>
      </c>
      <c r="F14" s="30">
        <f t="shared" si="1"/>
        <v>210.8690821051338</v>
      </c>
      <c r="G14" s="133"/>
      <c r="H14" s="133"/>
      <c r="I14" s="133"/>
      <c r="J14" s="133"/>
      <c r="K14" s="133"/>
    </row>
    <row r="16" spans="2:19" ht="15.75" thickBot="1" x14ac:dyDescent="0.3">
      <c r="B16" s="2" t="s">
        <v>15</v>
      </c>
    </row>
    <row r="17" spans="2:29" ht="26.25" x14ac:dyDescent="0.4">
      <c r="B17" s="156" t="s">
        <v>59</v>
      </c>
      <c r="C17" s="3" t="s">
        <v>2</v>
      </c>
      <c r="D17" s="3" t="s">
        <v>3</v>
      </c>
      <c r="E17" s="3" t="s">
        <v>4</v>
      </c>
      <c r="F17" s="3" t="s">
        <v>5</v>
      </c>
      <c r="G17" s="3" t="s">
        <v>6</v>
      </c>
      <c r="H17" s="3" t="s">
        <v>7</v>
      </c>
      <c r="I17" s="3" t="s">
        <v>8</v>
      </c>
      <c r="J17" s="3" t="s">
        <v>9</v>
      </c>
      <c r="K17" s="4" t="s">
        <v>10</v>
      </c>
    </row>
    <row r="18" spans="2:29" x14ac:dyDescent="0.25">
      <c r="B18" s="9" t="s">
        <v>54</v>
      </c>
      <c r="C18" s="129"/>
      <c r="D18" s="129"/>
      <c r="E18" s="31">
        <f>'Input data'!E29</f>
        <v>0</v>
      </c>
      <c r="F18" s="31">
        <f>E26</f>
        <v>90.427860361628035</v>
      </c>
      <c r="G18" s="31">
        <f>F14+F26</f>
        <v>428.69498976003678</v>
      </c>
      <c r="H18" s="31">
        <f t="shared" ref="H18:K18" si="2">G26</f>
        <v>952.58583321250478</v>
      </c>
      <c r="I18" s="31">
        <f t="shared" si="2"/>
        <v>2193.5040475296505</v>
      </c>
      <c r="J18" s="31">
        <f t="shared" si="2"/>
        <v>3302.882848410989</v>
      </c>
      <c r="K18" s="34">
        <f t="shared" si="2"/>
        <v>4333.8277886046935</v>
      </c>
    </row>
    <row r="19" spans="2:29" x14ac:dyDescent="0.25">
      <c r="B19" s="9" t="s">
        <v>55</v>
      </c>
      <c r="C19" s="129"/>
      <c r="D19" s="129"/>
      <c r="E19" s="31">
        <f>'Input data'!E30</f>
        <v>36.788287883609371</v>
      </c>
      <c r="F19" s="31">
        <f>'Input data'!F30</f>
        <v>121.51765447028912</v>
      </c>
      <c r="G19" s="213">
        <f>'Input data'!G30+'Input data'!G24</f>
        <v>487.78660297974682</v>
      </c>
      <c r="H19" s="31">
        <f>'Input data'!H30</f>
        <v>1155.3142323034542</v>
      </c>
      <c r="I19" s="31">
        <f>'Input data'!I30</f>
        <v>953.17476237490382</v>
      </c>
      <c r="J19" s="31">
        <f>'Input data'!J30</f>
        <v>805.2919038636411</v>
      </c>
      <c r="K19" s="34">
        <f>'Input data'!K30</f>
        <v>401.82761120736041</v>
      </c>
      <c r="L19" s="208" t="s">
        <v>114</v>
      </c>
      <c r="M19" s="201"/>
      <c r="N19" s="201"/>
      <c r="O19" s="201"/>
      <c r="P19" s="201"/>
      <c r="Q19" s="201"/>
      <c r="R19" s="201"/>
      <c r="S19" s="201"/>
      <c r="T19" s="201"/>
      <c r="U19" s="201"/>
      <c r="V19" s="201"/>
      <c r="W19" s="201"/>
      <c r="X19" s="201"/>
      <c r="Y19" s="201"/>
      <c r="Z19" s="201"/>
    </row>
    <row r="20" spans="2:29" x14ac:dyDescent="0.25">
      <c r="B20" s="9" t="s">
        <v>60</v>
      </c>
      <c r="C20" s="129"/>
      <c r="D20" s="129"/>
      <c r="E20" s="213">
        <f>'1b. Non-conc EqRaisCost Part B'!L63</f>
        <v>52.035295087744785</v>
      </c>
      <c r="F20" s="31"/>
      <c r="G20" s="31"/>
      <c r="H20" s="31"/>
      <c r="I20" s="31"/>
      <c r="J20" s="31"/>
      <c r="K20" s="34"/>
      <c r="L20" s="208" t="s">
        <v>115</v>
      </c>
      <c r="M20" s="201"/>
      <c r="N20" s="201"/>
      <c r="O20" s="201"/>
      <c r="P20" s="201"/>
      <c r="Q20" s="201"/>
    </row>
    <row r="21" spans="2:29" x14ac:dyDescent="0.25">
      <c r="B21" s="137" t="s">
        <v>56</v>
      </c>
      <c r="C21" s="140"/>
      <c r="D21" s="140"/>
      <c r="E21" s="138">
        <f>'Input data'!E4</f>
        <v>3.6448994199134846E-2</v>
      </c>
      <c r="F21" s="138">
        <f>'Input data'!F4</f>
        <v>3.8724034525525405E-2</v>
      </c>
      <c r="G21" s="138">
        <f>'Input data'!G4</f>
        <v>5.3560369577362293E-2</v>
      </c>
      <c r="H21" s="138">
        <f>'Input data'!H4</f>
        <v>5.5864188002101065E-2</v>
      </c>
      <c r="I21" s="138">
        <f>'Input data'!I4</f>
        <v>5.8168006426839849E-2</v>
      </c>
      <c r="J21" s="138">
        <f>'Input data'!J4</f>
        <v>6.0471824851578621E-2</v>
      </c>
      <c r="K21" s="139">
        <f>'Input data'!K4</f>
        <v>6.2775643276317405E-2</v>
      </c>
    </row>
    <row r="22" spans="2:29" x14ac:dyDescent="0.25">
      <c r="B22" s="7" t="s">
        <v>61</v>
      </c>
      <c r="C22" s="130"/>
      <c r="D22" s="130"/>
      <c r="E22" s="26">
        <f t="shared" ref="E22:K22" si="3">E18*E21</f>
        <v>0</v>
      </c>
      <c r="F22" s="26">
        <f t="shared" si="3"/>
        <v>3.5017315867130745</v>
      </c>
      <c r="G22" s="26">
        <f t="shared" si="3"/>
        <v>22.961062087511113</v>
      </c>
      <c r="H22" s="26">
        <f t="shared" si="3"/>
        <v>53.215434074721458</v>
      </c>
      <c r="I22" s="26">
        <f t="shared" si="3"/>
        <v>127.59175753400393</v>
      </c>
      <c r="J22" s="26">
        <f t="shared" si="3"/>
        <v>199.73135311439242</v>
      </c>
      <c r="K22" s="27">
        <f t="shared" si="3"/>
        <v>272.05882727843976</v>
      </c>
    </row>
    <row r="23" spans="2:29" x14ac:dyDescent="0.25">
      <c r="B23" s="7" t="s">
        <v>62</v>
      </c>
      <c r="C23" s="130"/>
      <c r="D23" s="130"/>
      <c r="E23" s="26">
        <f t="shared" ref="E23:K23" si="4">((E19+E20)*((1+E21)^0.5-1))</f>
        <v>1.6042773902738743</v>
      </c>
      <c r="F23" s="26">
        <f t="shared" si="4"/>
        <v>2.3304798160923053</v>
      </c>
      <c r="G23" s="26">
        <f t="shared" si="4"/>
        <v>12.892633483966714</v>
      </c>
      <c r="H23" s="26">
        <f t="shared" si="4"/>
        <v>31.831822226729521</v>
      </c>
      <c r="I23" s="26">
        <f t="shared" si="4"/>
        <v>27.330317646306991</v>
      </c>
      <c r="J23" s="26">
        <f t="shared" si="4"/>
        <v>23.991358679951542</v>
      </c>
      <c r="K23" s="27">
        <f t="shared" si="4"/>
        <v>12.420533398078891</v>
      </c>
    </row>
    <row r="24" spans="2:29" x14ac:dyDescent="0.25">
      <c r="B24" s="136" t="s">
        <v>63</v>
      </c>
      <c r="C24" s="131"/>
      <c r="D24" s="131"/>
      <c r="E24" s="127">
        <f>E18*'Input data'!E6*'Input data'!E5</f>
        <v>0</v>
      </c>
      <c r="F24" s="127">
        <f>F18*'Input data'!F6*'Input data'!F5</f>
        <v>4.8181420180472355E-2</v>
      </c>
      <c r="G24" s="127">
        <f>G18*'Input data'!G6*'Input data'!G5</f>
        <v>0.25054490124345224</v>
      </c>
      <c r="H24" s="127">
        <f>H18*'Input data'!H6*'Input data'!H5</f>
        <v>0.55672571224061285</v>
      </c>
      <c r="I24" s="127">
        <f>I18*'Input data'!I6*'Input data'!I5</f>
        <v>1.2819633261239025</v>
      </c>
      <c r="J24" s="127">
        <f>J18*'Input data'!J6*'Input data'!J5</f>
        <v>1.9303245357195111</v>
      </c>
      <c r="K24" s="128">
        <f>K18*'Input data'!K6*'Input data'!K5</f>
        <v>2.532846152248903</v>
      </c>
    </row>
    <row r="25" spans="2:29" x14ac:dyDescent="0.25">
      <c r="B25" s="9" t="s">
        <v>57</v>
      </c>
      <c r="C25" s="132"/>
      <c r="D25" s="132"/>
      <c r="E25" s="35">
        <f t="shared" ref="E25:K25" si="5">SUM(E22:E24)</f>
        <v>1.6042773902738743</v>
      </c>
      <c r="F25" s="35">
        <f t="shared" si="5"/>
        <v>5.8803928229858515</v>
      </c>
      <c r="G25" s="35">
        <f t="shared" si="5"/>
        <v>36.10424047272128</v>
      </c>
      <c r="H25" s="35">
        <f t="shared" si="5"/>
        <v>85.603982013691578</v>
      </c>
      <c r="I25" s="35">
        <f t="shared" si="5"/>
        <v>156.20403850643481</v>
      </c>
      <c r="J25" s="35">
        <f t="shared" si="5"/>
        <v>225.65303633006346</v>
      </c>
      <c r="K25" s="159">
        <f t="shared" si="5"/>
        <v>287.01220682876755</v>
      </c>
    </row>
    <row r="26" spans="2:29" ht="15.75" thickBot="1" x14ac:dyDescent="0.3">
      <c r="B26" s="20" t="s">
        <v>58</v>
      </c>
      <c r="C26" s="133"/>
      <c r="D26" s="133"/>
      <c r="E26" s="32">
        <f t="shared" ref="E26:K26" si="6">E18++E19+E20+E25</f>
        <v>90.427860361628035</v>
      </c>
      <c r="F26" s="32">
        <f t="shared" si="6"/>
        <v>217.82590765490298</v>
      </c>
      <c r="G26" s="32">
        <f t="shared" si="6"/>
        <v>952.58583321250478</v>
      </c>
      <c r="H26" s="32">
        <f t="shared" si="6"/>
        <v>2193.5040475296505</v>
      </c>
      <c r="I26" s="32">
        <f t="shared" si="6"/>
        <v>3302.882848410989</v>
      </c>
      <c r="J26" s="32">
        <f t="shared" si="6"/>
        <v>4333.8277886046935</v>
      </c>
      <c r="K26" s="160">
        <f t="shared" si="6"/>
        <v>5022.6676066408218</v>
      </c>
    </row>
    <row r="27" spans="2:29" x14ac:dyDescent="0.25">
      <c r="E27" s="1"/>
      <c r="F27" s="1"/>
      <c r="G27" s="1"/>
      <c r="H27" s="1"/>
      <c r="I27" s="1"/>
      <c r="J27" s="1"/>
      <c r="K27" s="1"/>
    </row>
    <row r="28" spans="2:29" ht="15.75" thickBot="1" x14ac:dyDescent="0.3">
      <c r="B28" s="2" t="s">
        <v>15</v>
      </c>
    </row>
    <row r="29" spans="2:29" ht="26.25" x14ac:dyDescent="0.4">
      <c r="B29" s="156" t="s">
        <v>64</v>
      </c>
      <c r="C29" s="3" t="s">
        <v>2</v>
      </c>
      <c r="D29" s="3" t="s">
        <v>3</v>
      </c>
      <c r="E29" s="3" t="s">
        <v>4</v>
      </c>
      <c r="F29" s="3" t="s">
        <v>5</v>
      </c>
      <c r="G29" s="3" t="s">
        <v>6</v>
      </c>
      <c r="H29" s="3" t="s">
        <v>7</v>
      </c>
      <c r="I29" s="3" t="s">
        <v>8</v>
      </c>
      <c r="J29" s="3" t="s">
        <v>9</v>
      </c>
      <c r="K29" s="4" t="s">
        <v>10</v>
      </c>
    </row>
    <row r="30" spans="2:29" x14ac:dyDescent="0.25">
      <c r="B30" s="9" t="s">
        <v>54</v>
      </c>
      <c r="C30" s="126">
        <f t="shared" ref="C30:K30" si="7">C6+C18</f>
        <v>4.9988444800000007</v>
      </c>
      <c r="D30" s="126">
        <f t="shared" si="7"/>
        <v>38.003599522456881</v>
      </c>
      <c r="E30" s="126">
        <f t="shared" si="7"/>
        <v>60.841182639097383</v>
      </c>
      <c r="F30" s="126">
        <f t="shared" si="7"/>
        <v>201.17335042854037</v>
      </c>
      <c r="G30" s="126">
        <f t="shared" si="7"/>
        <v>428.69498976003678</v>
      </c>
      <c r="H30" s="126">
        <f t="shared" si="7"/>
        <v>952.58583321250478</v>
      </c>
      <c r="I30" s="126">
        <f t="shared" si="7"/>
        <v>2193.5040475296505</v>
      </c>
      <c r="J30" s="126">
        <f t="shared" si="7"/>
        <v>3302.882848410989</v>
      </c>
      <c r="K30" s="161">
        <f t="shared" si="7"/>
        <v>4333.8277886046935</v>
      </c>
    </row>
    <row r="31" spans="2:29" x14ac:dyDescent="0.25">
      <c r="B31" s="9" t="s">
        <v>55</v>
      </c>
      <c r="C31" s="126">
        <f t="shared" ref="C31:K31" si="8">C7+C19</f>
        <v>30.744391635070002</v>
      </c>
      <c r="D31" s="126">
        <f t="shared" si="8"/>
        <v>21.076290540000002</v>
      </c>
      <c r="E31" s="126">
        <f t="shared" si="8"/>
        <v>83.248661633609373</v>
      </c>
      <c r="F31" s="126">
        <f t="shared" si="8"/>
        <v>216.27095747028912</v>
      </c>
      <c r="G31" s="214">
        <f>G19</f>
        <v>487.78660297974682</v>
      </c>
      <c r="H31" s="126">
        <f t="shared" si="8"/>
        <v>1155.3142323034542</v>
      </c>
      <c r="I31" s="126">
        <f t="shared" si="8"/>
        <v>953.17476237490382</v>
      </c>
      <c r="J31" s="126">
        <f t="shared" si="8"/>
        <v>805.2919038636411</v>
      </c>
      <c r="K31" s="161">
        <f t="shared" si="8"/>
        <v>401.82761120736041</v>
      </c>
      <c r="L31" s="208" t="s">
        <v>110</v>
      </c>
      <c r="M31" s="201"/>
      <c r="N31" s="201"/>
      <c r="O31" s="201"/>
      <c r="P31" s="201"/>
      <c r="Q31" s="201"/>
      <c r="R31" s="201"/>
      <c r="S31" s="201"/>
      <c r="T31" s="201"/>
      <c r="U31" s="201"/>
      <c r="V31" s="201"/>
      <c r="W31" s="201"/>
      <c r="X31" s="201"/>
      <c r="Y31" s="201"/>
      <c r="Z31" s="201"/>
      <c r="AA31" s="201"/>
      <c r="AB31" s="201"/>
      <c r="AC31" s="201"/>
    </row>
    <row r="32" spans="2:29" x14ac:dyDescent="0.25">
      <c r="B32" s="9" t="s">
        <v>65</v>
      </c>
      <c r="C32" s="126">
        <f t="shared" ref="C32:K32" si="9">C8+C20</f>
        <v>1.5654486489435231</v>
      </c>
      <c r="D32" s="126">
        <f t="shared" si="9"/>
        <v>0</v>
      </c>
      <c r="E32" s="126">
        <f t="shared" si="9"/>
        <v>52.035295087744785</v>
      </c>
      <c r="F32" s="126">
        <f t="shared" si="9"/>
        <v>0</v>
      </c>
      <c r="G32" s="126">
        <f t="shared" si="9"/>
        <v>0</v>
      </c>
      <c r="H32" s="126">
        <f t="shared" si="9"/>
        <v>0</v>
      </c>
      <c r="I32" s="126">
        <f t="shared" si="9"/>
        <v>0</v>
      </c>
      <c r="J32" s="126">
        <f t="shared" si="9"/>
        <v>0</v>
      </c>
      <c r="K32" s="161">
        <f t="shared" si="9"/>
        <v>0</v>
      </c>
      <c r="L32" s="185"/>
    </row>
    <row r="33" spans="2:12" x14ac:dyDescent="0.25">
      <c r="B33" s="137" t="s">
        <v>56</v>
      </c>
      <c r="C33" s="138">
        <f>'Input data'!C4</f>
        <v>3.2928406449951805E-2</v>
      </c>
      <c r="D33" s="138">
        <f>'Input data'!D4</f>
        <v>3.3858772158287365E-2</v>
      </c>
      <c r="E33" s="138">
        <f>'Input data'!E4</f>
        <v>3.6448994199134846E-2</v>
      </c>
      <c r="F33" s="138">
        <f>'Input data'!F4</f>
        <v>3.8724034525525405E-2</v>
      </c>
      <c r="G33" s="138">
        <f>'Input data'!G4</f>
        <v>5.3560369577362293E-2</v>
      </c>
      <c r="H33" s="138">
        <f>'Input data'!H4</f>
        <v>5.5864188002101065E-2</v>
      </c>
      <c r="I33" s="138">
        <f>'Input data'!I4</f>
        <v>5.8168006426839849E-2</v>
      </c>
      <c r="J33" s="138">
        <f>'Input data'!J4</f>
        <v>6.0471824851578621E-2</v>
      </c>
      <c r="K33" s="139">
        <f>'Input data'!K4</f>
        <v>6.2775643276317405E-2</v>
      </c>
    </row>
    <row r="34" spans="2:12" x14ac:dyDescent="0.25">
      <c r="B34" s="7" t="s">
        <v>66</v>
      </c>
      <c r="C34" s="121">
        <f t="shared" ref="C34:K34" si="10">C10+C22</f>
        <v>0.16460398281753799</v>
      </c>
      <c r="D34" s="121">
        <f t="shared" si="10"/>
        <v>1.286755217425666</v>
      </c>
      <c r="E34" s="121">
        <f t="shared" si="10"/>
        <v>2.4356842662326987</v>
      </c>
      <c r="F34" s="121">
        <f t="shared" si="10"/>
        <v>8.3081787907616373</v>
      </c>
      <c r="G34" s="121">
        <f t="shared" si="10"/>
        <v>22.961062087511113</v>
      </c>
      <c r="H34" s="121">
        <f t="shared" si="10"/>
        <v>53.215434074721458</v>
      </c>
      <c r="I34" s="121">
        <f t="shared" si="10"/>
        <v>127.59175753400393</v>
      </c>
      <c r="J34" s="121">
        <f t="shared" si="10"/>
        <v>199.73135311439242</v>
      </c>
      <c r="K34" s="162">
        <f t="shared" si="10"/>
        <v>272.05882727843976</v>
      </c>
      <c r="L34" s="166"/>
    </row>
    <row r="35" spans="2:12" x14ac:dyDescent="0.25">
      <c r="B35" s="7" t="s">
        <v>67</v>
      </c>
      <c r="C35" s="121">
        <f t="shared" ref="C35:K35" si="11">C11+C23</f>
        <v>0.52764731078937543</v>
      </c>
      <c r="D35" s="121">
        <f t="shared" si="11"/>
        <v>0.45428842940891867</v>
      </c>
      <c r="E35" s="121">
        <f t="shared" si="11"/>
        <v>2.5769216547752603</v>
      </c>
      <c r="F35" s="121">
        <f t="shared" si="11"/>
        <v>2.8281882398141418</v>
      </c>
      <c r="G35" s="121">
        <f t="shared" si="11"/>
        <v>12.892633483966714</v>
      </c>
      <c r="H35" s="121">
        <f t="shared" si="11"/>
        <v>31.831822226729521</v>
      </c>
      <c r="I35" s="121">
        <f t="shared" si="11"/>
        <v>27.330317646306991</v>
      </c>
      <c r="J35" s="121">
        <f t="shared" si="11"/>
        <v>23.991358679951542</v>
      </c>
      <c r="K35" s="162">
        <f t="shared" si="11"/>
        <v>12.420533398078891</v>
      </c>
      <c r="L35" s="166"/>
    </row>
    <row r="36" spans="2:12" x14ac:dyDescent="0.25">
      <c r="B36" s="136" t="s">
        <v>68</v>
      </c>
      <c r="C36" s="135">
        <f t="shared" ref="C36:K36" si="12">C12+C24</f>
        <v>2.6634648364401337E-3</v>
      </c>
      <c r="D36" s="135">
        <f t="shared" si="12"/>
        <v>2.0248929805917255E-2</v>
      </c>
      <c r="E36" s="135">
        <f t="shared" si="12"/>
        <v>3.5605147080875858E-2</v>
      </c>
      <c r="F36" s="135">
        <f t="shared" si="12"/>
        <v>0.1143148306315275</v>
      </c>
      <c r="G36" s="135">
        <f t="shared" si="12"/>
        <v>0.25054490124345224</v>
      </c>
      <c r="H36" s="135">
        <f t="shared" si="12"/>
        <v>0.55672571224061285</v>
      </c>
      <c r="I36" s="135">
        <f t="shared" si="12"/>
        <v>1.2819633261239025</v>
      </c>
      <c r="J36" s="135">
        <f t="shared" si="12"/>
        <v>1.9303245357195111</v>
      </c>
      <c r="K36" s="163">
        <f t="shared" si="12"/>
        <v>2.532846152248903</v>
      </c>
    </row>
    <row r="37" spans="2:12" x14ac:dyDescent="0.25">
      <c r="B37" s="9" t="s">
        <v>57</v>
      </c>
      <c r="C37" s="134">
        <f>SUM(C34:C36)</f>
        <v>0.69491475844335349</v>
      </c>
      <c r="D37" s="134">
        <f t="shared" ref="D37:K37" si="13">SUM(D34:D36)</f>
        <v>1.7612925766405019</v>
      </c>
      <c r="E37" s="134">
        <f t="shared" si="13"/>
        <v>5.0482110680888344</v>
      </c>
      <c r="F37" s="134">
        <f t="shared" si="13"/>
        <v>11.250681861207308</v>
      </c>
      <c r="G37" s="134">
        <f t="shared" si="13"/>
        <v>36.10424047272128</v>
      </c>
      <c r="H37" s="134">
        <f t="shared" si="13"/>
        <v>85.603982013691578</v>
      </c>
      <c r="I37" s="134">
        <f t="shared" si="13"/>
        <v>156.20403850643481</v>
      </c>
      <c r="J37" s="134">
        <f t="shared" si="13"/>
        <v>225.65303633006346</v>
      </c>
      <c r="K37" s="164">
        <f t="shared" si="13"/>
        <v>287.01220682876755</v>
      </c>
      <c r="L37" s="189"/>
    </row>
    <row r="38" spans="2:12" ht="15.75" thickBot="1" x14ac:dyDescent="0.3">
      <c r="B38" s="20" t="s">
        <v>58</v>
      </c>
      <c r="C38" s="187">
        <f>C30+C31+C32+C37</f>
        <v>38.003599522456881</v>
      </c>
      <c r="D38" s="187">
        <f t="shared" ref="D38:K38" si="14">D30+D31+D32+D37</f>
        <v>60.841182639097383</v>
      </c>
      <c r="E38" s="187">
        <f t="shared" si="14"/>
        <v>201.1733504285404</v>
      </c>
      <c r="F38" s="187">
        <f t="shared" si="14"/>
        <v>428.69498976003678</v>
      </c>
      <c r="G38" s="187">
        <f t="shared" si="14"/>
        <v>952.58583321250478</v>
      </c>
      <c r="H38" s="187">
        <f t="shared" si="14"/>
        <v>2193.5040475296505</v>
      </c>
      <c r="I38" s="187">
        <f t="shared" si="14"/>
        <v>3302.882848410989</v>
      </c>
      <c r="J38" s="187">
        <f t="shared" si="14"/>
        <v>4333.8277886046935</v>
      </c>
      <c r="K38" s="188">
        <f t="shared" si="14"/>
        <v>5022.6676066408218</v>
      </c>
    </row>
    <row r="39" spans="2:12" x14ac:dyDescent="0.25">
      <c r="B39" s="2"/>
      <c r="C39" s="165"/>
      <c r="D39" s="165"/>
      <c r="E39" s="165"/>
      <c r="F39" s="165"/>
      <c r="G39" s="165"/>
      <c r="H39" s="165"/>
      <c r="I39" s="165"/>
      <c r="J39" s="165"/>
      <c r="K39" s="165"/>
      <c r="L39" s="165"/>
    </row>
    <row r="40" spans="2:12" x14ac:dyDescent="0.25">
      <c r="B40" s="122"/>
      <c r="C40" s="165"/>
      <c r="D40" s="165"/>
      <c r="E40" s="165"/>
      <c r="F40" s="165"/>
      <c r="G40" s="165"/>
      <c r="H40" s="165"/>
      <c r="I40" s="165"/>
      <c r="J40" s="165"/>
      <c r="K40" s="165"/>
      <c r="L40" s="165"/>
    </row>
    <row r="41" spans="2:12" x14ac:dyDescent="0.25">
      <c r="B41" s="167"/>
      <c r="K41" s="165"/>
    </row>
  </sheetData>
  <conditionalFormatting sqref="I2 L3">
    <cfRule type="cellIs" dxfId="1" priority="1" operator="equal">
      <formula>"ERROR"</formula>
    </cfRule>
    <cfRule type="cellIs" dxfId="0" priority="2" operator="equal">
      <formula>"OK"</formula>
    </cfRule>
  </conditionalFormatting>
  <pageMargins left="0.7" right="0.7" top="0.75" bottom="0.75" header="0.3" footer="0.3"/>
  <pageSetup paperSize="9" orientation="portrait" r:id="rId1"/>
  <ignoredErrors>
    <ignoredError sqref="G18 C33:K33 G31"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ADB1F-E2AF-481D-ACDB-57FECE8F20AF}">
  <dimension ref="A1:AB75"/>
  <sheetViews>
    <sheetView zoomScale="85" zoomScaleNormal="85" workbookViewId="0"/>
  </sheetViews>
  <sheetFormatPr defaultColWidth="8.85546875" defaultRowHeight="12.75" x14ac:dyDescent="0.2"/>
  <cols>
    <col min="1" max="1" width="3" style="37" customWidth="1"/>
    <col min="2" max="2" width="53" style="37" customWidth="1"/>
    <col min="3" max="11" width="11.42578125" style="37" customWidth="1"/>
    <col min="12" max="12" width="16.5703125" style="37" customWidth="1"/>
    <col min="13" max="13" width="133.42578125" style="38" bestFit="1" customWidth="1"/>
    <col min="14" max="15" width="8.85546875" style="37" bestFit="1"/>
    <col min="16" max="16" width="14.42578125" style="37" bestFit="1" customWidth="1"/>
    <col min="17" max="18" width="8.85546875" style="37" bestFit="1"/>
    <col min="19" max="19" width="16.28515625" style="37" bestFit="1" customWidth="1"/>
    <col min="20" max="22" width="8.85546875" style="37" bestFit="1"/>
    <col min="23" max="24" width="8.85546875" style="37"/>
    <col min="25" max="25" width="15" style="37" bestFit="1" customWidth="1"/>
    <col min="26" max="16384" width="8.85546875" style="37"/>
  </cols>
  <sheetData>
    <row r="1" spans="1:28" ht="13.5" thickBot="1" x14ac:dyDescent="0.25"/>
    <row r="2" spans="1:28" x14ac:dyDescent="0.2">
      <c r="B2" s="39" t="s">
        <v>69</v>
      </c>
      <c r="C2" s="40"/>
      <c r="D2" s="40"/>
      <c r="E2" s="40"/>
      <c r="F2" s="40"/>
      <c r="G2" s="40"/>
      <c r="H2" s="40"/>
      <c r="I2" s="40"/>
      <c r="J2" s="40"/>
      <c r="K2" s="40"/>
      <c r="L2" s="41"/>
    </row>
    <row r="3" spans="1:28" x14ac:dyDescent="0.2">
      <c r="A3" s="42"/>
      <c r="B3" s="43" t="s">
        <v>70</v>
      </c>
      <c r="L3" s="44"/>
    </row>
    <row r="4" spans="1:28" x14ac:dyDescent="0.2">
      <c r="A4" s="42"/>
      <c r="B4" s="45" t="s">
        <v>71</v>
      </c>
      <c r="C4" s="46" t="s">
        <v>2</v>
      </c>
      <c r="D4" s="46" t="s">
        <v>3</v>
      </c>
      <c r="E4" s="46" t="s">
        <v>4</v>
      </c>
      <c r="F4" s="46" t="s">
        <v>5</v>
      </c>
      <c r="G4" s="46" t="s">
        <v>6</v>
      </c>
      <c r="H4" s="46" t="s">
        <v>7</v>
      </c>
      <c r="I4" s="46" t="s">
        <v>8</v>
      </c>
      <c r="J4" s="46" t="s">
        <v>9</v>
      </c>
      <c r="K4" s="46" t="s">
        <v>10</v>
      </c>
      <c r="L4" s="47" t="s">
        <v>32</v>
      </c>
    </row>
    <row r="5" spans="1:28" x14ac:dyDescent="0.2">
      <c r="A5" s="42"/>
      <c r="B5" s="48" t="s">
        <v>72</v>
      </c>
      <c r="C5" s="49"/>
      <c r="D5" s="49"/>
      <c r="E5" s="49"/>
      <c r="F5" s="49"/>
      <c r="G5" s="49"/>
      <c r="H5" s="49"/>
      <c r="I5" s="49"/>
      <c r="J5" s="49"/>
      <c r="K5" s="49"/>
      <c r="L5" s="50"/>
    </row>
    <row r="6" spans="1:28" x14ac:dyDescent="0.2">
      <c r="A6" s="42"/>
      <c r="B6" s="51"/>
      <c r="C6" s="52"/>
      <c r="D6" s="52"/>
      <c r="E6" s="52"/>
      <c r="F6" s="52"/>
      <c r="G6" s="52"/>
      <c r="H6" s="52"/>
      <c r="I6" s="52"/>
      <c r="J6" s="52"/>
      <c r="K6" s="52"/>
      <c r="L6" s="53"/>
    </row>
    <row r="7" spans="1:28" x14ac:dyDescent="0.2">
      <c r="A7" s="42"/>
      <c r="B7" s="54" t="s">
        <v>54</v>
      </c>
      <c r="C7" s="55"/>
      <c r="D7" s="55"/>
      <c r="E7" s="55">
        <f>'1. Non-concessional'!E18</f>
        <v>0</v>
      </c>
      <c r="F7" s="55">
        <f>'1. Non-concessional'!F18</f>
        <v>90.427860361628035</v>
      </c>
      <c r="G7" s="55">
        <f>'1. Non-concessional'!G18</f>
        <v>428.69498976003678</v>
      </c>
      <c r="H7" s="55">
        <f>'1. Non-concessional'!H18</f>
        <v>952.58583321250478</v>
      </c>
      <c r="I7" s="55">
        <f>'1. Non-concessional'!I18</f>
        <v>2193.5040475296505</v>
      </c>
      <c r="J7" s="55">
        <f>'1. Non-concessional'!J18</f>
        <v>3302.882848410989</v>
      </c>
      <c r="K7" s="55">
        <f>'1. Non-concessional'!K18</f>
        <v>4333.8277886046935</v>
      </c>
      <c r="L7" s="56">
        <f>SUM(C7:K7)</f>
        <v>11301.923367879503</v>
      </c>
    </row>
    <row r="8" spans="1:28" x14ac:dyDescent="0.2">
      <c r="A8" s="42"/>
      <c r="B8" s="57" t="s">
        <v>27</v>
      </c>
      <c r="C8" s="58"/>
      <c r="D8" s="58"/>
      <c r="E8" s="58">
        <f>'1. Non-concessional'!E19</f>
        <v>36.788287883609371</v>
      </c>
      <c r="F8" s="58">
        <f>'1. Non-concessional'!F19</f>
        <v>121.51765447028912</v>
      </c>
      <c r="G8" s="58">
        <f>'1. Non-concessional'!G19</f>
        <v>487.78660297974682</v>
      </c>
      <c r="H8" s="58">
        <f>'1. Non-concessional'!H19</f>
        <v>1155.3142323034542</v>
      </c>
      <c r="I8" s="58">
        <f>'1. Non-concessional'!I19</f>
        <v>953.17476237490382</v>
      </c>
      <c r="J8" s="58">
        <f>'1. Non-concessional'!J19</f>
        <v>805.2919038636411</v>
      </c>
      <c r="K8" s="58">
        <f>'1. Non-concessional'!K19</f>
        <v>401.82761120736041</v>
      </c>
      <c r="L8" s="59">
        <f>+SUM(C8:K8)</f>
        <v>3961.701055083005</v>
      </c>
    </row>
    <row r="9" spans="1:28" x14ac:dyDescent="0.2">
      <c r="A9" s="42"/>
      <c r="B9" s="57" t="s">
        <v>73</v>
      </c>
      <c r="C9" s="58"/>
      <c r="D9" s="58"/>
      <c r="E9" s="58">
        <f>+L63</f>
        <v>52.035295087744785</v>
      </c>
      <c r="F9" s="58"/>
      <c r="H9" s="58"/>
      <c r="I9" s="58"/>
      <c r="J9" s="58"/>
      <c r="K9" s="58"/>
      <c r="L9" s="59">
        <f t="shared" ref="L9:L11" si="0">+SUM(C9:K9)</f>
        <v>52.035295087744785</v>
      </c>
    </row>
    <row r="10" spans="1:28" x14ac:dyDescent="0.2">
      <c r="A10" s="42"/>
      <c r="B10" s="57" t="s">
        <v>68</v>
      </c>
      <c r="C10" s="58"/>
      <c r="D10" s="58"/>
      <c r="E10" s="58">
        <f>'1. Non-concessional'!E24</f>
        <v>0</v>
      </c>
      <c r="F10" s="58">
        <f>'1. Non-concessional'!F24</f>
        <v>4.8181420180472355E-2</v>
      </c>
      <c r="G10" s="58">
        <f>'1. Non-concessional'!G24</f>
        <v>0.25054490124345224</v>
      </c>
      <c r="H10" s="58">
        <f>'1. Non-concessional'!H24</f>
        <v>0.55672571224061285</v>
      </c>
      <c r="I10" s="58">
        <f>'1. Non-concessional'!I24</f>
        <v>1.2819633261239025</v>
      </c>
      <c r="J10" s="58">
        <f>'1. Non-concessional'!J24</f>
        <v>1.9303245357195111</v>
      </c>
      <c r="K10" s="58">
        <f>'1. Non-concessional'!K24</f>
        <v>2.532846152248903</v>
      </c>
      <c r="L10" s="59">
        <f t="shared" ref="L10" si="1">+SUM(C10:K10)</f>
        <v>6.6005860477568543</v>
      </c>
    </row>
    <row r="11" spans="1:28" x14ac:dyDescent="0.2">
      <c r="A11" s="42"/>
      <c r="B11" s="57" t="s">
        <v>74</v>
      </c>
      <c r="C11" s="58"/>
      <c r="D11" s="58"/>
      <c r="E11" s="58">
        <f>'1. Non-concessional'!E22+'1. Non-concessional'!E23</f>
        <v>1.6042773902738743</v>
      </c>
      <c r="F11" s="58">
        <f>'1. Non-concessional'!F22+'1. Non-concessional'!F23</f>
        <v>5.8322114028053793</v>
      </c>
      <c r="G11" s="58">
        <f>'1. Non-concessional'!G22+'1. Non-concessional'!G23</f>
        <v>35.853695571477829</v>
      </c>
      <c r="H11" s="58">
        <f>'1. Non-concessional'!H22+'1. Non-concessional'!H23</f>
        <v>85.047256301450972</v>
      </c>
      <c r="I11" s="58">
        <f>'1. Non-concessional'!I22+'1. Non-concessional'!I23</f>
        <v>154.92207518031091</v>
      </c>
      <c r="J11" s="58">
        <f>'1. Non-concessional'!J22+'1. Non-concessional'!J23</f>
        <v>223.72271179434395</v>
      </c>
      <c r="K11" s="58">
        <f>'1. Non-concessional'!K22+'1. Non-concessional'!K23</f>
        <v>284.47936067651864</v>
      </c>
      <c r="L11" s="59">
        <f t="shared" si="0"/>
        <v>791.46158831718162</v>
      </c>
    </row>
    <row r="12" spans="1:28" x14ac:dyDescent="0.2">
      <c r="A12" s="42"/>
      <c r="B12" s="54" t="s">
        <v>75</v>
      </c>
      <c r="C12" s="55"/>
      <c r="D12" s="55"/>
      <c r="E12" s="55">
        <f>+SUM(E8:E11)</f>
        <v>90.427860361628035</v>
      </c>
      <c r="F12" s="55">
        <f t="shared" ref="F12:J12" si="2">+SUM(F8:F11)</f>
        <v>127.39804729327497</v>
      </c>
      <c r="G12" s="55">
        <f t="shared" si="2"/>
        <v>523.89084345246806</v>
      </c>
      <c r="H12" s="55">
        <f t="shared" si="2"/>
        <v>1240.9182143171458</v>
      </c>
      <c r="I12" s="55">
        <f t="shared" si="2"/>
        <v>1109.3788008813385</v>
      </c>
      <c r="J12" s="55">
        <f t="shared" si="2"/>
        <v>1030.9449401937045</v>
      </c>
      <c r="K12" s="55">
        <f>+SUM(K8:K11)</f>
        <v>688.83981803612801</v>
      </c>
      <c r="L12" s="56">
        <f>SUM(C12:K12)</f>
        <v>4811.7985245356876</v>
      </c>
      <c r="X12" s="60"/>
      <c r="Y12" s="61"/>
      <c r="Z12" s="61"/>
      <c r="AA12" s="61"/>
      <c r="AB12" s="61"/>
    </row>
    <row r="13" spans="1:28" x14ac:dyDescent="0.2">
      <c r="A13" s="62"/>
      <c r="B13" s="63" t="s">
        <v>76</v>
      </c>
      <c r="C13" s="64"/>
      <c r="D13" s="65"/>
      <c r="E13" s="65" t="s">
        <v>77</v>
      </c>
      <c r="F13" s="65" t="s">
        <v>77</v>
      </c>
      <c r="G13" s="65" t="s">
        <v>77</v>
      </c>
      <c r="H13" s="65" t="s">
        <v>77</v>
      </c>
      <c r="I13" s="65" t="s">
        <v>77</v>
      </c>
      <c r="J13" s="65" t="s">
        <v>77</v>
      </c>
      <c r="K13" s="65" t="s">
        <v>77</v>
      </c>
      <c r="L13" s="66" t="s">
        <v>77</v>
      </c>
      <c r="M13" s="67"/>
      <c r="X13" s="60"/>
      <c r="Y13" s="61"/>
      <c r="Z13" s="61"/>
      <c r="AA13" s="61"/>
      <c r="AB13" s="61"/>
    </row>
    <row r="14" spans="1:28" x14ac:dyDescent="0.2">
      <c r="A14" s="42"/>
      <c r="B14" s="43"/>
      <c r="C14" s="68"/>
      <c r="D14" s="68"/>
      <c r="E14" s="68"/>
      <c r="F14" s="68"/>
      <c r="G14" s="68"/>
      <c r="H14" s="68"/>
      <c r="I14" s="68"/>
      <c r="J14" s="68"/>
      <c r="K14" s="68"/>
      <c r="L14" s="69"/>
      <c r="X14" s="60"/>
      <c r="Y14" s="61"/>
      <c r="Z14" s="61"/>
      <c r="AA14" s="61"/>
      <c r="AB14" s="61"/>
    </row>
    <row r="15" spans="1:28" x14ac:dyDescent="0.2">
      <c r="A15" s="42"/>
      <c r="B15" s="48" t="s">
        <v>78</v>
      </c>
      <c r="C15" s="49"/>
      <c r="D15" s="49"/>
      <c r="E15" s="49"/>
      <c r="F15" s="49"/>
      <c r="G15" s="49"/>
      <c r="H15" s="49"/>
      <c r="I15" s="49"/>
      <c r="J15" s="49"/>
      <c r="K15" s="49"/>
      <c r="L15" s="50"/>
    </row>
    <row r="16" spans="1:28" x14ac:dyDescent="0.2">
      <c r="A16" s="70"/>
      <c r="B16" s="71"/>
      <c r="C16" s="72"/>
      <c r="D16" s="72"/>
      <c r="E16" s="72"/>
      <c r="F16" s="72"/>
      <c r="G16" s="72"/>
      <c r="H16" s="72"/>
      <c r="I16" s="72"/>
      <c r="J16" s="72"/>
      <c r="K16" s="72"/>
      <c r="L16" s="73"/>
    </row>
    <row r="17" spans="1:24" x14ac:dyDescent="0.2">
      <c r="A17" s="42"/>
      <c r="B17" s="74" t="s">
        <v>36</v>
      </c>
      <c r="C17" s="58"/>
      <c r="D17" s="58"/>
      <c r="E17" s="58">
        <f>'Input data'!E35</f>
        <v>0</v>
      </c>
      <c r="F17" s="58">
        <f>'Input data'!F35</f>
        <v>0</v>
      </c>
      <c r="G17" s="58">
        <f>'Input data'!G35</f>
        <v>0</v>
      </c>
      <c r="H17" s="58">
        <f>'Input data'!H35</f>
        <v>0</v>
      </c>
      <c r="I17" s="58">
        <f>'Input data'!I35</f>
        <v>0</v>
      </c>
      <c r="J17" s="58">
        <f>'Input data'!J35</f>
        <v>0</v>
      </c>
      <c r="K17" s="58">
        <f>'Input data'!K35</f>
        <v>0</v>
      </c>
      <c r="L17" s="56">
        <f t="shared" ref="L17:L19" si="3">SUM(C17:K17)</f>
        <v>0</v>
      </c>
    </row>
    <row r="18" spans="1:24" x14ac:dyDescent="0.2">
      <c r="A18" s="42"/>
      <c r="B18" s="43" t="s">
        <v>37</v>
      </c>
      <c r="C18" s="58"/>
      <c r="D18" s="58"/>
      <c r="E18" s="58">
        <f>'Input data'!E36</f>
        <v>0</v>
      </c>
      <c r="F18" s="58">
        <f>'Input data'!F36</f>
        <v>0</v>
      </c>
      <c r="G18" s="58">
        <f>'Input data'!G36</f>
        <v>0</v>
      </c>
      <c r="H18" s="58">
        <f>'Input data'!H36</f>
        <v>0</v>
      </c>
      <c r="I18" s="58">
        <f>'Input data'!I36</f>
        <v>0</v>
      </c>
      <c r="J18" s="58">
        <f>'Input data'!J36</f>
        <v>0</v>
      </c>
      <c r="K18" s="58">
        <f>'Input data'!K36</f>
        <v>0</v>
      </c>
      <c r="L18" s="75">
        <f t="shared" si="3"/>
        <v>0</v>
      </c>
    </row>
    <row r="19" spans="1:24" x14ac:dyDescent="0.2">
      <c r="A19" s="42"/>
      <c r="B19" s="63" t="s">
        <v>79</v>
      </c>
      <c r="C19" s="76"/>
      <c r="D19" s="76"/>
      <c r="E19" s="76">
        <f t="shared" ref="E19:K19" si="4">E18*0.3</f>
        <v>0</v>
      </c>
      <c r="F19" s="76">
        <f t="shared" si="4"/>
        <v>0</v>
      </c>
      <c r="G19" s="76">
        <f t="shared" si="4"/>
        <v>0</v>
      </c>
      <c r="H19" s="76">
        <f t="shared" si="4"/>
        <v>0</v>
      </c>
      <c r="I19" s="76">
        <f t="shared" si="4"/>
        <v>0</v>
      </c>
      <c r="J19" s="76">
        <f t="shared" si="4"/>
        <v>0</v>
      </c>
      <c r="K19" s="76">
        <f t="shared" si="4"/>
        <v>0</v>
      </c>
      <c r="L19" s="56">
        <f t="shared" si="3"/>
        <v>0</v>
      </c>
      <c r="M19" s="77"/>
      <c r="N19" s="78"/>
      <c r="X19" s="79"/>
    </row>
    <row r="20" spans="1:24" x14ac:dyDescent="0.2">
      <c r="A20" s="42"/>
      <c r="B20" s="43"/>
      <c r="C20" s="80"/>
      <c r="D20" s="80"/>
      <c r="E20" s="80"/>
      <c r="F20" s="80"/>
      <c r="G20" s="80"/>
      <c r="H20" s="80"/>
      <c r="I20" s="80"/>
      <c r="J20" s="80"/>
      <c r="K20" s="80"/>
      <c r="L20" s="56"/>
      <c r="X20" s="79"/>
    </row>
    <row r="21" spans="1:24" x14ac:dyDescent="0.2">
      <c r="A21" s="42"/>
      <c r="B21" s="48" t="s">
        <v>80</v>
      </c>
      <c r="C21" s="81"/>
      <c r="D21" s="81"/>
      <c r="E21" s="81"/>
      <c r="F21" s="81"/>
      <c r="G21" s="81"/>
      <c r="H21" s="81"/>
      <c r="I21" s="81"/>
      <c r="J21" s="81"/>
      <c r="K21" s="81"/>
      <c r="L21" s="82"/>
      <c r="X21" s="79"/>
    </row>
    <row r="22" spans="1:24" x14ac:dyDescent="0.2">
      <c r="A22" s="70"/>
      <c r="B22" s="51"/>
      <c r="C22" s="83"/>
      <c r="D22" s="83"/>
      <c r="E22" s="83"/>
      <c r="F22" s="83"/>
      <c r="G22" s="83"/>
      <c r="H22" s="83"/>
      <c r="I22" s="83"/>
      <c r="J22" s="83"/>
      <c r="K22" s="83"/>
      <c r="L22" s="84"/>
    </row>
    <row r="23" spans="1:24" x14ac:dyDescent="0.2">
      <c r="A23" s="42"/>
      <c r="B23" s="43" t="s">
        <v>38</v>
      </c>
      <c r="C23" s="58"/>
      <c r="D23" s="58"/>
      <c r="E23" s="58">
        <f>'Input data'!E38</f>
        <v>0</v>
      </c>
      <c r="F23" s="58">
        <f>'Input data'!F38</f>
        <v>0</v>
      </c>
      <c r="G23" s="58">
        <f>'Input data'!G38</f>
        <v>0</v>
      </c>
      <c r="H23" s="58">
        <f>'Input data'!H38</f>
        <v>0</v>
      </c>
      <c r="I23" s="58">
        <f>'Input data'!I38</f>
        <v>0</v>
      </c>
      <c r="J23" s="58">
        <f>'Input data'!J38</f>
        <v>0</v>
      </c>
      <c r="K23" s="58">
        <f>'Input data'!K38</f>
        <v>0</v>
      </c>
      <c r="L23" s="56">
        <f t="shared" ref="L23:L30" si="5">SUM(C23:K23)</f>
        <v>0</v>
      </c>
    </row>
    <row r="24" spans="1:24" x14ac:dyDescent="0.2">
      <c r="A24" s="42"/>
      <c r="B24" s="43" t="s">
        <v>39</v>
      </c>
      <c r="C24" s="58"/>
      <c r="D24" s="58"/>
      <c r="E24" s="58">
        <f>'Input data'!E39</f>
        <v>0</v>
      </c>
      <c r="F24" s="58">
        <f>'Input data'!F39</f>
        <v>0</v>
      </c>
      <c r="G24" s="58">
        <f>'Input data'!G39</f>
        <v>0</v>
      </c>
      <c r="H24" s="58">
        <f>'Input data'!H39</f>
        <v>0</v>
      </c>
      <c r="I24" s="58">
        <f>'Input data'!I39</f>
        <v>0</v>
      </c>
      <c r="J24" s="58">
        <f>'Input data'!J39</f>
        <v>0</v>
      </c>
      <c r="K24" s="58">
        <f>'Input data'!K39</f>
        <v>0</v>
      </c>
      <c r="L24" s="56">
        <f t="shared" si="5"/>
        <v>0</v>
      </c>
    </row>
    <row r="25" spans="1:24" ht="12" customHeight="1" x14ac:dyDescent="0.2">
      <c r="A25" s="42"/>
      <c r="B25" s="74" t="s">
        <v>40</v>
      </c>
      <c r="C25" s="58"/>
      <c r="D25" s="58"/>
      <c r="E25" s="58">
        <f>'Input data'!E40</f>
        <v>0</v>
      </c>
      <c r="F25" s="58">
        <f>'Input data'!F40</f>
        <v>0</v>
      </c>
      <c r="G25" s="58">
        <f>'Input data'!G40</f>
        <v>0</v>
      </c>
      <c r="H25" s="58">
        <f>'Input data'!H40</f>
        <v>0</v>
      </c>
      <c r="I25" s="58">
        <f>'Input data'!I40</f>
        <v>0</v>
      </c>
      <c r="J25" s="58">
        <f>'Input data'!J40</f>
        <v>0</v>
      </c>
      <c r="K25" s="58">
        <f>'Input data'!K40</f>
        <v>0</v>
      </c>
      <c r="L25" s="56">
        <f t="shared" si="5"/>
        <v>0</v>
      </c>
    </row>
    <row r="26" spans="1:24" x14ac:dyDescent="0.2">
      <c r="A26" s="42"/>
      <c r="B26" s="85" t="s">
        <v>41</v>
      </c>
      <c r="C26" s="58"/>
      <c r="D26" s="58"/>
      <c r="E26" s="58">
        <f>'Input data'!E41</f>
        <v>0</v>
      </c>
      <c r="F26" s="58">
        <f>'Input data'!F41</f>
        <v>0</v>
      </c>
      <c r="G26" s="58">
        <f>'Input data'!G41</f>
        <v>0</v>
      </c>
      <c r="H26" s="58">
        <f>'Input data'!H41</f>
        <v>0</v>
      </c>
      <c r="I26" s="58">
        <f>'Input data'!I41</f>
        <v>0</v>
      </c>
      <c r="J26" s="58">
        <f>'Input data'!J41</f>
        <v>0</v>
      </c>
      <c r="K26" s="58">
        <f>'Input data'!K41</f>
        <v>0</v>
      </c>
      <c r="L26" s="56">
        <f t="shared" si="5"/>
        <v>0</v>
      </c>
    </row>
    <row r="27" spans="1:24" x14ac:dyDescent="0.2">
      <c r="A27" s="42"/>
      <c r="B27" s="74" t="s">
        <v>36</v>
      </c>
      <c r="C27" s="58"/>
      <c r="D27" s="58"/>
      <c r="E27" s="58">
        <f t="shared" ref="E27:K27" si="6">E17</f>
        <v>0</v>
      </c>
      <c r="F27" s="58">
        <f t="shared" si="6"/>
        <v>0</v>
      </c>
      <c r="G27" s="58">
        <f t="shared" si="6"/>
        <v>0</v>
      </c>
      <c r="H27" s="58">
        <f t="shared" si="6"/>
        <v>0</v>
      </c>
      <c r="I27" s="58">
        <f t="shared" si="6"/>
        <v>0</v>
      </c>
      <c r="J27" s="58">
        <f t="shared" si="6"/>
        <v>0</v>
      </c>
      <c r="K27" s="58">
        <f t="shared" si="6"/>
        <v>0</v>
      </c>
      <c r="L27" s="56">
        <f t="shared" si="5"/>
        <v>0</v>
      </c>
    </row>
    <row r="28" spans="1:24" x14ac:dyDescent="0.2">
      <c r="A28" s="42"/>
      <c r="B28" s="63" t="s">
        <v>81</v>
      </c>
      <c r="C28" s="76"/>
      <c r="D28" s="76"/>
      <c r="E28" s="76">
        <f t="shared" ref="E28:K28" si="7">E23-E24-E25-E26-E27</f>
        <v>0</v>
      </c>
      <c r="F28" s="76">
        <f t="shared" si="7"/>
        <v>0</v>
      </c>
      <c r="G28" s="76">
        <f t="shared" si="7"/>
        <v>0</v>
      </c>
      <c r="H28" s="76">
        <f t="shared" si="7"/>
        <v>0</v>
      </c>
      <c r="I28" s="76">
        <f t="shared" si="7"/>
        <v>0</v>
      </c>
      <c r="J28" s="76">
        <f t="shared" si="7"/>
        <v>0</v>
      </c>
      <c r="K28" s="76">
        <f t="shared" si="7"/>
        <v>0</v>
      </c>
      <c r="L28" s="86">
        <f t="shared" si="5"/>
        <v>0</v>
      </c>
    </row>
    <row r="29" spans="1:24" x14ac:dyDescent="0.2">
      <c r="A29" s="42"/>
      <c r="B29" s="43" t="s">
        <v>37</v>
      </c>
      <c r="C29" s="58"/>
      <c r="D29" s="58"/>
      <c r="E29" s="58">
        <f t="shared" ref="E29:K29" si="8">E18</f>
        <v>0</v>
      </c>
      <c r="F29" s="58">
        <f t="shared" si="8"/>
        <v>0</v>
      </c>
      <c r="G29" s="58">
        <f t="shared" si="8"/>
        <v>0</v>
      </c>
      <c r="H29" s="58">
        <f t="shared" si="8"/>
        <v>0</v>
      </c>
      <c r="I29" s="58">
        <f t="shared" si="8"/>
        <v>0</v>
      </c>
      <c r="J29" s="58">
        <f t="shared" si="8"/>
        <v>0</v>
      </c>
      <c r="K29" s="58">
        <f t="shared" si="8"/>
        <v>0</v>
      </c>
      <c r="L29" s="56">
        <f t="shared" si="5"/>
        <v>0</v>
      </c>
    </row>
    <row r="30" spans="1:24" x14ac:dyDescent="0.2">
      <c r="A30" s="42"/>
      <c r="B30" s="63" t="s">
        <v>82</v>
      </c>
      <c r="C30" s="76"/>
      <c r="D30" s="76"/>
      <c r="E30" s="76">
        <f t="shared" ref="E30:K30" si="9">E28-E29</f>
        <v>0</v>
      </c>
      <c r="F30" s="76">
        <f t="shared" si="9"/>
        <v>0</v>
      </c>
      <c r="G30" s="76">
        <f t="shared" si="9"/>
        <v>0</v>
      </c>
      <c r="H30" s="76">
        <f t="shared" si="9"/>
        <v>0</v>
      </c>
      <c r="I30" s="76">
        <f t="shared" si="9"/>
        <v>0</v>
      </c>
      <c r="J30" s="76">
        <f t="shared" si="9"/>
        <v>0</v>
      </c>
      <c r="K30" s="76">
        <f t="shared" si="9"/>
        <v>0</v>
      </c>
      <c r="L30" s="86">
        <f t="shared" si="5"/>
        <v>0</v>
      </c>
    </row>
    <row r="31" spans="1:24" x14ac:dyDescent="0.2">
      <c r="A31" s="42"/>
      <c r="B31" s="43"/>
      <c r="C31" s="58"/>
      <c r="D31" s="58"/>
      <c r="E31" s="58"/>
      <c r="F31" s="58"/>
      <c r="G31" s="58"/>
      <c r="H31" s="58"/>
      <c r="I31" s="58"/>
      <c r="J31" s="58"/>
      <c r="K31" s="58"/>
      <c r="L31" s="56"/>
    </row>
    <row r="32" spans="1:24" x14ac:dyDescent="0.2">
      <c r="A32" s="42"/>
      <c r="B32" s="48" t="s">
        <v>83</v>
      </c>
      <c r="C32" s="81"/>
      <c r="D32" s="81"/>
      <c r="E32" s="81"/>
      <c r="F32" s="81"/>
      <c r="G32" s="81"/>
      <c r="H32" s="81"/>
      <c r="I32" s="81"/>
      <c r="J32" s="81"/>
      <c r="K32" s="81"/>
      <c r="L32" s="82"/>
    </row>
    <row r="33" spans="1:12" x14ac:dyDescent="0.2">
      <c r="A33" s="70"/>
      <c r="B33" s="51"/>
      <c r="C33" s="83"/>
      <c r="D33" s="83"/>
      <c r="E33" s="83"/>
      <c r="F33" s="83"/>
      <c r="G33" s="83"/>
      <c r="H33" s="83"/>
      <c r="I33" s="83"/>
      <c r="J33" s="83"/>
      <c r="K33" s="83"/>
      <c r="L33" s="84"/>
    </row>
    <row r="34" spans="1:12" x14ac:dyDescent="0.2">
      <c r="A34" s="42"/>
      <c r="B34" s="74" t="s">
        <v>84</v>
      </c>
      <c r="C34" s="58"/>
      <c r="D34" s="58"/>
      <c r="E34" s="58">
        <f t="shared" ref="E34:K34" si="10">E12</f>
        <v>90.427860361628035</v>
      </c>
      <c r="F34" s="58">
        <f t="shared" si="10"/>
        <v>127.39804729327497</v>
      </c>
      <c r="G34" s="58">
        <f t="shared" si="10"/>
        <v>523.89084345246806</v>
      </c>
      <c r="H34" s="58">
        <f t="shared" si="10"/>
        <v>1240.9182143171458</v>
      </c>
      <c r="I34" s="58">
        <f t="shared" si="10"/>
        <v>1109.3788008813385</v>
      </c>
      <c r="J34" s="58">
        <f t="shared" si="10"/>
        <v>1030.9449401937045</v>
      </c>
      <c r="K34" s="58">
        <f t="shared" si="10"/>
        <v>688.83981803612801</v>
      </c>
      <c r="L34" s="56">
        <f t="shared" ref="L34:L46" si="11">SUM(C34:K34)</f>
        <v>4811.7985245356876</v>
      </c>
    </row>
    <row r="35" spans="1:12" x14ac:dyDescent="0.2">
      <c r="A35" s="42"/>
      <c r="B35" s="74" t="s">
        <v>85</v>
      </c>
      <c r="C35" s="58"/>
      <c r="D35" s="58"/>
      <c r="E35" s="58">
        <f>E34*'Input data'!E6</f>
        <v>54.25671621697682</v>
      </c>
      <c r="F35" s="58">
        <f>F34*'Input data'!F6</f>
        <v>76.438828375964974</v>
      </c>
      <c r="G35" s="58">
        <f>G34*'Input data'!G6</f>
        <v>314.3345060714808</v>
      </c>
      <c r="H35" s="58">
        <f>H34*'Input data'!H6</f>
        <v>744.55092859028753</v>
      </c>
      <c r="I35" s="58">
        <f>I34*'Input data'!I6</f>
        <v>665.62728052880311</v>
      </c>
      <c r="J35" s="58">
        <f>J34*'Input data'!J6</f>
        <v>618.56696411622272</v>
      </c>
      <c r="K35" s="58">
        <f>K34*'Input data'!K6</f>
        <v>413.30389082167682</v>
      </c>
      <c r="L35" s="56">
        <f t="shared" si="11"/>
        <v>2887.0791147214127</v>
      </c>
    </row>
    <row r="36" spans="1:12" x14ac:dyDescent="0.2">
      <c r="A36" s="42"/>
      <c r="B36" s="74" t="s">
        <v>86</v>
      </c>
      <c r="C36" s="58"/>
      <c r="D36" s="58"/>
      <c r="E36" s="58">
        <f t="shared" ref="E36:K36" si="12">E34-E35</f>
        <v>36.171144144651215</v>
      </c>
      <c r="F36" s="58">
        <f>F34-F35</f>
        <v>50.959218917309997</v>
      </c>
      <c r="G36" s="58">
        <f t="shared" si="12"/>
        <v>209.55633738098726</v>
      </c>
      <c r="H36" s="58">
        <f t="shared" si="12"/>
        <v>496.36728572685831</v>
      </c>
      <c r="I36" s="58">
        <f t="shared" si="12"/>
        <v>443.75152035253541</v>
      </c>
      <c r="J36" s="58">
        <f t="shared" si="12"/>
        <v>412.37797607748178</v>
      </c>
      <c r="K36" s="58">
        <f t="shared" si="12"/>
        <v>275.53592721445119</v>
      </c>
      <c r="L36" s="56">
        <f t="shared" si="11"/>
        <v>1924.7194098142752</v>
      </c>
    </row>
    <row r="37" spans="1:12" x14ac:dyDescent="0.2">
      <c r="A37" s="42"/>
      <c r="B37" s="63" t="s">
        <v>82</v>
      </c>
      <c r="C37" s="76"/>
      <c r="D37" s="76"/>
      <c r="E37" s="76">
        <f t="shared" ref="E37:K37" si="13">E30</f>
        <v>0</v>
      </c>
      <c r="F37" s="76">
        <f t="shared" si="13"/>
        <v>0</v>
      </c>
      <c r="G37" s="76">
        <f t="shared" si="13"/>
        <v>0</v>
      </c>
      <c r="H37" s="76">
        <f t="shared" si="13"/>
        <v>0</v>
      </c>
      <c r="I37" s="76">
        <f t="shared" si="13"/>
        <v>0</v>
      </c>
      <c r="J37" s="76">
        <f t="shared" si="13"/>
        <v>0</v>
      </c>
      <c r="K37" s="76">
        <f t="shared" si="13"/>
        <v>0</v>
      </c>
      <c r="L37" s="86">
        <f t="shared" si="11"/>
        <v>0</v>
      </c>
    </row>
    <row r="38" spans="1:12" x14ac:dyDescent="0.2">
      <c r="A38" s="42"/>
      <c r="B38" s="63" t="s">
        <v>87</v>
      </c>
      <c r="C38" s="58"/>
      <c r="D38" s="58"/>
      <c r="E38" s="58">
        <f t="shared" ref="E38:K38" si="14">E36-E37</f>
        <v>36.171144144651215</v>
      </c>
      <c r="F38" s="58">
        <f t="shared" si="14"/>
        <v>50.959218917309997</v>
      </c>
      <c r="G38" s="58">
        <f t="shared" si="14"/>
        <v>209.55633738098726</v>
      </c>
      <c r="H38" s="58">
        <f t="shared" si="14"/>
        <v>496.36728572685831</v>
      </c>
      <c r="I38" s="58">
        <f t="shared" si="14"/>
        <v>443.75152035253541</v>
      </c>
      <c r="J38" s="58">
        <f t="shared" si="14"/>
        <v>412.37797607748178</v>
      </c>
      <c r="K38" s="58">
        <f t="shared" si="14"/>
        <v>275.53592721445119</v>
      </c>
      <c r="L38" s="56">
        <f t="shared" si="11"/>
        <v>1924.7194098142752</v>
      </c>
    </row>
    <row r="39" spans="1:12" x14ac:dyDescent="0.2">
      <c r="A39" s="42"/>
      <c r="B39" s="43"/>
      <c r="C39" s="58"/>
      <c r="D39" s="58"/>
      <c r="E39" s="58"/>
      <c r="F39" s="58"/>
      <c r="G39" s="58"/>
      <c r="H39" s="58"/>
      <c r="I39" s="58"/>
      <c r="J39" s="58"/>
      <c r="K39" s="58"/>
      <c r="L39" s="75"/>
    </row>
    <row r="40" spans="1:12" x14ac:dyDescent="0.2">
      <c r="A40" s="42"/>
      <c r="B40" s="48" t="s">
        <v>88</v>
      </c>
      <c r="C40" s="81"/>
      <c r="D40" s="81"/>
      <c r="E40" s="81"/>
      <c r="F40" s="81"/>
      <c r="G40" s="81"/>
      <c r="H40" s="81"/>
      <c r="I40" s="81"/>
      <c r="J40" s="81"/>
      <c r="K40" s="81"/>
      <c r="L40" s="82"/>
    </row>
    <row r="41" spans="1:12" x14ac:dyDescent="0.2">
      <c r="A41" s="42"/>
      <c r="B41" s="43"/>
      <c r="C41" s="83"/>
      <c r="D41" s="83"/>
      <c r="E41" s="83"/>
      <c r="F41" s="83"/>
      <c r="G41" s="83"/>
      <c r="H41" s="83"/>
      <c r="I41" s="83"/>
      <c r="J41" s="83"/>
      <c r="K41" s="83"/>
      <c r="L41" s="84"/>
    </row>
    <row r="42" spans="1:12" x14ac:dyDescent="0.2">
      <c r="A42" s="42"/>
      <c r="B42" s="43" t="s">
        <v>86</v>
      </c>
      <c r="C42" s="58"/>
      <c r="D42" s="58"/>
      <c r="E42" s="58">
        <f>E36/E68*$E$68</f>
        <v>36.171144144651215</v>
      </c>
      <c r="F42" s="58">
        <f>F36/F68*$E$68</f>
        <v>49.752867249970521</v>
      </c>
      <c r="G42" s="58">
        <f t="shared" ref="G42:K42" si="15">G36/G68*$E$68</f>
        <v>198.63644131961081</v>
      </c>
      <c r="H42" s="58">
        <f t="shared" si="15"/>
        <v>457.24177555346358</v>
      </c>
      <c r="I42" s="58">
        <f t="shared" si="15"/>
        <v>397.76845273228889</v>
      </c>
      <c r="J42" s="58">
        <f t="shared" si="15"/>
        <v>360.16168591719128</v>
      </c>
      <c r="K42" s="58">
        <f t="shared" si="15"/>
        <v>234.77746934098295</v>
      </c>
      <c r="L42" s="56">
        <f t="shared" si="11"/>
        <v>1734.5098362581593</v>
      </c>
    </row>
    <row r="43" spans="1:12" x14ac:dyDescent="0.2">
      <c r="A43" s="42"/>
      <c r="B43" s="43" t="s">
        <v>82</v>
      </c>
      <c r="C43" s="58"/>
      <c r="D43" s="58"/>
      <c r="E43" s="58">
        <f>E37/E68*$E$68</f>
        <v>0</v>
      </c>
      <c r="F43" s="58">
        <f>F37/F68*$E$68</f>
        <v>0</v>
      </c>
      <c r="G43" s="58">
        <f t="shared" ref="G43:K43" si="16">G37/G68*$E$68</f>
        <v>0</v>
      </c>
      <c r="H43" s="58">
        <f t="shared" si="16"/>
        <v>0</v>
      </c>
      <c r="I43" s="58">
        <f t="shared" si="16"/>
        <v>0</v>
      </c>
      <c r="J43" s="58">
        <f t="shared" si="16"/>
        <v>0</v>
      </c>
      <c r="K43" s="58">
        <f t="shared" si="16"/>
        <v>0</v>
      </c>
      <c r="L43" s="56">
        <f t="shared" si="11"/>
        <v>0</v>
      </c>
    </row>
    <row r="44" spans="1:12" x14ac:dyDescent="0.2">
      <c r="A44" s="42"/>
      <c r="B44" s="43" t="s">
        <v>89</v>
      </c>
      <c r="C44" s="87"/>
      <c r="D44" s="76"/>
      <c r="E44" s="76">
        <f t="shared" ref="E44:K44" si="17">E42-E43</f>
        <v>36.171144144651215</v>
      </c>
      <c r="F44" s="76">
        <f t="shared" si="17"/>
        <v>49.752867249970521</v>
      </c>
      <c r="G44" s="76">
        <f t="shared" si="17"/>
        <v>198.63644131961081</v>
      </c>
      <c r="H44" s="76">
        <f t="shared" si="17"/>
        <v>457.24177555346358</v>
      </c>
      <c r="I44" s="76">
        <f t="shared" si="17"/>
        <v>397.76845273228889</v>
      </c>
      <c r="J44" s="76">
        <f t="shared" si="17"/>
        <v>360.16168591719128</v>
      </c>
      <c r="K44" s="76">
        <f t="shared" si="17"/>
        <v>234.77746934098295</v>
      </c>
      <c r="L44" s="86">
        <f t="shared" si="11"/>
        <v>1734.5098362581593</v>
      </c>
    </row>
    <row r="45" spans="1:12" x14ac:dyDescent="0.2">
      <c r="A45" s="42"/>
      <c r="B45" s="43"/>
      <c r="C45" s="58"/>
      <c r="D45" s="58"/>
      <c r="E45" s="58"/>
      <c r="F45" s="58"/>
      <c r="G45" s="58"/>
      <c r="H45" s="58"/>
      <c r="I45" s="58"/>
      <c r="J45" s="58"/>
      <c r="K45" s="58"/>
      <c r="L45" s="56"/>
    </row>
    <row r="46" spans="1:12" x14ac:dyDescent="0.2">
      <c r="A46" s="42"/>
      <c r="B46" s="43" t="s">
        <v>79</v>
      </c>
      <c r="C46" s="87"/>
      <c r="D46" s="76"/>
      <c r="E46" s="76">
        <f>E19/E68*$E$68</f>
        <v>0</v>
      </c>
      <c r="F46" s="76">
        <f t="shared" ref="F46:K46" si="18">F19/F68*$E$68</f>
        <v>0</v>
      </c>
      <c r="G46" s="76">
        <f t="shared" si="18"/>
        <v>0</v>
      </c>
      <c r="H46" s="76">
        <f t="shared" si="18"/>
        <v>0</v>
      </c>
      <c r="I46" s="76">
        <f t="shared" si="18"/>
        <v>0</v>
      </c>
      <c r="J46" s="76">
        <f t="shared" si="18"/>
        <v>0</v>
      </c>
      <c r="K46" s="76">
        <f t="shared" si="18"/>
        <v>0</v>
      </c>
      <c r="L46" s="88">
        <f t="shared" si="11"/>
        <v>0</v>
      </c>
    </row>
    <row r="47" spans="1:12" x14ac:dyDescent="0.2">
      <c r="A47" s="42"/>
      <c r="B47" s="43"/>
      <c r="C47" s="58"/>
      <c r="D47" s="58"/>
      <c r="E47" s="58"/>
      <c r="F47" s="58"/>
      <c r="G47" s="58"/>
      <c r="H47" s="58"/>
      <c r="I47" s="58"/>
      <c r="J47" s="58"/>
      <c r="K47" s="58"/>
      <c r="L47" s="75"/>
    </row>
    <row r="48" spans="1:12" x14ac:dyDescent="0.2">
      <c r="A48" s="42"/>
      <c r="B48" s="48" t="s">
        <v>90</v>
      </c>
      <c r="C48" s="81"/>
      <c r="D48" s="81"/>
      <c r="E48" s="81"/>
      <c r="F48" s="81"/>
      <c r="G48" s="81"/>
      <c r="H48" s="81"/>
      <c r="I48" s="81"/>
      <c r="J48" s="81"/>
      <c r="K48" s="81"/>
      <c r="L48" s="82"/>
    </row>
    <row r="49" spans="1:13" x14ac:dyDescent="0.2">
      <c r="A49" s="70"/>
      <c r="B49" s="71"/>
      <c r="C49" s="89"/>
      <c r="D49" s="89"/>
      <c r="E49" s="89"/>
      <c r="F49" s="89"/>
      <c r="G49" s="89"/>
      <c r="H49" s="89"/>
      <c r="I49" s="89"/>
      <c r="J49" s="89"/>
      <c r="K49" s="89"/>
      <c r="L49" s="90"/>
    </row>
    <row r="50" spans="1:13" x14ac:dyDescent="0.2">
      <c r="A50" s="42"/>
      <c r="B50" s="74" t="s">
        <v>91</v>
      </c>
      <c r="C50" s="83"/>
      <c r="D50" s="83"/>
      <c r="E50" s="83"/>
      <c r="F50" s="83"/>
      <c r="G50" s="83"/>
      <c r="H50" s="83"/>
      <c r="I50" s="83"/>
      <c r="J50" s="83"/>
      <c r="K50" s="83"/>
      <c r="L50" s="84">
        <f>IF(L44&gt;0,MIN(L44,L46),0)</f>
        <v>0</v>
      </c>
    </row>
    <row r="51" spans="1:13" x14ac:dyDescent="0.2">
      <c r="A51" s="42"/>
      <c r="B51" s="43" t="s">
        <v>92</v>
      </c>
      <c r="C51" s="83"/>
      <c r="D51" s="83"/>
      <c r="E51" s="83"/>
      <c r="F51" s="83"/>
      <c r="G51" s="83"/>
      <c r="H51" s="83"/>
      <c r="I51" s="83"/>
      <c r="J51" s="83"/>
      <c r="K51" s="83"/>
      <c r="L51" s="84">
        <f>IF((L44-L46)&gt;0,(L44-L46),0)</f>
        <v>1734.5098362581593</v>
      </c>
    </row>
    <row r="52" spans="1:13" x14ac:dyDescent="0.2">
      <c r="A52" s="42"/>
      <c r="B52" s="43" t="s">
        <v>93</v>
      </c>
      <c r="C52" s="83"/>
      <c r="D52" s="83"/>
      <c r="E52" s="83"/>
      <c r="F52" s="83"/>
      <c r="G52" s="83"/>
      <c r="H52" s="83"/>
      <c r="I52" s="83"/>
      <c r="J52" s="83"/>
      <c r="K52" s="83"/>
      <c r="L52" s="91">
        <f>SUM(L50:L51)</f>
        <v>1734.5098362581593</v>
      </c>
    </row>
    <row r="53" spans="1:13" x14ac:dyDescent="0.2">
      <c r="A53" s="42"/>
      <c r="B53" s="43"/>
      <c r="C53" s="83"/>
      <c r="D53" s="83"/>
      <c r="E53" s="83"/>
      <c r="F53" s="83"/>
      <c r="G53" s="83"/>
      <c r="H53" s="83"/>
      <c r="I53" s="83"/>
      <c r="J53" s="83"/>
      <c r="K53" s="83"/>
      <c r="L53" s="84"/>
    </row>
    <row r="54" spans="1:13" x14ac:dyDescent="0.2">
      <c r="A54" s="42"/>
      <c r="B54" s="74" t="s">
        <v>47</v>
      </c>
      <c r="C54" s="58"/>
      <c r="D54" s="58"/>
      <c r="E54" s="58"/>
      <c r="F54" s="58"/>
      <c r="G54" s="58"/>
      <c r="H54" s="58"/>
      <c r="I54" s="58"/>
      <c r="J54" s="58"/>
      <c r="K54" s="58"/>
      <c r="L54" s="56">
        <f>L50*C73</f>
        <v>0</v>
      </c>
    </row>
    <row r="55" spans="1:13" x14ac:dyDescent="0.2">
      <c r="A55" s="42"/>
      <c r="B55" s="74" t="s">
        <v>94</v>
      </c>
      <c r="C55" s="58"/>
      <c r="D55" s="58"/>
      <c r="E55" s="58"/>
      <c r="F55" s="58"/>
      <c r="G55" s="58"/>
      <c r="H55" s="58"/>
      <c r="I55" s="58"/>
      <c r="J55" s="58"/>
      <c r="K55" s="58"/>
      <c r="L55" s="56">
        <f>L51*C74</f>
        <v>52.035295087744778</v>
      </c>
    </row>
    <row r="56" spans="1:13" x14ac:dyDescent="0.2">
      <c r="A56" s="42"/>
      <c r="B56" s="74" t="s">
        <v>95</v>
      </c>
      <c r="C56" s="58"/>
      <c r="D56" s="58"/>
      <c r="E56" s="58"/>
      <c r="F56" s="58"/>
      <c r="G56" s="58"/>
      <c r="H56" s="58"/>
      <c r="I56" s="58"/>
      <c r="J56" s="58"/>
      <c r="K56" s="58"/>
      <c r="L56" s="92">
        <f>SUM(L54:L55)</f>
        <v>52.035295087744778</v>
      </c>
    </row>
    <row r="57" spans="1:13" ht="13.5" thickBot="1" x14ac:dyDescent="0.25">
      <c r="A57" s="42"/>
      <c r="B57" s="93"/>
      <c r="C57" s="94"/>
      <c r="D57" s="94"/>
      <c r="E57" s="94"/>
      <c r="F57" s="94"/>
      <c r="G57" s="94"/>
      <c r="H57" s="94"/>
      <c r="I57" s="94"/>
      <c r="J57" s="94"/>
      <c r="K57" s="94"/>
      <c r="L57" s="95"/>
    </row>
    <row r="58" spans="1:13" ht="13.5" thickBot="1" x14ac:dyDescent="0.25"/>
    <row r="59" spans="1:13" x14ac:dyDescent="0.2">
      <c r="B59" s="39" t="s">
        <v>96</v>
      </c>
      <c r="C59" s="40"/>
      <c r="D59" s="40"/>
      <c r="E59" s="40"/>
      <c r="F59" s="40"/>
      <c r="G59" s="40"/>
      <c r="H59" s="40"/>
      <c r="I59" s="40"/>
      <c r="J59" s="40"/>
      <c r="K59" s="40"/>
      <c r="L59" s="41"/>
    </row>
    <row r="60" spans="1:13" x14ac:dyDescent="0.2">
      <c r="B60" s="54"/>
      <c r="L60" s="44"/>
    </row>
    <row r="61" spans="1:13" x14ac:dyDescent="0.2">
      <c r="B61" s="96" t="s">
        <v>97</v>
      </c>
      <c r="C61" s="97"/>
      <c r="D61" s="97"/>
      <c r="E61" s="97"/>
      <c r="F61" s="97"/>
      <c r="G61" s="97"/>
      <c r="H61" s="97"/>
      <c r="I61" s="97"/>
      <c r="J61" s="97"/>
      <c r="K61" s="97"/>
      <c r="L61" s="98"/>
      <c r="M61" s="37"/>
    </row>
    <row r="62" spans="1:13" x14ac:dyDescent="0.2">
      <c r="B62" s="43"/>
      <c r="K62" s="99" t="s">
        <v>98</v>
      </c>
      <c r="L62" s="100">
        <f>L56</f>
        <v>52.035295087744778</v>
      </c>
    </row>
    <row r="63" spans="1:13" x14ac:dyDescent="0.2">
      <c r="B63" s="43"/>
      <c r="K63" s="99" t="s">
        <v>99</v>
      </c>
      <c r="L63" s="215">
        <v>52.035295087744785</v>
      </c>
      <c r="M63" s="101" t="s">
        <v>105</v>
      </c>
    </row>
    <row r="64" spans="1:13" x14ac:dyDescent="0.2">
      <c r="B64" s="43"/>
      <c r="K64" s="102" t="s">
        <v>100</v>
      </c>
      <c r="L64" s="100">
        <f>L63-L62</f>
        <v>0</v>
      </c>
      <c r="M64" s="101" t="s">
        <v>105</v>
      </c>
    </row>
    <row r="65" spans="1:13" x14ac:dyDescent="0.2">
      <c r="A65" s="103"/>
      <c r="B65" s="43"/>
      <c r="C65" s="104"/>
      <c r="K65" s="37" t="s">
        <v>101</v>
      </c>
      <c r="L65" s="105">
        <f>+L64*1000000</f>
        <v>0</v>
      </c>
      <c r="M65" s="101"/>
    </row>
    <row r="66" spans="1:13" x14ac:dyDescent="0.2">
      <c r="B66" s="96" t="s">
        <v>102</v>
      </c>
      <c r="C66" s="97"/>
      <c r="D66" s="97"/>
      <c r="E66" s="97"/>
      <c r="F66" s="97"/>
      <c r="G66" s="97"/>
      <c r="H66" s="97"/>
      <c r="I66" s="97"/>
      <c r="J66" s="97"/>
      <c r="K66" s="97"/>
      <c r="L66" s="106"/>
    </row>
    <row r="67" spans="1:13" x14ac:dyDescent="0.2">
      <c r="B67" s="107" t="s">
        <v>43</v>
      </c>
      <c r="C67" s="103"/>
      <c r="D67" s="103"/>
      <c r="E67" s="103" t="str">
        <f>'Input data'!E44</f>
        <v>Dec-23
(Actual)</v>
      </c>
      <c r="F67" s="103" t="str">
        <f>'Input data'!F44</f>
        <v>Dec-24 
(Actual)</v>
      </c>
      <c r="G67" s="220" t="str">
        <f>'Input data'!G44</f>
        <v>Dec 25
(Forecast)</v>
      </c>
      <c r="H67" s="220" t="str">
        <f>'Input data'!H44</f>
        <v>Dec 26
(Forecast)</v>
      </c>
      <c r="I67" s="220" t="str">
        <f>'Input data'!I44</f>
        <v>Dec 27 
(Forecast)</v>
      </c>
      <c r="J67" s="220" t="str">
        <f>'Input data'!J44</f>
        <v>Dec 28 
(Forecast)</v>
      </c>
      <c r="K67" s="220" t="str">
        <f>'Input data'!K44</f>
        <v>Dec 29 
(Forecast)</v>
      </c>
      <c r="L67" s="44"/>
      <c r="M67" s="221" t="s">
        <v>123</v>
      </c>
    </row>
    <row r="68" spans="1:13" x14ac:dyDescent="0.2">
      <c r="B68" s="108" t="s">
        <v>103</v>
      </c>
      <c r="C68" s="104"/>
      <c r="D68" s="104"/>
      <c r="E68" s="104">
        <f>'Input data'!E45</f>
        <v>136.1</v>
      </c>
      <c r="F68" s="104">
        <f>'Input data'!F45</f>
        <v>139.4</v>
      </c>
      <c r="G68" s="104">
        <f>'Input data'!G45</f>
        <v>143.58200000000002</v>
      </c>
      <c r="H68" s="104">
        <f>'Input data'!H45</f>
        <v>147.745878</v>
      </c>
      <c r="I68" s="104">
        <f>'Input data'!I45</f>
        <v>151.83351395800003</v>
      </c>
      <c r="J68" s="104">
        <f>'Input data'!J45</f>
        <v>155.83179649222737</v>
      </c>
      <c r="K68" s="104">
        <f>'Input data'!K45</f>
        <v>159.72759140453303</v>
      </c>
      <c r="L68" s="44"/>
      <c r="M68" s="37"/>
    </row>
    <row r="69" spans="1:13" x14ac:dyDescent="0.2">
      <c r="B69" s="109" t="s">
        <v>45</v>
      </c>
      <c r="C69" s="104"/>
      <c r="E69" s="110"/>
      <c r="F69" s="110">
        <f>'Input data'!F46</f>
        <v>2.4246877296105973E-2</v>
      </c>
      <c r="G69" s="110">
        <f>'Input data'!G46</f>
        <v>0.03</v>
      </c>
      <c r="H69" s="110">
        <f>'Input data'!H46</f>
        <v>2.9000000000000001E-2</v>
      </c>
      <c r="I69" s="110">
        <f>'Input data'!I46</f>
        <v>2.7666666666666669E-2</v>
      </c>
      <c r="J69" s="110">
        <f>'Input data'!J46</f>
        <v>2.6333333333333334E-2</v>
      </c>
      <c r="K69" s="110">
        <f>'Input data'!K46</f>
        <v>2.5000000000000001E-2</v>
      </c>
      <c r="L69" s="44"/>
      <c r="M69" s="113"/>
    </row>
    <row r="70" spans="1:13" x14ac:dyDescent="0.2">
      <c r="B70" s="43"/>
      <c r="L70" s="44"/>
    </row>
    <row r="71" spans="1:13" x14ac:dyDescent="0.2">
      <c r="B71" s="43"/>
      <c r="L71" s="44"/>
    </row>
    <row r="72" spans="1:13" x14ac:dyDescent="0.2">
      <c r="B72" s="96" t="s">
        <v>46</v>
      </c>
      <c r="C72" s="111"/>
      <c r="D72" s="111"/>
      <c r="E72" s="111"/>
      <c r="F72" s="111"/>
      <c r="G72" s="111"/>
      <c r="H72" s="111"/>
      <c r="I72" s="111"/>
      <c r="J72" s="111"/>
      <c r="K72" s="111"/>
      <c r="L72" s="98"/>
    </row>
    <row r="73" spans="1:13" ht="18.600000000000001" customHeight="1" x14ac:dyDescent="0.2">
      <c r="B73" s="112" t="s">
        <v>47</v>
      </c>
      <c r="C73" s="155">
        <f>'Input data'!C49</f>
        <v>0.01</v>
      </c>
      <c r="D73" s="37" t="s">
        <v>48</v>
      </c>
      <c r="L73" s="44"/>
    </row>
    <row r="74" spans="1:13" ht="18.600000000000001" customHeight="1" x14ac:dyDescent="0.2">
      <c r="B74" s="112" t="s">
        <v>49</v>
      </c>
      <c r="C74" s="155">
        <f>'Input data'!C50</f>
        <v>0.03</v>
      </c>
      <c r="D74" s="37" t="s">
        <v>50</v>
      </c>
      <c r="L74" s="44"/>
    </row>
    <row r="75" spans="1:13" ht="13.5" thickBot="1" x14ac:dyDescent="0.25">
      <c r="B75" s="93"/>
      <c r="C75" s="94"/>
      <c r="D75" s="94"/>
      <c r="E75" s="94"/>
      <c r="F75" s="94"/>
      <c r="G75" s="94"/>
      <c r="H75" s="94"/>
      <c r="I75" s="94"/>
      <c r="J75" s="94"/>
      <c r="K75" s="94"/>
      <c r="L75" s="95"/>
    </row>
  </sheetData>
  <pageMargins left="0.7" right="0.7" top="0.75" bottom="0.75" header="0.3" footer="0.3"/>
  <pageSetup paperSize="9" orientation="portrait" r:id="rId1"/>
  <ignoredErrors>
    <ignoredError sqref="E37:K37" formula="1"/>
  </ignoredErrors>
  <legacyDrawing r:id="rId2"/>
</worksheet>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2.xml><?xml version="1.0" encoding="utf-8"?>
<ct:contentTypeSchema xmlns:ct="http://schemas.microsoft.com/office/2006/metadata/contentType" xmlns:ma="http://schemas.microsoft.com/office/2006/metadata/properties/metaAttributes" ct:_="" ma:_="" ma:contentTypeName="Document" ma:contentTypeID="0x010100E92A7CF24AE4CE42ABB0B2C6DBCE58AB" ma:contentTypeVersion="13" ma:contentTypeDescription="Create a new document." ma:contentTypeScope="" ma:versionID="c374ebd7c4bd9f7a93e15a07368a2a2e">
  <xsd:schema xmlns:xsd="http://www.w3.org/2001/XMLSchema" xmlns:xs="http://www.w3.org/2001/XMLSchema" xmlns:p="http://schemas.microsoft.com/office/2006/metadata/properties" xmlns:ns2="2a9679de-e6f9-4a24-98ef-f89e7c8109a8" xmlns:ns3="446808f2-e8dc-4bf8-8635-e4d3c53bbc23" targetNamespace="http://schemas.microsoft.com/office/2006/metadata/properties" ma:root="true" ma:fieldsID="bf0c9f379b33bddc980dc94320744f14" ns2:_="" ns3:_="">
    <xsd:import namespace="2a9679de-e6f9-4a24-98ef-f89e7c8109a8"/>
    <xsd:import namespace="446808f2-e8dc-4bf8-8635-e4d3c53bbc2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BillingMetadata"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679de-e6f9-4a24-98ef-f89e7c8109a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0b4dcd69-9fd6-4284-aa71-03586a6be066}" ma:internalName="TaxCatchAll" ma:showField="CatchAllData" ma:web="2a9679de-e6f9-4a24-98ef-f89e7c8109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6808f2-e8dc-4bf8-8635-e4d3c53bbc2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b587c05-3346-4fce-ae5e-76af011224e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a9679de-e6f9-4a24-98ef-f89e7c8109a8" xsi:nil="true"/>
    <lcf76f155ced4ddcb4097134ff3c332f xmlns="446808f2-e8dc-4bf8-8635-e4d3c53bbc23">
      <Terms xmlns="http://schemas.microsoft.com/office/infopath/2007/PartnerControls"/>
    </lcf76f155ced4ddcb4097134ff3c332f>
    <_dlc_DocId xmlns="2a9679de-e6f9-4a24-98ef-f89e7c8109a8">MLPL-1436608066-2884</_dlc_DocId>
    <_dlc_DocIdUrl xmlns="2a9679de-e6f9-4a24-98ef-f89e7c8109a8">
      <Url>https://marinuslink.sharepoint.com/sites/Customer_and_Revenue/_layouts/15/DocIdRedir.aspx?ID=MLPL-1436608066-2884</Url>
      <Description>MLPL-1436608066-2884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2.xml><?xml version="1.0" encoding="utf-8"?>
<ds:datastoreItem xmlns:ds="http://schemas.openxmlformats.org/officeDocument/2006/customXml" ds:itemID="{AA43E31F-EB59-4FAC-A4F9-1D23BC97E2F4}"/>
</file>

<file path=customXml/itemProps3.xml><?xml version="1.0" encoding="utf-8"?>
<ds:datastoreItem xmlns:ds="http://schemas.openxmlformats.org/officeDocument/2006/customXml" ds:itemID="{5E6CE46E-3C7C-4C0C-AEF8-07B694302806}">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2F68B6A0-F156-47F8-84A8-530329047123}">
  <ds:schemaRefs>
    <ds:schemaRef ds:uri="http://schemas.microsoft.com/sharepoint/v3/contenttype/forms"/>
  </ds:schemaRefs>
</ds:datastoreItem>
</file>

<file path=customXml/itemProps5.xml><?xml version="1.0" encoding="utf-8"?>
<ds:datastoreItem xmlns:ds="http://schemas.openxmlformats.org/officeDocument/2006/customXml" ds:itemID="{92445B18-D6EF-4E0F-9182-845CC58ADB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Input data</vt:lpstr>
      <vt:lpstr>1. Non-concessional</vt:lpstr>
      <vt:lpstr>1b. Non-conc EqRaisCost Part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Sward</dc:creator>
  <cp:keywords/>
  <dc:description/>
  <cp:lastModifiedBy>Ben Wagner</cp:lastModifiedBy>
  <cp:revision>1</cp:revision>
  <dcterms:created xsi:type="dcterms:W3CDTF">2024-11-28T22:51:26Z</dcterms:created>
  <dcterms:modified xsi:type="dcterms:W3CDTF">2025-07-07T01:55:14Z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0x010100E92A7CF24AE4CE42ABB0B2C6DBCE58AB</vt:lpwstr>
  </property>
  <property fmtid="{D5CDD505-2E9C-101B-9397-08002B2CF9AE}" pid="3" name="MSIP_Label_d9d5a995-dfdf-4407-9a97-edbbc68c9f53_Enabled">
    <vt:lpwstr>true</vt:lpwstr>
  </property>
  <property fmtid="{D5CDD505-2E9C-101B-9397-08002B2CF9AE}" pid="4" name="MSIP_Label_d9d5a995-dfdf-4407-9a97-edbbc68c9f53_SetDate">
    <vt:lpwstr>2025-04-17T04:12:44Z</vt:lpwstr>
  </property>
  <property fmtid="{D5CDD505-2E9C-101B-9397-08002B2CF9AE}" pid="5" name="MSIP_Label_d9d5a995-dfdf-4407-9a97-edbbc68c9f53_Method">
    <vt:lpwstr>Privileged</vt:lpwstr>
  </property>
  <property fmtid="{D5CDD505-2E9C-101B-9397-08002B2CF9AE}" pid="6" name="MSIP_Label_d9d5a995-dfdf-4407-9a97-edbbc68c9f53_Name">
    <vt:lpwstr>OFFICIAL</vt:lpwstr>
  </property>
  <property fmtid="{D5CDD505-2E9C-101B-9397-08002B2CF9AE}" pid="7" name="MSIP_Label_d9d5a995-dfdf-4407-9a97-edbbc68c9f53_SiteId">
    <vt:lpwstr>b33e9e1a-e443-4edd-9789-24bed26d38d6</vt:lpwstr>
  </property>
  <property fmtid="{D5CDD505-2E9C-101B-9397-08002B2CF9AE}" pid="8" name="MSIP_Label_d9d5a995-dfdf-4407-9a97-edbbc68c9f53_ActionId">
    <vt:lpwstr>b02eebe6-daa7-45ff-b4ef-e9c04f1b0b82</vt:lpwstr>
  </property>
  <property fmtid="{D5CDD505-2E9C-101B-9397-08002B2CF9AE}" pid="9" name="MSIP_Label_d9d5a995-dfdf-4407-9a97-edbbc68c9f53_ContentBits">
    <vt:lpwstr>0</vt:lpwstr>
  </property>
  <property fmtid="{D5CDD505-2E9C-101B-9397-08002B2CF9AE}" pid="10" name="_dlc_DocIdItemGuid">
    <vt:lpwstr>096786f4-fe3b-48eb-bbda-7dfde3c503a4</vt:lpwstr>
  </property>
  <property fmtid="{D5CDD505-2E9C-101B-9397-08002B2CF9AE}" pid="11" name="MediaServiceImageTags">
    <vt:lpwstr/>
  </property>
</Properties>
</file>