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T:\AER\AER modelling team\Reset models\2026-31 Amadeus gas\03 Draft decision\"/>
    </mc:Choice>
  </mc:AlternateContent>
  <xr:revisionPtr revIDLastSave="0" documentId="13_ncr:1_{900D1E82-934B-4CBD-A4E3-E5DF20235D9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ference tariffs flat revenue" sheetId="2" r:id="rId1"/>
  </sheets>
  <definedNames>
    <definedName name="f">#REF!</definedName>
    <definedName name="P_0_RevCap" localSheetId="0">'Reference tariffs flat revenue'!$G$46</definedName>
    <definedName name="P_0_RevCap">#REF!</definedName>
    <definedName name="s_rev_00_RevCap" localSheetId="0">'Reference tariffs flat revenue'!$F$40</definedName>
    <definedName name="s_rev_00_RevCap">#REF!</definedName>
    <definedName name="s_rev_01_RevCap" localSheetId="0">'Reference tariffs flat revenue'!$G$40</definedName>
    <definedName name="s_rev_01_RevCap">#REF!</definedName>
    <definedName name="s_rev_02_RevCap" localSheetId="0">'Reference tariffs flat revenue'!$H$40</definedName>
    <definedName name="s_rev_02_RevCap">#REF!</definedName>
    <definedName name="s_rev_03_RevCap" localSheetId="0">'Reference tariffs flat revenue'!$I$40</definedName>
    <definedName name="s_rev_03_RevCap">#REF!</definedName>
    <definedName name="s_rev_04_RevCap" localSheetId="0">'Reference tariffs flat revenue'!$J$40</definedName>
    <definedName name="s_rev_04_RevCap">#REF!</definedName>
    <definedName name="total_rev_02" localSheetId="0">'Reference tariffs flat revenue'!$H$35</definedName>
    <definedName name="total_rev_02">#REF!</definedName>
    <definedName name="total_rev_03" localSheetId="0">'Reference tariffs flat revenue'!$I$35</definedName>
    <definedName name="total_rev_03">#REF!</definedName>
    <definedName name="total_rev_04" localSheetId="0">'Reference tariffs flat revenue'!$J$35</definedName>
    <definedName name="total_rev_04">#REF!</definedName>
    <definedName name="total_rev_05" localSheetId="0">'Reference tariffs flat revenue'!$K$35</definedName>
    <definedName name="total_rev_05">#REF!</definedName>
    <definedName name="X_02_RevCap" localSheetId="0">'Reference tariffs flat revenue'!$H$46</definedName>
    <definedName name="X_02_RevCap">#REF!</definedName>
    <definedName name="X_03_RevCap" localSheetId="0">'Reference tariffs flat revenue'!$I$46</definedName>
    <definedName name="X_03_RevCap">#REF!</definedName>
    <definedName name="X_04_RevCap" localSheetId="0">'Reference tariffs flat revenue'!$J$46</definedName>
    <definedName name="X_04_RevCap">#REF!</definedName>
    <definedName name="X_05_RevCap" localSheetId="0">'Reference tariffs flat revenue'!$K$46</definedName>
    <definedName name="X_05_RevCa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" l="1"/>
  <c r="G38" i="2" s="1"/>
  <c r="G41" i="2" s="1"/>
  <c r="G39" i="2"/>
  <c r="F27" i="2" l="1"/>
  <c r="G26" i="2"/>
  <c r="H26" i="2" s="1"/>
  <c r="I26" i="2" s="1"/>
  <c r="J26" i="2" s="1"/>
  <c r="K26" i="2" s="1"/>
  <c r="F12" i="2" l="1"/>
  <c r="F14" i="2"/>
  <c r="F39" i="2" s="1"/>
  <c r="F55" i="2" s="1"/>
  <c r="F15" i="2"/>
  <c r="F50" i="2" l="1"/>
  <c r="K15" i="2" l="1"/>
  <c r="K48" i="2" s="1"/>
  <c r="J15" i="2"/>
  <c r="J48" i="2" s="1"/>
  <c r="I15" i="2"/>
  <c r="I48" i="2" s="1"/>
  <c r="H15" i="2"/>
  <c r="H48" i="2" s="1"/>
  <c r="G15" i="2"/>
  <c r="G48" i="2" s="1"/>
  <c r="F48" i="2" s="1"/>
  <c r="F56" i="2" s="1"/>
  <c r="F58" i="2" s="1"/>
  <c r="K14" i="2"/>
  <c r="J14" i="2"/>
  <c r="J39" i="2" s="1"/>
  <c r="I14" i="2"/>
  <c r="I39" i="2" s="1"/>
  <c r="H14" i="2"/>
  <c r="H39" i="2" s="1"/>
  <c r="G14" i="2"/>
  <c r="K12" i="2"/>
  <c r="J12" i="2"/>
  <c r="I12" i="2"/>
  <c r="H12" i="2"/>
  <c r="G12" i="2"/>
  <c r="K17" i="2" l="1"/>
  <c r="K39" i="2"/>
  <c r="I17" i="2"/>
  <c r="H17" i="2"/>
  <c r="G17" i="2"/>
  <c r="J17" i="2"/>
  <c r="G25" i="2" l="1"/>
  <c r="H25" i="2" s="1"/>
  <c r="I25" i="2" s="1"/>
  <c r="J25" i="2" s="1"/>
  <c r="K25" i="2" s="1"/>
  <c r="G32" i="2" l="1"/>
  <c r="G47" i="2" l="1"/>
  <c r="G50" i="2" s="1"/>
  <c r="H50" i="2" s="1"/>
  <c r="I50" i="2" s="1"/>
  <c r="J50" i="2" s="1"/>
  <c r="K50" i="2" s="1"/>
  <c r="K32" i="2"/>
  <c r="K47" i="2" s="1"/>
  <c r="K31" i="2"/>
  <c r="J32" i="2"/>
  <c r="J47" i="2" s="1"/>
  <c r="J31" i="2"/>
  <c r="I31" i="2"/>
  <c r="I32" i="2"/>
  <c r="I47" i="2" s="1"/>
  <c r="H32" i="2"/>
  <c r="H47" i="2" s="1"/>
  <c r="H31" i="2"/>
  <c r="G34" i="2"/>
  <c r="G51" i="2" l="1"/>
  <c r="G52" i="2" s="1"/>
  <c r="G56" i="2"/>
  <c r="H41" i="2"/>
  <c r="I41" i="2" s="1"/>
  <c r="G27" i="2"/>
  <c r="H38" i="2"/>
  <c r="H34" i="2"/>
  <c r="I38" i="2"/>
  <c r="I34" i="2"/>
  <c r="J38" i="2"/>
  <c r="J34" i="2"/>
  <c r="K34" i="2"/>
  <c r="K38" i="2"/>
  <c r="G55" i="2"/>
  <c r="G58" i="2" s="1"/>
  <c r="G42" i="2"/>
  <c r="G43" i="2" s="1"/>
  <c r="H51" i="2"/>
  <c r="H52" i="2" s="1"/>
  <c r="H56" i="2"/>
  <c r="H27" i="2" l="1"/>
  <c r="J41" i="2"/>
  <c r="I27" i="2"/>
  <c r="I56" i="2"/>
  <c r="I51" i="2"/>
  <c r="I52" i="2" s="1"/>
  <c r="H55" i="2"/>
  <c r="H58" i="2" s="1"/>
  <c r="H42" i="2"/>
  <c r="H43" i="2" s="1"/>
  <c r="K41" i="2" l="1"/>
  <c r="K27" i="2" s="1"/>
  <c r="J27" i="2"/>
  <c r="I42" i="2"/>
  <c r="I43" i="2" s="1"/>
  <c r="I55" i="2"/>
  <c r="I58" i="2" s="1"/>
  <c r="J56" i="2"/>
  <c r="J51" i="2"/>
  <c r="J52" i="2" s="1"/>
  <c r="K56" i="2" l="1"/>
  <c r="F61" i="2" s="1"/>
  <c r="K51" i="2"/>
  <c r="K52" i="2" s="1"/>
  <c r="J55" i="2"/>
  <c r="J58" i="2" s="1"/>
  <c r="J42" i="2"/>
  <c r="J43" i="2" s="1"/>
  <c r="K55" i="2" l="1"/>
  <c r="K42" i="2"/>
  <c r="K43" i="2" s="1"/>
  <c r="F60" i="2" l="1"/>
  <c r="F63" i="2" s="1"/>
  <c r="K58" i="2"/>
  <c r="F67" i="2" l="1"/>
</calcChain>
</file>

<file path=xl/sharedStrings.xml><?xml version="1.0" encoding="utf-8"?>
<sst xmlns="http://schemas.openxmlformats.org/spreadsheetml/2006/main" count="74" uniqueCount="46">
  <si>
    <t>Amadeus Gas Pipeline</t>
  </si>
  <si>
    <t>Reference tariff calculation</t>
  </si>
  <si>
    <t>2025-26</t>
  </si>
  <si>
    <t>Firm service</t>
  </si>
  <si>
    <t>TJ/d</t>
  </si>
  <si>
    <t>Interruptible service</t>
  </si>
  <si>
    <t>GJ</t>
  </si>
  <si>
    <t>Input from Post-tax Revenue Model</t>
  </si>
  <si>
    <t>Smoothed total revenue</t>
  </si>
  <si>
    <t>$m</t>
  </si>
  <si>
    <t>p0, X factors</t>
  </si>
  <si>
    <t>p0</t>
  </si>
  <si>
    <t>X02</t>
  </si>
  <si>
    <t>X03</t>
  </si>
  <si>
    <t>X04</t>
  </si>
  <si>
    <t>X05</t>
  </si>
  <si>
    <t>Inflation forecast</t>
  </si>
  <si>
    <t>Rate of return</t>
  </si>
  <si>
    <t>Allocation of (smoothed) total revenue to reference services</t>
  </si>
  <si>
    <t>Reference tariff:  firm service</t>
  </si>
  <si>
    <t xml:space="preserve">Total revenue allocated to firm </t>
  </si>
  <si>
    <t>GJ MDQ</t>
  </si>
  <si>
    <t>$/GJ MDQ</t>
  </si>
  <si>
    <t>Reference tariff:  interruptible service</t>
  </si>
  <si>
    <t>Total revenue allocated to interruptible</t>
  </si>
  <si>
    <t>$/GJ</t>
  </si>
  <si>
    <t>Forecast revenue</t>
  </si>
  <si>
    <t>PV(Firm service forecast revenue)</t>
  </si>
  <si>
    <t>PV(Interruptible service forecast revenue)</t>
  </si>
  <si>
    <t>PV(forecast revenue)</t>
  </si>
  <si>
    <t>PV(smoothed total revenue) (from PTRM)</t>
  </si>
  <si>
    <t>PV difference</t>
  </si>
  <si>
    <t>Access Arrangement revision 2026-27 to 2030-31</t>
  </si>
  <si>
    <t>2026-27</t>
  </si>
  <si>
    <t>2027-28</t>
  </si>
  <si>
    <t>2028-29</t>
  </si>
  <si>
    <t>2029-30</t>
  </si>
  <si>
    <t>2030-31</t>
  </si>
  <si>
    <t>Cumulative discount rate</t>
  </si>
  <si>
    <t>Annual change in tariff ($nominal)</t>
  </si>
  <si>
    <t>X factors (tariff cap)</t>
  </si>
  <si>
    <t>$m nominal</t>
  </si>
  <si>
    <t>AGP Demand Forecast</t>
  </si>
  <si>
    <t>Tariff: firm service (1)</t>
  </si>
  <si>
    <t>Tariff:  interruptible service (1)</t>
  </si>
  <si>
    <t>(1)  Reference Service prices in 2025-26 are approved by AER.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</si>
</sst>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#,##0.000_ ;[Red]\-#,##0.000\ "/>
    <numFmt numFmtId="166" formatCode="#,##0.0000"/>
    <numFmt numFmtId="167" formatCode="0.0%"/>
    <numFmt numFmtId="168" formatCode="0.000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0099"/>
      <name val="Arial"/>
      <family val="2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4" fontId="3" fillId="0" borderId="0" xfId="0" applyNumberFormat="1" applyFont="1"/>
    <xf numFmtId="0" fontId="3" fillId="0" borderId="1" xfId="0" applyFont="1" applyBorder="1"/>
    <xf numFmtId="3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3" fillId="0" borderId="1" xfId="0" applyNumberFormat="1" applyFont="1" applyBorder="1"/>
    <xf numFmtId="3" fontId="3" fillId="0" borderId="0" xfId="0" applyNumberFormat="1" applyFont="1"/>
    <xf numFmtId="3" fontId="3" fillId="0" borderId="1" xfId="0" applyNumberFormat="1" applyFont="1" applyBorder="1"/>
    <xf numFmtId="164" fontId="3" fillId="0" borderId="0" xfId="0" applyNumberFormat="1" applyFont="1"/>
    <xf numFmtId="166" fontId="3" fillId="0" borderId="0" xfId="0" applyNumberFormat="1" applyFont="1"/>
    <xf numFmtId="10" fontId="3" fillId="0" borderId="0" xfId="1" applyNumberFormat="1" applyFont="1"/>
    <xf numFmtId="167" fontId="4" fillId="0" borderId="0" xfId="1" applyNumberFormat="1" applyFont="1"/>
    <xf numFmtId="166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3" fontId="3" fillId="0" borderId="1" xfId="0" applyNumberFormat="1" applyFont="1" applyBorder="1" applyAlignment="1">
      <alignment horizontal="right" vertical="top"/>
    </xf>
    <xf numFmtId="164" fontId="5" fillId="2" borderId="0" xfId="0" applyNumberFormat="1" applyFont="1" applyFill="1"/>
    <xf numFmtId="2" fontId="3" fillId="0" borderId="0" xfId="0" applyNumberFormat="1" applyFont="1"/>
    <xf numFmtId="10" fontId="5" fillId="2" borderId="0" xfId="1" applyNumberFormat="1" applyFont="1" applyFill="1"/>
    <xf numFmtId="167" fontId="3" fillId="0" borderId="0" xfId="1" applyNumberFormat="1" applyFont="1" applyFill="1" applyBorder="1"/>
    <xf numFmtId="10" fontId="3" fillId="0" borderId="0" xfId="1" applyNumberFormat="1" applyFont="1" applyFill="1" applyBorder="1"/>
    <xf numFmtId="168" fontId="3" fillId="0" borderId="0" xfId="0" applyNumberFormat="1" applyFont="1"/>
    <xf numFmtId="4" fontId="5" fillId="2" borderId="0" xfId="0" applyNumberFormat="1" applyFont="1" applyFill="1"/>
    <xf numFmtId="165" fontId="5" fillId="2" borderId="0" xfId="0" applyNumberFormat="1" applyFont="1" applyFill="1"/>
    <xf numFmtId="166" fontId="2" fillId="2" borderId="2" xfId="0" applyNumberFormat="1" applyFont="1" applyFill="1" applyBorder="1"/>
    <xf numFmtId="167" fontId="3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APA 2024">
  <a:themeElements>
    <a:clrScheme name="APA">
      <a:dk1>
        <a:sysClr val="windowText" lastClr="000000"/>
      </a:dk1>
      <a:lt1>
        <a:sysClr val="window" lastClr="FFFFFF"/>
      </a:lt1>
      <a:dk2>
        <a:srgbClr val="E6E6E6"/>
      </a:dk2>
      <a:lt2>
        <a:srgbClr val="F8F8F8"/>
      </a:lt2>
      <a:accent1>
        <a:srgbClr val="006275"/>
      </a:accent1>
      <a:accent2>
        <a:srgbClr val="AFD7D6"/>
      </a:accent2>
      <a:accent3>
        <a:srgbClr val="E12433"/>
      </a:accent3>
      <a:accent4>
        <a:srgbClr val="BFFF87"/>
      </a:accent4>
      <a:accent5>
        <a:srgbClr val="B1132D"/>
      </a:accent5>
      <a:accent6>
        <a:srgbClr val="F96700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D3E7C-481A-4BA9-97F3-639C59D4435F}">
  <sheetPr codeName="Sheet2"/>
  <dimension ref="B2:R71"/>
  <sheetViews>
    <sheetView showGridLines="0" tabSelected="1" zoomScaleNormal="100" workbookViewId="0">
      <selection activeCell="D2" sqref="D2"/>
    </sheetView>
  </sheetViews>
  <sheetFormatPr defaultColWidth="9" defaultRowHeight="11.25" x14ac:dyDescent="0.2"/>
  <cols>
    <col min="1" max="1" width="3" style="2" customWidth="1"/>
    <col min="2" max="3" width="1.625" style="2" customWidth="1"/>
    <col min="4" max="4" width="25.625" style="2" customWidth="1"/>
    <col min="5" max="5" width="9" style="2"/>
    <col min="6" max="6" width="10.875" style="2" customWidth="1"/>
    <col min="7" max="11" width="10.625" style="2" customWidth="1"/>
    <col min="12" max="13" width="12.625" style="2" customWidth="1"/>
    <col min="14" max="16384" width="9" style="2"/>
  </cols>
  <sheetData>
    <row r="2" spans="2:18" x14ac:dyDescent="0.2">
      <c r="B2" s="1" t="s">
        <v>0</v>
      </c>
      <c r="C2" s="1"/>
      <c r="D2" s="1"/>
    </row>
    <row r="3" spans="2:18" x14ac:dyDescent="0.2">
      <c r="B3" s="1" t="s">
        <v>32</v>
      </c>
      <c r="C3" s="1"/>
      <c r="D3" s="1"/>
    </row>
    <row r="4" spans="2:18" x14ac:dyDescent="0.2">
      <c r="B4" s="1" t="s">
        <v>1</v>
      </c>
      <c r="C4" s="1"/>
      <c r="D4" s="1"/>
    </row>
    <row r="5" spans="2:18" ht="16.5" customHeight="1" x14ac:dyDescent="0.2">
      <c r="B5" s="1"/>
      <c r="C5" s="1"/>
      <c r="D5" s="1"/>
      <c r="E5" s="1"/>
      <c r="F5" s="19" t="s">
        <v>2</v>
      </c>
      <c r="G5" s="19" t="s">
        <v>33</v>
      </c>
      <c r="H5" s="19" t="s">
        <v>34</v>
      </c>
      <c r="I5" s="19" t="s">
        <v>35</v>
      </c>
      <c r="J5" s="19" t="s">
        <v>36</v>
      </c>
      <c r="K5" s="19" t="s">
        <v>37</v>
      </c>
      <c r="L5" s="4"/>
      <c r="M5" s="4"/>
      <c r="N5" s="4"/>
      <c r="O5" s="4"/>
      <c r="P5" s="4"/>
    </row>
    <row r="6" spans="2:18" ht="16.5" customHeight="1" x14ac:dyDescent="0.2">
      <c r="B6" s="18"/>
      <c r="C6" s="18"/>
      <c r="D6" s="18"/>
      <c r="E6" s="18"/>
      <c r="F6" s="20">
        <v>365</v>
      </c>
      <c r="G6" s="20">
        <v>365</v>
      </c>
      <c r="H6" s="20">
        <v>365</v>
      </c>
      <c r="I6" s="20">
        <v>365</v>
      </c>
      <c r="J6" s="20">
        <v>365</v>
      </c>
      <c r="K6" s="20">
        <v>365</v>
      </c>
      <c r="L6" s="4"/>
      <c r="M6" s="4"/>
      <c r="N6" s="4"/>
      <c r="O6" s="4"/>
      <c r="P6" s="9"/>
      <c r="Q6" s="9"/>
      <c r="R6" s="9"/>
    </row>
    <row r="7" spans="2:18" x14ac:dyDescent="0.2">
      <c r="G7" s="6"/>
      <c r="H7" s="6"/>
      <c r="I7" s="6"/>
      <c r="J7" s="6"/>
      <c r="K7" s="6"/>
      <c r="L7" s="4"/>
      <c r="M7" s="4"/>
      <c r="N7" s="4"/>
      <c r="O7" s="4"/>
      <c r="P7" s="9"/>
      <c r="Q7" s="9"/>
      <c r="R7" s="9"/>
    </row>
    <row r="8" spans="2:18" x14ac:dyDescent="0.2">
      <c r="B8" s="1" t="s">
        <v>42</v>
      </c>
      <c r="G8" s="6"/>
      <c r="H8" s="6"/>
      <c r="I8" s="6"/>
      <c r="J8" s="6"/>
      <c r="K8" s="6"/>
      <c r="L8" s="4"/>
      <c r="M8" s="4"/>
      <c r="N8" s="4"/>
      <c r="O8" s="4"/>
      <c r="P8" s="9"/>
      <c r="Q8" s="9"/>
      <c r="R8" s="9"/>
    </row>
    <row r="9" spans="2:18" x14ac:dyDescent="0.2">
      <c r="B9" s="2" t="s">
        <v>3</v>
      </c>
      <c r="E9" s="3" t="s">
        <v>4</v>
      </c>
      <c r="F9" s="27">
        <v>145</v>
      </c>
      <c r="G9" s="27">
        <v>145</v>
      </c>
      <c r="H9" s="27">
        <v>145</v>
      </c>
      <c r="I9" s="27">
        <v>145</v>
      </c>
      <c r="J9" s="27">
        <v>145</v>
      </c>
      <c r="K9" s="27">
        <v>145</v>
      </c>
      <c r="L9" s="4"/>
      <c r="M9" s="4"/>
      <c r="N9" s="4"/>
      <c r="O9" s="4"/>
      <c r="P9" s="9"/>
      <c r="Q9" s="9"/>
      <c r="R9" s="9"/>
    </row>
    <row r="10" spans="2:18" x14ac:dyDescent="0.2">
      <c r="B10" s="2" t="s">
        <v>5</v>
      </c>
      <c r="E10" s="3" t="s">
        <v>4</v>
      </c>
      <c r="F10" s="27">
        <v>15</v>
      </c>
      <c r="G10" s="27">
        <v>15</v>
      </c>
      <c r="H10" s="27">
        <v>15</v>
      </c>
      <c r="I10" s="27">
        <v>15</v>
      </c>
      <c r="J10" s="27">
        <v>15</v>
      </c>
      <c r="K10" s="27">
        <v>15</v>
      </c>
      <c r="L10" s="4"/>
      <c r="M10" s="4"/>
      <c r="N10" s="4"/>
      <c r="O10" s="4"/>
      <c r="P10" s="9"/>
      <c r="Q10" s="9"/>
      <c r="R10" s="9"/>
    </row>
    <row r="11" spans="2:18" x14ac:dyDescent="0.2">
      <c r="E11" s="3"/>
      <c r="F11" s="8"/>
      <c r="G11" s="8"/>
      <c r="H11" s="8"/>
      <c r="I11" s="8"/>
      <c r="J11" s="8"/>
      <c r="K11" s="8"/>
      <c r="L11" s="4"/>
      <c r="M11" s="4"/>
      <c r="N11" s="4"/>
      <c r="O11" s="4"/>
      <c r="P11" s="9"/>
      <c r="Q11" s="9"/>
      <c r="R11" s="9"/>
    </row>
    <row r="12" spans="2:18" x14ac:dyDescent="0.2">
      <c r="E12" s="3" t="s">
        <v>4</v>
      </c>
      <c r="F12" s="4">
        <f>SUM(F9:F11)</f>
        <v>160</v>
      </c>
      <c r="G12" s="4">
        <f>SUM(G9:G11)</f>
        <v>160</v>
      </c>
      <c r="H12" s="4">
        <f t="shared" ref="H12:K12" si="0">SUM(H9:H11)</f>
        <v>160</v>
      </c>
      <c r="I12" s="4">
        <f t="shared" si="0"/>
        <v>160</v>
      </c>
      <c r="J12" s="4">
        <f t="shared" si="0"/>
        <v>160</v>
      </c>
      <c r="K12" s="4">
        <f t="shared" si="0"/>
        <v>160</v>
      </c>
      <c r="L12" s="4"/>
      <c r="M12" s="4"/>
      <c r="N12" s="4"/>
      <c r="O12" s="4"/>
      <c r="P12" s="9"/>
      <c r="Q12" s="9"/>
      <c r="R12" s="9"/>
    </row>
    <row r="13" spans="2:18" x14ac:dyDescent="0.2">
      <c r="F13" s="4"/>
      <c r="G13" s="4"/>
      <c r="H13" s="4"/>
      <c r="I13" s="4"/>
      <c r="J13" s="4"/>
      <c r="K13" s="4"/>
      <c r="L13" s="4"/>
      <c r="M13" s="4"/>
      <c r="N13" s="4"/>
      <c r="O13" s="4"/>
      <c r="P13" s="9"/>
      <c r="Q13" s="9"/>
      <c r="R13" s="9"/>
    </row>
    <row r="14" spans="2:18" x14ac:dyDescent="0.2">
      <c r="B14" s="2" t="s">
        <v>3</v>
      </c>
      <c r="E14" s="3" t="s">
        <v>6</v>
      </c>
      <c r="F14" s="9">
        <f t="shared" ref="F14:K14" si="1">F6*F9*1000</f>
        <v>52925000</v>
      </c>
      <c r="G14" s="9">
        <f t="shared" si="1"/>
        <v>52925000</v>
      </c>
      <c r="H14" s="9">
        <f t="shared" si="1"/>
        <v>52925000</v>
      </c>
      <c r="I14" s="9">
        <f t="shared" si="1"/>
        <v>52925000</v>
      </c>
      <c r="J14" s="9">
        <f t="shared" si="1"/>
        <v>52925000</v>
      </c>
      <c r="K14" s="9">
        <f t="shared" si="1"/>
        <v>52925000</v>
      </c>
      <c r="L14" s="4"/>
      <c r="M14" s="4"/>
      <c r="N14" s="4"/>
      <c r="O14" s="4"/>
      <c r="P14" s="9"/>
      <c r="Q14" s="9"/>
      <c r="R14" s="9"/>
    </row>
    <row r="15" spans="2:18" x14ac:dyDescent="0.2">
      <c r="B15" s="2" t="s">
        <v>5</v>
      </c>
      <c r="E15" s="3" t="s">
        <v>6</v>
      </c>
      <c r="F15" s="9">
        <f t="shared" ref="F15:K15" si="2">F6*F10*1000</f>
        <v>5475000</v>
      </c>
      <c r="G15" s="9">
        <f t="shared" si="2"/>
        <v>5475000</v>
      </c>
      <c r="H15" s="9">
        <f t="shared" si="2"/>
        <v>5475000</v>
      </c>
      <c r="I15" s="9">
        <f t="shared" si="2"/>
        <v>5475000</v>
      </c>
      <c r="J15" s="9">
        <f t="shared" si="2"/>
        <v>5475000</v>
      </c>
      <c r="K15" s="9">
        <f t="shared" si="2"/>
        <v>5475000</v>
      </c>
      <c r="L15" s="4"/>
      <c r="M15" s="4"/>
      <c r="N15" s="4"/>
      <c r="O15" s="4"/>
      <c r="P15" s="4"/>
    </row>
    <row r="16" spans="2:18" x14ac:dyDescent="0.2">
      <c r="F16" s="10"/>
      <c r="G16" s="10"/>
      <c r="H16" s="10"/>
      <c r="I16" s="10"/>
      <c r="J16" s="10"/>
      <c r="K16" s="10"/>
      <c r="L16" s="4"/>
      <c r="M16" s="4"/>
      <c r="N16" s="4"/>
      <c r="O16" s="4"/>
      <c r="P16" s="4"/>
    </row>
    <row r="17" spans="2:16" x14ac:dyDescent="0.2">
      <c r="E17" s="3" t="s">
        <v>6</v>
      </c>
      <c r="G17" s="9">
        <f>SUM(G14:G16)</f>
        <v>58400000</v>
      </c>
      <c r="H17" s="9">
        <f t="shared" ref="H17:K17" si="3">SUM(H14:H16)</f>
        <v>58400000</v>
      </c>
      <c r="I17" s="9">
        <f t="shared" si="3"/>
        <v>58400000</v>
      </c>
      <c r="J17" s="9">
        <f t="shared" si="3"/>
        <v>58400000</v>
      </c>
      <c r="K17" s="9">
        <f t="shared" si="3"/>
        <v>58400000</v>
      </c>
      <c r="L17" s="4"/>
      <c r="M17" s="4"/>
      <c r="N17" s="4"/>
      <c r="O17" s="4"/>
      <c r="P17" s="4"/>
    </row>
    <row r="18" spans="2:16" x14ac:dyDescent="0.2"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2:16" x14ac:dyDescent="0.2">
      <c r="B19" s="1" t="s">
        <v>7</v>
      </c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2:16" x14ac:dyDescent="0.2">
      <c r="B20" s="2" t="s">
        <v>8</v>
      </c>
      <c r="E20" s="3" t="s">
        <v>41</v>
      </c>
      <c r="F20" s="11"/>
      <c r="G20" s="21">
        <v>26.785820492107639</v>
      </c>
      <c r="H20" s="21">
        <v>29.609552976163506</v>
      </c>
      <c r="I20" s="21">
        <v>29.969855040433103</v>
      </c>
      <c r="J20" s="21">
        <v>30.334541418698304</v>
      </c>
      <c r="K20" s="21">
        <v>30.703665461220229</v>
      </c>
      <c r="L20" s="4"/>
      <c r="M20" s="12"/>
      <c r="N20" s="4"/>
      <c r="O20" s="4"/>
      <c r="P20" s="4"/>
    </row>
    <row r="21" spans="2:16" x14ac:dyDescent="0.2">
      <c r="B21" s="2" t="s">
        <v>10</v>
      </c>
      <c r="F21" s="3"/>
      <c r="G21" s="7" t="s">
        <v>11</v>
      </c>
      <c r="H21" s="7" t="s">
        <v>12</v>
      </c>
      <c r="I21" s="7" t="s">
        <v>13</v>
      </c>
      <c r="J21" s="7" t="s">
        <v>14</v>
      </c>
      <c r="K21" s="7" t="s">
        <v>15</v>
      </c>
      <c r="L21" s="4"/>
      <c r="M21" s="4"/>
      <c r="N21" s="4"/>
      <c r="O21" s="4"/>
      <c r="P21" s="4"/>
    </row>
    <row r="22" spans="2:16" x14ac:dyDescent="0.2">
      <c r="F22" s="3"/>
      <c r="G22" s="23">
        <v>-0.13200000000000001</v>
      </c>
      <c r="H22" s="23">
        <v>-7.7931734545874251E-2</v>
      </c>
      <c r="I22" s="23">
        <v>1.2999999999999999E-2</v>
      </c>
      <c r="J22" s="23">
        <v>1.2999999999999999E-2</v>
      </c>
      <c r="K22" s="23">
        <v>1.2999999999999999E-2</v>
      </c>
      <c r="L22" s="4"/>
      <c r="M22" s="30"/>
      <c r="N22" s="4"/>
      <c r="O22" s="4"/>
      <c r="P22" s="4"/>
    </row>
    <row r="23" spans="2:16" x14ac:dyDescent="0.2">
      <c r="B23" s="2" t="s">
        <v>16</v>
      </c>
      <c r="G23" s="23">
        <v>2.5499939054115517E-2</v>
      </c>
      <c r="H23" s="23">
        <v>2.5499939054115517E-2</v>
      </c>
      <c r="I23" s="23">
        <v>2.5499939054115517E-2</v>
      </c>
      <c r="J23" s="23">
        <v>2.5499939054115517E-2</v>
      </c>
      <c r="K23" s="23">
        <v>2.5499939054115517E-2</v>
      </c>
      <c r="L23" s="4"/>
      <c r="M23" s="4"/>
      <c r="N23" s="4"/>
      <c r="O23" s="4"/>
      <c r="P23" s="4"/>
    </row>
    <row r="24" spans="2:16" x14ac:dyDescent="0.2">
      <c r="B24" s="2" t="s">
        <v>17</v>
      </c>
      <c r="G24" s="23">
        <v>6.0204653914493658E-2</v>
      </c>
      <c r="H24" s="23">
        <v>6.0457144478965871E-2</v>
      </c>
      <c r="I24" s="23">
        <v>6.1065722245507457E-2</v>
      </c>
      <c r="J24" s="23">
        <v>6.1813519948468398E-2</v>
      </c>
      <c r="K24" s="23">
        <v>6.340937715881402E-2</v>
      </c>
      <c r="L24" s="4"/>
      <c r="M24" s="4"/>
      <c r="N24" s="4"/>
      <c r="O24" s="4"/>
      <c r="P24" s="4"/>
    </row>
    <row r="25" spans="2:16" x14ac:dyDescent="0.2">
      <c r="B25" s="2" t="s">
        <v>38</v>
      </c>
      <c r="F25" s="22">
        <v>1</v>
      </c>
      <c r="G25" s="22">
        <f>+F25*(1+G24)</f>
        <v>1.0602046539144936</v>
      </c>
      <c r="H25" s="22">
        <f t="shared" ref="H25:K25" si="4">+G25*(1+H24)</f>
        <v>1.1243015998534742</v>
      </c>
      <c r="I25" s="22">
        <f t="shared" si="4"/>
        <v>1.1929578890703063</v>
      </c>
      <c r="J25" s="22">
        <f t="shared" si="4"/>
        <v>1.2666988153440364</v>
      </c>
      <c r="K25" s="22">
        <f t="shared" si="4"/>
        <v>1.3470193982728094</v>
      </c>
      <c r="L25" s="4"/>
      <c r="M25" s="4"/>
      <c r="N25" s="4"/>
      <c r="O25" s="4"/>
      <c r="P25" s="4"/>
    </row>
    <row r="26" spans="2:16" x14ac:dyDescent="0.2">
      <c r="F26" s="2">
        <v>1</v>
      </c>
      <c r="G26" s="13">
        <f>F26*(1+G23)</f>
        <v>1.0254999390541155</v>
      </c>
      <c r="H26" s="13">
        <f>G26*(1+H23)</f>
        <v>1.0516501249999946</v>
      </c>
      <c r="I26" s="13">
        <f>H26*(1+I23)</f>
        <v>1.0784671390937475</v>
      </c>
      <c r="J26" s="13">
        <f>I26*(1+J23)</f>
        <v>1.1059679854125044</v>
      </c>
      <c r="K26" s="13">
        <f>J26*(1+K23)</f>
        <v>1.1341701016363261</v>
      </c>
      <c r="L26" s="4"/>
      <c r="M26" s="4"/>
      <c r="N26" s="4"/>
      <c r="O26" s="4"/>
      <c r="P26" s="4"/>
    </row>
    <row r="27" spans="2:16" x14ac:dyDescent="0.2">
      <c r="B27" s="1" t="s">
        <v>1</v>
      </c>
      <c r="F27" s="12">
        <f>F41</f>
        <v>0.39510000000000001</v>
      </c>
      <c r="G27" s="4">
        <f>G41/G26</f>
        <v>0.44725630136986305</v>
      </c>
      <c r="H27" s="4">
        <f t="shared" ref="H27:K27" si="5">H41/H26</f>
        <v>0.48211176072218886</v>
      </c>
      <c r="I27" s="4">
        <f t="shared" si="5"/>
        <v>0.47584430783280035</v>
      </c>
      <c r="J27" s="4">
        <f t="shared" si="5"/>
        <v>0.469658331830974</v>
      </c>
      <c r="K27" s="4">
        <f t="shared" si="5"/>
        <v>0.46355277351717139</v>
      </c>
      <c r="L27" s="4"/>
      <c r="M27" s="4"/>
      <c r="N27" s="4"/>
      <c r="O27" s="4"/>
      <c r="P27" s="4"/>
    </row>
    <row r="28" spans="2:16" x14ac:dyDescent="0.2">
      <c r="L28" s="13"/>
    </row>
    <row r="29" spans="2:16" x14ac:dyDescent="0.2">
      <c r="B29" s="2" t="s">
        <v>18</v>
      </c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2:16" x14ac:dyDescent="0.2"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2:16" x14ac:dyDescent="0.2">
      <c r="C31" s="2" t="s">
        <v>3</v>
      </c>
      <c r="E31" s="3" t="s">
        <v>41</v>
      </c>
      <c r="F31" s="11"/>
      <c r="G31" s="11">
        <f>G20*G14/G17</f>
        <v>24.274649820972545</v>
      </c>
      <c r="H31" s="11">
        <f>H20*H14/H17</f>
        <v>26.833657384648177</v>
      </c>
      <c r="I31" s="11">
        <f>I20*I14/I17</f>
        <v>27.160181130392498</v>
      </c>
      <c r="J31" s="11">
        <f>J20*J14/J17</f>
        <v>27.490678160695339</v>
      </c>
      <c r="K31" s="11">
        <f>K20*K14/K17</f>
        <v>27.825196824230833</v>
      </c>
      <c r="L31" s="4"/>
      <c r="M31" s="4"/>
      <c r="N31" s="4"/>
      <c r="O31" s="4"/>
      <c r="P31" s="4"/>
    </row>
    <row r="32" spans="2:16" x14ac:dyDescent="0.2">
      <c r="C32" s="2" t="s">
        <v>5</v>
      </c>
      <c r="E32" s="3" t="s">
        <v>41</v>
      </c>
      <c r="G32" s="11">
        <f>G15*G20/G17</f>
        <v>2.5111706711350914</v>
      </c>
      <c r="H32" s="11">
        <f>H15*H20/H17</f>
        <v>2.7758955915153285</v>
      </c>
      <c r="I32" s="11">
        <f>I15*I20/I17</f>
        <v>2.8096739100406034</v>
      </c>
      <c r="J32" s="11">
        <f>J15*J20/J17</f>
        <v>2.8438632580029659</v>
      </c>
      <c r="K32" s="11">
        <f>K15*K20/K17</f>
        <v>2.8784686369893966</v>
      </c>
      <c r="L32" s="4"/>
      <c r="M32" s="4"/>
      <c r="N32" s="4"/>
      <c r="O32" s="4"/>
      <c r="P32" s="4"/>
    </row>
    <row r="33" spans="2:17" x14ac:dyDescent="0.2">
      <c r="E33" s="3"/>
      <c r="G33" s="8"/>
      <c r="H33" s="8"/>
      <c r="I33" s="8"/>
      <c r="J33" s="8"/>
      <c r="K33" s="8"/>
      <c r="L33" s="4"/>
      <c r="M33" s="4"/>
      <c r="N33" s="4"/>
      <c r="O33" s="4"/>
      <c r="P33" s="4"/>
    </row>
    <row r="34" spans="2:17" x14ac:dyDescent="0.2">
      <c r="E34" s="3" t="s">
        <v>41</v>
      </c>
      <c r="G34" s="11">
        <f>SUM(G31:G33)</f>
        <v>26.785820492107636</v>
      </c>
      <c r="H34" s="11">
        <f t="shared" ref="H34:K34" si="6">SUM(H31:H33)</f>
        <v>29.609552976163506</v>
      </c>
      <c r="I34" s="11">
        <f t="shared" si="6"/>
        <v>29.969855040433103</v>
      </c>
      <c r="J34" s="11">
        <f t="shared" si="6"/>
        <v>30.334541418698304</v>
      </c>
      <c r="K34" s="11">
        <f t="shared" si="6"/>
        <v>30.703665461220229</v>
      </c>
      <c r="L34" s="4"/>
      <c r="M34" s="14"/>
      <c r="N34" s="4"/>
      <c r="O34" s="4"/>
      <c r="P34" s="4"/>
    </row>
    <row r="35" spans="2:17" x14ac:dyDescent="0.2">
      <c r="B35" s="11"/>
      <c r="E35" s="3"/>
      <c r="H35" s="11"/>
      <c r="I35" s="11"/>
      <c r="J35" s="11"/>
      <c r="K35" s="11"/>
      <c r="L35" s="4"/>
      <c r="M35" s="4"/>
      <c r="N35" s="4"/>
      <c r="O35" s="4"/>
      <c r="P35" s="4"/>
    </row>
    <row r="36" spans="2:17" x14ac:dyDescent="0.2">
      <c r="B36" s="2" t="s">
        <v>19</v>
      </c>
      <c r="E36" s="3"/>
      <c r="G36" s="12"/>
      <c r="H36" s="12"/>
      <c r="I36" s="12"/>
      <c r="J36" s="12"/>
      <c r="K36" s="12"/>
      <c r="L36" s="4"/>
      <c r="M36" s="4"/>
      <c r="N36" s="4"/>
      <c r="O36" s="4"/>
      <c r="P36" s="4"/>
    </row>
    <row r="37" spans="2:17" x14ac:dyDescent="0.2">
      <c r="E37" s="3"/>
      <c r="G37" s="12"/>
      <c r="H37" s="12"/>
      <c r="I37" s="12"/>
      <c r="J37" s="12"/>
      <c r="K37" s="12"/>
      <c r="L37" s="4"/>
      <c r="M37" s="4"/>
      <c r="N37" s="4"/>
      <c r="O37" s="4"/>
      <c r="P37" s="4"/>
    </row>
    <row r="38" spans="2:17" x14ac:dyDescent="0.2">
      <c r="C38" s="2" t="s">
        <v>20</v>
      </c>
      <c r="E38" s="3" t="s">
        <v>41</v>
      </c>
      <c r="G38" s="11">
        <f>G31</f>
        <v>24.274649820972545</v>
      </c>
      <c r="H38" s="11">
        <f t="shared" ref="H38:K38" si="7">H31</f>
        <v>26.833657384648177</v>
      </c>
      <c r="I38" s="11">
        <f t="shared" si="7"/>
        <v>27.160181130392498</v>
      </c>
      <c r="J38" s="11">
        <f t="shared" si="7"/>
        <v>27.490678160695339</v>
      </c>
      <c r="K38" s="11">
        <f t="shared" si="7"/>
        <v>27.825196824230833</v>
      </c>
      <c r="L38" s="4"/>
      <c r="M38" s="4"/>
      <c r="N38" s="4"/>
      <c r="O38" s="4"/>
      <c r="P38" s="4"/>
    </row>
    <row r="39" spans="2:17" x14ac:dyDescent="0.2">
      <c r="C39" s="2" t="s">
        <v>3</v>
      </c>
      <c r="E39" s="3" t="s">
        <v>21</v>
      </c>
      <c r="F39" s="9">
        <f t="shared" ref="F39:K39" si="8">F14</f>
        <v>52925000</v>
      </c>
      <c r="G39" s="9">
        <f>G14</f>
        <v>52925000</v>
      </c>
      <c r="H39" s="9">
        <f t="shared" si="8"/>
        <v>52925000</v>
      </c>
      <c r="I39" s="9">
        <f t="shared" si="8"/>
        <v>52925000</v>
      </c>
      <c r="J39" s="9">
        <f t="shared" si="8"/>
        <v>52925000</v>
      </c>
      <c r="K39" s="9">
        <f t="shared" si="8"/>
        <v>52925000</v>
      </c>
      <c r="L39" s="4"/>
      <c r="M39" s="4"/>
      <c r="N39" s="4"/>
      <c r="O39" s="4"/>
      <c r="P39" s="4"/>
    </row>
    <row r="40" spans="2:17" ht="12" thickBot="1" x14ac:dyDescent="0.25">
      <c r="E40" s="3"/>
      <c r="G40" s="9"/>
      <c r="H40" s="9"/>
      <c r="I40" s="9"/>
      <c r="J40" s="9"/>
      <c r="K40" s="9"/>
      <c r="L40" s="4"/>
      <c r="M40" s="4"/>
      <c r="N40" s="4"/>
      <c r="O40" s="4"/>
      <c r="P40" s="4"/>
    </row>
    <row r="41" spans="2:17" ht="12" thickBot="1" x14ac:dyDescent="0.25">
      <c r="C41" s="2" t="s">
        <v>43</v>
      </c>
      <c r="E41" s="3" t="s">
        <v>22</v>
      </c>
      <c r="F41" s="29">
        <v>0.39510000000000001</v>
      </c>
      <c r="G41" s="15">
        <f>G38*1000000/G39</f>
        <v>0.45866130979636366</v>
      </c>
      <c r="H41" s="15">
        <f>G41*(1-H22)*(1+H23)</f>
        <v>0.50701289342745737</v>
      </c>
      <c r="I41" s="15">
        <f t="shared" ref="I41:K41" si="9">H41*(1-I22)*(1+I23)</f>
        <v>0.51318244932248469</v>
      </c>
      <c r="J41" s="15">
        <f t="shared" si="9"/>
        <v>0.51942707908729979</v>
      </c>
      <c r="K41" s="15">
        <f t="shared" si="9"/>
        <v>0.52574769625377116</v>
      </c>
      <c r="L41" s="4"/>
      <c r="M41" s="12"/>
      <c r="N41" s="12"/>
      <c r="O41" s="12"/>
      <c r="P41" s="30"/>
      <c r="Q41" s="12"/>
    </row>
    <row r="42" spans="2:17" x14ac:dyDescent="0.2">
      <c r="D42" s="2" t="s">
        <v>39</v>
      </c>
      <c r="E42" s="3"/>
      <c r="G42" s="24">
        <f>+G41/F41-1</f>
        <v>0.1608739807551598</v>
      </c>
      <c r="H42" s="24">
        <f>+H41/G41-1</f>
        <v>0.10541892808129116</v>
      </c>
      <c r="I42" s="24">
        <f t="shared" ref="I42:K42" si="10">+I41/H41-1</f>
        <v>1.2168439846411916E-2</v>
      </c>
      <c r="J42" s="24">
        <f t="shared" si="10"/>
        <v>1.2168439846412138E-2</v>
      </c>
      <c r="K42" s="24">
        <f t="shared" si="10"/>
        <v>1.2168439846412138E-2</v>
      </c>
      <c r="L42" s="30"/>
      <c r="M42" s="30"/>
      <c r="N42" s="4"/>
      <c r="O42" s="4"/>
      <c r="P42" s="4"/>
    </row>
    <row r="43" spans="2:17" x14ac:dyDescent="0.2">
      <c r="D43" s="2" t="s">
        <v>40</v>
      </c>
      <c r="E43" s="3"/>
      <c r="G43" s="25">
        <f>+-((1+G42)/(1+G23)-1)</f>
        <v>-0.13200784958203737</v>
      </c>
      <c r="H43" s="25">
        <f t="shared" ref="H43:K43" si="11">+-((1+H42)/(1+H23)-1)</f>
        <v>-7.793173454587432E-2</v>
      </c>
      <c r="I43" s="25">
        <f t="shared" si="11"/>
        <v>1.3000000000000123E-2</v>
      </c>
      <c r="J43" s="25">
        <f t="shared" si="11"/>
        <v>1.2999999999999901E-2</v>
      </c>
      <c r="K43" s="25">
        <f t="shared" si="11"/>
        <v>1.2999999999999901E-2</v>
      </c>
      <c r="L43" s="30"/>
      <c r="M43" s="4"/>
      <c r="N43" s="4"/>
      <c r="O43" s="4"/>
      <c r="P43" s="4"/>
    </row>
    <row r="44" spans="2:17" x14ac:dyDescent="0.2">
      <c r="E44" s="3"/>
      <c r="G44" s="12"/>
      <c r="H44" s="12"/>
      <c r="I44" s="12"/>
      <c r="J44" s="12"/>
      <c r="K44" s="12"/>
      <c r="L44" s="4"/>
      <c r="M44" s="4"/>
      <c r="N44" s="4"/>
      <c r="O44" s="4"/>
      <c r="P44" s="4"/>
    </row>
    <row r="45" spans="2:17" x14ac:dyDescent="0.2">
      <c r="B45" s="2" t="s">
        <v>23</v>
      </c>
      <c r="E45" s="3"/>
      <c r="G45" s="12"/>
      <c r="H45" s="12"/>
      <c r="I45" s="12"/>
      <c r="J45" s="12"/>
      <c r="K45" s="12"/>
      <c r="L45" s="4"/>
      <c r="M45" s="4"/>
      <c r="N45" s="4"/>
      <c r="O45" s="4"/>
      <c r="P45" s="4"/>
    </row>
    <row r="46" spans="2:17" x14ac:dyDescent="0.2">
      <c r="E46" s="3"/>
      <c r="G46" s="12"/>
      <c r="H46" s="12"/>
      <c r="I46" s="12"/>
      <c r="J46" s="12"/>
      <c r="K46" s="12"/>
      <c r="L46" s="4"/>
      <c r="M46" s="4"/>
      <c r="N46" s="4"/>
      <c r="O46" s="4"/>
      <c r="P46" s="4"/>
    </row>
    <row r="47" spans="2:17" x14ac:dyDescent="0.2">
      <c r="C47" s="2" t="s">
        <v>24</v>
      </c>
      <c r="E47" s="3" t="s">
        <v>41</v>
      </c>
      <c r="G47" s="12">
        <f>G32</f>
        <v>2.5111706711350914</v>
      </c>
      <c r="H47" s="12">
        <f t="shared" ref="H47:K47" si="12">H32</f>
        <v>2.7758955915153285</v>
      </c>
      <c r="I47" s="12">
        <f t="shared" si="12"/>
        <v>2.8096739100406034</v>
      </c>
      <c r="J47" s="12">
        <f t="shared" si="12"/>
        <v>2.8438632580029659</v>
      </c>
      <c r="K47" s="12">
        <f t="shared" si="12"/>
        <v>2.8784686369893966</v>
      </c>
      <c r="L47" s="4"/>
      <c r="M47" s="4"/>
      <c r="N47" s="4"/>
      <c r="O47" s="4"/>
      <c r="P47" s="4"/>
    </row>
    <row r="48" spans="2:17" x14ac:dyDescent="0.2">
      <c r="C48" s="2" t="s">
        <v>5</v>
      </c>
      <c r="E48" s="3" t="s">
        <v>6</v>
      </c>
      <c r="F48" s="9">
        <f>G48</f>
        <v>5475000</v>
      </c>
      <c r="G48" s="9">
        <f>G15</f>
        <v>5475000</v>
      </c>
      <c r="H48" s="9">
        <f>H15</f>
        <v>5475000</v>
      </c>
      <c r="I48" s="9">
        <f>I15</f>
        <v>5475000</v>
      </c>
      <c r="J48" s="9">
        <f>J15</f>
        <v>5475000</v>
      </c>
      <c r="K48" s="9">
        <f>K15</f>
        <v>5475000</v>
      </c>
      <c r="L48" s="4"/>
      <c r="M48" s="4"/>
      <c r="N48" s="4"/>
      <c r="O48" s="4"/>
      <c r="P48" s="4"/>
    </row>
    <row r="49" spans="2:16" x14ac:dyDescent="0.2">
      <c r="E49" s="3"/>
      <c r="G49" s="12"/>
      <c r="H49" s="12"/>
      <c r="I49" s="12"/>
      <c r="J49" s="12"/>
      <c r="K49" s="12"/>
      <c r="L49" s="4"/>
      <c r="M49" s="4"/>
      <c r="N49" s="4"/>
      <c r="O49" s="4"/>
      <c r="P49" s="4"/>
    </row>
    <row r="50" spans="2:16" x14ac:dyDescent="0.2">
      <c r="C50" s="2" t="s">
        <v>44</v>
      </c>
      <c r="E50" s="3" t="s">
        <v>25</v>
      </c>
      <c r="F50" s="15">
        <f>F41</f>
        <v>0.39510000000000001</v>
      </c>
      <c r="G50" s="15">
        <f>G47*1000000/G48</f>
        <v>0.45866130979636371</v>
      </c>
      <c r="H50" s="15">
        <f>G50*(1-H22)*(1+H23)</f>
        <v>0.50701289342745737</v>
      </c>
      <c r="I50" s="15">
        <f t="shared" ref="I50:K50" si="13">H50*(1-I22)*(1+I23)</f>
        <v>0.51318244932248469</v>
      </c>
      <c r="J50" s="15">
        <f t="shared" si="13"/>
        <v>0.51942707908729979</v>
      </c>
      <c r="K50" s="15">
        <f t="shared" si="13"/>
        <v>0.52574769625377116</v>
      </c>
      <c r="L50" s="4"/>
      <c r="M50" s="4"/>
      <c r="N50" s="4"/>
      <c r="O50" s="4"/>
      <c r="P50" s="4"/>
    </row>
    <row r="51" spans="2:16" x14ac:dyDescent="0.2">
      <c r="D51" s="2" t="s">
        <v>39</v>
      </c>
      <c r="E51" s="3"/>
      <c r="G51" s="24">
        <f>+G50/F50-1</f>
        <v>0.16087398075516002</v>
      </c>
      <c r="H51" s="24">
        <f>+H50/G50-1</f>
        <v>0.10541892808129116</v>
      </c>
      <c r="I51" s="24">
        <f t="shared" ref="I51" si="14">+I50/H50-1</f>
        <v>1.2168439846411916E-2</v>
      </c>
      <c r="J51" s="24">
        <f t="shared" ref="J51" si="15">+J50/I50-1</f>
        <v>1.2168439846412138E-2</v>
      </c>
      <c r="K51" s="24">
        <f t="shared" ref="K51" si="16">+K50/J50-1</f>
        <v>1.2168439846412138E-2</v>
      </c>
      <c r="L51" s="4"/>
      <c r="M51" s="4"/>
      <c r="N51" s="4"/>
      <c r="O51" s="4"/>
      <c r="P51" s="4"/>
    </row>
    <row r="52" spans="2:16" x14ac:dyDescent="0.2">
      <c r="D52" s="2" t="s">
        <v>40</v>
      </c>
      <c r="E52" s="3"/>
      <c r="G52" s="25">
        <f>+-((1+G51)/(1+G23)-1)</f>
        <v>-0.1320078495820376</v>
      </c>
      <c r="H52" s="25">
        <f t="shared" ref="H52:K52" si="17">+-((1+H51)/(1+H23)-1)</f>
        <v>-7.793173454587432E-2</v>
      </c>
      <c r="I52" s="25">
        <f t="shared" si="17"/>
        <v>1.3000000000000123E-2</v>
      </c>
      <c r="J52" s="25">
        <f t="shared" si="17"/>
        <v>1.2999999999999901E-2</v>
      </c>
      <c r="K52" s="25">
        <f t="shared" si="17"/>
        <v>1.2999999999999901E-2</v>
      </c>
      <c r="L52" s="4"/>
      <c r="M52" s="4"/>
      <c r="N52" s="4"/>
      <c r="O52" s="4"/>
      <c r="P52" s="4"/>
    </row>
    <row r="53" spans="2:16" x14ac:dyDescent="0.2">
      <c r="G53" s="12"/>
      <c r="H53" s="12"/>
      <c r="I53" s="12"/>
      <c r="J53" s="12"/>
      <c r="K53" s="12"/>
      <c r="L53" s="4"/>
      <c r="M53" s="4"/>
      <c r="N53" s="4"/>
      <c r="O53" s="4"/>
      <c r="P53" s="4"/>
    </row>
    <row r="54" spans="2:16" x14ac:dyDescent="0.2">
      <c r="B54" s="2" t="s">
        <v>26</v>
      </c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2:16" x14ac:dyDescent="0.2">
      <c r="D55" s="2" t="s">
        <v>3</v>
      </c>
      <c r="E55" s="3" t="s">
        <v>41</v>
      </c>
      <c r="F55" s="11">
        <f t="shared" ref="F55:K55" si="18">F39*F41/1000000</f>
        <v>20.910667499999999</v>
      </c>
      <c r="G55" s="11">
        <f t="shared" si="18"/>
        <v>24.274649820972545</v>
      </c>
      <c r="H55" s="11">
        <f t="shared" si="18"/>
        <v>26.833657384648181</v>
      </c>
      <c r="I55" s="11">
        <f t="shared" si="18"/>
        <v>27.160181130392502</v>
      </c>
      <c r="J55" s="11">
        <f t="shared" si="18"/>
        <v>27.490678160695339</v>
      </c>
      <c r="K55" s="11">
        <f t="shared" si="18"/>
        <v>27.82519682423084</v>
      </c>
      <c r="L55" s="4"/>
      <c r="M55" s="4"/>
      <c r="N55" s="4"/>
      <c r="O55" s="4"/>
      <c r="P55" s="4"/>
    </row>
    <row r="56" spans="2:16" x14ac:dyDescent="0.2">
      <c r="D56" s="2" t="s">
        <v>5</v>
      </c>
      <c r="E56" s="3" t="s">
        <v>41</v>
      </c>
      <c r="F56" s="11">
        <f t="shared" ref="F56:K56" si="19">F48*F50/1000000</f>
        <v>2.1631724999999999</v>
      </c>
      <c r="G56" s="11">
        <f t="shared" si="19"/>
        <v>2.5111706711350914</v>
      </c>
      <c r="H56" s="11">
        <f t="shared" si="19"/>
        <v>2.7758955915153294</v>
      </c>
      <c r="I56" s="11">
        <f t="shared" si="19"/>
        <v>2.8096739100406034</v>
      </c>
      <c r="J56" s="11">
        <f t="shared" si="19"/>
        <v>2.8438632580029664</v>
      </c>
      <c r="K56" s="11">
        <f t="shared" si="19"/>
        <v>2.878468636989397</v>
      </c>
      <c r="L56" s="4"/>
      <c r="M56" s="4"/>
      <c r="N56" s="4"/>
      <c r="O56" s="4"/>
      <c r="P56" s="4"/>
    </row>
    <row r="57" spans="2:16" x14ac:dyDescent="0.2">
      <c r="E57" s="3"/>
      <c r="F57" s="8"/>
      <c r="G57" s="8"/>
      <c r="H57" s="8"/>
      <c r="I57" s="8"/>
      <c r="J57" s="8"/>
      <c r="K57" s="8"/>
      <c r="L57" s="4"/>
      <c r="M57" s="4"/>
      <c r="N57" s="4"/>
      <c r="O57" s="4"/>
      <c r="P57" s="4"/>
    </row>
    <row r="58" spans="2:16" x14ac:dyDescent="0.2">
      <c r="E58" s="3" t="s">
        <v>9</v>
      </c>
      <c r="F58" s="11">
        <f>SUM(F55:F57)</f>
        <v>23.073839999999997</v>
      </c>
      <c r="G58" s="11">
        <f>SUM(G55:G57)</f>
        <v>26.785820492107636</v>
      </c>
      <c r="H58" s="11">
        <f t="shared" ref="H58:K58" si="20">SUM(H55:H57)</f>
        <v>29.60955297616351</v>
      </c>
      <c r="I58" s="11">
        <f t="shared" si="20"/>
        <v>29.969855040433107</v>
      </c>
      <c r="J58" s="11">
        <f t="shared" si="20"/>
        <v>30.334541418698304</v>
      </c>
      <c r="K58" s="11">
        <f t="shared" si="20"/>
        <v>30.703665461220236</v>
      </c>
      <c r="L58" s="4"/>
      <c r="M58" s="4"/>
      <c r="N58" s="4"/>
      <c r="O58" s="4"/>
      <c r="P58" s="4"/>
    </row>
    <row r="59" spans="2:16" x14ac:dyDescent="0.2">
      <c r="F59" s="13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2:16" x14ac:dyDescent="0.2">
      <c r="B60" s="2" t="s">
        <v>27</v>
      </c>
      <c r="E60" s="3" t="s">
        <v>9</v>
      </c>
      <c r="F60" s="26">
        <f>+G55/G$25+H55/H$25+I55/I$25+J55/J$25+K55/K$25</f>
        <v>111.8897206187826</v>
      </c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2:16" x14ac:dyDescent="0.2">
      <c r="B61" s="2" t="s">
        <v>28</v>
      </c>
      <c r="E61" s="3" t="s">
        <v>9</v>
      </c>
      <c r="F61" s="26">
        <f>+G56/G$25+H56/H$25+I56/I$25+J56/J$25+K56/K$25</f>
        <v>11.574798684701651</v>
      </c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2:16" x14ac:dyDescent="0.2">
      <c r="E62" s="3"/>
      <c r="F62" s="5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2:16" x14ac:dyDescent="0.2">
      <c r="B63" s="2" t="s">
        <v>29</v>
      </c>
      <c r="E63" s="3" t="s">
        <v>9</v>
      </c>
      <c r="F63" s="16">
        <f>SUM(F60:F62)</f>
        <v>123.46451930348425</v>
      </c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2:16" x14ac:dyDescent="0.2">
      <c r="E64" s="3"/>
      <c r="F64" s="16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2:11" x14ac:dyDescent="0.2">
      <c r="B65" s="2" t="s">
        <v>30</v>
      </c>
      <c r="E65" s="3" t="s">
        <v>9</v>
      </c>
      <c r="F65" s="28">
        <v>123.46451930348427</v>
      </c>
    </row>
    <row r="66" spans="2:11" x14ac:dyDescent="0.2">
      <c r="F66" s="5"/>
    </row>
    <row r="67" spans="2:11" x14ac:dyDescent="0.2">
      <c r="B67" s="2" t="s">
        <v>31</v>
      </c>
      <c r="E67" s="3" t="s">
        <v>9</v>
      </c>
      <c r="F67" s="17">
        <f>F63-F65</f>
        <v>0</v>
      </c>
    </row>
    <row r="68" spans="2:11" x14ac:dyDescent="0.2"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2:11" x14ac:dyDescent="0.2">
      <c r="B69" s="2" t="s">
        <v>45</v>
      </c>
    </row>
    <row r="70" spans="2:11" x14ac:dyDescent="0.2">
      <c r="G70" s="12"/>
      <c r="H70" s="12"/>
      <c r="I70" s="12"/>
      <c r="J70" s="12"/>
      <c r="K70" s="12"/>
    </row>
    <row r="71" spans="2:11" x14ac:dyDescent="0.2">
      <c r="G71" s="12"/>
      <c r="H71" s="12"/>
      <c r="I71" s="12"/>
      <c r="J71" s="12"/>
      <c r="K71" s="12"/>
    </row>
  </sheetData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e65ca93-514f-4937-b84b-c2e3a27be141">
      <Terms xmlns="http://schemas.microsoft.com/office/infopath/2007/PartnerControls"/>
    </lcf76f155ced4ddcb4097134ff3c332f>
    <TaxCatchAll xmlns="a3a4bb17-26ab-42c0-b7ba-02343bd9428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CD02DC638F0F43AC2008BB95A9D377" ma:contentTypeVersion="14" ma:contentTypeDescription="Create a new document." ma:contentTypeScope="" ma:versionID="24130f483627b2d0e8557f3bb8e8c29d">
  <xsd:schema xmlns:xsd="http://www.w3.org/2001/XMLSchema" xmlns:xs="http://www.w3.org/2001/XMLSchema" xmlns:p="http://schemas.microsoft.com/office/2006/metadata/properties" xmlns:ns1="http://schemas.microsoft.com/sharepoint/v3" xmlns:ns2="be65ca93-514f-4937-b84b-c2e3a27be141" xmlns:ns3="a3a4bb17-26ab-42c0-b7ba-02343bd94280" targetNamespace="http://schemas.microsoft.com/office/2006/metadata/properties" ma:root="true" ma:fieldsID="c44ab55587098471f3e3e7ff4527e44b" ns1:_="" ns2:_="" ns3:_="">
    <xsd:import namespace="http://schemas.microsoft.com/sharepoint/v3"/>
    <xsd:import namespace="be65ca93-514f-4937-b84b-c2e3a27be141"/>
    <xsd:import namespace="a3a4bb17-26ab-42c0-b7ba-02343bd942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65ca93-514f-4937-b84b-c2e3a27be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3e7742f-285e-485e-85d6-cdf9f73a73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4bb17-26ab-42c0-b7ba-02343bd9428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79d89d2-659f-4bf3-89e0-604e383d61a9}" ma:internalName="TaxCatchAll" ma:showField="CatchAllData" ma:web="a3a4bb17-26ab-42c0-b7ba-02343bd942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D5C7A3-4828-480E-8BB7-0C36AF0D91F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e65ca93-514f-4937-b84b-c2e3a27be141"/>
    <ds:schemaRef ds:uri="a3a4bb17-26ab-42c0-b7ba-02343bd94280"/>
  </ds:schemaRefs>
</ds:datastoreItem>
</file>

<file path=customXml/itemProps2.xml><?xml version="1.0" encoding="utf-8"?>
<ds:datastoreItem xmlns:ds="http://schemas.openxmlformats.org/officeDocument/2006/customXml" ds:itemID="{82E560A3-F7E0-4F9E-A26A-47BA9E8133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e65ca93-514f-4937-b84b-c2e3a27be141"/>
    <ds:schemaRef ds:uri="a3a4bb17-26ab-42c0-b7ba-02343bd942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B83037-73F0-4B62-9D92-28F1FE7C52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Reference tariffs flat revenue</vt:lpstr>
      <vt:lpstr>'Reference tariffs flat revenue'!P_0_RevCap</vt:lpstr>
      <vt:lpstr>'Reference tariffs flat revenue'!s_rev_00_RevCap</vt:lpstr>
      <vt:lpstr>'Reference tariffs flat revenue'!s_rev_01_RevCap</vt:lpstr>
      <vt:lpstr>'Reference tariffs flat revenue'!s_rev_02_RevCap</vt:lpstr>
      <vt:lpstr>'Reference tariffs flat revenue'!s_rev_03_RevCap</vt:lpstr>
      <vt:lpstr>'Reference tariffs flat revenue'!s_rev_04_RevCap</vt:lpstr>
      <vt:lpstr>'Reference tariffs flat revenue'!total_rev_02</vt:lpstr>
      <vt:lpstr>'Reference tariffs flat revenue'!total_rev_03</vt:lpstr>
      <vt:lpstr>'Reference tariffs flat revenue'!total_rev_04</vt:lpstr>
      <vt:lpstr>'Reference tariffs flat revenue'!total_rev_05</vt:lpstr>
      <vt:lpstr>'Reference tariffs flat revenue'!X_02_RevCap</vt:lpstr>
      <vt:lpstr>'Reference tariffs flat revenue'!X_03_RevCap</vt:lpstr>
      <vt:lpstr>'Reference tariffs flat revenue'!X_04_RevCap</vt:lpstr>
      <vt:lpstr>'Reference tariffs flat revenue'!X_05_RevCap</vt:lpstr>
    </vt:vector>
  </TitlesOfParts>
  <Manager/>
  <Company>APA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Williams, John</dc:creator>
  <cp:keywords/>
  <dc:description/>
  <cp:lastModifiedBy>Christine Xue</cp:lastModifiedBy>
  <cp:revision/>
  <dcterms:created xsi:type="dcterms:W3CDTF">2020-04-21T00:08:19Z</dcterms:created>
  <dcterms:modified xsi:type="dcterms:W3CDTF">2025-11-23T08:48:17Z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0x01010072CD02DC638F0F43AC2008BB95A9D377</vt:lpwstr>
  </property>
  <property fmtid="{D5CDD505-2E9C-101B-9397-08002B2CF9AE}" pid="3" name="MSIP_Label_b17cf72f-dc04-4766-87fe-c147305a620c_Enabled">
    <vt:lpwstr>true</vt:lpwstr>
  </property>
  <property fmtid="{D5CDD505-2E9C-101B-9397-08002B2CF9AE}" pid="4" name="MSIP_Label_b17cf72f-dc04-4766-87fe-c147305a620c_SetDate">
    <vt:lpwstr>2024-06-05T23:27:18Z</vt:lpwstr>
  </property>
  <property fmtid="{D5CDD505-2E9C-101B-9397-08002B2CF9AE}" pid="5" name="MSIP_Label_b17cf72f-dc04-4766-87fe-c147305a620c_Method">
    <vt:lpwstr>Privileged</vt:lpwstr>
  </property>
  <property fmtid="{D5CDD505-2E9C-101B-9397-08002B2CF9AE}" pid="6" name="MSIP_Label_b17cf72f-dc04-4766-87fe-c147305a620c_Name">
    <vt:lpwstr>Public</vt:lpwstr>
  </property>
  <property fmtid="{D5CDD505-2E9C-101B-9397-08002B2CF9AE}" pid="7" name="MSIP_Label_b17cf72f-dc04-4766-87fe-c147305a620c_SiteId">
    <vt:lpwstr>234ac309-c216-4661-a5ba-18879f6c4c75</vt:lpwstr>
  </property>
  <property fmtid="{D5CDD505-2E9C-101B-9397-08002B2CF9AE}" pid="8" name="MSIP_Label_b17cf72f-dc04-4766-87fe-c147305a620c_ActionId">
    <vt:lpwstr>cf06b81a-7601-481b-ab97-d4fd86fcc249</vt:lpwstr>
  </property>
  <property fmtid="{D5CDD505-2E9C-101B-9397-08002B2CF9AE}" pid="9" name="MSIP_Label_b17cf72f-dc04-4766-87fe-c147305a620c_ContentBits">
    <vt:lpwstr>0</vt:lpwstr>
  </property>
  <property fmtid="{D5CDD505-2E9C-101B-9397-08002B2CF9AE}" pid="10" name="MediaServiceImageTags">
    <vt:lpwstr/>
  </property>
  <property fmtid="{D5CDD505-2E9C-101B-9397-08002B2CF9AE}" pid="11" name="MSIP_Label_d9d5a995-dfdf-4407-9a97-edbbc68c9f53_Enabled">
    <vt:lpwstr>true</vt:lpwstr>
  </property>
  <property fmtid="{D5CDD505-2E9C-101B-9397-08002B2CF9AE}" pid="12" name="MSIP_Label_d9d5a995-dfdf-4407-9a97-edbbc68c9f53_SetDate">
    <vt:lpwstr>2025-07-16T00:44:36Z</vt:lpwstr>
  </property>
  <property fmtid="{D5CDD505-2E9C-101B-9397-08002B2CF9AE}" pid="13" name="MSIP_Label_d9d5a995-dfdf-4407-9a97-edbbc68c9f53_Method">
    <vt:lpwstr>Privileged</vt:lpwstr>
  </property>
  <property fmtid="{D5CDD505-2E9C-101B-9397-08002B2CF9AE}" pid="14" name="MSIP_Label_d9d5a995-dfdf-4407-9a97-edbbc68c9f53_Name">
    <vt:lpwstr>OFFICIAL</vt:lpwstr>
  </property>
  <property fmtid="{D5CDD505-2E9C-101B-9397-08002B2CF9AE}" pid="15" name="MSIP_Label_d9d5a995-dfdf-4407-9a97-edbbc68c9f53_SiteId">
    <vt:lpwstr>b33e9e1a-e443-4edd-9789-24bed26d38d6</vt:lpwstr>
  </property>
  <property fmtid="{D5CDD505-2E9C-101B-9397-08002B2CF9AE}" pid="16" name="MSIP_Label_d9d5a995-dfdf-4407-9a97-edbbc68c9f53_ActionId">
    <vt:lpwstr>e22de628-6e66-4452-9de0-db329e7e1fef</vt:lpwstr>
  </property>
  <property fmtid="{D5CDD505-2E9C-101B-9397-08002B2CF9AE}" pid="17" name="MSIP_Label_d9d5a995-dfdf-4407-9a97-edbbc68c9f53_ContentBits">
    <vt:lpwstr>0</vt:lpwstr>
  </property>
</Properties>
</file>