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2. AGNSA, Evoenergy, Amadeus 2026-31\AGNSA\2. Draft decision\Publish\final\"/>
    </mc:Choice>
  </mc:AlternateContent>
  <xr:revisionPtr revIDLastSave="0" documentId="13_ncr:1_{21E5298E-8D3E-4F25-A989-8203FD85D76B}" xr6:coauthVersionLast="47" xr6:coauthVersionMax="47" xr10:uidLastSave="{00000000-0000-0000-0000-000000000000}"/>
  <bookViews>
    <workbookView xWindow="-120" yWindow="-120" windowWidth="29040" windowHeight="15840" tabRatio="804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" i="53" l="1"/>
  <c r="X93" i="2" l="1"/>
  <c r="K93" i="2"/>
  <c r="L93" i="2"/>
  <c r="M93" i="2"/>
  <c r="J93" i="2"/>
  <c r="T40" i="2" l="1"/>
  <c r="S40" i="2"/>
  <c r="R40" i="2"/>
  <c r="Q40" i="2"/>
  <c r="P40" i="2"/>
  <c r="I67" i="4" l="1"/>
  <c r="H67" i="4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H78" i="55" l="1"/>
  <c r="H80" i="55"/>
  <c r="H84" i="55" s="1"/>
  <c r="H77" i="55"/>
  <c r="H88" i="55" l="1"/>
  <c r="H79" i="55"/>
  <c r="H82" i="55"/>
  <c r="H83" i="55" l="1"/>
  <c r="H86" i="55"/>
  <c r="H81" i="55"/>
  <c r="H87" i="55" l="1"/>
  <c r="H85" i="55"/>
  <c r="V87" i="55"/>
  <c r="V88" i="55"/>
  <c r="W32" i="53" l="1"/>
  <c r="W31" i="53"/>
  <c r="W30" i="53"/>
  <c r="W18" i="53"/>
  <c r="W19" i="53"/>
  <c r="W20" i="53"/>
  <c r="V66" i="58"/>
  <c r="V67" i="58"/>
  <c r="V55" i="58"/>
  <c r="I85" i="55" l="1"/>
  <c r="V85" i="55" s="1"/>
  <c r="I86" i="55"/>
  <c r="V86" i="55" s="1"/>
  <c r="V54" i="58"/>
  <c r="V45" i="58"/>
  <c r="V44" i="58"/>
  <c r="V23" i="58"/>
  <c r="V24" i="58"/>
  <c r="V25" i="58"/>
  <c r="V26" i="58"/>
  <c r="V27" i="58"/>
  <c r="B2" i="55"/>
  <c r="I87" i="55" l="1"/>
  <c r="I88" i="55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91" i="2"/>
  <c r="E90" i="2"/>
  <c r="E89" i="2"/>
  <c r="E88" i="2"/>
  <c r="E87" i="2"/>
  <c r="E86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S67" i="42" l="1"/>
  <c r="C7" i="4"/>
  <c r="S15" i="54"/>
  <c r="F40" i="53"/>
  <c r="E32" i="53"/>
  <c r="E31" i="53"/>
  <c r="E30" i="53"/>
  <c r="E29" i="53"/>
  <c r="E28" i="53"/>
  <c r="F32" i="53"/>
  <c r="F31" i="53"/>
  <c r="F30" i="53"/>
  <c r="F29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M31" i="42" s="1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94" i="2" s="1"/>
  <c r="U97" i="2" s="1"/>
  <c r="H79" i="4"/>
  <c r="G79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U77" i="2"/>
  <c r="N47" i="58"/>
  <c r="O47" i="58"/>
  <c r="P47" i="58"/>
  <c r="Q47" i="58"/>
  <c r="R47" i="58"/>
  <c r="S47" i="58"/>
  <c r="C96" i="2" a="1"/>
  <c r="C99" i="2" s="1"/>
  <c r="C91" i="2"/>
  <c r="C90" i="2"/>
  <c r="C89" i="2"/>
  <c r="C88" i="2"/>
  <c r="C87" i="2"/>
  <c r="C86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8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8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96" i="2" s="1"/>
  <c r="T4" i="2"/>
  <c r="T75" i="2" s="1"/>
  <c r="S4" i="2"/>
  <c r="S64" i="2" s="1"/>
  <c r="S73" i="2" s="1"/>
  <c r="R4" i="2"/>
  <c r="R49" i="2" s="1"/>
  <c r="R60" i="2" s="1"/>
  <c r="Q4" i="2"/>
  <c r="Q94" i="2" s="1"/>
  <c r="P4" i="2"/>
  <c r="P10" i="2" s="1"/>
  <c r="P12" i="2" s="1"/>
  <c r="O4" i="2"/>
  <c r="O64" i="2" s="1"/>
  <c r="O73" i="2" s="1"/>
  <c r="N4" i="2"/>
  <c r="M4" i="2"/>
  <c r="M96" i="2" s="1"/>
  <c r="L4" i="2"/>
  <c r="L103" i="2" s="1"/>
  <c r="L10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R23" i="42"/>
  <c r="R31" i="42"/>
  <c r="R46" i="4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R91" i="42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0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L47" i="58"/>
  <c r="K47" i="58"/>
  <c r="J47" i="58"/>
  <c r="L57" i="58"/>
  <c r="K57" i="58"/>
  <c r="J57" i="58"/>
  <c r="M47" i="58"/>
  <c r="M57" i="58"/>
  <c r="M14" i="42" l="1"/>
  <c r="T75" i="42"/>
  <c r="T105" i="42"/>
  <c r="L49" i="42"/>
  <c r="K16" i="42"/>
  <c r="K12" i="42"/>
  <c r="K105" i="42"/>
  <c r="S16" i="42"/>
  <c r="S91" i="42"/>
  <c r="K49" i="42"/>
  <c r="K91" i="42"/>
  <c r="S46" i="42"/>
  <c r="L46" i="42"/>
  <c r="S12" i="42"/>
  <c r="L107" i="42"/>
  <c r="S75" i="42"/>
  <c r="S43" i="42"/>
  <c r="L40" i="42"/>
  <c r="S21" i="42"/>
  <c r="M12" i="42"/>
  <c r="L106" i="42"/>
  <c r="E23" i="42"/>
  <c r="M43" i="42"/>
  <c r="K31" i="42"/>
  <c r="S23" i="42"/>
  <c r="L19" i="42"/>
  <c r="T107" i="42"/>
  <c r="K107" i="42"/>
  <c r="L91" i="42"/>
  <c r="K40" i="42"/>
  <c r="S31" i="42"/>
  <c r="M91" i="42"/>
  <c r="J34" i="58"/>
  <c r="L12" i="42"/>
  <c r="K19" i="42"/>
  <c r="T106" i="42"/>
  <c r="K106" i="42"/>
  <c r="S14" i="42"/>
  <c r="S37" i="42"/>
  <c r="L23" i="42"/>
  <c r="L37" i="42"/>
  <c r="L16" i="42"/>
  <c r="L10" i="42"/>
  <c r="L105" i="42"/>
  <c r="L75" i="42"/>
  <c r="L43" i="42"/>
  <c r="F17" i="44"/>
  <c r="P21" i="42"/>
  <c r="R10" i="53"/>
  <c r="R22" i="53" s="1"/>
  <c r="P16" i="42"/>
  <c r="P23" i="42"/>
  <c r="P14" i="42"/>
  <c r="P43" i="42"/>
  <c r="S40" i="42"/>
  <c r="S33" i="42"/>
  <c r="S19" i="42"/>
  <c r="S10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F23" i="58"/>
  <c r="S58" i="42"/>
  <c r="S36" i="2"/>
  <c r="S47" i="2" s="1"/>
  <c r="J14" i="42"/>
  <c r="J43" i="42"/>
  <c r="J31" i="42"/>
  <c r="J33" i="42"/>
  <c r="G80" i="4"/>
  <c r="J58" i="42"/>
  <c r="J61" i="42" s="1"/>
  <c r="J75" i="42"/>
  <c r="M103" i="2"/>
  <c r="M107" i="2" s="1"/>
  <c r="J14" i="2"/>
  <c r="L14" i="2"/>
  <c r="N10" i="58"/>
  <c r="N28" i="42" s="1"/>
  <c r="Q12" i="42"/>
  <c r="J103" i="42"/>
  <c r="Q46" i="42"/>
  <c r="J46" i="42"/>
  <c r="J10" i="42"/>
  <c r="J19" i="42"/>
  <c r="F22" i="42"/>
  <c r="J107" i="42"/>
  <c r="M36" i="2"/>
  <c r="M47" i="2" s="1"/>
  <c r="J10" i="2"/>
  <c r="J12" i="2" s="1"/>
  <c r="J12" i="42"/>
  <c r="Q19" i="42"/>
  <c r="J21" i="42"/>
  <c r="J61" i="58"/>
  <c r="J106" i="42"/>
  <c r="Q10" i="42"/>
  <c r="J40" i="42"/>
  <c r="Q31" i="42"/>
  <c r="L49" i="2"/>
  <c r="L60" i="2" s="1"/>
  <c r="Q21" i="42"/>
  <c r="J23" i="42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3" i="42"/>
  <c r="M34" i="58"/>
  <c r="M14" i="2"/>
  <c r="Q23" i="42"/>
  <c r="N34" i="58"/>
  <c r="N58" i="42"/>
  <c r="N61" i="42" s="1"/>
  <c r="F29" i="58"/>
  <c r="O58" i="42"/>
  <c r="M10" i="2"/>
  <c r="Q49" i="42"/>
  <c r="Q35" i="42"/>
  <c r="C96" i="2"/>
  <c r="P64" i="2"/>
  <c r="P73" i="2" s="1"/>
  <c r="Q49" i="2"/>
  <c r="Q60" i="2" s="1"/>
  <c r="R10" i="2"/>
  <c r="R12" i="2" s="1"/>
  <c r="M98" i="2"/>
  <c r="P14" i="2"/>
  <c r="C9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T73" i="2" s="1"/>
  <c r="J103" i="2"/>
  <c r="J107" i="2" s="1"/>
  <c r="O10" i="2"/>
  <c r="K21" i="42"/>
  <c r="U103" i="2"/>
  <c r="U107" i="2" s="1"/>
  <c r="Q58" i="42"/>
  <c r="F27" i="58"/>
  <c r="K75" i="42"/>
  <c r="J15" i="44"/>
  <c r="K43" i="42"/>
  <c r="K37" i="42"/>
  <c r="P36" i="2"/>
  <c r="P47" i="2" s="1"/>
  <c r="Q75" i="2"/>
  <c r="M64" i="2"/>
  <c r="M73" i="2" s="1"/>
  <c r="K23" i="42"/>
  <c r="J97" i="2"/>
  <c r="N38" i="53"/>
  <c r="N42" i="53" s="1"/>
  <c r="K35" i="42"/>
  <c r="U75" i="2"/>
  <c r="K58" i="42"/>
  <c r="K61" i="42" s="1"/>
  <c r="R58" i="42"/>
  <c r="T103" i="42"/>
  <c r="Q36" i="2"/>
  <c r="Q47" i="2" s="1"/>
  <c r="Q64" i="2"/>
  <c r="Q73" i="2" s="1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03" i="2"/>
  <c r="Q10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94" i="2"/>
  <c r="N64" i="2"/>
  <c r="N73" i="2" s="1"/>
  <c r="N24" i="2"/>
  <c r="N103" i="2"/>
  <c r="N107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99" i="2"/>
  <c r="U96" i="2"/>
  <c r="U98" i="2"/>
  <c r="Q96" i="2"/>
  <c r="P61" i="42" s="1"/>
  <c r="Q99" i="2"/>
  <c r="Q98" i="2"/>
  <c r="Q97" i="2"/>
  <c r="P68" i="42" a="1"/>
  <c r="P68" i="42" s="1"/>
  <c r="S1" i="54"/>
  <c r="G10" i="16" s="1"/>
  <c r="K61" i="58"/>
  <c r="K10" i="58"/>
  <c r="S61" i="58"/>
  <c r="S10" i="58"/>
  <c r="R94" i="2"/>
  <c r="R64" i="2"/>
  <c r="R73" i="2" s="1"/>
  <c r="R24" i="2"/>
  <c r="R103" i="2"/>
  <c r="R107" i="2" s="1"/>
  <c r="R75" i="2"/>
  <c r="R14" i="2"/>
  <c r="R36" i="2"/>
  <c r="R47" i="2" s="1"/>
  <c r="L10" i="58"/>
  <c r="L34" i="58"/>
  <c r="L61" i="58"/>
  <c r="K10" i="2"/>
  <c r="K14" i="2"/>
  <c r="K24" i="2"/>
  <c r="K64" i="2"/>
  <c r="K73" i="2" s="1"/>
  <c r="K103" i="2"/>
  <c r="K107" i="2" s="1"/>
  <c r="K36" i="2"/>
  <c r="K47" i="2" s="1"/>
  <c r="K75" i="2"/>
  <c r="K49" i="2"/>
  <c r="K60" i="2" s="1"/>
  <c r="M103" i="42"/>
  <c r="M40" i="42"/>
  <c r="M75" i="42"/>
  <c r="M35" i="42"/>
  <c r="M16" i="42"/>
  <c r="M33" i="42"/>
  <c r="M23" i="42"/>
  <c r="M46" i="42"/>
  <c r="M21" i="42"/>
  <c r="M37" i="42"/>
  <c r="M58" i="42"/>
  <c r="M61" i="42" s="1"/>
  <c r="M19" i="42"/>
  <c r="M10" i="42"/>
  <c r="M49" i="42"/>
  <c r="P65" i="42" a="1"/>
  <c r="P65" i="42" s="1"/>
  <c r="M97" i="2"/>
  <c r="M99" i="2"/>
  <c r="J99" i="2"/>
  <c r="J98" i="2"/>
  <c r="S103" i="2"/>
  <c r="S107" i="2" s="1"/>
  <c r="O49" i="2"/>
  <c r="O60" i="2" s="1"/>
  <c r="S75" i="2"/>
  <c r="O94" i="2"/>
  <c r="S94" i="2"/>
  <c r="C98" i="2"/>
  <c r="U36" i="2"/>
  <c r="U47" i="2" s="1"/>
  <c r="T26" i="53"/>
  <c r="T34" i="53" s="1"/>
  <c r="J14" i="44"/>
  <c r="O103" i="2"/>
  <c r="O107" i="2" s="1"/>
  <c r="L10" i="2"/>
  <c r="M10" i="58"/>
  <c r="M28" i="42" s="1"/>
  <c r="Q61" i="58"/>
  <c r="Q28" i="42" s="1"/>
  <c r="P94" i="2"/>
  <c r="T94" i="2"/>
  <c r="O24" i="2"/>
  <c r="S14" i="2"/>
  <c r="U64" i="2"/>
  <c r="U73" i="2" s="1"/>
  <c r="Q10" i="53"/>
  <c r="Q22" i="53" s="1"/>
  <c r="T103" i="2"/>
  <c r="T10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03" i="2"/>
  <c r="P107" i="2" s="1"/>
  <c r="L24" i="2"/>
  <c r="T14" i="2"/>
  <c r="L64" i="2"/>
  <c r="L73" i="2" s="1"/>
  <c r="U49" i="2"/>
  <c r="U60" i="2" s="1"/>
  <c r="S49" i="2"/>
  <c r="S60" i="2" s="1"/>
  <c r="T49" i="2"/>
  <c r="T60" i="2" s="1"/>
  <c r="O65" i="42" l="1" a="1"/>
  <c r="O65" i="42" s="1"/>
  <c r="S65" i="42" a="1"/>
  <c r="S65" i="42" s="1"/>
  <c r="L68" i="42" a="1"/>
  <c r="L68" i="42" s="1"/>
  <c r="L61" i="42"/>
  <c r="L70" i="42" s="1"/>
  <c r="R65" i="42" a="1"/>
  <c r="R65" i="42" s="1"/>
  <c r="Q65" i="42" a="1"/>
  <c r="Q65" i="42" s="1"/>
  <c r="W29" i="53"/>
  <c r="V53" i="58"/>
  <c r="V20" i="58"/>
  <c r="W15" i="53"/>
  <c r="W17" i="53"/>
  <c r="W13" i="53"/>
  <c r="W12" i="53"/>
  <c r="W14" i="53"/>
  <c r="W16" i="53"/>
  <c r="V43" i="58"/>
  <c r="J28" i="42"/>
  <c r="V65" i="58"/>
  <c r="V63" i="58"/>
  <c r="V64" i="58"/>
  <c r="J22" i="53"/>
  <c r="W22" i="53" s="1"/>
  <c r="W28" i="53"/>
  <c r="V22" i="58"/>
  <c r="V52" i="58"/>
  <c r="V21" i="58"/>
  <c r="J68" i="42" a="1"/>
  <c r="J68" i="42" s="1"/>
  <c r="J70" i="42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V71" i="58"/>
  <c r="V69" i="58"/>
  <c r="W34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96" i="2"/>
  <c r="L98" i="2"/>
  <c r="L99" i="2"/>
  <c r="L97" i="2"/>
  <c r="O28" i="42"/>
  <c r="K98" i="2"/>
  <c r="K97" i="2"/>
  <c r="K96" i="2"/>
  <c r="K99" i="2"/>
  <c r="C16" i="2" a="1"/>
  <c r="K12" i="2"/>
  <c r="C26" i="2" a="1"/>
  <c r="P99" i="2"/>
  <c r="P98" i="2"/>
  <c r="P97" i="2"/>
  <c r="P96" i="2"/>
  <c r="O61" i="42" s="1"/>
  <c r="S98" i="2"/>
  <c r="S97" i="2"/>
  <c r="S96" i="2"/>
  <c r="R61" i="42" s="1"/>
  <c r="S99" i="2"/>
  <c r="X47" i="2"/>
  <c r="N97" i="2"/>
  <c r="N98" i="2"/>
  <c r="N99" i="2"/>
  <c r="N96" i="2"/>
  <c r="O99" i="2"/>
  <c r="O97" i="2"/>
  <c r="O98" i="2"/>
  <c r="O96" i="2"/>
  <c r="M65" i="42" a="1"/>
  <c r="M65" i="42" s="1"/>
  <c r="M68" i="42" a="1"/>
  <c r="M68" i="42" s="1"/>
  <c r="X107" i="2"/>
  <c r="R98" i="2"/>
  <c r="R96" i="2"/>
  <c r="Q61" i="42" s="1"/>
  <c r="R97" i="2"/>
  <c r="R99" i="2"/>
  <c r="T97" i="2"/>
  <c r="T98" i="2"/>
  <c r="T99" i="2"/>
  <c r="T96" i="2"/>
  <c r="S61" i="42" s="1"/>
  <c r="X73" i="2"/>
  <c r="M62" i="42" l="1" a="1"/>
  <c r="M62" i="42" s="1"/>
  <c r="S1" i="58"/>
  <c r="G12" i="16" s="1"/>
  <c r="N70" i="42"/>
  <c r="P70" i="42"/>
  <c r="G14" i="16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C16" i="2"/>
  <c r="C17" i="2"/>
  <c r="C18" i="2"/>
  <c r="C21" i="2"/>
  <c r="C19" i="2"/>
  <c r="C20" i="2"/>
  <c r="C22" i="2"/>
  <c r="N71" i="42" l="1" a="1"/>
  <c r="N71" i="42" s="1"/>
  <c r="M71" i="42" a="1"/>
  <c r="M71" i="42" s="1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K29" i="42" s="1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S71" i="42" l="1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S77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M96" i="42"/>
  <c r="M17" i="44" s="1"/>
  <c r="L94" i="42"/>
  <c r="N78" i="42"/>
  <c r="N84" i="42"/>
  <c r="J81" i="42"/>
  <c r="N50" i="42"/>
  <c r="L50" i="42"/>
  <c r="N83" i="42"/>
  <c r="O78" i="42"/>
  <c r="M83" i="42"/>
  <c r="N82" i="42"/>
  <c r="R97" i="42"/>
  <c r="R18" i="44" s="1"/>
  <c r="S50" i="42"/>
  <c r="S97" i="42"/>
  <c r="S18" i="44" s="1"/>
  <c r="L82" i="42"/>
  <c r="L96" i="42"/>
  <c r="M78" i="42"/>
  <c r="T85" i="42"/>
  <c r="L78" i="42"/>
  <c r="M29" i="42"/>
  <c r="R50" i="42"/>
  <c r="P94" i="42"/>
  <c r="P15" i="44" s="1"/>
  <c r="J82" i="42"/>
  <c r="K47" i="42"/>
  <c r="S29" i="42"/>
  <c r="T97" i="42"/>
  <c r="N29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97" i="42"/>
  <c r="M18" i="44" s="1"/>
  <c r="R29" i="42"/>
  <c r="K97" i="42"/>
  <c r="K83" i="42"/>
  <c r="N81" i="42"/>
  <c r="Q79" i="42"/>
  <c r="Q77" i="42"/>
  <c r="R79" i="42"/>
  <c r="O85" i="42"/>
  <c r="S78" i="42"/>
  <c r="T78" i="42"/>
  <c r="M50" i="42"/>
  <c r="L83" i="42"/>
  <c r="P82" i="42"/>
  <c r="S83" i="42"/>
  <c r="O97" i="42"/>
  <c r="O18" i="44" s="1"/>
  <c r="N94" i="42"/>
  <c r="N15" i="44" s="1"/>
  <c r="Q94" i="42"/>
  <c r="Q15" i="44" s="1"/>
  <c r="K81" i="42"/>
  <c r="N95" i="42"/>
  <c r="N16" i="44" s="1"/>
  <c r="Q84" i="42"/>
  <c r="R96" i="42"/>
  <c r="R17" i="44" s="1"/>
  <c r="J17" i="2"/>
  <c r="J27" i="2" s="1"/>
  <c r="K80" i="42"/>
  <c r="S96" i="42"/>
  <c r="S17" i="44" s="1"/>
  <c r="L80" i="42"/>
  <c r="N96" i="42"/>
  <c r="N17" i="44" s="1"/>
  <c r="M79" i="42"/>
  <c r="M84" i="42"/>
  <c r="T50" i="42"/>
  <c r="L47" i="42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K84" i="42"/>
  <c r="M95" i="42"/>
  <c r="L85" i="42"/>
  <c r="O77" i="42"/>
  <c r="Q78" i="42"/>
  <c r="Q50" i="42"/>
  <c r="P79" i="42"/>
  <c r="R80" i="42"/>
  <c r="P77" i="42"/>
  <c r="S81" i="42"/>
  <c r="N80" i="42"/>
  <c r="Q96" i="42"/>
  <c r="Q17" i="44" s="1"/>
  <c r="J96" i="42"/>
  <c r="T77" i="42"/>
  <c r="S95" i="42"/>
  <c r="S16" i="44" s="1"/>
  <c r="O47" i="42"/>
  <c r="M77" i="42"/>
  <c r="J80" i="42"/>
  <c r="T84" i="42"/>
  <c r="L81" i="42"/>
  <c r="L77" i="42"/>
  <c r="P81" i="42"/>
  <c r="P78" i="42"/>
  <c r="O80" i="42"/>
  <c r="R78" i="42"/>
  <c r="J26" i="2"/>
  <c r="T81" i="42"/>
  <c r="J94" i="42"/>
  <c r="O94" i="42"/>
  <c r="O15" i="44" s="1"/>
  <c r="K82" i="42"/>
  <c r="R85" i="42"/>
  <c r="J79" i="42"/>
  <c r="L79" i="42"/>
  <c r="M85" i="42"/>
  <c r="T95" i="42"/>
  <c r="K79" i="42"/>
  <c r="P50" i="42"/>
  <c r="O84" i="42"/>
  <c r="T80" i="42"/>
  <c r="O8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J50" i="42"/>
  <c r="T94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S87" i="42" l="1"/>
  <c r="N87" i="42"/>
  <c r="O87" i="42"/>
  <c r="M16" i="44"/>
  <c r="Q87" i="42"/>
  <c r="M87" i="42"/>
  <c r="J87" i="42"/>
  <c r="L87" i="42"/>
  <c r="K87" i="42"/>
  <c r="P87" i="42"/>
  <c r="T87" i="42"/>
  <c r="R87" i="42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I79" i="55"/>
  <c r="V79" i="55" s="1"/>
  <c r="V74" i="55" l="1"/>
  <c r="L12" i="2"/>
  <c r="I81" i="55"/>
  <c r="V81" i="55" s="1"/>
  <c r="I83" i="55"/>
  <c r="V83" i="55" s="1"/>
  <c r="I78" i="55"/>
  <c r="M12" i="2" s="1"/>
  <c r="L28" i="2" l="1"/>
  <c r="K18" i="2"/>
  <c r="L16" i="2"/>
  <c r="L17" i="2"/>
  <c r="M18" i="2"/>
  <c r="M28" i="2" s="1"/>
  <c r="M29" i="2"/>
  <c r="L19" i="2"/>
  <c r="I82" i="55"/>
  <c r="I77" i="55"/>
  <c r="V77" i="55" s="1"/>
  <c r="O12" i="2"/>
  <c r="V78" i="55"/>
  <c r="K19" i="2" l="1"/>
  <c r="L29" i="2"/>
  <c r="M17" i="2"/>
  <c r="L27" i="2"/>
  <c r="M16" i="2"/>
  <c r="L26" i="2"/>
  <c r="J18" i="2"/>
  <c r="J28" i="2" s="1"/>
  <c r="K28" i="2"/>
  <c r="V82" i="55"/>
  <c r="V1" i="55" s="1"/>
  <c r="G11" i="16" s="1"/>
  <c r="S1" i="16" s="1"/>
  <c r="N12" i="2"/>
  <c r="N18" i="2" s="1"/>
  <c r="N21" i="2"/>
  <c r="O20" i="2"/>
  <c r="O31" i="2"/>
  <c r="V1" i="4" l="1"/>
  <c r="V1" i="53"/>
  <c r="M93" i="42"/>
  <c r="Q93" i="42"/>
  <c r="S93" i="42"/>
  <c r="N93" i="42"/>
  <c r="R93" i="42"/>
  <c r="O93" i="42"/>
  <c r="K93" i="42"/>
  <c r="K99" i="42" s="1"/>
  <c r="T93" i="42"/>
  <c r="T99" i="42" s="1"/>
  <c r="L93" i="42"/>
  <c r="L99" i="42" s="1"/>
  <c r="J93" i="42"/>
  <c r="P93" i="42"/>
  <c r="O30" i="2"/>
  <c r="T38" i="42"/>
  <c r="J38" i="42"/>
  <c r="O38" i="42"/>
  <c r="Q41" i="42"/>
  <c r="R38" i="42"/>
  <c r="N38" i="42"/>
  <c r="L44" i="42"/>
  <c r="S38" i="42"/>
  <c r="N44" i="42"/>
  <c r="P41" i="42"/>
  <c r="K38" i="42"/>
  <c r="O41" i="42"/>
  <c r="K44" i="42"/>
  <c r="R44" i="42"/>
  <c r="P44" i="42"/>
  <c r="T41" i="42"/>
  <c r="T44" i="42"/>
  <c r="P38" i="42"/>
  <c r="J41" i="42"/>
  <c r="M44" i="42"/>
  <c r="S41" i="42"/>
  <c r="S44" i="42"/>
  <c r="K41" i="42"/>
  <c r="J44" i="42"/>
  <c r="N41" i="42"/>
  <c r="Q38" i="42"/>
  <c r="R41" i="42"/>
  <c r="M38" i="42"/>
  <c r="M41" i="42"/>
  <c r="L38" i="42"/>
  <c r="O44" i="42"/>
  <c r="L41" i="42"/>
  <c r="Q44" i="42"/>
  <c r="O18" i="2"/>
  <c r="O28" i="2" s="1"/>
  <c r="N28" i="2"/>
  <c r="M26" i="2"/>
  <c r="N16" i="2"/>
  <c r="M27" i="2"/>
  <c r="N17" i="2"/>
  <c r="N19" i="2"/>
  <c r="M20" i="2"/>
  <c r="N30" i="2"/>
  <c r="K29" i="2"/>
  <c r="J19" i="2"/>
  <c r="J29" i="2" s="1"/>
  <c r="V1" i="58"/>
  <c r="W1" i="44"/>
  <c r="X1" i="2"/>
  <c r="Y1" i="55"/>
  <c r="V1" i="54"/>
  <c r="W1" i="42"/>
  <c r="N20" i="42"/>
  <c r="N13" i="42"/>
  <c r="N26" i="42" s="1"/>
  <c r="N31" i="2"/>
  <c r="M21" i="2"/>
  <c r="O14" i="44" l="1"/>
  <c r="O99" i="42"/>
  <c r="R14" i="44"/>
  <c r="R99" i="42"/>
  <c r="N14" i="44"/>
  <c r="N99" i="42"/>
  <c r="P14" i="44"/>
  <c r="P99" i="42"/>
  <c r="S14" i="44"/>
  <c r="S99" i="42"/>
  <c r="J99" i="42"/>
  <c r="Q14" i="44"/>
  <c r="Q99" i="42"/>
  <c r="M14" i="44"/>
  <c r="M99" i="42"/>
  <c r="Q52" i="42"/>
  <c r="Q54" i="42" s="1"/>
  <c r="R52" i="42"/>
  <c r="R54" i="42" s="1"/>
  <c r="M52" i="42"/>
  <c r="M54" i="42" s="1"/>
  <c r="K52" i="42"/>
  <c r="K54" i="42" s="1"/>
  <c r="O52" i="42"/>
  <c r="O54" i="42" s="1"/>
  <c r="P52" i="42"/>
  <c r="P54" i="42" s="1"/>
  <c r="J52" i="42"/>
  <c r="J54" i="42" s="1"/>
  <c r="S52" i="42"/>
  <c r="S54" i="42" s="1"/>
  <c r="L20" i="2"/>
  <c r="M30" i="2"/>
  <c r="N29" i="2"/>
  <c r="O19" i="2"/>
  <c r="O29" i="2" s="1"/>
  <c r="O17" i="2"/>
  <c r="O27" i="2" s="1"/>
  <c r="N27" i="2"/>
  <c r="N26" i="2"/>
  <c r="O16" i="2"/>
  <c r="L31" i="42"/>
  <c r="M31" i="2"/>
  <c r="L21" i="2"/>
  <c r="M20" i="42"/>
  <c r="M13" i="42"/>
  <c r="M26" i="42" s="1"/>
  <c r="P17" i="42" l="1"/>
  <c r="N15" i="42"/>
  <c r="S17" i="42"/>
  <c r="J22" i="42"/>
  <c r="S22" i="42"/>
  <c r="T24" i="42"/>
  <c r="O24" i="42"/>
  <c r="O26" i="2"/>
  <c r="Q24" i="42"/>
  <c r="K15" i="42"/>
  <c r="R24" i="42"/>
  <c r="Q17" i="42"/>
  <c r="J24" i="42"/>
  <c r="T15" i="42"/>
  <c r="J17" i="42"/>
  <c r="L22" i="42"/>
  <c r="P15" i="42"/>
  <c r="S15" i="42"/>
  <c r="O17" i="42"/>
  <c r="K17" i="42"/>
  <c r="Q15" i="42"/>
  <c r="L15" i="42"/>
  <c r="M24" i="42"/>
  <c r="L24" i="42"/>
  <c r="R15" i="42"/>
  <c r="T22" i="42"/>
  <c r="R17" i="42"/>
  <c r="K24" i="42"/>
  <c r="T17" i="42"/>
  <c r="P24" i="42"/>
  <c r="J15" i="42"/>
  <c r="N24" i="42"/>
  <c r="O22" i="42"/>
  <c r="R22" i="42"/>
  <c r="M17" i="42"/>
  <c r="M15" i="42"/>
  <c r="N22" i="42"/>
  <c r="K22" i="42"/>
  <c r="N17" i="42"/>
  <c r="Q22" i="42"/>
  <c r="O15" i="42"/>
  <c r="L17" i="42"/>
  <c r="M22" i="42"/>
  <c r="P22" i="42"/>
  <c r="S24" i="42"/>
  <c r="K20" i="2"/>
  <c r="L30" i="2"/>
  <c r="L31" i="2"/>
  <c r="K21" i="2"/>
  <c r="L13" i="42"/>
  <c r="L26" i="42" s="1"/>
  <c r="L20" i="42"/>
  <c r="N31" i="42" l="1"/>
  <c r="J20" i="2"/>
  <c r="J30" i="2" s="1"/>
  <c r="K30" i="2"/>
  <c r="K13" i="42"/>
  <c r="K26" i="42" s="1"/>
  <c r="K20" i="42"/>
  <c r="K31" i="2"/>
  <c r="J21" i="2"/>
  <c r="J31" i="2" s="1"/>
  <c r="J13" i="42" l="1"/>
  <c r="J26" i="42" s="1"/>
  <c r="J20" i="42"/>
  <c r="N35" i="42" l="1"/>
  <c r="L35" i="42"/>
  <c r="L33" i="42"/>
  <c r="N33" i="42"/>
  <c r="L52" i="42" l="1"/>
  <c r="L54" i="42" s="1"/>
  <c r="N52" i="42"/>
  <c r="N54" i="42" l="1"/>
  <c r="M105" i="42" l="1"/>
  <c r="M13" i="44" s="1"/>
  <c r="N105" i="42"/>
  <c r="N13" i="44" s="1"/>
  <c r="M106" i="42"/>
  <c r="M107" i="42" s="1"/>
  <c r="N106" i="42"/>
  <c r="N107" i="42" s="1"/>
  <c r="R105" i="42"/>
  <c r="R13" i="44" s="1"/>
  <c r="Q105" i="42"/>
  <c r="Q13" i="44" s="1"/>
  <c r="R106" i="42"/>
  <c r="R107" i="42" s="1"/>
  <c r="O105" i="42"/>
  <c r="S105" i="42"/>
  <c r="S13" i="44" s="1"/>
  <c r="O106" i="42"/>
  <c r="P106" i="42"/>
  <c r="P107" i="42" s="1"/>
  <c r="Q106" i="42"/>
  <c r="Q107" i="42" s="1"/>
  <c r="P105" i="42"/>
  <c r="P13" i="44" s="1"/>
  <c r="S106" i="42"/>
  <c r="S107" i="42" s="1"/>
  <c r="O107" i="42" l="1"/>
  <c r="O13" i="44"/>
</calcChain>
</file>

<file path=xl/sharedStrings.xml><?xml version="1.0" encoding="utf-8"?>
<sst xmlns="http://schemas.openxmlformats.org/spreadsheetml/2006/main" count="730" uniqueCount="223">
  <si>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</si>
  <si>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</si>
  <si>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</si>
  <si>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</si>
  <si>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</si>
  <si>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</si>
  <si>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</si>
  <si>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</si>
  <si>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</si>
  <si>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</si>
  <si>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</si>
  <si>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</si>
  <si>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</si>
  <si>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</si>
  <si>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</si>
  <si>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</si>
  <si>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</si>
  <si>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</si>
  <si>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</si>
  <si>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</si>
  <si>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</si>
  <si>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</si>
  <si>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</si>
  <si>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</si>
  <si>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</si>
  <si>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</si>
  <si>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</si>
  <si>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</si>
  <si>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</si>
  <si>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</si>
  <si>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</si>
  <si>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</si>
  <si>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</si>
  <si>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</si>
  <si>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</si>
  <si>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</si>
  <si>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</si>
  <si>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</si>
  <si>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</si>
  <si>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</si>
  <si>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</si>
  <si>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</si>
  <si>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</si>
  <si>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</si>
  <si>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</si>
  <si>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</si>
  <si>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</si>
  <si>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</si>
  <si>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</si>
  <si>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</si>
  <si>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</si>
  <si>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</si>
  <si>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</si>
  <si>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</si>
  <si>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</si>
  <si>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</si>
  <si>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</si>
  <si>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</si>
  <si>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</si>
  <si>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</si>
  <si>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</si>
  <si>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</si>
  <si>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</si>
  <si>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</si>
  <si>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</si>
  <si>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</si>
  <si>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</si>
  <si>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</si>
  <si>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</si>
  <si>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</si>
  <si>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</si>
  <si>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</si>
  <si>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</si>
  <si>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</si>
  <si>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</si>
  <si>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</si>
  <si>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</si>
  <si>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</si>
  <si>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</si>
  <si>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</si>
  <si>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</si>
  <si>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</si>
  <si>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</si>
  <si>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</si>
  <si>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</si>
  <si>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</si>
  <si>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</si>
  <si>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</si>
  <si>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</si>
  <si>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</si>
  <si>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</si>
  <si>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</si>
  <si>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</si>
  <si>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</si>
  <si>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</si>
  <si>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</si>
  <si>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</si>
  <si>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</si>
  <si>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</si>
  <si>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</si>
  <si>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</si>
  <si>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</si>
  <si>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</si>
  <si>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</si>
  <si>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</si>
  <si>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</si>
  <si>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</si>
  <si>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</si>
  <si>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</si>
  <si>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</si>
  <si>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</si>
  <si>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</si>
  <si>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</si>
  <si>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</si>
  <si>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</si>
  <si>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</si>
  <si>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</si>
  <si>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</si>
  <si>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</si>
  <si>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</si>
  <si>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</si>
  <si>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</si>
  <si>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</si>
  <si>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</si>
  <si>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</si>
  <si>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</si>
  <si>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</si>
  <si>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</si>
  <si>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</si>
  <si>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</si>
  <si>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</si>
  <si>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</si>
  <si>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</si>
  <si>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</si>
  <si>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</si>
  <si>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</si>
  <si>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</si>
  <si>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</si>
  <si>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</si>
  <si>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</si>
  <si>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</si>
  <si>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</si>
  <si>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</si>
  <si>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</si>
  <si>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</si>
  <si>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</si>
  <si>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</si>
  <si>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</si>
  <si>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</si>
  <si>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</si>
  <si>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</si>
  <si>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</si>
  <si>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</si>
  <si>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</si>
  <si>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</si>
  <si>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</si>
  <si>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</si>
  <si>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</si>
  <si>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</si>
  <si>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</si>
  <si>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</si>
  <si>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</si>
  <si>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</si>
  <si>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</si>
  <si>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</si>
  <si>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</si>
  <si>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</si>
  <si>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</si>
  <si>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</si>
  <si>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</si>
  <si>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</si>
  <si>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</si>
  <si>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</si>
  <si>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</si>
  <si>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</si>
  <si>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</si>
  <si>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</si>
  <si>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</si>
  <si>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</si>
  <si>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</si>
  <si>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</si>
  <si>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</si>
  <si>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</si>
  <si>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</si>
  <si>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</si>
  <si>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</si>
  <si>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</si>
  <si>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</si>
  <si>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</si>
  <si>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</si>
  <si>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</si>
  <si>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</si>
  <si>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</si>
  <si>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</si>
  <si>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</si>
  <si>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</si>
  <si>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</si>
  <si>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</si>
  <si>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</si>
  <si>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</si>
  <si>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</si>
  <si>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Average</t>
  </si>
  <si>
    <t>AER opex model v2.4</t>
  </si>
  <si>
    <t>UAG</t>
  </si>
  <si>
    <t>Customer numbers (#) (CIE forecast)</t>
  </si>
  <si>
    <t>Mains Length (km)</t>
  </si>
  <si>
    <t>AGN SA</t>
  </si>
  <si>
    <t>Ancillary Reference Services</t>
  </si>
  <si>
    <t>Debit raising costs</t>
  </si>
  <si>
    <t>Ancillary service opex</t>
  </si>
  <si>
    <t>Movements in provisions</t>
  </si>
  <si>
    <t>UAFG</t>
  </si>
  <si>
    <t>Purchase of Renewable Gas Guarantee of Origin Certificates (RGGOs)</t>
  </si>
  <si>
    <t>Overheads to be expensed (capex to opex)</t>
  </si>
  <si>
    <t>Transition from APA - AGN IT costs</t>
  </si>
  <si>
    <t>Cybersecurity (Data privacy/security &amp; Access control)</t>
  </si>
  <si>
    <t>Application upgrades &amp; enhancements</t>
  </si>
  <si>
    <t>Abolishments for safety at redundant sites</t>
  </si>
  <si>
    <t>WPI - EGWWS - Oxford Economics</t>
  </si>
  <si>
    <t>WPI - DAE</t>
  </si>
  <si>
    <t>Output</t>
  </si>
  <si>
    <t>Total reference services opex (inc. ARS)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</si>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</sst>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6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194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209" fontId="6" fillId="0" borderId="0" xfId="0" applyNumberFormat="1" applyFont="1" applyAlignment="1">
      <alignment horizontal="center"/>
    </xf>
    <xf numFmtId="193" fontId="6" fillId="53" borderId="3" xfId="0" applyNumberFormat="1" applyFont="1" applyFill="1" applyBorder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6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showGridLines="0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202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6" t="s">
        <v>57</v>
      </c>
      <c r="D7" s="8" t="s">
        <v>185</v>
      </c>
    </row>
    <row r="8" spans="1:30">
      <c r="C8" s="186" t="s">
        <v>35</v>
      </c>
      <c r="D8" s="8" t="s">
        <v>91</v>
      </c>
    </row>
    <row r="9" spans="1:30">
      <c r="C9" s="186" t="s">
        <v>54</v>
      </c>
      <c r="D9" s="8" t="s">
        <v>193</v>
      </c>
    </row>
    <row r="10" spans="1:30">
      <c r="C10" s="186" t="s">
        <v>168</v>
      </c>
      <c r="D10" s="8" t="s">
        <v>186</v>
      </c>
    </row>
    <row r="11" spans="1:30">
      <c r="C11" s="186" t="s">
        <v>56</v>
      </c>
      <c r="D11" s="8" t="s">
        <v>187</v>
      </c>
    </row>
    <row r="12" spans="1:30">
      <c r="C12" s="186" t="s">
        <v>169</v>
      </c>
      <c r="D12" s="8" t="s">
        <v>188</v>
      </c>
    </row>
    <row r="13" spans="1:30">
      <c r="C13" s="186" t="s">
        <v>170</v>
      </c>
      <c r="D13" s="8" t="s">
        <v>189</v>
      </c>
    </row>
    <row r="14" spans="1:30">
      <c r="C14" s="186" t="s">
        <v>50</v>
      </c>
      <c r="D14" s="8" t="s">
        <v>55</v>
      </c>
    </row>
    <row r="15" spans="1:30">
      <c r="C15" s="186" t="s">
        <v>25</v>
      </c>
      <c r="D15" s="8" t="s">
        <v>190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'!A1" display="Output | Models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8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9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9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9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9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9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9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189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8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206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176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183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184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171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S1">
    <cfRule type="cellIs" dxfId="165" priority="1" operator="equal">
      <formula>"Check"</formula>
    </cfRule>
    <cfRule type="cellIs" dxfId="164" priority="2" operator="equal">
      <formula>"Ok"</formula>
    </cfRule>
  </conditionalFormatting>
  <conditionalFormatting sqref="S7:S15">
    <cfRule type="cellIs" dxfId="163" priority="5" operator="equal">
      <formula>"Check"</formula>
    </cfRule>
    <cfRule type="cellIs" dxfId="162" priority="6" operator="equal">
      <formula>"Ok"</formula>
    </cfRule>
  </conditionalFormatting>
  <conditionalFormatting sqref="V1">
    <cfRule type="cellIs" dxfId="161" priority="3" operator="equal">
      <formula>"Check"</formula>
    </cfRule>
    <cfRule type="cellIs" dxfId="160" priority="4" operator="equal">
      <formula>"Ok"</formula>
    </cfRule>
  </conditionalFormatting>
  <conditionalFormatting sqref="W14:W16">
    <cfRule type="cellIs" dxfId="159" priority="13" operator="equal">
      <formula>"Check"</formula>
    </cfRule>
    <cfRule type="cellIs" dxfId="158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'Lookup|Tables'!$G$48:$G$68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showGridLines="0" topLeftCell="A42" workbookViewId="0">
      <selection activeCell="M1" sqref="M1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7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8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123</v>
      </c>
      <c r="F6" s="47" t="s">
        <v>92</v>
      </c>
      <c r="G6" s="47" t="s">
        <v>181</v>
      </c>
      <c r="H6" s="47" t="s">
        <v>182</v>
      </c>
      <c r="I6" s="47" t="s">
        <v>123</v>
      </c>
      <c r="J6" s="47"/>
      <c r="K6" s="8"/>
      <c r="L6" s="8"/>
    </row>
    <row r="7" spans="1:33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180</v>
      </c>
      <c r="H7" s="50" t="s">
        <v>30</v>
      </c>
      <c r="I7" s="50" t="s">
        <v>30</v>
      </c>
      <c r="J7" s="50"/>
      <c r="K7" s="8"/>
      <c r="L7" s="8"/>
    </row>
    <row r="8" spans="1:33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191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191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191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191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191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191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191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191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191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191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191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191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192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192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192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192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192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192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192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192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192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192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192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192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192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192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192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192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192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192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192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192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192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192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192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192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192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192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192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192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192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192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192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192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192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192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192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192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192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192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192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192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192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192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192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192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192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192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192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192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192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192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192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192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192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192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5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192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192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0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192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192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0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192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192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90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192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192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90"/>
      <c r="K82" s="8"/>
      <c r="L82" s="8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192" t="s">
        <v>222</v>
      </c>
      <c r="G83" s="1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192" t="s">
        <v>222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90"/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192" t="s">
        <v>222</v>
      </c>
      <c r="G85" s="1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190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192" t="s">
        <v>222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90"/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192" t="s">
        <v>222</v>
      </c>
      <c r="G87" s="1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190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192" t="s">
        <v>222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4"/>
        <v>2.8999999999999915E-2</v>
      </c>
      <c r="J88" s="190"/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idden="1">
      <c r="J91" s="20"/>
      <c r="K91" s="20"/>
    </row>
    <row r="92" spans="1:50" hidden="1">
      <c r="J92" s="20"/>
      <c r="K92" s="20"/>
    </row>
    <row r="93" spans="1:50" s="16" customFormat="1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57" priority="1">
      <formula>F21=""</formula>
    </cfRule>
  </conditionalFormatting>
  <conditionalFormatting sqref="V1">
    <cfRule type="cellIs" dxfId="156" priority="6" operator="equal">
      <formula>"Check"</formula>
    </cfRule>
    <cfRule type="cellIs" dxfId="155" priority="7" operator="equal">
      <formula>"Ok"</formula>
    </cfRule>
  </conditionalFormatting>
  <conditionalFormatting sqref="V9:V88">
    <cfRule type="cellIs" dxfId="154" priority="12" operator="equal">
      <formula>"Check"</formula>
    </cfRule>
    <cfRule type="cellIs" dxfId="153" priority="13" operator="equal">
      <formula>"Ok"</formula>
    </cfRule>
  </conditionalFormatting>
  <conditionalFormatting sqref="Y1">
    <cfRule type="cellIs" dxfId="152" priority="8" operator="equal">
      <formula>"Check"</formula>
    </cfRule>
    <cfRule type="cellIs" dxfId="151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zoomScaleNormal="100" workbookViewId="0">
      <selection activeCell="D1" sqref="D1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7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IF(COUNTA($V$8:$V$73)=COUNTIF($V$8:$V$73,"OK"),"OK","Check")</f>
        <v>OK</v>
      </c>
      <c r="T1" s="29"/>
      <c r="U1" s="188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194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221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72.457727338638861</v>
      </c>
      <c r="K13" s="129">
        <v>73.027142496677541</v>
      </c>
      <c r="L13" s="129">
        <v>73.529640386550341</v>
      </c>
      <c r="M13" s="129">
        <v>74.125052159160077</v>
      </c>
      <c r="N13" s="129">
        <v>74.835674838838244</v>
      </c>
      <c r="O13" s="129"/>
      <c r="P13" s="129"/>
      <c r="Q13" s="129"/>
      <c r="R13" s="129"/>
      <c r="S13" s="129"/>
      <c r="T13" s="129"/>
      <c r="U13" s="17" t="s">
        <v>172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72.457727338638861</v>
      </c>
      <c r="K15" s="133">
        <f t="shared" ref="K15:S15" si="1">K13</f>
        <v>73.027142496677541</v>
      </c>
      <c r="L15" s="133">
        <f t="shared" si="1"/>
        <v>73.529640386550341</v>
      </c>
      <c r="M15" s="133">
        <f t="shared" si="1"/>
        <v>74.125052159160077</v>
      </c>
      <c r="N15" s="133">
        <f t="shared" si="1"/>
        <v>74.835674838838244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195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/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7" t="s">
        <v>196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203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8.0845199999999995</v>
      </c>
      <c r="K20" s="129">
        <v>8.0845199999999995</v>
      </c>
      <c r="L20" s="129">
        <v>8.0845199999999995</v>
      </c>
      <c r="M20" s="129">
        <v>8.0845199999999995</v>
      </c>
      <c r="N20" s="129">
        <v>8.0845199999999995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 t="s">
        <v>207</v>
      </c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>
        <v>2.4178770339636597</v>
      </c>
      <c r="K21" s="129">
        <v>2.4427069340348702</v>
      </c>
      <c r="L21" s="129">
        <v>2.4704071107983498</v>
      </c>
      <c r="M21" s="129">
        <v>2.5009726664399499</v>
      </c>
      <c r="N21" s="129">
        <v>2.5308427142726901</v>
      </c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 t="s">
        <v>208</v>
      </c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>
        <v>0.848657175796944</v>
      </c>
      <c r="K22" s="129">
        <v>0.85787568707611506</v>
      </c>
      <c r="L22" s="129">
        <v>0.86246460827563598</v>
      </c>
      <c r="M22" s="129">
        <v>0.86405396696106407</v>
      </c>
      <c r="N22" s="129">
        <v>0.86881746281799599</v>
      </c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11.351054209760603</v>
      </c>
      <c r="K29" s="133">
        <f t="shared" ref="K29:S29" si="5">SUM(K19:K27)</f>
        <v>11.385102621110985</v>
      </c>
      <c r="L29" s="133">
        <f t="shared" si="5"/>
        <v>11.417391719073985</v>
      </c>
      <c r="M29" s="133">
        <f t="shared" si="5"/>
        <v>11.449546633401013</v>
      </c>
      <c r="N29" s="133">
        <f t="shared" si="5"/>
        <v>11.484180177090686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69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57.746838591205893</v>
      </c>
      <c r="K37" s="129">
        <v>60.608130694982243</v>
      </c>
      <c r="L37" s="129">
        <v>61.399287859949723</v>
      </c>
      <c r="M37" s="129">
        <v>72.98746913694734</v>
      </c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158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210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0.3104579946991079</v>
      </c>
      <c r="K41" s="129">
        <v>0.15749160924950831</v>
      </c>
      <c r="L41" s="129">
        <v>0.35127704546760002</v>
      </c>
      <c r="M41" s="129">
        <v>0.27307554980540533</v>
      </c>
      <c r="N41" s="129"/>
      <c r="O41" s="129"/>
      <c r="P41" s="129"/>
      <c r="Q41" s="129"/>
      <c r="R41" s="129"/>
      <c r="S41" s="129"/>
      <c r="T41" s="129"/>
      <c r="U41" s="17" t="s">
        <v>157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/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 t="s">
        <v>209</v>
      </c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>
        <v>2.0073176999999998</v>
      </c>
      <c r="K43" s="129">
        <v>1.8515069</v>
      </c>
      <c r="L43" s="129">
        <v>2.0873046</v>
      </c>
      <c r="M43" s="129">
        <v>2.4510372</v>
      </c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155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55.429062896506785</v>
      </c>
      <c r="K47" s="133">
        <f t="shared" ref="K47:S47" si="8">K37-SUM(K41:K45)</f>
        <v>58.599132185732735</v>
      </c>
      <c r="L47" s="133">
        <f t="shared" si="8"/>
        <v>58.960706214482123</v>
      </c>
      <c r="M47" s="133">
        <f t="shared" si="8"/>
        <v>70.26335638714194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1.31888168860796</v>
      </c>
      <c r="K51" s="129">
        <v>1.33754029437796</v>
      </c>
      <c r="L51" s="129">
        <v>1.7041610103700602</v>
      </c>
      <c r="M51" s="129">
        <v>2.1918307437133899</v>
      </c>
      <c r="N51" s="129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211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5.2572470400000002</v>
      </c>
      <c r="K52" s="129">
        <v>3.49260115</v>
      </c>
      <c r="L52" s="129">
        <v>0.39416685999999901</v>
      </c>
      <c r="M52" s="129">
        <v>4.2981869899999996</v>
      </c>
      <c r="N52" s="129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6.5761287286079604</v>
      </c>
      <c r="K57" s="137">
        <f t="shared" ref="K57:S57" si="10">SUM(K51:K55)</f>
        <v>4.8301414443779596</v>
      </c>
      <c r="L57" s="137">
        <f t="shared" si="10"/>
        <v>2.098327870370059</v>
      </c>
      <c r="M57" s="137">
        <f t="shared" si="10"/>
        <v>6.4900177337133895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/>
      <c r="D63" s="120" t="s">
        <v>34</v>
      </c>
      <c r="E63" s="120" t="str">
        <f>units</f>
        <v>$millions</v>
      </c>
      <c r="F63" s="139">
        <v>45809</v>
      </c>
      <c r="G63" s="121"/>
      <c r="H63" s="121"/>
      <c r="I63" s="121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7" t="s">
        <v>160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v>45809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v>45809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156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192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191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J13:T13">
    <cfRule type="expression" dxfId="150" priority="31">
      <formula>J$10=J$4</formula>
    </cfRule>
  </conditionalFormatting>
  <conditionalFormatting sqref="J15:T15">
    <cfRule type="cellIs" dxfId="149" priority="34" operator="equal">
      <formula>0</formula>
    </cfRule>
  </conditionalFormatting>
  <conditionalFormatting sqref="J19:T27">
    <cfRule type="expression" dxfId="148" priority="26">
      <formula>J$10=J$4</formula>
    </cfRule>
  </conditionalFormatting>
  <conditionalFormatting sqref="J29:T29">
    <cfRule type="cellIs" dxfId="147" priority="27" operator="equal">
      <formula>0</formula>
    </cfRule>
  </conditionalFormatting>
  <conditionalFormatting sqref="J33:T33 N37:T37">
    <cfRule type="expression" dxfId="146" priority="32">
      <formula>J$34=J$4</formula>
    </cfRule>
  </conditionalFormatting>
  <conditionalFormatting sqref="J37:T37">
    <cfRule type="expression" dxfId="145" priority="30">
      <formula>J$10=J$4</formula>
    </cfRule>
  </conditionalFormatting>
  <conditionalFormatting sqref="J41:T45">
    <cfRule type="expression" dxfId="144" priority="24">
      <formula>J$34=J$4</formula>
    </cfRule>
  </conditionalFormatting>
  <conditionalFormatting sqref="J47:T47">
    <cfRule type="cellIs" dxfId="143" priority="29" operator="equal">
      <formula>0</formula>
    </cfRule>
  </conditionalFormatting>
  <conditionalFormatting sqref="J51:T55">
    <cfRule type="expression" dxfId="142" priority="21">
      <formula>J$34=J$4</formula>
    </cfRule>
  </conditionalFormatting>
  <conditionalFormatting sqref="J57:T57">
    <cfRule type="cellIs" dxfId="141" priority="33" operator="equal">
      <formula>0</formula>
    </cfRule>
  </conditionalFormatting>
  <conditionalFormatting sqref="J63:T67">
    <cfRule type="expression" dxfId="140" priority="28">
      <formula>J$61=J$4</formula>
    </cfRule>
  </conditionalFormatting>
  <conditionalFormatting sqref="J69:T69 J71:T71">
    <cfRule type="expression" dxfId="139" priority="63">
      <formula>J$61=J$4</formula>
    </cfRule>
  </conditionalFormatting>
  <conditionalFormatting sqref="S1:T1">
    <cfRule type="cellIs" dxfId="138" priority="52" operator="equal">
      <formula>"Ok"</formula>
    </cfRule>
    <cfRule type="cellIs" dxfId="137" priority="51" operator="equal">
      <formula>"Check"</formula>
    </cfRule>
  </conditionalFormatting>
  <conditionalFormatting sqref="V1">
    <cfRule type="cellIs" dxfId="136" priority="80" operator="equal">
      <formula>"Check"</formula>
    </cfRule>
    <cfRule type="cellIs" dxfId="135" priority="81" operator="equal">
      <formula>"Ok"</formula>
    </cfRule>
  </conditionalFormatting>
  <conditionalFormatting sqref="V13">
    <cfRule type="cellIs" dxfId="134" priority="19" operator="equal">
      <formula>"Check"</formula>
    </cfRule>
    <cfRule type="cellIs" dxfId="133" priority="20" operator="equal">
      <formula>"Ok"</formula>
    </cfRule>
  </conditionalFormatting>
  <conditionalFormatting sqref="V15">
    <cfRule type="cellIs" dxfId="132" priority="82" operator="equal">
      <formula>"Check"</formula>
    </cfRule>
    <cfRule type="cellIs" dxfId="131" priority="83" operator="equal">
      <formula>"Ok"</formula>
    </cfRule>
  </conditionalFormatting>
  <conditionalFormatting sqref="V19:V27">
    <cfRule type="cellIs" dxfId="130" priority="17" operator="equal">
      <formula>"Check"</formula>
    </cfRule>
    <cfRule type="cellIs" dxfId="129" priority="18" operator="equal">
      <formula>"Ok"</formula>
    </cfRule>
  </conditionalFormatting>
  <conditionalFormatting sqref="V29">
    <cfRule type="cellIs" dxfId="128" priority="59" operator="equal">
      <formula>"Check"</formula>
    </cfRule>
    <cfRule type="cellIs" dxfId="127" priority="60" operator="equal">
      <formula>"Ok"</formula>
    </cfRule>
  </conditionalFormatting>
  <conditionalFormatting sqref="V37">
    <cfRule type="cellIs" dxfId="126" priority="13" operator="equal">
      <formula>"Check"</formula>
    </cfRule>
    <cfRule type="cellIs" dxfId="125" priority="14" operator="equal">
      <formula>"Ok"</formula>
    </cfRule>
  </conditionalFormatting>
  <conditionalFormatting sqref="V41:V45">
    <cfRule type="cellIs" dxfId="124" priority="9" operator="equal">
      <formula>"Check"</formula>
    </cfRule>
    <cfRule type="cellIs" dxfId="123" priority="10" operator="equal">
      <formula>"Ok"</formula>
    </cfRule>
  </conditionalFormatting>
  <conditionalFormatting sqref="V47">
    <cfRule type="cellIs" dxfId="122" priority="67" operator="equal">
      <formula>"Ok"</formula>
    </cfRule>
    <cfRule type="cellIs" dxfId="121" priority="66" operator="equal">
      <formula>"Check"</formula>
    </cfRule>
  </conditionalFormatting>
  <conditionalFormatting sqref="V48:V50">
    <cfRule type="cellIs" dxfId="120" priority="74" operator="equal">
      <formula>"Check"</formula>
    </cfRule>
    <cfRule type="cellIs" dxfId="119" priority="75" operator="equal">
      <formula>"Ok"</formula>
    </cfRule>
  </conditionalFormatting>
  <conditionalFormatting sqref="V51:V55">
    <cfRule type="cellIs" dxfId="118" priority="8" operator="equal">
      <formula>"Ok"</formula>
    </cfRule>
    <cfRule type="cellIs" dxfId="117" priority="7" operator="equal">
      <formula>"Check"</formula>
    </cfRule>
  </conditionalFormatting>
  <conditionalFormatting sqref="V52:V55">
    <cfRule type="cellIs" dxfId="116" priority="86" operator="equal">
      <formula>"Check"</formula>
    </cfRule>
    <cfRule type="cellIs" dxfId="115" priority="87" operator="equal">
      <formula>"Ok"</formula>
    </cfRule>
  </conditionalFormatting>
  <conditionalFormatting sqref="V57">
    <cfRule type="cellIs" dxfId="114" priority="84" operator="equal">
      <formula>"Check"</formula>
    </cfRule>
    <cfRule type="cellIs" dxfId="113" priority="85" operator="equal">
      <formula>"Ok"</formula>
    </cfRule>
  </conditionalFormatting>
  <conditionalFormatting sqref="V63:V67">
    <cfRule type="cellIs" dxfId="112" priority="5" operator="equal">
      <formula>"Check"</formula>
    </cfRule>
    <cfRule type="cellIs" dxfId="111" priority="6" operator="equal">
      <formula>"Ok"</formula>
    </cfRule>
  </conditionalFormatting>
  <conditionalFormatting sqref="V69">
    <cfRule type="cellIs" dxfId="110" priority="4" operator="equal">
      <formula>"Ok"</formula>
    </cfRule>
    <cfRule type="cellIs" dxfId="109" priority="3" operator="equal">
      <formula>"Check"</formula>
    </cfRule>
  </conditionalFormatting>
  <conditionalFormatting sqref="V71">
    <cfRule type="cellIs" dxfId="108" priority="1" operator="equal">
      <formula>"Check"</formula>
    </cfRule>
    <cfRule type="cellIs" dxfId="107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37:T37 J19:T27 J13:T13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09"/>
  <sheetViews>
    <sheetView showGridLines="0" zoomScaleNormal="100" workbookViewId="0">
      <selection activeCell="D1" sqref="D1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7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IF(COUNTIF(X5:X108,"Check")=0,"Ok","Check")</f>
        <v>Ok</v>
      </c>
      <c r="U1" s="29"/>
      <c r="W1" s="188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3"/>
      <c r="L3" s="193"/>
      <c r="M3" s="193"/>
      <c r="N3" s="105"/>
      <c r="O3" s="193"/>
      <c r="P3" s="193"/>
      <c r="Q3" s="193"/>
      <c r="R3" s="193"/>
      <c r="S3" s="193"/>
      <c r="T3" s="193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IF(J10=J4,LOOKUP(EOMONTH(J4,0),'Input|Inflation'!$C$9:$C$84,'Input|Inflation'!$I$9:$I$84),"")</f>
        <v>3.8461538461538325E-2</v>
      </c>
      <c r="K12" s="148">
        <f>IF(K10=K4,LOOKUP(EOMONTH(K4,0),'Input|Inflation'!$C$9:$C$84,'Input|Inflation'!$I$9:$I$84),"")</f>
        <v>6.1447811447811418E-2</v>
      </c>
      <c r="L12" s="148">
        <f>IF(L10=L4,LOOKUP(EOMONTH(L4,0),'Input|Inflation'!$C$9:$C$84,'Input|Inflation'!$I$9:$I$84),"")</f>
        <v>6.0269627279936566E-2</v>
      </c>
      <c r="M12" s="148">
        <f>IF(M10=M4,LOOKUP(EOMONTH(M4,0),'Input|Inflation'!$C$9:$C$84,'Input|Inflation'!$I$9:$I$84),"")</f>
        <v>3.8145100972326373E-2</v>
      </c>
      <c r="N12" s="148">
        <f>IF(N10=N4,LOOKUP(EOMONTH(N4,0),'Input|Inflation'!$C$9:$C$84,'Input|Inflation'!$I$9:$I$84),"")</f>
        <v>2.0893371757924939E-2</v>
      </c>
      <c r="O12" s="148">
        <f>IF(O10=O4,LOOKUP(EOMONTH(O4,0),'Input|Inflation'!$C$9:$C$84,'Input|Inflation'!$I$9:$I$84),"")</f>
        <v>3.0000000000000027E-2</v>
      </c>
      <c r="P12" s="148" t="str">
        <f>IF(P10=P4,LOOKUP(EOMONTH(P4,0),'Input|Inflation'!$C$9:$C$84,'Input|Inflation'!$I$9:$I$84),"")</f>
        <v/>
      </c>
      <c r="Q12" s="148" t="str">
        <f>IF(Q10=Q4,LOOKUP(EOMONTH(Q4,0),'Input|Inflation'!$C$9:$C$84,'Input|Inflation'!$I$9:$I$84),"")</f>
        <v/>
      </c>
      <c r="R12" s="148" t="str">
        <f>IF(R10=R4,LOOKUP(EOMONTH(R4,0),'Input|Inflation'!$C$9:$C$84,'Input|Inflation'!$I$9:$I$84),"")</f>
        <v/>
      </c>
      <c r="S12" s="148" t="str">
        <f>IF(S10=S4,LOOKUP(EOMONTH(S4,0),'Input|Inflation'!$C$9:$C$84,'Input|Inflation'!$I$9:$I$84),"")</f>
        <v/>
      </c>
      <c r="T12" s="148" t="str">
        <f>IF(T10=T4,LOOKUP(EOMONTH(T4,0),'Input|Inflation'!$C$9:$C$84,'Input|Inflation'!$I$9:$I$84),"")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ref="O16:P16" si="4">IF(AND($C16&gt;O$14,ISNONTEXT($C16)),P16/(1+O$12),IF(AND($C16=O$14,O$14=O$4),1,IF(AND($C16&lt;O$14,O$14=O$4),N16*(1+O$12),0)))</f>
        <v>1.2285437710437712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1.1007137192704206</v>
      </c>
      <c r="N17" s="154">
        <f t="shared" si="6"/>
        <v>1.1237113402061858</v>
      </c>
      <c r="O17" s="154">
        <f t="shared" ref="O17:P17" si="7">IF(AND($C17&gt;O$14,ISNONTEXT($C17)),P17/(1+O$12),IF(AND($C17=O$14,O$14=O$4),1,IF(AND($C17&lt;O$14,O$14=O$4),N17*(1+O$12),0)))</f>
        <v>1.1574226804123715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1.0381451009723264</v>
      </c>
      <c r="N18" s="154">
        <f t="shared" si="8"/>
        <v>1.0598354525056097</v>
      </c>
      <c r="O18" s="154">
        <f t="shared" ref="O18:P18" si="9">IF(AND($C18&gt;O$14,ISNONTEXT($C18)),P18/(1+O$12),IF(AND($C18=O$14,O$14=O$4),1,IF(AND($C18&lt;O$14,O$14=O$4),N18*(1+O$12),0)))</f>
        <v>1.091630516080778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0.85590778097982689</v>
      </c>
      <c r="K19" s="154">
        <f t="shared" si="10"/>
        <v>0.90850144092218998</v>
      </c>
      <c r="L19" s="154">
        <f t="shared" si="10"/>
        <v>0.96325648414985565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1.0515201729106627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0.83839096683133374</v>
      </c>
      <c r="K20" s="154">
        <f t="shared" ref="K20:N20" si="12">IF(AND($C20&gt;K$14,ISNONTEXT($C20)),L20/(1+L$12),IF(AND($C20=K$14,K$14=K$4),1,IF(AND($C20&lt;K$14,K$14=K$4),J20*(1+K$12),0)))</f>
        <v>0.88990825688073383</v>
      </c>
      <c r="L20" s="154">
        <f t="shared" si="12"/>
        <v>0.9435426958362737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1.03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0.81397181245760553</v>
      </c>
      <c r="K21" s="154">
        <f t="shared" ref="K21:K22" si="14">IF(AND($C21&gt;K$14,ISNONTEXT($C21)),L21/(1+L$12),IF(AND($C21=K$14,K$14=K$4),1,IF(AND($C21&lt;K$14,K$14=K$4),J21*(1+K$12),0)))</f>
        <v>0.86398859891333379</v>
      </c>
      <c r="L21" s="154">
        <f t="shared" ref="L21:L22" si="15">IF(AND($C21&gt;L$14,ISNONTEXT($C21)),M21/(1+M$12),IF(AND($C21=L$14,L$14=L$4),1,IF(AND($C21&lt;L$14,L$14=L$4),K21*(1+L$12),0)))</f>
        <v>0.91606086974395506</v>
      </c>
      <c r="M21" s="154">
        <f t="shared" ref="M21:M22" si="16">IF(AND($C21&gt;M$14,ISNONTEXT($C21)),N21/(1+N$12),IF(AND($C21=M$14,M$14=M$4),1,IF(AND($C21&lt;M$14,M$14=M$4),L21*(1+M$12),0)))</f>
        <v>0.95100410411713532</v>
      </c>
      <c r="N21" s="154">
        <f t="shared" ref="N21:N22" si="17">IF(AND($C21&gt;N$14,ISNONTEXT($C21)),O21/(1+O$12),IF(AND($C21=N$14,N$14=N$4),1,IF(AND($C21&lt;N$14,N$14=N$4),M21*(1+N$12),0)))</f>
        <v>0.970873786407767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0.84710409750758409</v>
      </c>
      <c r="O26" s="154">
        <f t="shared" si="22"/>
        <v>0.82609116616738187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0.92566671963703617</v>
      </c>
      <c r="N27" s="154">
        <f t="shared" si="24"/>
        <v>0.89915679036789842</v>
      </c>
      <c r="O27" s="154">
        <f t="shared" si="24"/>
        <v>0.87685266038473775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0.98145630781500182</v>
      </c>
      <c r="N28" s="154">
        <f t="shared" si="25"/>
        <v>0.95334863498959588</v>
      </c>
      <c r="O28" s="154">
        <f t="shared" si="25"/>
        <v>0.9297002434055468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1.1906064571156811</v>
      </c>
      <c r="K29" s="154">
        <f t="shared" si="26"/>
        <v>1.1340278035458109</v>
      </c>
      <c r="L29" s="154">
        <f t="shared" si="26"/>
        <v>1.0689717279861126</v>
      </c>
      <c r="M29" s="154">
        <f t="shared" si="26"/>
        <v>1.0188940577765317</v>
      </c>
      <c r="N29" s="154">
        <f t="shared" si="26"/>
        <v>0.98971421493310363</v>
      </c>
      <c r="O29" s="154">
        <f t="shared" si="26"/>
        <v>0.96516375306424773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1.215482240441585</v>
      </c>
      <c r="K30" s="154">
        <f t="shared" si="27"/>
        <v>1.1577214680291166</v>
      </c>
      <c r="L30" s="154">
        <f t="shared" si="27"/>
        <v>1.0913061516976379</v>
      </c>
      <c r="M30" s="154">
        <f t="shared" si="27"/>
        <v>1.0401821901075974</v>
      </c>
      <c r="N30" s="154">
        <f t="shared" si="27"/>
        <v>1.0103926819598037</v>
      </c>
      <c r="O30" s="154">
        <f t="shared" si="27"/>
        <v>0.98532927816429317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1.2519467076548325</v>
      </c>
      <c r="K31" s="154">
        <f t="shared" si="28"/>
        <v>1.1924531120699902</v>
      </c>
      <c r="L31" s="154">
        <f t="shared" si="28"/>
        <v>1.1240453362485672</v>
      </c>
      <c r="M31" s="154">
        <f t="shared" si="28"/>
        <v>1.0713876558108255</v>
      </c>
      <c r="N31" s="154">
        <f t="shared" si="28"/>
        <v>1.0407044624185979</v>
      </c>
      <c r="O31" s="154">
        <f t="shared" si="28"/>
        <v>1.014889156509222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218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8.9999999999999993E-3</v>
      </c>
      <c r="Q38" s="159">
        <v>8.9999999999999993E-3</v>
      </c>
      <c r="R38" s="159">
        <v>1.0999999999999999E-2</v>
      </c>
      <c r="S38" s="159">
        <v>1.2999999999999999E-2</v>
      </c>
      <c r="T38" s="159">
        <v>1.2999999999999999E-2</v>
      </c>
      <c r="U38" s="17"/>
      <c r="V38" s="17"/>
      <c r="W38" s="17"/>
    </row>
    <row r="39" spans="1:34" ht="11.25" customHeight="1" outlineLevel="1">
      <c r="A39" s="17"/>
      <c r="B39" s="17"/>
      <c r="C39" s="161" t="s">
        <v>219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3.8798929437231511E-3</v>
      </c>
      <c r="Q39" s="160">
        <v>6.6052851497420129E-3</v>
      </c>
      <c r="R39" s="160">
        <v>7.1333552110515175E-3</v>
      </c>
      <c r="S39" s="160">
        <v>9.9681148278605303E-3</v>
      </c>
      <c r="T39" s="160">
        <v>9.7491999988594813E-3</v>
      </c>
      <c r="U39" s="17"/>
      <c r="V39" s="17"/>
      <c r="W39" s="17"/>
    </row>
    <row r="40" spans="1:34" ht="11.25" customHeight="1" outlineLevel="1">
      <c r="A40" s="17"/>
      <c r="B40" s="17"/>
      <c r="C40" s="127" t="s">
        <v>201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6.4399464718615752E-3</v>
      </c>
      <c r="Q40" s="160">
        <f t="shared" ref="Q40:T40" si="31">AVERAGE(Q38:Q39)</f>
        <v>7.8026425748710061E-3</v>
      </c>
      <c r="R40" s="160">
        <f t="shared" si="31"/>
        <v>9.0666776055257584E-3</v>
      </c>
      <c r="S40" s="160">
        <f t="shared" si="31"/>
        <v>1.1484057413930264E-2</v>
      </c>
      <c r="T40" s="160">
        <f t="shared" si="31"/>
        <v>1.1374599999429739E-2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2"/>
      <c r="V41" s="163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2">IF(J36=J4,IF(COUNTA($C38:$C45)=COUNT(J38:J45),"Ok","Check"),"")</f>
        <v/>
      </c>
      <c r="K47" s="165" t="str">
        <f t="shared" si="32"/>
        <v/>
      </c>
      <c r="L47" s="165" t="str">
        <f t="shared" si="32"/>
        <v/>
      </c>
      <c r="M47" s="165" t="str">
        <f t="shared" si="32"/>
        <v/>
      </c>
      <c r="N47" s="165" t="str">
        <f t="shared" si="32"/>
        <v/>
      </c>
      <c r="O47" s="165" t="str">
        <f t="shared" si="32"/>
        <v/>
      </c>
      <c r="P47" s="165" t="str">
        <f t="shared" si="32"/>
        <v>Ok</v>
      </c>
      <c r="Q47" s="165" t="str">
        <f t="shared" si="32"/>
        <v>Ok</v>
      </c>
      <c r="R47" s="165" t="str">
        <f t="shared" si="32"/>
        <v>Ok</v>
      </c>
      <c r="S47" s="165" t="str">
        <f t="shared" si="32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3">IF(YEAR(J$4)&gt;=FPFirstYear,IF(YEAR(J$4)&lt;=FPLastYear,J$4,""),"")</f>
        <v/>
      </c>
      <c r="K49" s="138" t="str">
        <f t="shared" si="33"/>
        <v/>
      </c>
      <c r="L49" s="138" t="str">
        <f t="shared" si="33"/>
        <v/>
      </c>
      <c r="M49" s="138" t="str">
        <f t="shared" si="33"/>
        <v/>
      </c>
      <c r="N49" s="138" t="str">
        <f t="shared" si="33"/>
        <v/>
      </c>
      <c r="O49" s="138" t="str">
        <f t="shared" si="33"/>
        <v/>
      </c>
      <c r="P49" s="138">
        <f t="shared" si="33"/>
        <v>46539</v>
      </c>
      <c r="Q49" s="138">
        <f t="shared" si="33"/>
        <v>46905</v>
      </c>
      <c r="R49" s="138">
        <f t="shared" si="33"/>
        <v>47270</v>
      </c>
      <c r="S49" s="138">
        <f t="shared" si="33"/>
        <v>47635</v>
      </c>
      <c r="T49" s="138">
        <f t="shared" si="33"/>
        <v>48000</v>
      </c>
      <c r="U49" s="138" t="str">
        <f t="shared" si="3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4">C38</f>
        <v>WPI - EGWWS - Oxford Economics</v>
      </c>
      <c r="D51" s="120" t="s">
        <v>96</v>
      </c>
      <c r="E51" s="120" t="str">
        <f t="shared" ref="E51:E58" si="3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4"/>
        <v>WPI - DAE</v>
      </c>
      <c r="D52" s="120" t="s">
        <v>96</v>
      </c>
      <c r="E52" s="120" t="str">
        <f t="shared" si="3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4"/>
        <v>Average</v>
      </c>
      <c r="D53" s="120" t="s">
        <v>96</v>
      </c>
      <c r="E53" s="120" t="str">
        <f t="shared" si="3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>
        <v>0.62</v>
      </c>
      <c r="Q53" s="143">
        <v>0.62</v>
      </c>
      <c r="R53" s="143">
        <v>0.62</v>
      </c>
      <c r="S53" s="143">
        <v>0.62</v>
      </c>
      <c r="T53" s="143">
        <v>0.62</v>
      </c>
      <c r="U53" s="168"/>
      <c r="V53" s="17"/>
      <c r="W53" s="17"/>
    </row>
    <row r="54" spans="1:34" ht="11.25" customHeight="1" outlineLevel="1">
      <c r="A54" s="17"/>
      <c r="B54" s="17"/>
      <c r="C54" s="167">
        <f t="shared" si="34"/>
        <v>0</v>
      </c>
      <c r="D54" s="120" t="s">
        <v>96</v>
      </c>
      <c r="E54" s="120" t="str">
        <f t="shared" si="3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>
        <f t="shared" si="34"/>
        <v>0</v>
      </c>
      <c r="D55" s="120" t="s">
        <v>96</v>
      </c>
      <c r="E55" s="120" t="str">
        <f t="shared" si="3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9"/>
      <c r="Q55" s="169"/>
      <c r="R55" s="169"/>
      <c r="S55" s="169"/>
      <c r="T55" s="169"/>
      <c r="U55" s="168"/>
      <c r="V55" s="17"/>
      <c r="W55" s="17"/>
    </row>
    <row r="56" spans="1:34" ht="11.25" customHeight="1" outlineLevel="1">
      <c r="A56" s="17"/>
      <c r="B56" s="17"/>
      <c r="C56" s="167">
        <f t="shared" si="34"/>
        <v>0</v>
      </c>
      <c r="D56" s="120" t="s">
        <v>96</v>
      </c>
      <c r="E56" s="120" t="str">
        <f t="shared" si="3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4"/>
        <v>0</v>
      </c>
      <c r="D57" s="120" t="s">
        <v>96</v>
      </c>
      <c r="E57" s="120" t="str">
        <f t="shared" si="3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4"/>
        <v>CPI</v>
      </c>
      <c r="D58" s="120" t="s">
        <v>96</v>
      </c>
      <c r="E58" s="120" t="str">
        <f t="shared" si="3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0.38</v>
      </c>
      <c r="Q58" s="143">
        <v>0.38</v>
      </c>
      <c r="R58" s="143">
        <v>0.38</v>
      </c>
      <c r="S58" s="143">
        <v>0.38</v>
      </c>
      <c r="T58" s="143">
        <v>0.38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6">IF(J49=J$4,IF(SUM(J51:J58)=1,"Ok","Check"),"")</f>
        <v/>
      </c>
      <c r="K60" s="165" t="str">
        <f t="shared" si="36"/>
        <v/>
      </c>
      <c r="L60" s="165" t="str">
        <f t="shared" si="36"/>
        <v/>
      </c>
      <c r="M60" s="165" t="str">
        <f t="shared" si="36"/>
        <v/>
      </c>
      <c r="N60" s="165" t="str">
        <f t="shared" si="36"/>
        <v/>
      </c>
      <c r="O60" s="165" t="str">
        <f t="shared" si="36"/>
        <v/>
      </c>
      <c r="P60" s="165" t="str">
        <f t="shared" si="36"/>
        <v>Ok</v>
      </c>
      <c r="Q60" s="165" t="str">
        <f t="shared" si="36"/>
        <v>Ok</v>
      </c>
      <c r="R60" s="165" t="str">
        <f t="shared" si="36"/>
        <v>Ok</v>
      </c>
      <c r="S60" s="165" t="str">
        <f t="shared" si="36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7">IF(YEAR(J$4)&gt;=PPLastYear,IF(YEAR(J$4)&lt;=FPLastYear,J$4,""),"")</f>
        <v/>
      </c>
      <c r="K64" s="138" t="str">
        <f t="shared" si="37"/>
        <v/>
      </c>
      <c r="L64" s="138" t="str">
        <f t="shared" si="37"/>
        <v/>
      </c>
      <c r="M64" s="138" t="str">
        <f t="shared" si="37"/>
        <v/>
      </c>
      <c r="N64" s="138" t="str">
        <f t="shared" si="37"/>
        <v/>
      </c>
      <c r="O64" s="138">
        <f t="shared" si="37"/>
        <v>46174</v>
      </c>
      <c r="P64" s="138">
        <f t="shared" si="37"/>
        <v>46539</v>
      </c>
      <c r="Q64" s="138">
        <f t="shared" si="37"/>
        <v>46905</v>
      </c>
      <c r="R64" s="138">
        <f t="shared" si="37"/>
        <v>47270</v>
      </c>
      <c r="S64" s="138">
        <f t="shared" si="37"/>
        <v>47635</v>
      </c>
      <c r="T64" s="138">
        <f t="shared" si="37"/>
        <v>48000</v>
      </c>
      <c r="U64" s="138" t="str">
        <f t="shared" si="3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204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70"/>
      <c r="L66" s="170"/>
      <c r="M66" s="170"/>
      <c r="N66" s="170"/>
      <c r="O66" s="141">
        <v>488599</v>
      </c>
      <c r="P66" s="141">
        <v>488792</v>
      </c>
      <c r="Q66" s="141">
        <v>488356</v>
      </c>
      <c r="R66" s="141">
        <v>491406</v>
      </c>
      <c r="S66" s="141">
        <v>493919</v>
      </c>
      <c r="T66" s="141">
        <v>495657</v>
      </c>
      <c r="U66" s="141"/>
      <c r="V66" s="17"/>
      <c r="W66" s="17"/>
    </row>
    <row r="67" spans="1:24" outlineLevel="1">
      <c r="A67" s="17"/>
      <c r="B67" s="17"/>
      <c r="C67" s="127" t="s">
        <v>205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70"/>
      <c r="L67" s="170"/>
      <c r="M67" s="170"/>
      <c r="N67" s="170"/>
      <c r="O67" s="141">
        <v>8863.6980000000003</v>
      </c>
      <c r="P67" s="141">
        <v>8893.4979999999996</v>
      </c>
      <c r="Q67" s="141">
        <v>8924.7979999999989</v>
      </c>
      <c r="R67" s="141">
        <v>8958.5979999999981</v>
      </c>
      <c r="S67" s="141">
        <v>8988.3979999999974</v>
      </c>
      <c r="T67" s="141">
        <v>9018.1979999999967</v>
      </c>
      <c r="U67" s="141"/>
      <c r="V67" s="17"/>
      <c r="W67" s="17"/>
    </row>
    <row r="68" spans="1:24" outlineLevel="1">
      <c r="A68" s="17"/>
      <c r="B68" s="17"/>
      <c r="C68" s="127"/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70"/>
      <c r="L68" s="170"/>
      <c r="M68" s="170"/>
      <c r="N68" s="170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70"/>
      <c r="L69" s="170"/>
      <c r="M69" s="170"/>
      <c r="N69" s="170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70"/>
      <c r="L70" s="170"/>
      <c r="M70" s="170"/>
      <c r="N70" s="170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70"/>
      <c r="L71" s="170"/>
      <c r="M71" s="170"/>
      <c r="N71" s="170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8">IF(J64=J$4,IF(COUNTA($C66:$C71)=COUNT(J66:J71),"Ok","Check"),"")</f>
        <v/>
      </c>
      <c r="K73" s="165" t="str">
        <f t="shared" si="38"/>
        <v/>
      </c>
      <c r="L73" s="165" t="str">
        <f t="shared" si="38"/>
        <v/>
      </c>
      <c r="M73" s="165" t="str">
        <f t="shared" si="38"/>
        <v/>
      </c>
      <c r="N73" s="165" t="str">
        <f t="shared" si="38"/>
        <v/>
      </c>
      <c r="O73" s="165" t="str">
        <f t="shared" si="38"/>
        <v>Ok</v>
      </c>
      <c r="P73" s="165" t="str">
        <f t="shared" si="38"/>
        <v>Ok</v>
      </c>
      <c r="Q73" s="165" t="str">
        <f t="shared" si="38"/>
        <v>Ok</v>
      </c>
      <c r="R73" s="165" t="str">
        <f t="shared" si="38"/>
        <v>Ok</v>
      </c>
      <c r="S73" s="165" t="str">
        <f t="shared" si="38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39">IF(YEAR(J$4)&gt;=FPFirstYear,IF(YEAR(J$4)&lt;=FPLastYear,J$4,""),"")</f>
        <v/>
      </c>
      <c r="K75" s="138" t="str">
        <f t="shared" si="39"/>
        <v/>
      </c>
      <c r="L75" s="138" t="str">
        <f t="shared" si="39"/>
        <v/>
      </c>
      <c r="M75" s="138" t="str">
        <f t="shared" si="39"/>
        <v/>
      </c>
      <c r="N75" s="138" t="str">
        <f t="shared" si="39"/>
        <v/>
      </c>
      <c r="O75" s="138" t="str">
        <f t="shared" si="39"/>
        <v/>
      </c>
      <c r="P75" s="138">
        <f t="shared" si="39"/>
        <v>46539</v>
      </c>
      <c r="Q75" s="138">
        <f t="shared" si="39"/>
        <v>46905</v>
      </c>
      <c r="R75" s="138">
        <f t="shared" si="39"/>
        <v>47270</v>
      </c>
      <c r="S75" s="138">
        <f t="shared" si="39"/>
        <v>47635</v>
      </c>
      <c r="T75" s="138">
        <f t="shared" si="39"/>
        <v>48000</v>
      </c>
      <c r="U75" s="138" t="str">
        <f t="shared" si="3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Customer numbers (#) (CIE forecast)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1" t="str">
        <f t="shared" ref="J77:M77" si="40">IF(ISBLANK(I66),"",IF(ISBLANK(J66),"",LN(J66)-LN(I66)))</f>
        <v/>
      </c>
      <c r="K77" s="171" t="str">
        <f t="shared" si="40"/>
        <v/>
      </c>
      <c r="L77" s="171" t="str">
        <f t="shared" si="40"/>
        <v/>
      </c>
      <c r="M77" s="171" t="str">
        <f t="shared" si="40"/>
        <v/>
      </c>
      <c r="N77" s="171" t="str">
        <f>IF(ISBLANK(M66),"",IF(ISBLANK(N66),"",LN(N66)-LN(M66)))</f>
        <v/>
      </c>
      <c r="O77" s="171" t="str">
        <f t="shared" ref="O77:U77" si="41">IF(ISBLANK(N66),"",IF(ISBLANK(O66),"",LN(O66)-LN(N66)))</f>
        <v/>
      </c>
      <c r="P77" s="171">
        <f t="shared" si="41"/>
        <v>3.9492895373172132E-4</v>
      </c>
      <c r="Q77" s="171">
        <f t="shared" si="41"/>
        <v>-8.9239302323562697E-4</v>
      </c>
      <c r="R77" s="171">
        <f t="shared" si="41"/>
        <v>6.2260219366443437E-3</v>
      </c>
      <c r="S77" s="171">
        <f t="shared" si="41"/>
        <v>5.1008661076803463E-3</v>
      </c>
      <c r="T77" s="171">
        <f t="shared" si="41"/>
        <v>3.5126191157122122E-3</v>
      </c>
      <c r="U77" s="171" t="str">
        <f t="shared" si="41"/>
        <v/>
      </c>
      <c r="V77" s="17"/>
      <c r="W77" s="17"/>
    </row>
    <row r="78" spans="1:24" outlineLevel="1">
      <c r="A78" s="17"/>
      <c r="B78" s="17"/>
      <c r="C78" s="167" t="str">
        <f t="shared" ref="C78:C82" si="42">C67</f>
        <v>Mains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1" t="str">
        <f t="shared" ref="J78:U78" si="43">IF(ISBLANK(I67),"",IF(ISBLANK(J67),"",LN(J67)-LN(I67)))</f>
        <v/>
      </c>
      <c r="K78" s="171" t="str">
        <f t="shared" si="43"/>
        <v/>
      </c>
      <c r="L78" s="171" t="str">
        <f t="shared" si="43"/>
        <v/>
      </c>
      <c r="M78" s="171" t="str">
        <f t="shared" si="43"/>
        <v/>
      </c>
      <c r="N78" s="171" t="str">
        <f t="shared" si="43"/>
        <v/>
      </c>
      <c r="O78" s="171" t="str">
        <f t="shared" si="43"/>
        <v/>
      </c>
      <c r="P78" s="171">
        <f t="shared" si="43"/>
        <v>3.356388922620468E-3</v>
      </c>
      <c r="Q78" s="171">
        <f t="shared" si="43"/>
        <v>3.5132464063227786E-3</v>
      </c>
      <c r="R78" s="171">
        <f t="shared" si="43"/>
        <v>3.7800471729916296E-3</v>
      </c>
      <c r="S78" s="171">
        <f t="shared" si="43"/>
        <v>3.3208930772605783E-3</v>
      </c>
      <c r="T78" s="171">
        <f t="shared" si="43"/>
        <v>3.3099012390813698E-3</v>
      </c>
      <c r="U78" s="171" t="str">
        <f t="shared" si="43"/>
        <v/>
      </c>
      <c r="V78" s="17"/>
      <c r="W78" s="17"/>
    </row>
    <row r="79" spans="1:24" outlineLevel="1">
      <c r="A79" s="17"/>
      <c r="B79" s="17"/>
      <c r="C79" s="167">
        <f t="shared" si="42"/>
        <v>0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1" t="str">
        <f t="shared" ref="J79:U79" si="44">IF(ISBLANK(I68),"",IF(ISBLANK(J68),"",LN(J68)-LN(I68)))</f>
        <v/>
      </c>
      <c r="K79" s="171" t="str">
        <f t="shared" si="44"/>
        <v/>
      </c>
      <c r="L79" s="171" t="str">
        <f t="shared" si="44"/>
        <v/>
      </c>
      <c r="M79" s="171" t="str">
        <f t="shared" si="44"/>
        <v/>
      </c>
      <c r="N79" s="171" t="str">
        <f t="shared" si="44"/>
        <v/>
      </c>
      <c r="O79" s="171" t="str">
        <f t="shared" si="44"/>
        <v/>
      </c>
      <c r="P79" s="171" t="str">
        <f t="shared" si="44"/>
        <v/>
      </c>
      <c r="Q79" s="171" t="str">
        <f t="shared" si="44"/>
        <v/>
      </c>
      <c r="R79" s="171" t="str">
        <f t="shared" si="44"/>
        <v/>
      </c>
      <c r="S79" s="171" t="str">
        <f t="shared" si="44"/>
        <v/>
      </c>
      <c r="T79" s="171" t="str">
        <f t="shared" si="44"/>
        <v/>
      </c>
      <c r="U79" s="171" t="str">
        <f t="shared" si="44"/>
        <v/>
      </c>
      <c r="V79" s="17"/>
      <c r="W79" s="17"/>
    </row>
    <row r="80" spans="1:24" outlineLevel="1">
      <c r="A80" s="17"/>
      <c r="B80" s="17"/>
      <c r="C80" s="167">
        <f t="shared" si="42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1" t="str">
        <f t="shared" ref="J80:U80" si="45">IF(ISBLANK(I69),"",IF(ISBLANK(J69),"",LN(J69)-LN(I69)))</f>
        <v/>
      </c>
      <c r="K80" s="171" t="str">
        <f t="shared" si="45"/>
        <v/>
      </c>
      <c r="L80" s="171" t="str">
        <f t="shared" si="45"/>
        <v/>
      </c>
      <c r="M80" s="171" t="str">
        <f t="shared" si="45"/>
        <v/>
      </c>
      <c r="N80" s="171" t="str">
        <f t="shared" si="45"/>
        <v/>
      </c>
      <c r="O80" s="171" t="str">
        <f t="shared" si="45"/>
        <v/>
      </c>
      <c r="P80" s="171" t="str">
        <f t="shared" si="45"/>
        <v/>
      </c>
      <c r="Q80" s="171" t="str">
        <f t="shared" si="45"/>
        <v/>
      </c>
      <c r="R80" s="171" t="str">
        <f t="shared" si="45"/>
        <v/>
      </c>
      <c r="S80" s="171" t="str">
        <f t="shared" si="45"/>
        <v/>
      </c>
      <c r="T80" s="171" t="str">
        <f t="shared" si="45"/>
        <v/>
      </c>
      <c r="U80" s="171" t="str">
        <f t="shared" si="45"/>
        <v/>
      </c>
      <c r="V80" s="17"/>
      <c r="W80" s="17"/>
    </row>
    <row r="81" spans="1:24" outlineLevel="1">
      <c r="A81" s="17"/>
      <c r="B81" s="17"/>
      <c r="C81" s="167">
        <f t="shared" si="42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1" t="str">
        <f t="shared" ref="J81:T81" si="46">IF(ISBLANK(I70),"",IF(ISBLANK(J70),"",LN(J70)-LN(I70)))</f>
        <v/>
      </c>
      <c r="K81" s="171" t="str">
        <f t="shared" si="46"/>
        <v/>
      </c>
      <c r="L81" s="171" t="str">
        <f t="shared" si="46"/>
        <v/>
      </c>
      <c r="M81" s="171" t="str">
        <f t="shared" si="46"/>
        <v/>
      </c>
      <c r="N81" s="171" t="str">
        <f t="shared" si="46"/>
        <v/>
      </c>
      <c r="O81" s="171" t="str">
        <f t="shared" si="46"/>
        <v/>
      </c>
      <c r="P81" s="171" t="str">
        <f t="shared" si="46"/>
        <v/>
      </c>
      <c r="Q81" s="171" t="str">
        <f t="shared" si="46"/>
        <v/>
      </c>
      <c r="R81" s="171" t="str">
        <f t="shared" si="46"/>
        <v/>
      </c>
      <c r="S81" s="171" t="str">
        <f t="shared" si="46"/>
        <v/>
      </c>
      <c r="T81" s="171" t="str">
        <f t="shared" si="46"/>
        <v/>
      </c>
      <c r="U81" s="171"/>
      <c r="V81" s="17"/>
      <c r="W81" s="17"/>
    </row>
    <row r="82" spans="1:24" outlineLevel="1">
      <c r="A82" s="17"/>
      <c r="B82" s="17"/>
      <c r="C82" s="167">
        <f t="shared" si="42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1" t="str">
        <f t="shared" ref="J82:T82" si="47">IF(ISBLANK(I71),"",IF(ISBLANK(J71),"",LN(J71)-LN(I71)))</f>
        <v/>
      </c>
      <c r="K82" s="171" t="str">
        <f t="shared" si="47"/>
        <v/>
      </c>
      <c r="L82" s="171" t="str">
        <f t="shared" si="47"/>
        <v/>
      </c>
      <c r="M82" s="171" t="str">
        <f t="shared" si="47"/>
        <v/>
      </c>
      <c r="N82" s="171" t="str">
        <f t="shared" si="47"/>
        <v/>
      </c>
      <c r="O82" s="171" t="str">
        <f t="shared" si="47"/>
        <v/>
      </c>
      <c r="P82" s="171" t="str">
        <f t="shared" si="47"/>
        <v/>
      </c>
      <c r="Q82" s="171" t="str">
        <f t="shared" si="47"/>
        <v/>
      </c>
      <c r="R82" s="171" t="str">
        <f t="shared" si="47"/>
        <v/>
      </c>
      <c r="S82" s="171" t="str">
        <f t="shared" si="47"/>
        <v/>
      </c>
      <c r="T82" s="171" t="str">
        <f t="shared" si="47"/>
        <v/>
      </c>
      <c r="U82" s="171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152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2" t="s">
        <v>220</v>
      </c>
      <c r="K84" s="172"/>
      <c r="L84" s="172"/>
      <c r="M84" s="172"/>
      <c r="N84" s="138"/>
      <c r="O84" s="138"/>
      <c r="P84" s="138"/>
      <c r="Q84" s="138"/>
      <c r="R84" s="138"/>
      <c r="S84" s="138"/>
      <c r="T84" s="138"/>
      <c r="U84" s="138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75"/>
      <c r="P85" s="175"/>
      <c r="Q85" s="175"/>
      <c r="R85" s="175"/>
      <c r="S85" s="175"/>
      <c r="T85" s="175"/>
      <c r="U85" s="175"/>
      <c r="V85" s="17"/>
      <c r="W85" s="17"/>
    </row>
    <row r="86" spans="1:24" outlineLevel="1">
      <c r="A86" s="17"/>
      <c r="B86" s="17"/>
      <c r="C86" s="167" t="str">
        <f t="shared" ref="C86:C91" si="48">C66</f>
        <v>Customer numbers (#) (CIE forecast)</v>
      </c>
      <c r="D86" s="120" t="s">
        <v>93</v>
      </c>
      <c r="E86" s="120" t="str">
        <f t="shared" ref="E86:E91" si="49">percent</f>
        <v>Per cent</v>
      </c>
      <c r="F86" s="120" t="s">
        <v>36</v>
      </c>
      <c r="G86" s="121"/>
      <c r="H86" s="121"/>
      <c r="I86" s="120"/>
      <c r="J86" s="173">
        <v>0.49399999999999999</v>
      </c>
      <c r="K86" s="173"/>
      <c r="L86" s="173"/>
      <c r="M86" s="173"/>
      <c r="N86" s="176"/>
      <c r="O86" s="176"/>
      <c r="P86" s="176"/>
      <c r="Q86" s="176"/>
      <c r="R86" s="176"/>
      <c r="S86" s="176"/>
      <c r="T86" s="176"/>
      <c r="U86" s="176"/>
      <c r="V86" s="17"/>
      <c r="W86" s="17"/>
    </row>
    <row r="87" spans="1:24" outlineLevel="1">
      <c r="A87" s="17"/>
      <c r="B87" s="17"/>
      <c r="C87" s="167" t="str">
        <f t="shared" si="48"/>
        <v>Mains Length (km)</v>
      </c>
      <c r="D87" s="120" t="s">
        <v>93</v>
      </c>
      <c r="E87" s="120" t="str">
        <f t="shared" si="49"/>
        <v>Per cent</v>
      </c>
      <c r="F87" s="120" t="s">
        <v>36</v>
      </c>
      <c r="G87" s="121"/>
      <c r="H87" s="121"/>
      <c r="I87" s="120"/>
      <c r="J87" s="173">
        <v>0.50600000000000001</v>
      </c>
      <c r="K87" s="173"/>
      <c r="L87" s="173"/>
      <c r="M87" s="173"/>
      <c r="N87" s="176"/>
      <c r="O87" s="176"/>
      <c r="P87" s="176"/>
      <c r="Q87" s="176"/>
      <c r="R87" s="176"/>
      <c r="S87" s="176"/>
      <c r="T87" s="176"/>
      <c r="U87" s="176"/>
      <c r="V87" s="17"/>
      <c r="W87" s="17"/>
    </row>
    <row r="88" spans="1:24" outlineLevel="1">
      <c r="A88" s="17"/>
      <c r="B88" s="17"/>
      <c r="C88" s="167">
        <f t="shared" si="48"/>
        <v>0</v>
      </c>
      <c r="D88" s="120" t="s">
        <v>93</v>
      </c>
      <c r="E88" s="120" t="str">
        <f t="shared" si="49"/>
        <v>Per cent</v>
      </c>
      <c r="F88" s="120" t="s">
        <v>36</v>
      </c>
      <c r="G88" s="121"/>
      <c r="H88" s="121"/>
      <c r="I88" s="120"/>
      <c r="J88" s="173"/>
      <c r="K88" s="173"/>
      <c r="L88" s="173"/>
      <c r="M88" s="173"/>
      <c r="N88" s="176"/>
      <c r="O88" s="176"/>
      <c r="P88" s="176"/>
      <c r="Q88" s="176"/>
      <c r="R88" s="176"/>
      <c r="S88" s="176"/>
      <c r="T88" s="176"/>
      <c r="U88" s="176"/>
      <c r="V88" s="17"/>
      <c r="W88" s="17"/>
    </row>
    <row r="89" spans="1:24" outlineLevel="1">
      <c r="A89" s="17"/>
      <c r="B89" s="17"/>
      <c r="C89" s="167">
        <f t="shared" si="48"/>
        <v>0</v>
      </c>
      <c r="D89" s="120" t="s">
        <v>93</v>
      </c>
      <c r="E89" s="120" t="str">
        <f t="shared" si="49"/>
        <v>Per cent</v>
      </c>
      <c r="F89" s="120" t="s">
        <v>36</v>
      </c>
      <c r="G89" s="121"/>
      <c r="H89" s="121"/>
      <c r="I89" s="120"/>
      <c r="J89" s="173"/>
      <c r="K89" s="174"/>
      <c r="L89" s="174"/>
      <c r="M89" s="173"/>
      <c r="N89" s="176"/>
      <c r="O89" s="176"/>
      <c r="P89" s="176"/>
      <c r="Q89" s="176"/>
      <c r="R89" s="176"/>
      <c r="S89" s="176"/>
      <c r="T89" s="176"/>
      <c r="U89" s="176"/>
      <c r="V89" s="17"/>
      <c r="W89" s="17"/>
    </row>
    <row r="90" spans="1:24" outlineLevel="1">
      <c r="A90" s="17"/>
      <c r="B90" s="17"/>
      <c r="C90" s="167">
        <f t="shared" si="48"/>
        <v>0</v>
      </c>
      <c r="D90" s="120" t="s">
        <v>93</v>
      </c>
      <c r="E90" s="120" t="str">
        <f t="shared" si="49"/>
        <v>Per cent</v>
      </c>
      <c r="F90" s="120" t="s">
        <v>36</v>
      </c>
      <c r="G90" s="121"/>
      <c r="H90" s="121"/>
      <c r="I90" s="120"/>
      <c r="J90" s="174"/>
      <c r="K90" s="174"/>
      <c r="L90" s="174"/>
      <c r="M90" s="174"/>
      <c r="N90" s="176"/>
      <c r="O90" s="176"/>
      <c r="P90" s="176"/>
      <c r="Q90" s="176"/>
      <c r="R90" s="176"/>
      <c r="S90" s="176"/>
      <c r="T90" s="176"/>
      <c r="U90" s="176"/>
      <c r="V90" s="17"/>
      <c r="W90" s="17"/>
    </row>
    <row r="91" spans="1:24" outlineLevel="1">
      <c r="A91" s="17"/>
      <c r="B91" s="17"/>
      <c r="C91" s="167">
        <f t="shared" si="48"/>
        <v>0</v>
      </c>
      <c r="D91" s="120" t="s">
        <v>93</v>
      </c>
      <c r="E91" s="120" t="str">
        <f t="shared" si="49"/>
        <v>Per cent</v>
      </c>
      <c r="F91" s="120" t="s">
        <v>36</v>
      </c>
      <c r="G91" s="121"/>
      <c r="H91" s="121"/>
      <c r="I91" s="120"/>
      <c r="J91" s="174"/>
      <c r="K91" s="174"/>
      <c r="L91" s="174"/>
      <c r="M91" s="174"/>
      <c r="N91" s="176"/>
      <c r="O91" s="176"/>
      <c r="P91" s="176"/>
      <c r="Q91" s="176"/>
      <c r="R91" s="176"/>
      <c r="S91" s="176"/>
      <c r="T91" s="176"/>
      <c r="U91" s="176"/>
      <c r="V91" s="17"/>
      <c r="W91" s="17"/>
    </row>
    <row r="92" spans="1:24" outlineLevel="1">
      <c r="A92" s="17"/>
      <c r="B92" s="17"/>
      <c r="C92" s="17"/>
      <c r="D92" s="120"/>
      <c r="E92" s="120"/>
      <c r="F92" s="120"/>
      <c r="G92" s="121"/>
      <c r="H92" s="121"/>
      <c r="I92" s="120"/>
      <c r="J92" s="17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/>
      <c r="D93" s="120"/>
      <c r="E93" s="120"/>
      <c r="F93" s="120"/>
      <c r="G93" s="121"/>
      <c r="H93" s="121"/>
      <c r="I93" s="120"/>
      <c r="J93" s="165" t="str">
        <f>IF(AND(ISBLANK(J84),COUNT(J86:J91)=0),"Ok",IF(AND(COUNTA($C66:$C71)=COUNT(J86:J91),COUNTA(J84)=1),"Ok","Check"))</f>
        <v>Ok</v>
      </c>
      <c r="K93" s="165" t="str">
        <f>IF(AND(ISBLANK(K84),COUNT(K86:K91)=0),"Ok",IF(AND(COUNTA($C66:$C71)=COUNT(K86:K91),COUNTA(K84)=1),"Ok","Check"))</f>
        <v>Ok</v>
      </c>
      <c r="L93" s="165" t="str">
        <f>IF(AND(ISBLANK(L84),COUNT(L86:L91)=0),"Ok",IF(AND(COUNTA($C66:$C71)=COUNT(L86:L91),COUNTA(L84)=1),"Ok","Check"))</f>
        <v>Ok</v>
      </c>
      <c r="M93" s="165" t="str">
        <f>IF(AND(ISBLANK(M84),COUNT(M86:M91)=0),"Ok",IF(AND(COUNTA($C66:$C71)=COUNT(M86:M91),COUNTA(M84)=1),"Ok","Check"))</f>
        <v>Ok</v>
      </c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2" t="s">
        <v>153</v>
      </c>
      <c r="D94" s="121" t="s">
        <v>7</v>
      </c>
      <c r="E94" s="121" t="s">
        <v>8</v>
      </c>
      <c r="F94" s="121" t="s">
        <v>22</v>
      </c>
      <c r="G94" s="120"/>
      <c r="H94" s="120"/>
      <c r="I94" s="120"/>
      <c r="J94" s="8"/>
      <c r="N94" s="138" t="str">
        <f t="shared" ref="N94:U94" si="50">IF(YEAR(N$4)&gt;=FPFirstYear,IF(YEAR(N$4)&lt;=FPLastYear,N$4,""),"")</f>
        <v/>
      </c>
      <c r="O94" s="138" t="str">
        <f t="shared" si="50"/>
        <v/>
      </c>
      <c r="P94" s="138">
        <f t="shared" si="50"/>
        <v>46539</v>
      </c>
      <c r="Q94" s="138">
        <f t="shared" si="50"/>
        <v>46905</v>
      </c>
      <c r="R94" s="138">
        <f t="shared" si="50"/>
        <v>47270</v>
      </c>
      <c r="S94" s="138">
        <f t="shared" si="50"/>
        <v>47635</v>
      </c>
      <c r="T94" s="138">
        <f t="shared" si="50"/>
        <v>48000</v>
      </c>
      <c r="U94" s="138" t="str">
        <f t="shared" si="50"/>
        <v/>
      </c>
      <c r="V94" s="166"/>
      <c r="W94" s="17"/>
      <c r="X94" s="82"/>
    </row>
    <row r="95" spans="1:24" outlineLevel="1">
      <c r="A95" s="17"/>
      <c r="B95" s="17"/>
      <c r="C95" s="17"/>
      <c r="D95" s="120"/>
      <c r="E95" s="120"/>
      <c r="F95" s="120"/>
      <c r="G95" s="120"/>
      <c r="H95" s="120"/>
      <c r="I95" s="120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6"/>
      <c r="W95" s="17"/>
      <c r="X95" s="82"/>
    </row>
    <row r="96" spans="1:24" outlineLevel="1">
      <c r="A96" s="17"/>
      <c r="B96" s="17"/>
      <c r="C96" s="167" t="str">
        <f t="array" ref="C96:C99">TRANSPOSE(J84:M84)</f>
        <v>Output</v>
      </c>
      <c r="D96" s="120" t="s">
        <v>93</v>
      </c>
      <c r="E96" s="120" t="s">
        <v>18</v>
      </c>
      <c r="F96" s="120" t="s">
        <v>36</v>
      </c>
      <c r="G96" s="120"/>
      <c r="H96" s="120"/>
      <c r="I96" s="120"/>
      <c r="J96" s="171" t="str">
        <f>IF(J$93=J$4,SUMPRODUCT(J$77:J$82,$J$86:$J$91),"")</f>
        <v/>
      </c>
      <c r="K96" s="171" t="str">
        <f>IF(K$93=K$4,SUMPRODUCT(K$77:K$82,$J$86:$J$91),"")</f>
        <v/>
      </c>
      <c r="L96" s="171" t="str">
        <f>IF(L$93=L$4,SUMPRODUCT(L$77:L$82,$J$86:$J$91),"")</f>
        <v/>
      </c>
      <c r="M96" s="171" t="str">
        <f>IF(M$93=M$4,SUMPRODUCT(M$77:M$82,$J$86:$J$91),"")</f>
        <v/>
      </c>
      <c r="N96" s="171" t="str">
        <f t="shared" ref="N96:U96" si="51">IF(N$94=N$4,SUMPRODUCT(N$77:N$82,$J$86:$J$91),"")</f>
        <v/>
      </c>
      <c r="O96" s="171" t="str">
        <f t="shared" si="51"/>
        <v/>
      </c>
      <c r="P96" s="171">
        <f t="shared" si="51"/>
        <v>1.8934276979894272E-3</v>
      </c>
      <c r="Q96" s="171">
        <f t="shared" si="51"/>
        <v>1.3368605281209262E-3</v>
      </c>
      <c r="R96" s="171">
        <f t="shared" si="51"/>
        <v>4.9883587062360705E-3</v>
      </c>
      <c r="S96" s="171">
        <f t="shared" si="51"/>
        <v>4.2001997542879437E-3</v>
      </c>
      <c r="T96" s="171">
        <f t="shared" si="51"/>
        <v>3.4100438701370056E-3</v>
      </c>
      <c r="U96" s="171" t="str">
        <f t="shared" si="51"/>
        <v/>
      </c>
      <c r="V96" s="166"/>
      <c r="W96" s="17"/>
      <c r="X96" s="82"/>
    </row>
    <row r="97" spans="1:34" outlineLevel="1">
      <c r="A97" s="17"/>
      <c r="B97" s="17"/>
      <c r="C97" s="167">
        <v>0</v>
      </c>
      <c r="D97" s="120" t="s">
        <v>93</v>
      </c>
      <c r="E97" s="120" t="s">
        <v>18</v>
      </c>
      <c r="F97" s="120" t="s">
        <v>36</v>
      </c>
      <c r="G97" s="120"/>
      <c r="H97" s="120"/>
      <c r="I97" s="120"/>
      <c r="J97" s="171" t="str">
        <f>IF(J$93=J$4,SUMPRODUCT(J$77:J$82,$K$86:$K$91),"")</f>
        <v/>
      </c>
      <c r="K97" s="171" t="str">
        <f>IF(K$93=K$4,SUMPRODUCT(K$77:K$82,$K$86:$K$91),"")</f>
        <v/>
      </c>
      <c r="L97" s="171" t="str">
        <f>IF(L$93=L$4,SUMPRODUCT(L$77:L$82,$K$86:$K$91),"")</f>
        <v/>
      </c>
      <c r="M97" s="171" t="str">
        <f>IF(M$93=M$4,SUMPRODUCT(M$77:M$82,$K$86:$K$91),"")</f>
        <v/>
      </c>
      <c r="N97" s="171" t="str">
        <f t="shared" ref="N97:U97" si="52">IF(N$94=N$4,SUMPRODUCT(N$77:N$82,$K$86:$K$91),"")</f>
        <v/>
      </c>
      <c r="O97" s="171" t="str">
        <f t="shared" si="52"/>
        <v/>
      </c>
      <c r="P97" s="171">
        <f t="shared" si="52"/>
        <v>0</v>
      </c>
      <c r="Q97" s="171">
        <f t="shared" si="52"/>
        <v>0</v>
      </c>
      <c r="R97" s="171">
        <f t="shared" si="52"/>
        <v>0</v>
      </c>
      <c r="S97" s="171">
        <f t="shared" si="52"/>
        <v>0</v>
      </c>
      <c r="T97" s="171">
        <f t="shared" si="52"/>
        <v>0</v>
      </c>
      <c r="U97" s="171" t="str">
        <f t="shared" si="52"/>
        <v/>
      </c>
      <c r="V97" s="166"/>
      <c r="W97" s="17"/>
      <c r="X97" s="82"/>
    </row>
    <row r="98" spans="1:34" outlineLevel="1">
      <c r="A98" s="17"/>
      <c r="B98" s="17"/>
      <c r="C98" s="167">
        <v>0</v>
      </c>
      <c r="D98" s="120" t="s">
        <v>93</v>
      </c>
      <c r="E98" s="120" t="s">
        <v>18</v>
      </c>
      <c r="F98" s="120" t="s">
        <v>36</v>
      </c>
      <c r="G98" s="120"/>
      <c r="H98" s="120"/>
      <c r="I98" s="120"/>
      <c r="J98" s="171" t="str">
        <f>IF(J$93=J$4,SUMPRODUCT(J$77:J$82,$L$86:$L$91),"")</f>
        <v/>
      </c>
      <c r="K98" s="171" t="str">
        <f>IF(K$93=K$4,SUMPRODUCT(K$77:K$82,$L$86:$L$91),"")</f>
        <v/>
      </c>
      <c r="L98" s="171" t="str">
        <f>IF(L$93=L$4,SUMPRODUCT(L$77:L$82,$L$86:$L$91),"")</f>
        <v/>
      </c>
      <c r="M98" s="171" t="str">
        <f>IF(M$93=M$4,SUMPRODUCT(M$77:M$82,$L$86:$L$91),"")</f>
        <v/>
      </c>
      <c r="N98" s="171" t="str">
        <f t="shared" ref="N98:U98" si="53">IF(N$94=N$4,SUMPRODUCT(N$77:N$82,$L$86:$L$91),"")</f>
        <v/>
      </c>
      <c r="O98" s="171" t="str">
        <f t="shared" si="53"/>
        <v/>
      </c>
      <c r="P98" s="171">
        <f t="shared" si="53"/>
        <v>0</v>
      </c>
      <c r="Q98" s="171">
        <f t="shared" si="53"/>
        <v>0</v>
      </c>
      <c r="R98" s="171">
        <f t="shared" si="53"/>
        <v>0</v>
      </c>
      <c r="S98" s="171">
        <f t="shared" si="53"/>
        <v>0</v>
      </c>
      <c r="T98" s="171">
        <f t="shared" si="53"/>
        <v>0</v>
      </c>
      <c r="U98" s="171" t="str">
        <f t="shared" si="53"/>
        <v/>
      </c>
      <c r="V98" s="166"/>
      <c r="W98" s="17"/>
      <c r="X98" s="82"/>
    </row>
    <row r="99" spans="1:34" outlineLevel="1">
      <c r="A99" s="17"/>
      <c r="B99" s="17"/>
      <c r="C99" s="167">
        <v>0</v>
      </c>
      <c r="D99" s="120" t="s">
        <v>93</v>
      </c>
      <c r="E99" s="120" t="s">
        <v>18</v>
      </c>
      <c r="F99" s="120" t="s">
        <v>36</v>
      </c>
      <c r="G99" s="120"/>
      <c r="H99" s="120"/>
      <c r="I99" s="120"/>
      <c r="J99" s="171" t="str">
        <f>IF(J$93=J$4,SUMPRODUCT(J$77:J$82,$M$86:$M$91),"")</f>
        <v/>
      </c>
      <c r="K99" s="171" t="str">
        <f>IF(K$93=K$4,SUMPRODUCT(K$77:K$82,$M$86:$M$91),"")</f>
        <v/>
      </c>
      <c r="L99" s="171" t="str">
        <f>IF(L$93=L$4,SUMPRODUCT(L$77:L$82,$M$86:$M$91),"")</f>
        <v/>
      </c>
      <c r="M99" s="171" t="str">
        <f>IF(M$93=M$4,SUMPRODUCT(M$77:M$82,$M$86:$M$91),"")</f>
        <v/>
      </c>
      <c r="N99" s="171" t="str">
        <f t="shared" ref="N99:U99" si="54">IF(N$94=N$4,SUMPRODUCT(N$77:N$82,$M$86:$M$91),"")</f>
        <v/>
      </c>
      <c r="O99" s="171" t="str">
        <f t="shared" si="54"/>
        <v/>
      </c>
      <c r="P99" s="171">
        <f t="shared" si="54"/>
        <v>0</v>
      </c>
      <c r="Q99" s="171">
        <f t="shared" si="54"/>
        <v>0</v>
      </c>
      <c r="R99" s="171">
        <f t="shared" si="54"/>
        <v>0</v>
      </c>
      <c r="S99" s="171">
        <f t="shared" si="54"/>
        <v>0</v>
      </c>
      <c r="T99" s="171">
        <f t="shared" si="54"/>
        <v>0</v>
      </c>
      <c r="U99" s="171" t="str">
        <f t="shared" si="54"/>
        <v/>
      </c>
      <c r="V99" s="166"/>
      <c r="W99" s="17"/>
      <c r="X99" s="82"/>
    </row>
    <row r="100" spans="1:34" outlineLevel="1">
      <c r="A100" s="17"/>
      <c r="B100" s="17"/>
      <c r="C100" s="125"/>
      <c r="D100" s="120"/>
      <c r="E100" s="120"/>
      <c r="F100" s="120"/>
      <c r="G100" s="121"/>
      <c r="H100" s="121"/>
      <c r="I100" s="120"/>
      <c r="J100" s="120"/>
      <c r="K100" s="126"/>
      <c r="L100" s="126"/>
      <c r="M100" s="126"/>
      <c r="N100" s="126"/>
      <c r="O100" s="126"/>
      <c r="P100" s="17"/>
      <c r="Q100" s="17"/>
      <c r="R100" s="17"/>
      <c r="S100" s="17"/>
      <c r="T100" s="17"/>
      <c r="U100" s="17"/>
      <c r="V100" s="17"/>
      <c r="W100" s="17"/>
    </row>
    <row r="101" spans="1:34" customFormat="1" ht="12.75">
      <c r="A101" s="32"/>
      <c r="B101" s="38" t="s">
        <v>73</v>
      </c>
      <c r="C101" s="32"/>
      <c r="D101" s="32"/>
      <c r="E101" s="32"/>
      <c r="F101" s="118"/>
      <c r="G101" s="118"/>
      <c r="H101" s="118"/>
      <c r="I101" s="118"/>
      <c r="J101" s="118"/>
      <c r="K101" s="34"/>
      <c r="L101" s="119"/>
      <c r="M101" s="34"/>
      <c r="N101" s="119"/>
      <c r="O101" s="34"/>
      <c r="P101" s="34"/>
      <c r="Q101" s="34"/>
      <c r="R101" s="34"/>
      <c r="S101" s="34"/>
      <c r="T101" s="34"/>
      <c r="U101" s="34"/>
      <c r="V101" s="34"/>
      <c r="W101" s="34"/>
      <c r="X101" s="35"/>
      <c r="Y101" s="36"/>
      <c r="Z101" s="36"/>
      <c r="AA101" s="36"/>
      <c r="AB101" s="36"/>
      <c r="AC101" s="36"/>
      <c r="AD101" s="36"/>
      <c r="AE101" s="36"/>
      <c r="AF101" s="36"/>
      <c r="AG101" s="37"/>
      <c r="AH101" s="37"/>
    </row>
    <row r="102" spans="1:34" outlineLevel="1">
      <c r="A102" s="17"/>
      <c r="B102" s="17"/>
      <c r="C102" s="17"/>
      <c r="D102" s="120"/>
      <c r="E102" s="120"/>
      <c r="F102" s="120"/>
      <c r="G102" s="121"/>
      <c r="H102" s="121"/>
      <c r="I102" s="120"/>
      <c r="J102" s="120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</row>
    <row r="103" spans="1:34" outlineLevel="1">
      <c r="A103" s="17"/>
      <c r="B103" s="17"/>
      <c r="C103" s="122" t="s">
        <v>47</v>
      </c>
      <c r="D103" s="121" t="s">
        <v>7</v>
      </c>
      <c r="E103" s="121" t="s">
        <v>8</v>
      </c>
      <c r="F103" s="121" t="s">
        <v>22</v>
      </c>
      <c r="G103" s="121"/>
      <c r="H103" s="121"/>
      <c r="I103" s="120"/>
      <c r="J103" s="138" t="str">
        <f t="shared" ref="J103:U103" si="55">IF(YEAR(J$4)&gt;=FPFirstYear,IF(YEAR(J$4)&lt;=FPLastYear,J$4,""),"")</f>
        <v/>
      </c>
      <c r="K103" s="138" t="str">
        <f t="shared" si="55"/>
        <v/>
      </c>
      <c r="L103" s="138" t="str">
        <f t="shared" si="55"/>
        <v/>
      </c>
      <c r="M103" s="138" t="str">
        <f t="shared" si="55"/>
        <v/>
      </c>
      <c r="N103" s="138" t="str">
        <f t="shared" si="55"/>
        <v/>
      </c>
      <c r="O103" s="138" t="str">
        <f t="shared" si="55"/>
        <v/>
      </c>
      <c r="P103" s="138">
        <f t="shared" si="55"/>
        <v>46539</v>
      </c>
      <c r="Q103" s="138">
        <f t="shared" si="55"/>
        <v>46905</v>
      </c>
      <c r="R103" s="138">
        <f t="shared" si="55"/>
        <v>47270</v>
      </c>
      <c r="S103" s="138">
        <f t="shared" si="55"/>
        <v>47635</v>
      </c>
      <c r="T103" s="138">
        <f t="shared" si="55"/>
        <v>48000</v>
      </c>
      <c r="U103" s="138" t="str">
        <f t="shared" si="55"/>
        <v/>
      </c>
      <c r="V103" s="17"/>
      <c r="W103" s="17"/>
    </row>
    <row r="104" spans="1:34" outlineLevel="1">
      <c r="A104" s="17"/>
      <c r="B104" s="17"/>
      <c r="C104" s="125"/>
      <c r="D104" s="120"/>
      <c r="E104" s="120"/>
      <c r="F104" s="120"/>
      <c r="G104" s="121"/>
      <c r="H104" s="121"/>
      <c r="I104" s="120"/>
      <c r="J104" s="120"/>
      <c r="K104" s="126"/>
      <c r="L104" s="126"/>
      <c r="M104" s="126"/>
      <c r="N104" s="126"/>
      <c r="O104" s="126"/>
      <c r="P104" s="17"/>
      <c r="Q104" s="17"/>
      <c r="R104" s="17"/>
      <c r="S104" s="17"/>
      <c r="T104" s="17"/>
      <c r="U104" s="17"/>
      <c r="V104" s="17"/>
      <c r="W104" s="17"/>
    </row>
    <row r="105" spans="1:34" outlineLevel="1">
      <c r="A105" s="17"/>
      <c r="B105" s="17"/>
      <c r="C105" s="125" t="s">
        <v>47</v>
      </c>
      <c r="D105" s="120" t="s">
        <v>96</v>
      </c>
      <c r="E105" s="120" t="str">
        <f>percent</f>
        <v>Per cent</v>
      </c>
      <c r="F105" s="120" t="s">
        <v>36</v>
      </c>
      <c r="G105" s="121"/>
      <c r="H105" s="121"/>
      <c r="I105" s="120"/>
      <c r="J105" s="157"/>
      <c r="K105" s="178"/>
      <c r="L105" s="178"/>
      <c r="M105" s="178"/>
      <c r="N105" s="178"/>
      <c r="O105" s="168"/>
      <c r="P105" s="168">
        <v>4.0000000000000001E-3</v>
      </c>
      <c r="Q105" s="168">
        <v>4.0000000000000001E-3</v>
      </c>
      <c r="R105" s="168">
        <v>4.0000000000000001E-3</v>
      </c>
      <c r="S105" s="168">
        <v>4.0000000000000001E-3</v>
      </c>
      <c r="T105" s="168">
        <v>4.0000000000000001E-3</v>
      </c>
      <c r="U105" s="168"/>
      <c r="V105" s="17"/>
      <c r="W105" s="17"/>
    </row>
    <row r="106" spans="1:34" outlineLevel="1">
      <c r="A106" s="17"/>
      <c r="B106" s="17"/>
      <c r="C106" s="125"/>
      <c r="D106" s="120"/>
      <c r="E106" s="120"/>
      <c r="F106" s="120"/>
      <c r="G106" s="121"/>
      <c r="H106" s="121"/>
      <c r="I106" s="120"/>
      <c r="J106" s="120"/>
      <c r="K106" s="126"/>
      <c r="L106" s="126"/>
      <c r="M106" s="126"/>
      <c r="N106" s="126"/>
      <c r="O106" s="126"/>
      <c r="P106" s="179"/>
      <c r="Q106" s="179"/>
      <c r="R106" s="179"/>
      <c r="S106" s="179"/>
      <c r="T106" s="179"/>
      <c r="U106" s="179"/>
      <c r="V106" s="17"/>
      <c r="W106" s="17"/>
    </row>
    <row r="107" spans="1:34" outlineLevel="1">
      <c r="A107" s="17"/>
      <c r="B107" s="17"/>
      <c r="C107" s="17" t="s">
        <v>40</v>
      </c>
      <c r="D107" s="120" t="s">
        <v>93</v>
      </c>
      <c r="E107" s="120" t="s">
        <v>28</v>
      </c>
      <c r="F107" s="120" t="s">
        <v>36</v>
      </c>
      <c r="G107" s="120"/>
      <c r="H107" s="120"/>
      <c r="I107" s="120"/>
      <c r="J107" s="165" t="str">
        <f t="shared" ref="J107:S107" si="56">IF(J103=J$4,IF(ISBLANK(J105),"Check","Ok"),"")</f>
        <v/>
      </c>
      <c r="K107" s="165" t="str">
        <f t="shared" si="56"/>
        <v/>
      </c>
      <c r="L107" s="165" t="str">
        <f t="shared" si="56"/>
        <v/>
      </c>
      <c r="M107" s="165" t="str">
        <f t="shared" si="56"/>
        <v/>
      </c>
      <c r="N107" s="165" t="str">
        <f t="shared" si="56"/>
        <v/>
      </c>
      <c r="O107" s="165" t="str">
        <f t="shared" si="56"/>
        <v/>
      </c>
      <c r="P107" s="165" t="str">
        <f t="shared" si="56"/>
        <v>Ok</v>
      </c>
      <c r="Q107" s="165" t="str">
        <f t="shared" si="56"/>
        <v>Ok</v>
      </c>
      <c r="R107" s="165" t="str">
        <f t="shared" si="56"/>
        <v>Ok</v>
      </c>
      <c r="S107" s="165" t="str">
        <f t="shared" si="56"/>
        <v>Ok</v>
      </c>
      <c r="T107" s="165" t="str">
        <f>IF(T103=T$4,IF(ISBLANK(T105),"Check","Ok"),"")</f>
        <v>Ok</v>
      </c>
      <c r="U107" s="165" t="str">
        <f>IF(U103=U$4,IF(ISBLANK(U105),"Check","Ok"),"")</f>
        <v/>
      </c>
      <c r="V107" s="166"/>
      <c r="W107" s="17"/>
      <c r="X107" s="81" t="str">
        <f>IF(COUNTIF(J107:T107,"Check")=0,"Ok","Check")</f>
        <v>Ok</v>
      </c>
    </row>
    <row r="108" spans="1:34" outlineLevel="1">
      <c r="A108" s="17"/>
      <c r="B108" s="17"/>
      <c r="C108" s="125"/>
      <c r="D108" s="120"/>
      <c r="E108" s="120"/>
      <c r="F108" s="120"/>
      <c r="G108" s="121"/>
      <c r="H108" s="121"/>
      <c r="I108" s="120"/>
      <c r="J108" s="120"/>
      <c r="K108" s="126"/>
      <c r="L108" s="126"/>
      <c r="M108" s="126"/>
      <c r="N108" s="126"/>
      <c r="O108" s="126"/>
      <c r="P108" s="17"/>
      <c r="Q108" s="17"/>
      <c r="R108" s="17"/>
      <c r="S108" s="17"/>
      <c r="T108" s="17"/>
      <c r="U108" s="17"/>
      <c r="V108" s="17"/>
      <c r="W108" s="17"/>
    </row>
    <row r="109" spans="1:34" customFormat="1" ht="12.75">
      <c r="A109" s="32"/>
      <c r="B109" s="38" t="s">
        <v>21</v>
      </c>
      <c r="C109" s="32"/>
      <c r="D109" s="32"/>
      <c r="E109" s="32"/>
      <c r="F109" s="118"/>
      <c r="G109" s="118"/>
      <c r="H109" s="118"/>
      <c r="I109" s="118"/>
      <c r="J109" s="118"/>
      <c r="K109" s="34"/>
      <c r="L109" s="119"/>
      <c r="M109" s="34"/>
      <c r="N109" s="119"/>
      <c r="O109" s="34"/>
      <c r="P109" s="34"/>
      <c r="Q109" s="34"/>
      <c r="R109" s="34"/>
      <c r="S109" s="34"/>
      <c r="T109" s="34"/>
      <c r="U109" s="34"/>
      <c r="V109" s="34"/>
      <c r="W109" s="34"/>
      <c r="X109" s="35"/>
      <c r="Y109" s="36"/>
      <c r="Z109" s="36"/>
      <c r="AA109" s="36"/>
      <c r="AB109" s="36"/>
      <c r="AC109" s="36"/>
      <c r="AD109" s="36"/>
      <c r="AE109" s="36"/>
      <c r="AF109" s="36"/>
      <c r="AG109" s="37"/>
      <c r="AH109" s="37"/>
    </row>
  </sheetData>
  <mergeCells count="2">
    <mergeCell ref="K3:M3"/>
    <mergeCell ref="O3:T3"/>
  </mergeCells>
  <conditionalFormatting sqref="J93:M93">
    <cfRule type="cellIs" dxfId="106" priority="3" operator="equal">
      <formula>"Check"</formula>
    </cfRule>
    <cfRule type="cellIs" dxfId="105" priority="4" operator="equal">
      <formula>"Ok"</formula>
    </cfRule>
  </conditionalFormatting>
  <conditionalFormatting sqref="J38:O38 T38 J39:T40 J41:U45">
    <cfRule type="expression" dxfId="104" priority="61">
      <formula>J$36=J$4</formula>
    </cfRule>
  </conditionalFormatting>
  <conditionalFormatting sqref="J16:U22">
    <cfRule type="cellIs" dxfId="103" priority="28" operator="equal">
      <formula>0</formula>
    </cfRule>
  </conditionalFormatting>
  <conditionalFormatting sqref="J26:U32">
    <cfRule type="cellIs" dxfId="102" priority="29" operator="equal">
      <formula>0</formula>
    </cfRule>
  </conditionalFormatting>
  <conditionalFormatting sqref="J36:U36">
    <cfRule type="expression" dxfId="101" priority="63">
      <formula>J$36=J$4</formula>
    </cfRule>
  </conditionalFormatting>
  <conditionalFormatting sqref="J47:U47">
    <cfRule type="cellIs" dxfId="100" priority="49" operator="equal">
      <formula>"Ok"</formula>
    </cfRule>
    <cfRule type="cellIs" dxfId="99" priority="48" operator="equal">
      <formula>"Check"</formula>
    </cfRule>
  </conditionalFormatting>
  <conditionalFormatting sqref="J49:U49">
    <cfRule type="expression" dxfId="98" priority="33">
      <formula>J$36=J$4</formula>
    </cfRule>
  </conditionalFormatting>
  <conditionalFormatting sqref="J51:U58">
    <cfRule type="expression" dxfId="97" priority="14">
      <formula>J$49=J$4</formula>
    </cfRule>
  </conditionalFormatting>
  <conditionalFormatting sqref="J60:U60">
    <cfRule type="cellIs" dxfId="96" priority="72" operator="equal">
      <formula>"Check"</formula>
    </cfRule>
    <cfRule type="cellIs" dxfId="95" priority="73" operator="equal">
      <formula>"Ok"</formula>
    </cfRule>
  </conditionalFormatting>
  <conditionalFormatting sqref="J64:U64">
    <cfRule type="expression" dxfId="94" priority="38">
      <formula>J$64=J$4</formula>
    </cfRule>
  </conditionalFormatting>
  <conditionalFormatting sqref="J66:U71">
    <cfRule type="expression" dxfId="93" priority="36">
      <formula>J$64=J$4</formula>
    </cfRule>
  </conditionalFormatting>
  <conditionalFormatting sqref="J73:U73">
    <cfRule type="cellIs" dxfId="92" priority="44" operator="equal">
      <formula>"Check"</formula>
    </cfRule>
    <cfRule type="cellIs" dxfId="91" priority="45" operator="equal">
      <formula>"Ok"</formula>
    </cfRule>
  </conditionalFormatting>
  <conditionalFormatting sqref="J75:U75">
    <cfRule type="expression" dxfId="90" priority="32">
      <formula>J$36=J$4</formula>
    </cfRule>
  </conditionalFormatting>
  <conditionalFormatting sqref="J95:U95">
    <cfRule type="cellIs" dxfId="89" priority="21" operator="equal">
      <formula>"Check"</formula>
    </cfRule>
    <cfRule type="cellIs" dxfId="88" priority="22" operator="equal">
      <formula>"Ok"</formula>
    </cfRule>
  </conditionalFormatting>
  <conditionalFormatting sqref="J103:U103">
    <cfRule type="expression" dxfId="87" priority="31">
      <formula>J$36=J$4</formula>
    </cfRule>
  </conditionalFormatting>
  <conditionalFormatting sqref="J105:U105">
    <cfRule type="expression" dxfId="86" priority="186">
      <formula>J$103=J$4</formula>
    </cfRule>
  </conditionalFormatting>
  <conditionalFormatting sqref="J107:U107">
    <cfRule type="cellIs" dxfId="85" priority="53" operator="equal">
      <formula>"Ok"</formula>
    </cfRule>
    <cfRule type="cellIs" dxfId="84" priority="52" operator="equal">
      <formula>"Check"</formula>
    </cfRule>
  </conditionalFormatting>
  <conditionalFormatting sqref="L86:M88 K89:M91">
    <cfRule type="expression" dxfId="83" priority="187">
      <formula>K$84=K$4</formula>
    </cfRule>
  </conditionalFormatting>
  <conditionalFormatting sqref="N94:U94">
    <cfRule type="expression" dxfId="82" priority="185">
      <formula>N$94=N$4</formula>
    </cfRule>
  </conditionalFormatting>
  <conditionalFormatting sqref="P38:T45">
    <cfRule type="expression" dxfId="81" priority="16">
      <formula>P$36=P$4</formula>
    </cfRule>
  </conditionalFormatting>
  <conditionalFormatting sqref="T1:U1">
    <cfRule type="cellIs" dxfId="80" priority="92" operator="equal">
      <formula>"Check"</formula>
    </cfRule>
    <cfRule type="cellIs" dxfId="79" priority="93" operator="equal">
      <formula>"Ok"</formula>
    </cfRule>
  </conditionalFormatting>
  <conditionalFormatting sqref="X1">
    <cfRule type="cellIs" dxfId="78" priority="128" operator="equal">
      <formula>"Check"</formula>
    </cfRule>
    <cfRule type="cellIs" dxfId="77" priority="129" operator="equal">
      <formula>"Ok"</formula>
    </cfRule>
  </conditionalFormatting>
  <conditionalFormatting sqref="X47">
    <cfRule type="cellIs" dxfId="76" priority="50" operator="equal">
      <formula>"Check"</formula>
    </cfRule>
    <cfRule type="cellIs" dxfId="75" priority="51" operator="equal">
      <formula>"Ok"</formula>
    </cfRule>
  </conditionalFormatting>
  <conditionalFormatting sqref="X60">
    <cfRule type="cellIs" dxfId="74" priority="80" operator="equal">
      <formula>"Check"</formula>
    </cfRule>
    <cfRule type="cellIs" dxfId="73" priority="81" operator="equal">
      <formula>"Ok"</formula>
    </cfRule>
  </conditionalFormatting>
  <conditionalFormatting sqref="X73">
    <cfRule type="cellIs" dxfId="72" priority="46" operator="equal">
      <formula>"Check"</formula>
    </cfRule>
    <cfRule type="cellIs" dxfId="71" priority="47" operator="equal">
      <formula>"Ok"</formula>
    </cfRule>
  </conditionalFormatting>
  <conditionalFormatting sqref="X93:X99">
    <cfRule type="cellIs" dxfId="70" priority="2" operator="equal">
      <formula>"Ok"</formula>
    </cfRule>
    <cfRule type="cellIs" dxfId="69" priority="1" operator="equal">
      <formula>"Check"</formula>
    </cfRule>
  </conditionalFormatting>
  <conditionalFormatting sqref="X107">
    <cfRule type="cellIs" dxfId="68" priority="54" operator="equal">
      <formula>"Check"</formula>
    </cfRule>
    <cfRule type="cellIs" dxfId="67" priority="55" operator="equal">
      <formula>"Ok"</formula>
    </cfRule>
  </conditionalFormatting>
  <dataValidations count="2">
    <dataValidation type="list" allowBlank="1" showInputMessage="1" showErrorMessage="1" sqref="F108 F74 F100 F85 F83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J1" sqref="J1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188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0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 t="s">
        <v>212</v>
      </c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1">
        <v>0</v>
      </c>
      <c r="P12" s="181">
        <v>0</v>
      </c>
      <c r="Q12" s="181">
        <v>0</v>
      </c>
      <c r="R12" s="181">
        <v>0</v>
      </c>
      <c r="S12" s="181">
        <v>0</v>
      </c>
      <c r="T12" s="181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 t="s">
        <v>213</v>
      </c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1">
        <v>6.4163517710000004</v>
      </c>
      <c r="P13" s="181">
        <v>6.3899033980000004</v>
      </c>
      <c r="Q13" s="181">
        <v>6.3634786380000001</v>
      </c>
      <c r="R13" s="181">
        <v>6.5329932189999997</v>
      </c>
      <c r="S13" s="181">
        <v>6.342806843</v>
      </c>
      <c r="T13" s="181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 t="s">
        <v>214</v>
      </c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1">
        <v>0</v>
      </c>
      <c r="P14" s="181">
        <v>0</v>
      </c>
      <c r="Q14" s="181">
        <v>0</v>
      </c>
      <c r="R14" s="181">
        <v>0</v>
      </c>
      <c r="S14" s="181">
        <v>0</v>
      </c>
      <c r="T14" s="181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 t="s">
        <v>215</v>
      </c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1">
        <v>0</v>
      </c>
      <c r="P15" s="181">
        <v>0</v>
      </c>
      <c r="Q15" s="181">
        <v>0</v>
      </c>
      <c r="R15" s="181">
        <v>0</v>
      </c>
      <c r="S15" s="181">
        <v>0</v>
      </c>
      <c r="T15" s="181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 t="s">
        <v>216</v>
      </c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2">
        <v>0.73634239401795709</v>
      </c>
      <c r="P16" s="182">
        <v>0.81434033525839977</v>
      </c>
      <c r="Q16" s="182">
        <v>0.90102335387077492</v>
      </c>
      <c r="R16" s="182">
        <v>0.85645687237988943</v>
      </c>
      <c r="S16" s="182">
        <v>0.78037353401136011</v>
      </c>
      <c r="T16" s="181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 t="s">
        <v>217</v>
      </c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1">
        <v>0</v>
      </c>
      <c r="P17" s="181">
        <v>0</v>
      </c>
      <c r="Q17" s="181">
        <v>0</v>
      </c>
      <c r="R17" s="181">
        <v>0</v>
      </c>
      <c r="S17" s="181">
        <v>0</v>
      </c>
      <c r="T17" s="181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1"/>
      <c r="P18" s="181"/>
      <c r="Q18" s="181"/>
      <c r="R18" s="181"/>
      <c r="S18" s="181"/>
      <c r="T18" s="181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1"/>
      <c r="P19" s="181"/>
      <c r="Q19" s="181"/>
      <c r="R19" s="181"/>
      <c r="S19" s="181"/>
      <c r="T19" s="181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81"/>
      <c r="P20" s="181"/>
      <c r="Q20" s="181"/>
      <c r="R20" s="181"/>
      <c r="S20" s="181"/>
      <c r="T20" s="181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3" t="s">
        <v>203</v>
      </c>
      <c r="D28" s="120" t="s">
        <v>64</v>
      </c>
      <c r="E28" s="120" t="str">
        <f>units</f>
        <v>$millions</v>
      </c>
      <c r="F28" s="139">
        <v>46174</v>
      </c>
      <c r="G28" s="121"/>
      <c r="H28" s="121"/>
      <c r="I28" s="120"/>
      <c r="J28" s="158"/>
      <c r="K28" s="158"/>
      <c r="L28" s="158"/>
      <c r="M28" s="158"/>
      <c r="N28" s="181"/>
      <c r="O28" s="181">
        <v>3.1023205288849662</v>
      </c>
      <c r="P28" s="181">
        <v>2.9628463834183307</v>
      </c>
      <c r="Q28" s="181">
        <v>2.9791745593053856</v>
      </c>
      <c r="R28" s="181">
        <v>2.8466681826044327</v>
      </c>
      <c r="S28" s="181">
        <v>2.7246617333746816</v>
      </c>
      <c r="T28" s="181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3"/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81"/>
      <c r="O29" s="181"/>
      <c r="P29" s="181"/>
      <c r="Q29" s="181"/>
      <c r="R29" s="181"/>
      <c r="S29" s="181"/>
      <c r="T29" s="181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3"/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1"/>
      <c r="O30" s="181"/>
      <c r="P30" s="181"/>
      <c r="Q30" s="181"/>
      <c r="R30" s="181"/>
      <c r="S30" s="181"/>
      <c r="T30" s="181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4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1"/>
      <c r="O31" s="181"/>
      <c r="P31" s="181"/>
      <c r="Q31" s="181"/>
      <c r="R31" s="181"/>
      <c r="S31" s="181"/>
      <c r="T31" s="181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1"/>
      <c r="O32" s="181"/>
      <c r="P32" s="181"/>
      <c r="Q32" s="181"/>
      <c r="R32" s="181"/>
      <c r="S32" s="181"/>
      <c r="T32" s="181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81"/>
      <c r="K40" s="181"/>
      <c r="L40" s="181"/>
      <c r="M40" s="181"/>
      <c r="N40" s="181"/>
      <c r="O40" s="181">
        <v>1.0721354657874682</v>
      </c>
      <c r="P40" s="181">
        <v>1.0820507265450714</v>
      </c>
      <c r="Q40" s="181">
        <v>1.0973108571456103</v>
      </c>
      <c r="R40" s="181">
        <v>1.1081572611436401</v>
      </c>
      <c r="S40" s="181">
        <v>1.1208236630969013</v>
      </c>
      <c r="T40" s="181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J28:M32 O31:O32">
    <cfRule type="expression" dxfId="66" priority="25">
      <formula>J$26=J$4</formula>
    </cfRule>
  </conditionalFormatting>
  <conditionalFormatting sqref="J10:T10">
    <cfRule type="expression" dxfId="65" priority="37">
      <formula>J$10=J$4</formula>
    </cfRule>
  </conditionalFormatting>
  <conditionalFormatting sqref="J12:T20">
    <cfRule type="expression" dxfId="64" priority="13">
      <formula>J$10=J$4</formula>
    </cfRule>
  </conditionalFormatting>
  <conditionalFormatting sqref="J22:T22">
    <cfRule type="cellIs" dxfId="63" priority="30" operator="equal">
      <formula>"Check"</formula>
    </cfRule>
    <cfRule type="cellIs" dxfId="62" priority="31" operator="equal">
      <formula>"Ok"</formula>
    </cfRule>
  </conditionalFormatting>
  <conditionalFormatting sqref="J26:T26">
    <cfRule type="expression" dxfId="61" priority="15">
      <formula>J$10=J$4</formula>
    </cfRule>
  </conditionalFormatting>
  <conditionalFormatting sqref="J34:T34">
    <cfRule type="cellIs" dxfId="60" priority="26" operator="equal">
      <formula>"Check"</formula>
    </cfRule>
    <cfRule type="cellIs" dxfId="59" priority="27" operator="equal">
      <formula>"Ok"</formula>
    </cfRule>
  </conditionalFormatting>
  <conditionalFormatting sqref="J38:T38">
    <cfRule type="expression" dxfId="58" priority="14">
      <formula>J$10=J$4</formula>
    </cfRule>
  </conditionalFormatting>
  <conditionalFormatting sqref="J40:T40">
    <cfRule type="expression" dxfId="57" priority="16">
      <formula>J$38=J$4</formula>
    </cfRule>
  </conditionalFormatting>
  <conditionalFormatting sqref="J42:T42">
    <cfRule type="cellIs" dxfId="56" priority="21" operator="equal">
      <formula>"Check"</formula>
    </cfRule>
    <cfRule type="cellIs" dxfId="55" priority="22" operator="equal">
      <formula>"Ok"</formula>
    </cfRule>
  </conditionalFormatting>
  <conditionalFormatting sqref="N28:N32">
    <cfRule type="expression" dxfId="54" priority="19">
      <formula>N$10=N$4</formula>
    </cfRule>
  </conditionalFormatting>
  <conditionalFormatting sqref="O28:T30 P31:T32">
    <cfRule type="expression" dxfId="53" priority="20">
      <formula>O$10=O$4</formula>
    </cfRule>
  </conditionalFormatting>
  <conditionalFormatting sqref="S1">
    <cfRule type="cellIs" dxfId="52" priority="39" operator="equal">
      <formula>"Check"</formula>
    </cfRule>
    <cfRule type="cellIs" dxfId="51" priority="40" operator="equal">
      <formula>"Ok"</formula>
    </cfRule>
  </conditionalFormatting>
  <conditionalFormatting sqref="V1">
    <cfRule type="cellIs" dxfId="50" priority="41" operator="equal">
      <formula>"Check"</formula>
    </cfRule>
    <cfRule type="cellIs" dxfId="49" priority="42" operator="equal">
      <formula>"Ok"</formula>
    </cfRule>
  </conditionalFormatting>
  <conditionalFormatting sqref="W12:W20">
    <cfRule type="cellIs" dxfId="48" priority="11" operator="equal">
      <formula>"Check"</formula>
    </cfRule>
    <cfRule type="cellIs" dxfId="47" priority="12" operator="equal">
      <formula>"Ok"</formula>
    </cfRule>
  </conditionalFormatting>
  <conditionalFormatting sqref="W22">
    <cfRule type="cellIs" dxfId="46" priority="32" operator="equal">
      <formula>"Check"</formula>
    </cfRule>
    <cfRule type="cellIs" dxfId="45" priority="33" operator="equal">
      <formula>"Ok"</formula>
    </cfRule>
  </conditionalFormatting>
  <conditionalFormatting sqref="W28:W32">
    <cfRule type="cellIs" dxfId="44" priority="1" operator="equal">
      <formula>"Check"</formula>
    </cfRule>
    <cfRule type="cellIs" dxfId="43" priority="2" operator="equal">
      <formula>"Ok"</formula>
    </cfRule>
  </conditionalFormatting>
  <conditionalFormatting sqref="W34">
    <cfRule type="cellIs" dxfId="42" priority="28" operator="equal">
      <formula>"Check"</formula>
    </cfRule>
    <cfRule type="cellIs" dxfId="41" priority="29" operator="equal">
      <formula>"Ok"</formula>
    </cfRule>
  </conditionalFormatting>
  <conditionalFormatting sqref="W42">
    <cfRule type="cellIs" dxfId="40" priority="23" operator="equal">
      <formula>"Check"</formula>
    </cfRule>
    <cfRule type="cellIs" dxfId="39" priority="24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opLeftCell="A76" zoomScaleNormal="100" workbookViewId="0">
      <selection activeCell="D1" sqref="D1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8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70.26335638714194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73.12338853660691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197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74.125052159160077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197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91.065871108430755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198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74.835674838838244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198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91.938902175111807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6.4900177337133895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6.75419041665136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199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11.449546633401013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199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14.066269197739995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200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11.484180177090686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200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14.108818022109116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73.12338853660691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0.87303106668105102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73.996419603287961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-6.7967392410204805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>
        <f>'Input|Reported opex'!$C$63</f>
        <v>0</v>
      </c>
      <c r="D37" s="65" t="s">
        <v>87</v>
      </c>
      <c r="E37" s="16" t="str">
        <f>'Input|Reported opex'!E63</f>
        <v>$millions</v>
      </c>
      <c r="F37" s="98">
        <f>'Input|Reported opex'!F63</f>
        <v>45809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0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>
        <f>C37</f>
        <v>0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45809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45809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67.199680362267486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162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change'!K96,0,0,COUNTA('Input|Rate of change'!$J$84:$M$84),1)),0)</f>
        <v>0</v>
      </c>
      <c r="K61" s="72">
        <f ca="1">IF(K58=K4,AVERAGE(OFFSET('Input|Rate of change'!L96,0,0,COUNTA('Input|Rate of change'!$J$84:$M$84),1)),0)</f>
        <v>0</v>
      </c>
      <c r="L61" s="72">
        <f ca="1">IF(L58=L4,AVERAGE(OFFSET('Input|Rate of change'!M96,0,0,COUNTA('Input|Rate of change'!$J$84:$M$84),1)),0)</f>
        <v>0</v>
      </c>
      <c r="M61" s="72">
        <f ca="1">IF(M58=M4,AVERAGE(OFFSET('Input|Rate of change'!N96,0,0,COUNTA('Input|Rate of change'!$J$84:$M$84),1)),0)</f>
        <v>0</v>
      </c>
      <c r="N61" s="72">
        <f ca="1">IF(N58=N4,AVERAGE(OFFSET('Input|Rate of change'!O96,0,0,COUNTA('Input|Rate of change'!$J$84:$M$84),1)),0)</f>
        <v>0</v>
      </c>
      <c r="O61" s="72">
        <f ca="1">IF(O58=O4,AVERAGE(OFFSET('Input|Rate of change'!P96,0,0,COUNTA('Input|Rate of change'!$J$84:$M$84),1)),0)</f>
        <v>1.8934276979894272E-3</v>
      </c>
      <c r="P61" s="72">
        <f ca="1">IF(P58=P4,AVERAGE(OFFSET('Input|Rate of change'!Q96,0,0,COUNTA('Input|Rate of change'!$J$84:$M$84),1)),0)</f>
        <v>1.3368605281209262E-3</v>
      </c>
      <c r="Q61" s="72">
        <f ca="1">IF(Q58=Q4,AVERAGE(OFFSET('Input|Rate of change'!R96,0,0,COUNTA('Input|Rate of change'!$J$84:$M$84),1)),0)</f>
        <v>4.9883587062360705E-3</v>
      </c>
      <c r="R61" s="72">
        <f ca="1">IF(R58=R4,AVERAGE(OFFSET('Input|Rate of change'!S96,0,0,COUNTA('Input|Rate of change'!$J$84:$M$84),1)),0)</f>
        <v>4.2001997542879437E-3</v>
      </c>
      <c r="S61" s="72">
        <f ca="1">IF(S58=S4,AVERAGE(OFFSET('Input|Rate of change'!T96,0,0,COUNTA('Input|Rate of change'!$J$84:$M$84),1)),0)</f>
        <v>3.4100438701370056E-3</v>
      </c>
      <c r="T61" s="72">
        <f ca="1">IF(T58=T4,AVERAGE(OFFSET('Input|Rate of change'!U96,0,0,COUNTA('Input|Rate of change'!$J$84:$M$84),1)),0)</f>
        <v>0</v>
      </c>
    </row>
    <row r="62" spans="1:31" outlineLevel="1">
      <c r="C62" s="15" t="s">
        <v>165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1.8934276979893916E-3</v>
      </c>
      <c r="P62" s="72">
        <f t="array" aca="1" ref="P62" ca="1">IF(P$58=P$4,PRODUCT(1+$J61:P61)-1,0)</f>
        <v>3.2328194748627581E-3</v>
      </c>
      <c r="Q62" s="72">
        <f t="array" aca="1" ref="Q62" ca="1">IF(Q$58=Q$4,PRODUCT(1+$J61:Q61)-1,0)</f>
        <v>8.2373046442718589E-3</v>
      </c>
      <c r="R62" s="72">
        <f t="array" aca="1" ref="R62" ca="1">IF(R$58=R$4,PRODUCT(1+$J61:R61)-1,0)</f>
        <v>1.2472102723502632E-2</v>
      </c>
      <c r="S62" s="72">
        <f t="array" aca="1" ref="S62" ca="1">IF(S$58=S$4,PRODUCT(1+$J61:S61)-1,0)</f>
        <v>1.5924677011079691E-2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163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3.9927668125541767E-3</v>
      </c>
      <c r="P64" s="72">
        <f>SUMPRODUCT('Input|Rate of change'!Q38:Q45,'Input|Rate of change'!Q51:Q58)</f>
        <v>4.8376383964200236E-3</v>
      </c>
      <c r="Q64" s="72">
        <f>SUMPRODUCT('Input|Rate of change'!R38:R45,'Input|Rate of change'!R51:R58)</f>
        <v>5.6213401154259698E-3</v>
      </c>
      <c r="R64" s="72">
        <f>SUMPRODUCT('Input|Rate of change'!S38:S45,'Input|Rate of change'!S51:S58)</f>
        <v>7.1201155966367632E-3</v>
      </c>
      <c r="S64" s="72">
        <f>SUMPRODUCT('Input|Rate of change'!T38:T45,'Input|Rate of change'!T51:T58)</f>
        <v>7.0522519996464384E-3</v>
      </c>
      <c r="T64" s="72">
        <f>SUMPRODUCT('Input|Rate of change'!U38:U45,'Input|Rate of change'!U51:U58)</f>
        <v>0</v>
      </c>
    </row>
    <row r="65" spans="1:31" outlineLevel="1">
      <c r="C65" s="15" t="s">
        <v>166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3.992766812554116E-3</v>
      </c>
      <c r="P65" s="72">
        <f t="array" ref="P65">IF(P$58=P$4,PRODUCT(1+$J64:P64)-1,0)</f>
        <v>8.8497207710143133E-3</v>
      </c>
      <c r="Q65" s="72">
        <f t="array" ref="Q65">IF(Q$58=Q$4,PRODUCT(1+$J64:Q64)-1,0)</f>
        <v>1.4520808176820665E-2</v>
      </c>
      <c r="R65" s="72">
        <f t="array" ref="R65">IF(R$58=R$4,PRODUCT(1+$J64:R64)-1,0)</f>
        <v>2.1744313606232968E-2</v>
      </c>
      <c r="S65" s="72">
        <f t="array" ref="S65">IF(S$58=S$4,PRODUCT(1+$J64:S64)-1,0)</f>
        <v>2.8949911984990084E-2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164</v>
      </c>
      <c r="D67" s="16" t="s">
        <v>30</v>
      </c>
      <c r="E67" s="16" t="s">
        <v>31</v>
      </c>
      <c r="F67" s="16" t="s">
        <v>36</v>
      </c>
      <c r="J67" s="72">
        <f>'Input|Rate of change'!K105</f>
        <v>0</v>
      </c>
      <c r="K67" s="72">
        <f>'Input|Rate of change'!L105</f>
        <v>0</v>
      </c>
      <c r="L67" s="72">
        <f>'Input|Rate of change'!M105</f>
        <v>0</v>
      </c>
      <c r="M67" s="72">
        <f>'Input|Rate of change'!N105</f>
        <v>0</v>
      </c>
      <c r="N67" s="72">
        <f>'Input|Rate of change'!O105</f>
        <v>0</v>
      </c>
      <c r="O67" s="72">
        <f>'Input|Rate of change'!P105</f>
        <v>4.0000000000000001E-3</v>
      </c>
      <c r="P67" s="72">
        <f>'Input|Rate of change'!Q105</f>
        <v>4.0000000000000001E-3</v>
      </c>
      <c r="Q67" s="72">
        <f>'Input|Rate of change'!R105</f>
        <v>4.0000000000000001E-3</v>
      </c>
      <c r="R67" s="72">
        <f>'Input|Rate of change'!S105</f>
        <v>4.0000000000000001E-3</v>
      </c>
      <c r="S67" s="72">
        <f>'Input|Rate of change'!T105</f>
        <v>4.0000000000000001E-3</v>
      </c>
      <c r="T67" s="72">
        <f>'Input|Rate of change'!U105</f>
        <v>0</v>
      </c>
    </row>
    <row r="68" spans="1:31" outlineLevel="1">
      <c r="C68" s="15" t="s">
        <v>167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4.0000000000000036E-3</v>
      </c>
      <c r="P68" s="72">
        <f t="array" ref="P68">IF(P$58=P$4,PRODUCT(1+$J67:P67)-1,0)</f>
        <v>8.0160000000000231E-3</v>
      </c>
      <c r="Q68" s="72">
        <f t="array" ref="Q68">IF(Q$58=Q$4,PRODUCT(1+$J67:Q67)-1,0)</f>
        <v>1.2048064000000025E-2</v>
      </c>
      <c r="R68" s="72">
        <f t="array" ref="R68">IF(R$58=R$4,PRODUCT(1+$J67:R67)-1,0)</f>
        <v>1.6096256256000085E-2</v>
      </c>
      <c r="S68" s="72">
        <f t="array" ref="S68">IF(S$58=S$4,PRODUCT(1+$J67:S67)-1,0)</f>
        <v>2.0160641281024017E-2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1.870179507714731E-3</v>
      </c>
      <c r="P70" s="88">
        <f t="shared" ca="1" si="6"/>
        <v>2.1562423076728621E-3</v>
      </c>
      <c r="Q70" s="88">
        <f t="shared" ca="1" si="6"/>
        <v>6.5951891222371106E-3</v>
      </c>
      <c r="R70" s="88">
        <f t="shared" ca="1" si="6"/>
        <v>7.3048203736694184E-3</v>
      </c>
      <c r="S70" s="88">
        <f t="shared" ca="1" si="6"/>
        <v>6.4443989810516467E-3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1.870179507714731E-3</v>
      </c>
      <c r="P71" s="72">
        <f t="array" aca="1" ref="P71" ca="1">IF(P$58=P$4,PRODUCT(1+$J70:P70)-1,"")</f>
        <v>4.0304543755651512E-3</v>
      </c>
      <c r="Q71" s="72">
        <f t="array" aca="1" ref="Q71" ca="1">IF(Q$58=Q$4,PRODUCT(1+$J70:Q70)-1,"")</f>
        <v>1.0652225106657642E-2</v>
      </c>
      <c r="R71" s="72">
        <f t="array" aca="1" ref="R71" ca="1">IF(R$58=R$4,PRODUCT(1+$J70:R70)-1,"")</f>
        <v>1.8034858071311E-2</v>
      </c>
      <c r="S71" s="72">
        <f t="array" aca="1" ref="S71" ca="1">IF(S$58=S$4,PRODUCT(1+$J70:S70)-1,"")</f>
        <v>2.4595480873340847E-2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Purchase of Renewable Gas Guarantee of Origin Certificates (RGGOs)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Overheads to be expensed (capex to opex)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6.4163517710000004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6.3899033980000004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6.3634786380000001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6.5329932189999997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6.342806843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 t="str">
        <f>'Input|Step changes'!C14</f>
        <v>Transition from APA - AGN IT costs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 t="str">
        <f>'Input|Step changes'!C15</f>
        <v>Cybersecurity (Data privacy/security &amp; Access control)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Application upgrades &amp; enhancements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0.73634239401795698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0.81434033525839977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0.90102335387077492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0.85645687237988943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0.78037353401136011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Abolishments for safety at redundant sites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7.152694165017957</v>
      </c>
      <c r="P87" s="80">
        <f t="shared" si="10"/>
        <v>7.2042437332583997</v>
      </c>
      <c r="Q87" s="80">
        <f t="shared" si="10"/>
        <v>7.2645019918707749</v>
      </c>
      <c r="R87" s="80">
        <f t="shared" si="10"/>
        <v>7.3894500913798895</v>
      </c>
      <c r="S87" s="80">
        <f t="shared" si="10"/>
        <v>7.1231803770113604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UAG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3.1023205288849662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2.9628463834183307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2.9791745593053856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2.8466681826044327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2.7246617333746816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>
        <f>'Input|Step changes'!C29</f>
        <v>0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>
        <f>'Input|Step changes'!C30</f>
        <v>0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3.1023205288849662</v>
      </c>
      <c r="P99" s="80">
        <f t="shared" si="14"/>
        <v>2.9628463834183307</v>
      </c>
      <c r="Q99" s="80">
        <f t="shared" si="14"/>
        <v>2.9791745593053856</v>
      </c>
      <c r="R99" s="80">
        <f t="shared" si="14"/>
        <v>2.8466681826044327</v>
      </c>
      <c r="S99" s="80">
        <f t="shared" si="14"/>
        <v>2.7246617333746816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74.478049992423948</v>
      </c>
      <c r="P105" s="90">
        <f t="shared" ca="1" si="16"/>
        <v>74.674769341278562</v>
      </c>
      <c r="Q105" s="90">
        <f t="shared" ca="1" si="16"/>
        <v>75.180008476452571</v>
      </c>
      <c r="R105" s="90">
        <f t="shared" ca="1" si="16"/>
        <v>75.801067151418337</v>
      </c>
      <c r="S105" s="90">
        <f t="shared" ca="1" si="16"/>
        <v>75.975669192323622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77.580370521308907</v>
      </c>
      <c r="P106" s="90">
        <f t="shared" ca="1" si="17"/>
        <v>77.6376157246969</v>
      </c>
      <c r="Q106" s="90">
        <f t="shared" ca="1" si="17"/>
        <v>78.159183035757962</v>
      </c>
      <c r="R106" s="90">
        <f t="shared" ca="1" si="17"/>
        <v>78.647735334022769</v>
      </c>
      <c r="S106" s="90">
        <f t="shared" ca="1" si="17"/>
        <v>78.70033092569831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78.652505987096376</v>
      </c>
      <c r="P107" s="90">
        <f ca="1">IF(YEAR(P$4)&gt;=FPFirstYear,IF(YEAR(P$4)&lt;=FPLastYear,P106+'Input|Step changes'!P40,""),"")</f>
        <v>78.719666451241977</v>
      </c>
      <c r="Q107" s="90">
        <f ca="1">IF(YEAR(Q$4)&gt;=FPFirstYear,IF(YEAR(Q$4)&lt;=FPLastYear,Q106+'Input|Step changes'!Q40,""),"")</f>
        <v>79.256493892903578</v>
      </c>
      <c r="R107" s="90">
        <f ca="1">IF(YEAR(R$4)&gt;=FPFirstYear,IF(YEAR(R$4)&lt;=FPLastYear,R106+'Input|Step changes'!R40,""),"")</f>
        <v>79.755892595166415</v>
      </c>
      <c r="S107" s="90">
        <f ca="1">IF(YEAR(S$4)&gt;=FPFirstYear,IF(YEAR(S$4)&lt;=FPLastYear,S106+'Input|Step changes'!S40,""),"")</f>
        <v>79.82115458879521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J10:T10">
    <cfRule type="expression" dxfId="38" priority="28">
      <formula>J$10=J$4</formula>
    </cfRule>
  </conditionalFormatting>
  <conditionalFormatting sqref="J12:T24">
    <cfRule type="cellIs" dxfId="37" priority="9" operator="equal">
      <formula>0</formula>
    </cfRule>
  </conditionalFormatting>
  <conditionalFormatting sqref="J25:T25">
    <cfRule type="expression" dxfId="36" priority="27">
      <formula>J$10=J$4</formula>
    </cfRule>
  </conditionalFormatting>
  <conditionalFormatting sqref="J26:T54">
    <cfRule type="cellIs" dxfId="35" priority="1" operator="equal">
      <formula>0</formula>
    </cfRule>
  </conditionalFormatting>
  <conditionalFormatting sqref="J54:T54">
    <cfRule type="expression" dxfId="34" priority="26">
      <formula>J$10=J$4</formula>
    </cfRule>
  </conditionalFormatting>
  <conditionalFormatting sqref="J58:T58 J75:T75 J91:T91">
    <cfRule type="expression" dxfId="33" priority="118">
      <formula>J$58=J$4</formula>
    </cfRule>
  </conditionalFormatting>
  <conditionalFormatting sqref="J61:T68">
    <cfRule type="cellIs" dxfId="32" priority="100" operator="equal">
      <formula>0</formula>
    </cfRule>
  </conditionalFormatting>
  <conditionalFormatting sqref="J70:T70">
    <cfRule type="expression" dxfId="31" priority="112">
      <formula>J$58=J$4</formula>
    </cfRule>
  </conditionalFormatting>
  <conditionalFormatting sqref="J70:T71">
    <cfRule type="cellIs" dxfId="30" priority="19" operator="equal">
      <formula>0</formula>
    </cfRule>
  </conditionalFormatting>
  <conditionalFormatting sqref="J77:T85 J93:T99">
    <cfRule type="cellIs" dxfId="29" priority="98" operator="equal">
      <formula>0</formula>
    </cfRule>
  </conditionalFormatting>
  <conditionalFormatting sqref="J87:T87">
    <cfRule type="expression" dxfId="28" priority="116">
      <formula>J$75=J$4</formula>
    </cfRule>
    <cfRule type="cellIs" dxfId="27" priority="117" operator="equal">
      <formula>0</formula>
    </cfRule>
  </conditionalFormatting>
  <conditionalFormatting sqref="J99:T99">
    <cfRule type="expression" dxfId="26" priority="114">
      <formula>J$91=J$4</formula>
    </cfRule>
  </conditionalFormatting>
  <conditionalFormatting sqref="J103:T103">
    <cfRule type="expression" dxfId="25" priority="121">
      <formula>J$103=J$4</formula>
    </cfRule>
  </conditionalFormatting>
  <conditionalFormatting sqref="J105:T107">
    <cfRule type="cellIs" dxfId="24" priority="29" operator="equal">
      <formula>0</formula>
    </cfRule>
  </conditionalFormatting>
  <conditionalFormatting sqref="S1:T1">
    <cfRule type="cellIs" dxfId="23" priority="107" operator="equal">
      <formula>"Check"</formula>
    </cfRule>
    <cfRule type="cellIs" dxfId="22" priority="108" operator="equal">
      <formula>"Ok"</formula>
    </cfRule>
  </conditionalFormatting>
  <conditionalFormatting sqref="W1">
    <cfRule type="cellIs" dxfId="21" priority="109" operator="equal">
      <formula>"Check"</formula>
    </cfRule>
    <cfRule type="cellIs" dxfId="20" priority="110" operator="equal">
      <formula>"Ok"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D1" sqref="D1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8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3"/>
      <c r="O3" s="193"/>
      <c r="P3" s="193"/>
      <c r="Q3" s="193"/>
      <c r="R3" s="193"/>
      <c r="S3" s="193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74.478049992423948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74.674769341278562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75.180008476452571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75.801067151418337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75.975669192323622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UAG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3.1023205288849662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2.9628463834183307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2.9791745593053856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2.8466681826044327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2.7246617333746816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>
        <f>'Input|Step changes'!C29</f>
        <v>0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>
        <f>'Input|Step changes'!C30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19" priority="7">
      <formula>J$11=J$4</formula>
    </cfRule>
  </conditionalFormatting>
  <conditionalFormatting sqref="J13:T18">
    <cfRule type="expression" dxfId="18" priority="3">
      <formula>AND($C13=0,J$11=J$4)</formula>
    </cfRule>
    <cfRule type="expression" dxfId="17" priority="4">
      <formula>NOT(J$11=J$4)</formula>
    </cfRule>
    <cfRule type="expression" dxfId="16" priority="5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conditionalFormatting sqref="W1">
    <cfRule type="cellIs" dxfId="13" priority="13" operator="equal">
      <formula>"Check"</formula>
    </cfRule>
    <cfRule type="cellIs" dxfId="12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'Lookup|Tables'!$H$48:$H$68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7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8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173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174</v>
      </c>
      <c r="D8" s="16" t="s">
        <v>177</v>
      </c>
      <c r="E8" s="16"/>
      <c r="F8" s="16"/>
      <c r="G8" s="39" t="s">
        <v>174</v>
      </c>
    </row>
    <row r="9" spans="1:30">
      <c r="C9" s="15" t="s">
        <v>175</v>
      </c>
      <c r="D9" s="16" t="s">
        <v>177</v>
      </c>
      <c r="E9" s="16"/>
      <c r="F9" s="16"/>
      <c r="G9" s="39" t="s">
        <v>175</v>
      </c>
    </row>
    <row r="10" spans="1:30">
      <c r="C10" s="15" t="s">
        <v>176</v>
      </c>
      <c r="D10" s="16" t="s">
        <v>64</v>
      </c>
      <c r="E10" s="16"/>
      <c r="F10" s="16"/>
      <c r="G10" s="39" t="s">
        <v>176</v>
      </c>
      <c r="T10" s="17"/>
    </row>
    <row r="11" spans="1:30">
      <c r="C11" s="15" t="s">
        <v>178</v>
      </c>
      <c r="D11" s="16" t="s">
        <v>177</v>
      </c>
      <c r="E11" s="16"/>
      <c r="F11" s="16"/>
      <c r="G11" s="39" t="s">
        <v>178</v>
      </c>
    </row>
    <row r="12" spans="1:30">
      <c r="C12" s="15" t="s">
        <v>179</v>
      </c>
      <c r="D12" s="16" t="s">
        <v>64</v>
      </c>
      <c r="E12" s="16"/>
      <c r="F12" s="16"/>
      <c r="G12" s="39" t="s">
        <v>179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8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ref="I67" si="1">G67-1&amp;"–"&amp;RIGHT(G67,2)</f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0"/>
        <v>2030–31</v>
      </c>
      <c r="T68" s="17"/>
    </row>
    <row r="69" spans="1:30"/>
    <row r="70" spans="1:30" customFormat="1" ht="12.75">
      <c r="A70" s="32"/>
      <c r="B70" s="38" t="s">
        <v>139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7</v>
      </c>
      <c r="E72" s="20"/>
      <c r="F72" s="14"/>
      <c r="G72" s="14" t="s">
        <v>140</v>
      </c>
      <c r="H72" s="14" t="s">
        <v>109</v>
      </c>
    </row>
    <row r="73" spans="1:30">
      <c r="C73" s="15" t="s">
        <v>159</v>
      </c>
      <c r="D73" s="16" t="s">
        <v>93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129</v>
      </c>
      <c r="D74" s="16" t="s">
        <v>93</v>
      </c>
      <c r="E74" s="16"/>
      <c r="F74" s="16"/>
      <c r="G74" s="106" t="str">
        <f t="shared" ref="G74:G83" si="2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130</v>
      </c>
      <c r="D75" s="16" t="s">
        <v>93</v>
      </c>
      <c r="E75" s="16"/>
      <c r="F75" s="16"/>
      <c r="G75" s="106" t="str">
        <f t="shared" si="2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131</v>
      </c>
      <c r="D76" s="16" t="s">
        <v>93</v>
      </c>
      <c r="E76" s="16"/>
      <c r="F76" s="16"/>
      <c r="G76" s="106" t="str">
        <f t="shared" si="2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132</v>
      </c>
      <c r="D77" s="16" t="s">
        <v>93</v>
      </c>
      <c r="E77" s="16"/>
      <c r="F77" s="16"/>
      <c r="G77" s="106" t="str">
        <f t="shared" si="2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133</v>
      </c>
      <c r="D78" s="16" t="s">
        <v>93</v>
      </c>
      <c r="E78" s="16"/>
      <c r="F78" s="16"/>
      <c r="G78" s="106" t="str">
        <f t="shared" si="2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161</v>
      </c>
      <c r="D79" s="16" t="s">
        <v>93</v>
      </c>
      <c r="E79" s="16"/>
      <c r="F79" s="16"/>
      <c r="G79" s="106" t="str">
        <f t="shared" si="2"/>
        <v/>
      </c>
      <c r="H79" s="107" t="str">
        <f>IF(PPLastYear-PPFirstYear&lt;5,"",DATE(PPFirstYear+5,MONTH('Input|General'!$G$9),1))</f>
        <v/>
      </c>
    </row>
    <row r="80" spans="1:30">
      <c r="C80" s="15" t="s">
        <v>134</v>
      </c>
      <c r="D80" s="16" t="s">
        <v>93</v>
      </c>
      <c r="E80" s="16"/>
      <c r="F80" s="16"/>
      <c r="G80" s="106" t="str">
        <f t="shared" si="2"/>
        <v>2026–27</v>
      </c>
      <c r="H80" s="107">
        <f>DATE(FPFirstYear,MONTH('Input|General'!$G$9),1)</f>
        <v>46539</v>
      </c>
      <c r="T80" s="17"/>
    </row>
    <row r="81" spans="1:30">
      <c r="C81" s="15" t="s">
        <v>135</v>
      </c>
      <c r="D81" s="16" t="s">
        <v>93</v>
      </c>
      <c r="E81" s="16"/>
      <c r="F81" s="16"/>
      <c r="G81" s="106" t="str">
        <f t="shared" si="2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136</v>
      </c>
      <c r="D82" s="16" t="s">
        <v>93</v>
      </c>
      <c r="E82" s="16"/>
      <c r="F82" s="16"/>
      <c r="G82" s="106" t="str">
        <f t="shared" si="2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137</v>
      </c>
      <c r="D83" s="16" t="s">
        <v>93</v>
      </c>
      <c r="E83" s="16"/>
      <c r="F83" s="16"/>
      <c r="G83" s="106" t="str">
        <f t="shared" si="2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138</v>
      </c>
      <c r="D84" s="16" t="s">
        <v>93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21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9:Q69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2025-11-12T02:53:53Z</dcterms:created>
  <dcterms:modified xsi:type="dcterms:W3CDTF">2025-11-14T03:17:54Z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2025-11-14T03:14:02Z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bc2a2916-9139-41e7-acd4-444bc022f28a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