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pausnet.sharepoint.com/sites/TRR2028-32/Shared Documents/General/08. TRR 2028 - Proposal development/22. Technical documents/"/>
    </mc:Choice>
  </mc:AlternateContent>
  <xr:revisionPtr revIDLastSave="15" documentId="8_{229DE56F-9CD9-4D90-8E89-72FA11A03AAE}" xr6:coauthVersionLast="47" xr6:coauthVersionMax="47" xr10:uidLastSave="{1469F913-519E-45CE-98B8-C00C7B74CB54}"/>
  <bookViews>
    <workbookView xWindow="-110" yWindow="-110" windowWidth="19420" windowHeight="10300" xr2:uid="{D513AD50-13C4-416D-9E1A-B9A11D3BD955}"/>
  </bookViews>
  <sheets>
    <sheet name="Equi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G34" i="1"/>
  <c r="E33" i="1"/>
  <c r="F32" i="1"/>
  <c r="F28" i="1"/>
  <c r="D26" i="1"/>
  <c r="C26" i="1"/>
  <c r="D25" i="1"/>
  <c r="C25" i="1"/>
  <c r="D24" i="1"/>
  <c r="E22" i="1"/>
  <c r="E34" i="1" s="1"/>
  <c r="C22" i="1"/>
  <c r="D21" i="1"/>
  <c r="F20" i="1"/>
  <c r="C16" i="1"/>
  <c r="F15" i="1"/>
  <c r="D14" i="1"/>
  <c r="D12" i="1"/>
  <c r="D10" i="1"/>
  <c r="C8" i="1"/>
  <c r="D5" i="1"/>
  <c r="C5" i="1"/>
  <c r="C4" i="1"/>
  <c r="C34" i="1" l="1"/>
  <c r="D34" i="1"/>
  <c r="F34" i="1"/>
</calcChain>
</file>

<file path=xl/sharedStrings.xml><?xml version="1.0" encoding="utf-8"?>
<sst xmlns="http://schemas.openxmlformats.org/spreadsheetml/2006/main" count="73" uniqueCount="63">
  <si>
    <t>CY26 - CY32 Tech Services Capex Forecast</t>
  </si>
  <si>
    <t>Item</t>
  </si>
  <si>
    <t>Item/Equipment Description</t>
  </si>
  <si>
    <t>CY27</t>
  </si>
  <si>
    <t>CY28</t>
  </si>
  <si>
    <t>CY29</t>
  </si>
  <si>
    <t>CY30</t>
  </si>
  <si>
    <t>CY31</t>
  </si>
  <si>
    <t>CY32</t>
  </si>
  <si>
    <t>Reason for Purchase</t>
  </si>
  <si>
    <t>Particle size analyser</t>
  </si>
  <si>
    <t>Particle size analyser will be &gt;18 years at replacement, very old and approaching end of life. There is no redundancy available for this test so careful planning of replacement is essential to maintain the ongoing viability of the oil testing program. Particle count testing is critical to the normal condition monitoring of transformers but is also used as an impiortant maintenece signal in OLTCs of when to perform oil filtration, helping prevent catastrophic failure.</t>
  </si>
  <si>
    <t xml:space="preserve">Replacement of 20 Yr old Induced Trailer . </t>
  </si>
  <si>
    <t>[C-I-C]</t>
  </si>
  <si>
    <t>Test System  (Annex - 220KV)</t>
  </si>
  <si>
    <t>Test Hall HV test system up to 220kV,  sensibility checks pre mobilisationof field units for onsite testing.. Quotations Plus $50K for freight and assembly, testing and commisioning of set up.</t>
  </si>
  <si>
    <t>Omicron 500 Test Source 2xReplacements (1 in CY26 &amp; 1 in CY27)</t>
  </si>
  <si>
    <t>Replacement Units - Multi-phase protection relay test sets. Quote + Shipping allowance</t>
  </si>
  <si>
    <t>Tettex replacement</t>
  </si>
  <si>
    <t>End of life test equipment replacements for CT moble test unit. Bridges, Comparators, Burden Boxes, Test Leads and Accessories,Std CT, Secondary Injection Box etc (Excludes Van Cost)</t>
  </si>
  <si>
    <t>Replacement of  existing end of life CT mobile test unit. Excludes new van costs.Includes Test system - Bridges, Comparators, Burden Boxes, Test Leads and Accessories,Std CT, Secondary Injection Box etc - Quote $311k + freight estimate of $15K+$5K set up and commsisioning</t>
  </si>
  <si>
    <t>66KV  Integrated Test System</t>
  </si>
  <si>
    <t>66kV mobile test setup is required to meet growing demand of metering compliance testing . Costs exclude Test Vehicle (Van) costs.
Included are Bridges, Comparators, Burden Boxes, Test Leads and Accessories, Std VT, Std CT, Secondary Injection Box etc  - Quotes + $50K for assembly, set up, testing &amp; commisioning.</t>
  </si>
  <si>
    <t>Test Equipment for  220kV Mobile Test system Replacement</t>
  </si>
  <si>
    <t>Replacement of the existing CT&amp;VT 220kV mobile test sytem( integrated systems - Bridges, CT Burden Box, Std CT, Secondary Injection Box etc)
Excluding vehicle cost.</t>
  </si>
  <si>
    <t>Replacement equipment for Earth Grid Mobile test unit</t>
  </si>
  <si>
    <t>Replacement of Earth Grid testing Set Up - Will be 17 years old by CY30, obsolete equipment technlogy, unsupported and end of life equiment and vehicle. Must be replaced. Costs in s/sheet are from  2013 so we have adjusted to reflect 2025 costs. Working on sourcing updated cost/quote.</t>
  </si>
  <si>
    <t>Coordinate AC Bridge (Replacement)</t>
  </si>
  <si>
    <t>There is a need to replace the existing 50-year-old coordinate bridge used for calibrating comparators in the field. The current unit is exhibiting signs of wear and tear, including intermittent operational issues, which compromise the accuracy and reliability of our calibration processes.The coordinate bridge has been a critical component in our calibration lab for the past five decades. However, due to its age, it is now prone to frequent breakdowns and inconsistent performance. These issues not only disrupt our calibration activities but also pose a risk to the quality and precision of our field operations. Must be replaced. Added $5K on top of quote for set up, testing and commisioning of equipment. A 2nd unit to be purchased as we need redundancy. the National Measurement Institute (NMI) takes more than 12 months to calibrate these. We can't function with the unit being away at NMI for 12 months.</t>
  </si>
  <si>
    <t>Omicron PD measurement System</t>
  </si>
  <si>
    <t>Meter Test System (Radian)</t>
  </si>
  <si>
    <t>Metering Test System for testing and commisioning. Growth of network is exponential. Must be able to keep with network growth demand. Parts Quotation + $15K for assembly, testing and commisioning of setup.</t>
  </si>
  <si>
    <t>Gas chromatogram and headspace autosampler -Dedicated Configuration to DGA Testing</t>
  </si>
  <si>
    <t>Need to replace a 40+ year old unit that is leaking and unreliable. It can now only perform 1 out of 3 tests that is required of this insturment. Spare parts can no longer be sourced for this unit and it is fully unsupported. Quote + $15K for columns and set up, testing and commsioning of unit</t>
  </si>
  <si>
    <t>Gas chromatogram and headspace autosampler - Dedicated to Free Gas testing</t>
  </si>
  <si>
    <t>Need to replace a 30+ year old unit that no longer supported by the manufacturer. Spare parts can no longer be sourced for this unit and breakdown will result in it being inoperable. The instrument is used to test free gas from Buchholz Relays. This testing is critical in a gas alarm/fault situation and rapid and reliable equipment is essential to help investiage the fault and return the transfromer to service. Quote + $10K for columns and set up, testing and commsioning of unit</t>
  </si>
  <si>
    <t>Gas chromatogram - Dedicated to SF6 testing</t>
  </si>
  <si>
    <t>Need to replace a 30+ year old unit that no longer supported by the manufacturer. Spare parts can no longer be sourced for this unit and breakdown will result in it being inoperable. This would prevent continued testing of SF6 gas and related equipment as needed in current augmentations of the network. Quote + $10K for columns and set up, testing and commsioning of unit</t>
  </si>
  <si>
    <t>GC-ECD for Corroisve sulphur DBDS testing</t>
  </si>
  <si>
    <t>GC-ECD's have a known lifespan of 4-10 years. The current unit was purchased in 2019 and will need full replacement by 2030. This instrument is used to monitor the removal of DBDS in transformer oil. DBDS causes corrosion of silver and copper in both transformers and selector switches. The ongoing montioring of DBDS removal during oil processing is critical to Ausnet's asset management strategy. Quote+set up and commisioning costs.</t>
  </si>
  <si>
    <t>Autotitrator for Acid content testing</t>
  </si>
  <si>
    <t>Current system is now unsupported having being superseded by the Omnis system. By 2028 the current system will be 20 years old and require full replacement. Acid content testing is a critcal component of Ausnet's ongoing oil condition monitoring program and a fully functional and supported system is required for Chemical Services to meet its obligations in regards to this program. Quote+set up, testing and commisioning</t>
  </si>
  <si>
    <t>Current 2 units &gt;20+ years old and have reached end of life. High likelihood of failure requiring replacement to ensure the continunity of Ausnet's oil condition monitoring program. Quotes for (Base unit+Autosampler)+integration costs b/w base unit and autosampler+ Drain automation and overflow protection estimated at $60K each</t>
  </si>
  <si>
    <t>Thermal cameras</t>
  </si>
  <si>
    <t>Replace two old  T660 thermal cameras no longer usable. Quote is for 1 unit and is from 2024 so we have allowed 3% increase</t>
  </si>
  <si>
    <t>New dielectric test set to further support the chemical services capability. An additional unit will provide relief of the main laboratory bottleneck. This will allow Chemical Services to respond quicker to urgent oil testing requests following faults, oil processing, and investigations, leading to better outcomes for the network. network demands are increasing exponentially. Quotes (Base Unit+Test Cells&amp;Electrodes) + set up and commisioning of unit.</t>
  </si>
  <si>
    <t>Thermal camera</t>
  </si>
  <si>
    <t>Replace 3 old A series thermal cameras. Quote is for 1 unit and is from 2024 so we have allowed 3% increase</t>
  </si>
  <si>
    <t>Corona discharge camera</t>
  </si>
  <si>
    <t>Replace  3 old vehicle mounted corona discharge cameras. Replace one in 2027, one in 2028 and the other in 2029. Quoted costs + ancillaries +set up, test, commision $10K each</t>
  </si>
  <si>
    <t>Insulating Gases - Cylinders</t>
  </si>
  <si>
    <t>Quote is for parts required to make 1 Unit. Need 30 units.</t>
  </si>
  <si>
    <t>TEV Ultra</t>
  </si>
  <si>
    <t>2 New TEV Ultra to replace old units.</t>
  </si>
  <si>
    <t>Equipment Failures/Breakdowns - Unrepairable/Unsupported</t>
  </si>
  <si>
    <t>Allowance for failed equipment. Allowance is based on experience. We do have these occur regularly and must be able to act immediately to replace. Our equipment is high precision and specialised. The allowance is very modest, only covers 1 to max 2 items a year.</t>
  </si>
  <si>
    <t>2kV IDAX 322</t>
  </si>
  <si>
    <t>CY31-32</t>
  </si>
  <si>
    <t>Aging Equipment Replacaments CY31 &amp; 32. Further breakdown can be supplied if required. However as has been demonstrated by the thorough breakdown for CY27 to CY30, values shown in CY31 and 32 are in line with requirements.</t>
  </si>
  <si>
    <t>HV Withstand tests on electrical primary assets such as power transformers, instrument transformers, circuit breakers and switchgears across AusNet’s network. It is critical that a replacement unit is purchased to facilitate HV Withstand testing on primary electrical assets in a timely manner. Quoted price + 20K Freight+$50K Skid Frame+$20K Labour Costs for set up, test, commision.</t>
  </si>
  <si>
    <t>UPLC</t>
  </si>
  <si>
    <t>The two current units will be 15 years old by 2029 and unsupported by the manufacturer. Fast advancements in UPLC technology means older units quickly become obsolete, and finding spare parts and maintenance technicians is increasingly difficult. Replacement of at least one of the units will be required to maintain furan testing of transformer oil. This testing is undertaken as part of Ausnet's routine condition monitoring program and provides valuable insights into the paper insulation condition and therefore remaining lifespan of transformer. Quote+ancillaries+set up, testing and commisioning of $10K.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</si>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</sst>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2" borderId="1"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horizontal="center" vertical="center"/>
    </xf>
    <xf numFmtId="0" fontId="0" fillId="0" borderId="4" xfId="0" applyBorder="1" applyAlignment="1">
      <alignment vertical="center"/>
    </xf>
    <xf numFmtId="44" fontId="0" fillId="0" borderId="4" xfId="1" applyFont="1" applyFill="1" applyBorder="1" applyAlignment="1">
      <alignment horizontal="center" vertical="center"/>
    </xf>
    <xf numFmtId="0" fontId="0" fillId="0" borderId="4" xfId="0" applyBorder="1" applyAlignment="1">
      <alignment wrapText="1"/>
    </xf>
    <xf numFmtId="0" fontId="0" fillId="0" borderId="4" xfId="0" applyBorder="1" applyAlignment="1">
      <alignment horizontal="left" vertical="center" wrapText="1"/>
    </xf>
    <xf numFmtId="44" fontId="0" fillId="0" borderId="4" xfId="1" applyFont="1" applyFill="1" applyBorder="1" applyAlignment="1">
      <alignment horizontal="left" vertical="center"/>
    </xf>
    <xf numFmtId="0" fontId="0" fillId="0" borderId="0" xfId="0" applyAlignment="1">
      <alignment horizontal="left" vertical="center"/>
    </xf>
    <xf numFmtId="0" fontId="0" fillId="0" borderId="4" xfId="0" applyBorder="1" applyAlignment="1">
      <alignment vertical="center" wrapText="1"/>
    </xf>
    <xf numFmtId="0" fontId="0" fillId="0" borderId="0" xfId="0" applyAlignment="1">
      <alignment horizontal="center"/>
    </xf>
    <xf numFmtId="0" fontId="0" fillId="0" borderId="4" xfId="0" applyBorder="1" applyAlignment="1">
      <alignment horizontal="left" vertical="center"/>
    </xf>
    <xf numFmtId="0" fontId="0" fillId="0" borderId="0" xfId="0" applyAlignment="1">
      <alignment horizontal="center" vertical="center"/>
    </xf>
    <xf numFmtId="0" fontId="0" fillId="0" borderId="4" xfId="0" applyBorder="1"/>
    <xf numFmtId="44" fontId="0" fillId="0" borderId="4" xfId="1" applyFont="1" applyFill="1" applyBorder="1" applyAlignment="1">
      <alignment horizontal="center"/>
    </xf>
    <xf numFmtId="44" fontId="0" fillId="0" borderId="5" xfId="1" applyFont="1" applyFill="1" applyBorder="1" applyAlignment="1">
      <alignment horizontal="center" vertical="center"/>
    </xf>
    <xf numFmtId="0" fontId="0" fillId="0" borderId="6" xfId="0" applyBorder="1" applyAlignment="1">
      <alignment wrapText="1"/>
    </xf>
    <xf numFmtId="0" fontId="2" fillId="3" borderId="7" xfId="0" applyFont="1" applyFill="1" applyBorder="1"/>
    <xf numFmtId="44" fontId="2" fillId="3" borderId="7" xfId="1" applyFont="1" applyFill="1" applyBorder="1" applyAlignment="1">
      <alignment horizontal="center"/>
    </xf>
    <xf numFmtId="44" fontId="2" fillId="3" borderId="8" xfId="0" applyNumberFormat="1" applyFont="1" applyFill="1" applyBorder="1"/>
    <xf numFmtId="0" fontId="0" fillId="0" borderId="4" xfId="0" applyBorder="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E1D5-F111-44D2-BA1C-015F15E71572}">
  <sheetPr>
    <pageSetUpPr fitToPage="1"/>
  </sheetPr>
  <dimension ref="A1:I34"/>
  <sheetViews>
    <sheetView tabSelected="1" zoomScaleNormal="100" workbookViewId="0">
      <pane ySplit="2" topLeftCell="A30" activePane="bottomLeft" state="frozen"/>
      <selection pane="bottomLeft" activeCell="B32" sqref="B32"/>
    </sheetView>
  </sheetViews>
  <sheetFormatPr defaultRowHeight="14.5" x14ac:dyDescent="0.35"/>
  <cols>
    <col min="1" max="1" width="9.1796875" style="4"/>
    <col min="2" max="2" width="83.1796875" customWidth="1"/>
    <col min="3" max="3" width="15.26953125" style="15" bestFit="1" customWidth="1"/>
    <col min="4" max="5" width="14.26953125" style="15" bestFit="1" customWidth="1"/>
    <col min="6" max="8" width="17" style="15" customWidth="1"/>
    <col min="9" max="9" width="82" customWidth="1"/>
  </cols>
  <sheetData>
    <row r="1" spans="1:9" s="3" customFormat="1" x14ac:dyDescent="0.35">
      <c r="A1" s="1"/>
      <c r="B1" s="1" t="s">
        <v>0</v>
      </c>
      <c r="C1" s="26"/>
      <c r="D1" s="26"/>
      <c r="E1" s="26"/>
      <c r="F1" s="27"/>
      <c r="G1" s="2"/>
      <c r="H1" s="2"/>
    </row>
    <row r="2" spans="1:9" x14ac:dyDescent="0.35">
      <c r="A2" s="4" t="s">
        <v>1</v>
      </c>
      <c r="B2" s="5" t="s">
        <v>2</v>
      </c>
      <c r="C2" s="6" t="s">
        <v>3</v>
      </c>
      <c r="D2" s="6" t="s">
        <v>4</v>
      </c>
      <c r="E2" s="6" t="s">
        <v>5</v>
      </c>
      <c r="F2" s="6" t="s">
        <v>6</v>
      </c>
      <c r="G2" s="6" t="s">
        <v>7</v>
      </c>
      <c r="H2" s="6" t="s">
        <v>8</v>
      </c>
      <c r="I2" s="6" t="s">
        <v>9</v>
      </c>
    </row>
    <row r="3" spans="1:9" s="3" customFormat="1" ht="72.5" x14ac:dyDescent="0.35">
      <c r="A3" s="7">
        <v>1</v>
      </c>
      <c r="B3" s="8" t="s">
        <v>10</v>
      </c>
      <c r="C3" s="9"/>
      <c r="D3" s="9"/>
      <c r="E3" s="9">
        <v>63000</v>
      </c>
      <c r="F3" s="9"/>
      <c r="G3" s="9"/>
      <c r="H3" s="9"/>
      <c r="I3" s="10" t="s">
        <v>11</v>
      </c>
    </row>
    <row r="4" spans="1:9" s="13" customFormat="1" x14ac:dyDescent="0.35">
      <c r="A4" s="7">
        <v>2</v>
      </c>
      <c r="B4" s="11" t="s">
        <v>12</v>
      </c>
      <c r="C4" s="12">
        <f>5000000*30%</f>
        <v>1500000</v>
      </c>
      <c r="D4" s="12"/>
      <c r="E4" s="12">
        <v>3550000</v>
      </c>
      <c r="F4" s="12"/>
      <c r="G4" s="12"/>
      <c r="H4" s="12"/>
      <c r="I4" s="25" t="s">
        <v>13</v>
      </c>
    </row>
    <row r="5" spans="1:9" ht="24.75" customHeight="1" x14ac:dyDescent="0.35">
      <c r="A5" s="7">
        <v>3</v>
      </c>
      <c r="B5" s="25" t="s">
        <v>13</v>
      </c>
      <c r="C5" s="9">
        <f>(598000+645000+1000000+400000)*0.15</f>
        <v>396450</v>
      </c>
      <c r="D5" s="9">
        <f>((598000+645000+1000000+400000)*0.85)+50000</f>
        <v>2296550</v>
      </c>
      <c r="E5" s="9"/>
      <c r="F5" s="9"/>
      <c r="G5" s="9"/>
      <c r="H5" s="9"/>
      <c r="I5" s="25" t="s">
        <v>13</v>
      </c>
    </row>
    <row r="6" spans="1:9" x14ac:dyDescent="0.35">
      <c r="A6" s="7">
        <v>4</v>
      </c>
      <c r="B6" s="25" t="s">
        <v>13</v>
      </c>
      <c r="C6" s="9">
        <v>495000</v>
      </c>
      <c r="E6" s="9">
        <v>1155000</v>
      </c>
      <c r="F6" s="9"/>
      <c r="G6" s="9"/>
      <c r="H6" s="9"/>
      <c r="I6" s="25" t="s">
        <v>13</v>
      </c>
    </row>
    <row r="7" spans="1:9" ht="29" x14ac:dyDescent="0.35">
      <c r="A7" s="7">
        <v>5</v>
      </c>
      <c r="B7" s="14" t="s">
        <v>14</v>
      </c>
      <c r="C7" s="9"/>
      <c r="D7" s="9"/>
      <c r="E7" s="9"/>
      <c r="F7" s="9"/>
      <c r="G7" s="9"/>
      <c r="H7" s="9"/>
      <c r="I7" s="14" t="s">
        <v>15</v>
      </c>
    </row>
    <row r="8" spans="1:9" x14ac:dyDescent="0.35">
      <c r="A8" s="7">
        <v>6</v>
      </c>
      <c r="B8" s="8" t="s">
        <v>16</v>
      </c>
      <c r="C8" s="9">
        <f>109000+5000</f>
        <v>114000</v>
      </c>
      <c r="D8" s="9"/>
      <c r="E8" s="9"/>
      <c r="F8" s="9"/>
      <c r="G8" s="9"/>
      <c r="H8" s="9"/>
      <c r="I8" s="14" t="s">
        <v>17</v>
      </c>
    </row>
    <row r="9" spans="1:9" x14ac:dyDescent="0.35">
      <c r="A9" s="7">
        <v>7</v>
      </c>
      <c r="B9" s="8" t="s">
        <v>18</v>
      </c>
      <c r="C9" s="9">
        <v>176610</v>
      </c>
      <c r="D9" s="9"/>
      <c r="E9" s="9"/>
      <c r="F9" s="9"/>
      <c r="G9" s="9"/>
      <c r="H9" s="9"/>
      <c r="I9" s="25" t="s">
        <v>13</v>
      </c>
    </row>
    <row r="10" spans="1:9" ht="43.5" x14ac:dyDescent="0.35">
      <c r="A10" s="7">
        <v>8</v>
      </c>
      <c r="B10" s="14" t="s">
        <v>19</v>
      </c>
      <c r="C10" s="9"/>
      <c r="D10" s="9">
        <f>151209.68+79516.13+80645.16+15000+5000</f>
        <v>331370.96999999997</v>
      </c>
      <c r="E10" s="9"/>
      <c r="F10" s="9"/>
      <c r="G10" s="9"/>
      <c r="H10" s="9"/>
      <c r="I10" s="14" t="s">
        <v>20</v>
      </c>
    </row>
    <row r="11" spans="1:9" ht="58" x14ac:dyDescent="0.35">
      <c r="A11" s="7">
        <v>9</v>
      </c>
      <c r="B11" s="8" t="s">
        <v>21</v>
      </c>
      <c r="C11" s="9"/>
      <c r="D11" s="9"/>
      <c r="E11" s="9"/>
      <c r="F11" s="9"/>
      <c r="G11" s="9"/>
      <c r="H11" s="9"/>
      <c r="I11" s="14" t="s">
        <v>22</v>
      </c>
    </row>
    <row r="12" spans="1:9" ht="43.5" x14ac:dyDescent="0.35">
      <c r="A12" s="7">
        <v>10</v>
      </c>
      <c r="B12" s="14" t="s">
        <v>23</v>
      </c>
      <c r="C12" s="9"/>
      <c r="D12" s="9">
        <f>(97790+319354.84+370967.74)</f>
        <v>788112.58000000007</v>
      </c>
      <c r="E12" s="9"/>
      <c r="F12" s="9"/>
      <c r="G12" s="9"/>
      <c r="H12" s="9"/>
      <c r="I12" s="14" t="s">
        <v>24</v>
      </c>
    </row>
    <row r="13" spans="1:9" ht="55" customHeight="1" x14ac:dyDescent="0.35">
      <c r="A13" s="7">
        <v>11</v>
      </c>
      <c r="B13" s="14" t="s">
        <v>25</v>
      </c>
      <c r="C13" s="9"/>
      <c r="D13" s="9"/>
      <c r="E13" s="9"/>
      <c r="F13" s="9">
        <v>300000</v>
      </c>
      <c r="G13" s="9"/>
      <c r="H13" s="9"/>
      <c r="I13" s="14" t="s">
        <v>26</v>
      </c>
    </row>
    <row r="14" spans="1:9" ht="145" x14ac:dyDescent="0.35">
      <c r="A14" s="7">
        <v>12</v>
      </c>
      <c r="B14" s="8" t="s">
        <v>27</v>
      </c>
      <c r="C14" s="9"/>
      <c r="D14" s="9">
        <f>78000*2</f>
        <v>156000</v>
      </c>
      <c r="E14" s="9"/>
      <c r="F14" s="9"/>
      <c r="G14" s="9"/>
      <c r="H14" s="9"/>
      <c r="I14" s="14" t="s">
        <v>28</v>
      </c>
    </row>
    <row r="15" spans="1:9" x14ac:dyDescent="0.35">
      <c r="A15" s="7">
        <v>13</v>
      </c>
      <c r="B15" s="8" t="s">
        <v>29</v>
      </c>
      <c r="C15" s="9"/>
      <c r="D15" s="9"/>
      <c r="E15" s="9"/>
      <c r="F15" s="9">
        <f>733975+15000</f>
        <v>748975</v>
      </c>
      <c r="G15" s="9"/>
      <c r="H15" s="9"/>
      <c r="I15" s="25" t="s">
        <v>13</v>
      </c>
    </row>
    <row r="16" spans="1:9" s="3" customFormat="1" ht="43.5" x14ac:dyDescent="0.35">
      <c r="A16" s="7">
        <v>14</v>
      </c>
      <c r="B16" s="8" t="s">
        <v>30</v>
      </c>
      <c r="C16" s="9">
        <f>113555+15000</f>
        <v>128555</v>
      </c>
      <c r="D16" s="9"/>
      <c r="E16" s="9"/>
      <c r="F16" s="9"/>
      <c r="G16" s="9"/>
      <c r="H16" s="9"/>
      <c r="I16" s="14" t="s">
        <v>31</v>
      </c>
    </row>
    <row r="17" spans="1:9" s="3" customFormat="1" ht="43.5" x14ac:dyDescent="0.35">
      <c r="A17" s="7">
        <v>15</v>
      </c>
      <c r="B17" s="8" t="s">
        <v>32</v>
      </c>
      <c r="C17" s="9"/>
      <c r="D17" s="9"/>
      <c r="E17" s="9"/>
      <c r="F17" s="9"/>
      <c r="G17" s="9"/>
      <c r="H17" s="9"/>
      <c r="I17" s="14" t="s">
        <v>33</v>
      </c>
    </row>
    <row r="18" spans="1:9" s="3" customFormat="1" ht="72.5" x14ac:dyDescent="0.35">
      <c r="A18" s="7">
        <v>16</v>
      </c>
      <c r="B18" s="8" t="s">
        <v>34</v>
      </c>
      <c r="C18" s="9"/>
      <c r="D18" s="9">
        <v>110000</v>
      </c>
      <c r="E18" s="9"/>
      <c r="F18" s="9"/>
      <c r="G18" s="9"/>
      <c r="H18" s="9"/>
      <c r="I18" s="14" t="s">
        <v>35</v>
      </c>
    </row>
    <row r="19" spans="1:9" s="3" customFormat="1" ht="58" x14ac:dyDescent="0.35">
      <c r="A19" s="7">
        <v>17</v>
      </c>
      <c r="B19" s="8" t="s">
        <v>36</v>
      </c>
      <c r="C19" s="9"/>
      <c r="D19" s="9"/>
      <c r="E19" s="9">
        <v>110000</v>
      </c>
      <c r="G19" s="9"/>
      <c r="H19" s="9"/>
      <c r="I19" s="14" t="s">
        <v>37</v>
      </c>
    </row>
    <row r="20" spans="1:9" s="3" customFormat="1" ht="72.5" x14ac:dyDescent="0.35">
      <c r="A20" s="7">
        <v>18</v>
      </c>
      <c r="B20" s="8" t="s">
        <v>38</v>
      </c>
      <c r="C20" s="9"/>
      <c r="D20" s="9"/>
      <c r="E20" s="9"/>
      <c r="F20" s="9">
        <f>76550+5000</f>
        <v>81550</v>
      </c>
      <c r="G20" s="9"/>
      <c r="H20" s="9"/>
      <c r="I20" s="14" t="s">
        <v>39</v>
      </c>
    </row>
    <row r="21" spans="1:9" ht="72.5" x14ac:dyDescent="0.35">
      <c r="A21" s="7">
        <v>19</v>
      </c>
      <c r="B21" s="8" t="s">
        <v>40</v>
      </c>
      <c r="C21" s="9"/>
      <c r="D21" s="9">
        <f>194721+5000</f>
        <v>199721</v>
      </c>
      <c r="E21" s="9"/>
      <c r="G21" s="9"/>
      <c r="H21" s="9"/>
      <c r="I21" s="14" t="s">
        <v>41</v>
      </c>
    </row>
    <row r="22" spans="1:9" s="3" customFormat="1" ht="58" x14ac:dyDescent="0.35">
      <c r="A22" s="7">
        <v>20</v>
      </c>
      <c r="B22" s="25" t="s">
        <v>13</v>
      </c>
      <c r="C22" s="9">
        <f>94570+29043.06+60000</f>
        <v>183613.06</v>
      </c>
      <c r="E22" s="9">
        <f>94570+29043.06+60000</f>
        <v>183613.06</v>
      </c>
      <c r="F22" s="9"/>
      <c r="G22" s="9"/>
      <c r="H22" s="9"/>
      <c r="I22" s="14" t="s">
        <v>42</v>
      </c>
    </row>
    <row r="23" spans="1:9" s="17" customFormat="1" ht="29" x14ac:dyDescent="0.35">
      <c r="A23" s="7">
        <v>21</v>
      </c>
      <c r="B23" s="16" t="s">
        <v>43</v>
      </c>
      <c r="C23" s="9"/>
      <c r="D23" s="9"/>
      <c r="E23" s="9"/>
      <c r="F23" s="9"/>
      <c r="G23" s="9"/>
      <c r="H23" s="9"/>
      <c r="I23" s="11" t="s">
        <v>44</v>
      </c>
    </row>
    <row r="24" spans="1:9" s="3" customFormat="1" ht="72.5" x14ac:dyDescent="0.35">
      <c r="A24" s="7">
        <v>22</v>
      </c>
      <c r="B24" s="25" t="s">
        <v>13</v>
      </c>
      <c r="C24" s="9"/>
      <c r="D24" s="9">
        <f>34750+14796+5000</f>
        <v>54546</v>
      </c>
      <c r="E24" s="9"/>
      <c r="F24" s="9"/>
      <c r="G24" s="9"/>
      <c r="H24" s="9"/>
      <c r="I24" s="14" t="s">
        <v>45</v>
      </c>
    </row>
    <row r="25" spans="1:9" s="3" customFormat="1" ht="29" x14ac:dyDescent="0.35">
      <c r="A25" s="7">
        <v>23</v>
      </c>
      <c r="B25" s="8" t="s">
        <v>46</v>
      </c>
      <c r="C25" s="9">
        <f>52811*2*1.03</f>
        <v>108790.66</v>
      </c>
      <c r="D25" s="9">
        <f>52811*1.03</f>
        <v>54395.33</v>
      </c>
      <c r="E25" s="9"/>
      <c r="F25" s="9"/>
      <c r="G25" s="9"/>
      <c r="H25" s="9"/>
      <c r="I25" s="14" t="s">
        <v>47</v>
      </c>
    </row>
    <row r="26" spans="1:9" s="3" customFormat="1" ht="29" x14ac:dyDescent="0.35">
      <c r="A26" s="7">
        <v>24</v>
      </c>
      <c r="B26" s="8" t="s">
        <v>48</v>
      </c>
      <c r="C26" s="9">
        <f>29535+169634+10000</f>
        <v>209169</v>
      </c>
      <c r="D26" s="9">
        <f>29535+169634+10000</f>
        <v>209169</v>
      </c>
      <c r="F26" s="9"/>
      <c r="G26" s="9"/>
      <c r="H26" s="9"/>
      <c r="I26" s="14" t="s">
        <v>49</v>
      </c>
    </row>
    <row r="27" spans="1:9" x14ac:dyDescent="0.35">
      <c r="A27" s="7">
        <v>25</v>
      </c>
      <c r="B27" s="8" t="s">
        <v>50</v>
      </c>
      <c r="D27" s="9"/>
      <c r="E27" s="9"/>
      <c r="F27" s="9"/>
      <c r="G27" s="9"/>
      <c r="H27" s="9"/>
      <c r="I27" s="14" t="s">
        <v>51</v>
      </c>
    </row>
    <row r="28" spans="1:9" x14ac:dyDescent="0.35">
      <c r="A28" s="7">
        <v>26</v>
      </c>
      <c r="B28" s="18" t="s">
        <v>52</v>
      </c>
      <c r="C28" s="19"/>
      <c r="D28" s="19"/>
      <c r="F28" s="19">
        <f>(57750+2000+900+5200+150)*1.06</f>
        <v>69960</v>
      </c>
      <c r="G28" s="19"/>
      <c r="H28" s="19"/>
      <c r="I28" s="18" t="s">
        <v>53</v>
      </c>
    </row>
    <row r="29" spans="1:9" s="3" customFormat="1" ht="43.5" x14ac:dyDescent="0.35">
      <c r="A29" s="7">
        <v>27</v>
      </c>
      <c r="B29" s="8" t="s">
        <v>54</v>
      </c>
      <c r="C29" s="9">
        <v>200000</v>
      </c>
      <c r="D29" s="9">
        <v>200000</v>
      </c>
      <c r="E29" s="9">
        <v>200000</v>
      </c>
      <c r="F29" s="9">
        <v>200000</v>
      </c>
      <c r="G29" s="9"/>
      <c r="H29" s="9"/>
      <c r="I29" s="14" t="s">
        <v>55</v>
      </c>
    </row>
    <row r="30" spans="1:9" s="3" customFormat="1" ht="24.75" customHeight="1" x14ac:dyDescent="0.35">
      <c r="A30" s="7">
        <v>28</v>
      </c>
      <c r="B30" s="8" t="s">
        <v>56</v>
      </c>
      <c r="C30" s="9">
        <v>160000</v>
      </c>
      <c r="D30" s="9"/>
      <c r="E30" s="9"/>
      <c r="F30" s="9"/>
      <c r="G30" s="9"/>
      <c r="H30" s="9"/>
      <c r="I30" s="25" t="s">
        <v>13</v>
      </c>
    </row>
    <row r="31" spans="1:9" ht="43.5" x14ac:dyDescent="0.35">
      <c r="A31" s="7">
        <v>29</v>
      </c>
      <c r="B31" s="8" t="s">
        <v>57</v>
      </c>
      <c r="C31" s="9"/>
      <c r="D31" s="9"/>
      <c r="E31" s="9"/>
      <c r="F31" s="9"/>
      <c r="G31" s="9">
        <v>2000000</v>
      </c>
      <c r="H31" s="9">
        <v>2000000</v>
      </c>
      <c r="I31" s="14" t="s">
        <v>58</v>
      </c>
    </row>
    <row r="32" spans="1:9" s="3" customFormat="1" ht="72.5" x14ac:dyDescent="0.35">
      <c r="A32" s="7">
        <v>30</v>
      </c>
      <c r="B32" s="25" t="s">
        <v>13</v>
      </c>
      <c r="C32" s="20"/>
      <c r="D32" s="20"/>
      <c r="E32" s="20"/>
      <c r="F32" s="20">
        <f>449000+20000+50000+20000</f>
        <v>539000</v>
      </c>
      <c r="G32" s="20"/>
      <c r="H32" s="20"/>
      <c r="I32" s="21" t="s">
        <v>59</v>
      </c>
    </row>
    <row r="33" spans="1:9" s="3" customFormat="1" ht="101.5" x14ac:dyDescent="0.35">
      <c r="A33" s="7">
        <v>31</v>
      </c>
      <c r="B33" s="8" t="s">
        <v>60</v>
      </c>
      <c r="C33" s="9"/>
      <c r="D33" s="9"/>
      <c r="E33" s="9">
        <f>500530.8+10000</f>
        <v>510530.8</v>
      </c>
      <c r="F33" s="9"/>
      <c r="G33" s="9"/>
      <c r="H33" s="9"/>
      <c r="I33" s="10" t="s">
        <v>61</v>
      </c>
    </row>
    <row r="34" spans="1:9" ht="15" thickBot="1" x14ac:dyDescent="0.4">
      <c r="A34" s="7"/>
      <c r="B34" s="22" t="s">
        <v>62</v>
      </c>
      <c r="C34" s="23">
        <f t="shared" ref="C34:H34" si="0">SUM(C3:C33)</f>
        <v>3672187.72</v>
      </c>
      <c r="D34" s="23">
        <f t="shared" si="0"/>
        <v>4399864.88</v>
      </c>
      <c r="E34" s="23">
        <f t="shared" si="0"/>
        <v>5772143.8599999994</v>
      </c>
      <c r="F34" s="23">
        <f t="shared" si="0"/>
        <v>1939485</v>
      </c>
      <c r="G34" s="23">
        <f t="shared" si="0"/>
        <v>2000000</v>
      </c>
      <c r="H34" s="23">
        <f t="shared" si="0"/>
        <v>2000000</v>
      </c>
      <c r="I34" s="24"/>
    </row>
  </sheetData>
  <mergeCells count="1">
    <mergeCell ref="C1:F1"/>
  </mergeCells>
  <pageMargins left="0.7" right="0.7" top="0.75" bottom="0.75" header="0.3" footer="0.3"/>
  <pageSetup paperSize="9" scale="30" orientation="portrait" r:id="rId1"/>
  <headerFooter>
    <oddFooter>&amp;C_x000D_&amp;1#&amp;"Century Gothic"&amp;7&amp;K7F7F7F BUSINESS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1da4fe-ce16-4509-ba6d-f993200f40ab" xsi:nil="true"/>
    <lcf76f155ced4ddcb4097134ff3c332f xmlns="4d3c6a57-5bda-4aa8-ac8a-498e975ae2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807872E4E7174B8680AF6F5A2ADC76" ma:contentTypeVersion="15" ma:contentTypeDescription="Create a new document." ma:contentTypeScope="" ma:versionID="5658096c11e7f8373aef0c03dc85abdf">
  <xsd:schema xmlns:xsd="http://www.w3.org/2001/XMLSchema" xmlns:xs="http://www.w3.org/2001/XMLSchema" xmlns:p="http://schemas.microsoft.com/office/2006/metadata/properties" xmlns:ns2="4d3c6a57-5bda-4aa8-ac8a-498e975ae2a0" xmlns:ns3="991da4fe-ce16-4509-ba6d-f993200f40ab" targetNamespace="http://schemas.microsoft.com/office/2006/metadata/properties" ma:root="true" ma:fieldsID="60f0ed642742aee35ca7e10557fce2cf" ns2:_="" ns3:_="">
    <xsd:import namespace="4d3c6a57-5bda-4aa8-ac8a-498e975ae2a0"/>
    <xsd:import namespace="991da4fe-ce16-4509-ba6d-f993200f40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c6a57-5bda-4aa8-ac8a-498e975ae2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1da4fe-ce16-4509-ba6d-f993200f40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4f8352-8701-47d2-b76f-b70630237ffb}" ma:internalName="TaxCatchAll" ma:showField="CatchAllData" ma:web="991da4fe-ce16-4509-ba6d-f993200f40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195CD6-2E94-42F5-846B-2843D43F1E38}">
  <ds:schemaRefs>
    <ds:schemaRef ds:uri="http://schemas.microsoft.com/office/2006/metadata/properties"/>
    <ds:schemaRef ds:uri="http://schemas.microsoft.com/office/infopath/2007/PartnerControls"/>
    <ds:schemaRef ds:uri="991da4fe-ce16-4509-ba6d-f993200f40ab"/>
    <ds:schemaRef ds:uri="4d3c6a57-5bda-4aa8-ac8a-498e975ae2a0"/>
  </ds:schemaRefs>
</ds:datastoreItem>
</file>

<file path=customXml/itemProps2.xml><?xml version="1.0" encoding="utf-8"?>
<ds:datastoreItem xmlns:ds="http://schemas.openxmlformats.org/officeDocument/2006/customXml" ds:itemID="{837E0109-9ECB-4E6E-AF64-FF7669B87928}">
  <ds:schemaRefs>
    <ds:schemaRef ds:uri="http://schemas.microsoft.com/sharepoint/v3/contenttype/forms"/>
  </ds:schemaRefs>
</ds:datastoreItem>
</file>

<file path=customXml/itemProps3.xml><?xml version="1.0" encoding="utf-8"?>
<ds:datastoreItem xmlns:ds="http://schemas.openxmlformats.org/officeDocument/2006/customXml" ds:itemID="{EB3F6328-E1D0-45D2-85CD-AD9269E0DF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c6a57-5bda-4aa8-ac8a-498e975ae2a0"/>
    <ds:schemaRef ds:uri="991da4fe-ce16-4509-ba6d-f993200f4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9ee16a-f4d8-42fc-8e4b-5abdff9fc8a9}" enabled="1" method="Standard" siteId="{a394e41c-cf8d-458e-ac1b-ddae1aa1562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Equip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 Constantinou</dc:creator>
  <cp:keywords/>
  <dc:description/>
  <cp:lastModifiedBy>Andrew Ponsonby</cp:lastModifiedBy>
  <cp:revision/>
  <dcterms:created xsi:type="dcterms:W3CDTF">2025-08-26T03:50:00Z</dcterms:created>
  <dcterms:modified xsi:type="dcterms:W3CDTF">2025-10-28T04:23:58Z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0x01010039807872E4E7174B8680AF6F5A2ADC76</vt:lpwstr>
  </property>
  <property fmtid="{D5CDD505-2E9C-101B-9397-08002B2CF9AE}" pid="3" name="MediaServiceImageTags">
    <vt:lpwstr/>
  </property>
</Properties>
</file>