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 defaultThemeVersion="124226"/>
  <xr:revisionPtr revIDLastSave="0" documentId="13_ncr:1_{BDE3C110-A870-482E-A910-8DD3A270B1AB}" xr6:coauthVersionLast="47" xr6:coauthVersionMax="47" xr10:uidLastSave="{00000000-0000-0000-0000-000000000000}"/>
  <bookViews>
    <workbookView xWindow="-28920" yWindow="-120" windowWidth="29040" windowHeight="15720" tabRatio="873" firstSheet="1" activeTab="6" xr2:uid="{E6CD642D-BC2D-47D3-B6AF-E23152C43DE5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59" r:id="rId9"/>
    <sheet name="Lookup|Tables" sheetId="4" r:id="rId10"/>
    <sheet name="Check|List" sheetId="16" r:id="rId11"/>
    <sheet name="Workings -&gt;&gt;" sheetId="60" r:id="rId12"/>
    <sheet name="GSL" sheetId="62" r:id="rId13"/>
    <sheet name="Output" sheetId="63" r:id="rId14"/>
    <sheet name="Step" sheetId="66" r:id="rId15"/>
  </sheets>
  <externalReferences>
    <externalReference r:id="rId16"/>
  </externalReferences>
  <definedNames>
    <definedName name="BaseYear" localSheetId="12">#REF!</definedName>
    <definedName name="BaseYear" localSheetId="14">#REF!</definedName>
    <definedName name="BaseYear">'Input|General'!$G$11</definedName>
    <definedName name="dms_PRCP_BaseYear">#REF!</definedName>
    <definedName name="dms_TradingName">#REF!</definedName>
    <definedName name="dollars">'Lookup|Tables'!$G$17</definedName>
    <definedName name="factor">'Lookup|Tables'!$G$24</definedName>
    <definedName name="FPFirstYear" localSheetId="12">#REF!</definedName>
    <definedName name="FPFirstYear" localSheetId="14">#REF!</definedName>
    <definedName name="FPFirstYear">'Input|General'!$G$13</definedName>
    <definedName name="FPLastYear" localSheetId="12">#REF!</definedName>
    <definedName name="FPLastYear" localSheetId="14">#REF!</definedName>
    <definedName name="FPLastYear">'Input|General'!$G$14</definedName>
    <definedName name="FRCP_1to5">"2015-16 to 2019-20"</definedName>
    <definedName name="millions">'Lookup|Tables'!$G$19</definedName>
    <definedName name="month" localSheetId="12">#REF!</definedName>
    <definedName name="month">'Input|General'!$G$9</definedName>
    <definedName name="Nominal_to_Real" localSheetId="12">#REF!</definedName>
    <definedName name="Nominal_to_Real" localSheetId="14">#REF!</definedName>
    <definedName name="Nominal_to_Real">'Lookup|Tables'!$H$72:$H$78</definedName>
    <definedName name="NSP">'Input|General'!$G$7</definedName>
    <definedName name="number">'Lookup|Tables'!$G$23</definedName>
    <definedName name="percent" localSheetId="12">#REF!</definedName>
    <definedName name="percent" localSheetId="14">#REF!</definedName>
    <definedName name="percent">'Lookup|Tables'!$G$21</definedName>
    <definedName name="PPFirstYear" localSheetId="12">#REF!</definedName>
    <definedName name="PPFirstYear" localSheetId="14">#REF!</definedName>
    <definedName name="PPFirstYear">'Input|General'!$G$10</definedName>
    <definedName name="PPLastYear" localSheetId="12">#REF!</definedName>
    <definedName name="PPLastYear" localSheetId="14">#REF!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 localSheetId="12">#REF!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3" i="53" l="1"/>
  <c r="P43" i="53" l="1"/>
  <c r="Q43" i="53" l="1"/>
  <c r="R43" i="53" l="1"/>
  <c r="S43" i="53" l="1"/>
  <c r="AJ35" i="62" l="1"/>
  <c r="AI35" i="62"/>
  <c r="AH35" i="62"/>
  <c r="AG35" i="62"/>
  <c r="T11" i="62"/>
  <c r="AF33" i="62"/>
  <c r="C65" i="66" l="1"/>
  <c r="B75" i="66"/>
  <c r="B64" i="66"/>
  <c r="B40" i="66" l="1"/>
  <c r="B49" i="66"/>
  <c r="B48" i="66"/>
  <c r="B47" i="66"/>
  <c r="B45" i="66"/>
  <c r="C50" i="66" l="1"/>
  <c r="AF32" i="62" l="1" a="1"/>
  <c r="AF32" i="62" s="1"/>
  <c r="B38" i="66" l="1"/>
  <c r="J13" i="62"/>
  <c r="T20" i="62"/>
  <c r="T19" i="62"/>
  <c r="T18" i="62"/>
  <c r="T17" i="62"/>
  <c r="T16" i="62"/>
  <c r="T15" i="62"/>
  <c r="T14" i="62"/>
  <c r="T13" i="62"/>
  <c r="AE11" i="62"/>
  <c r="O64" i="42" l="1"/>
  <c r="C69" i="66"/>
  <c r="C68" i="66"/>
  <c r="C67" i="66"/>
  <c r="C66" i="66"/>
  <c r="C70" i="66" l="1"/>
  <c r="N17" i="42"/>
  <c r="N31" i="42" s="1"/>
  <c r="N13" i="58"/>
  <c r="C54" i="66" l="1"/>
  <c r="C53" i="66"/>
  <c r="C52" i="66"/>
  <c r="C51" i="66"/>
  <c r="C23" i="66" l="1"/>
  <c r="C24" i="66"/>
  <c r="C25" i="66"/>
  <c r="C26" i="66"/>
  <c r="C27" i="66"/>
  <c r="B16" i="66"/>
  <c r="B46" i="66" l="1"/>
  <c r="B19" i="66"/>
  <c r="B14" i="66"/>
  <c r="B18" i="66" l="1"/>
  <c r="B20" i="66" s="1"/>
  <c r="E12" i="66"/>
  <c r="D12" i="66"/>
  <c r="C12" i="66"/>
  <c r="B12" i="66"/>
  <c r="A12" i="66"/>
  <c r="C55" i="66" l="1"/>
  <c r="C28" i="66"/>
  <c r="B21" i="66"/>
  <c r="B22" i="66" s="1"/>
  <c r="E19" i="63" l="1"/>
  <c r="E18" i="63"/>
  <c r="E17" i="63"/>
  <c r="E16" i="63"/>
  <c r="E15" i="63"/>
  <c r="E14" i="63"/>
  <c r="I88" i="55"/>
  <c r="I86" i="55"/>
  <c r="I84" i="55"/>
  <c r="H82" i="55" l="1"/>
  <c r="T66" i="2" l="1"/>
  <c r="S66" i="2"/>
  <c r="R66" i="2"/>
  <c r="Q66" i="2"/>
  <c r="P66" i="2"/>
  <c r="O66" i="2"/>
  <c r="P77" i="2" l="1"/>
  <c r="U19" i="62"/>
  <c r="V19" i="62" s="1"/>
  <c r="U18" i="62"/>
  <c r="V18" i="62" s="1"/>
  <c r="W18" i="62" s="1"/>
  <c r="X18" i="62" s="1"/>
  <c r="Y18" i="62" s="1"/>
  <c r="U17" i="62"/>
  <c r="V17" i="62" s="1"/>
  <c r="W17" i="62" s="1"/>
  <c r="X17" i="62" s="1"/>
  <c r="Y17" i="62" s="1"/>
  <c r="U16" i="62"/>
  <c r="V16" i="62" s="1"/>
  <c r="W16" i="62" s="1"/>
  <c r="X16" i="62" s="1"/>
  <c r="Y16" i="62" s="1"/>
  <c r="U15" i="62"/>
  <c r="V15" i="62" s="1"/>
  <c r="W15" i="62" s="1"/>
  <c r="X15" i="62" s="1"/>
  <c r="Y15" i="62" s="1"/>
  <c r="U14" i="62"/>
  <c r="V14" i="62" s="1"/>
  <c r="W14" i="62" s="1"/>
  <c r="X14" i="62" s="1"/>
  <c r="Y14" i="62" s="1"/>
  <c r="U13" i="62"/>
  <c r="V13" i="62" s="1"/>
  <c r="W13" i="62" s="1"/>
  <c r="X13" i="62" s="1"/>
  <c r="Y13" i="62" s="1"/>
  <c r="AB20" i="62"/>
  <c r="AA20" i="62"/>
  <c r="Z20" i="62"/>
  <c r="U20" i="62"/>
  <c r="I20" i="62"/>
  <c r="AE20" i="62" s="1"/>
  <c r="H20" i="62"/>
  <c r="AD20" i="62" s="1"/>
  <c r="G20" i="62"/>
  <c r="AC20" i="62" s="1"/>
  <c r="AB19" i="62"/>
  <c r="AA19" i="62"/>
  <c r="Z19" i="62"/>
  <c r="I19" i="62"/>
  <c r="J19" i="62" s="1"/>
  <c r="K19" i="62" s="1"/>
  <c r="L19" i="62" s="1"/>
  <c r="H19" i="62"/>
  <c r="AD19" i="62" s="1"/>
  <c r="G19" i="62"/>
  <c r="AC19" i="62" s="1"/>
  <c r="AC18" i="62"/>
  <c r="AB18" i="62"/>
  <c r="AA18" i="62"/>
  <c r="Z18" i="62"/>
  <c r="I18" i="62"/>
  <c r="H18" i="62"/>
  <c r="AD18" i="62" s="1"/>
  <c r="AB17" i="62"/>
  <c r="AA17" i="62"/>
  <c r="Z17" i="62"/>
  <c r="I17" i="62"/>
  <c r="H17" i="62"/>
  <c r="AD17" i="62" s="1"/>
  <c r="G17" i="62"/>
  <c r="AC17" i="62" s="1"/>
  <c r="AB16" i="62"/>
  <c r="AA16" i="62"/>
  <c r="Z16" i="62"/>
  <c r="I16" i="62"/>
  <c r="J16" i="62" s="1"/>
  <c r="H16" i="62"/>
  <c r="AD16" i="62" s="1"/>
  <c r="G16" i="62"/>
  <c r="AC16" i="62" s="1"/>
  <c r="AC15" i="62"/>
  <c r="AB15" i="62"/>
  <c r="AA15" i="62"/>
  <c r="Z15" i="62"/>
  <c r="I15" i="62"/>
  <c r="H15" i="62"/>
  <c r="AD15" i="62" s="1"/>
  <c r="AC14" i="62"/>
  <c r="AB14" i="62"/>
  <c r="AA14" i="62"/>
  <c r="Z14" i="62"/>
  <c r="I14" i="62"/>
  <c r="H14" i="62"/>
  <c r="AD14" i="62" s="1"/>
  <c r="AC13" i="62"/>
  <c r="AB13" i="62"/>
  <c r="AA13" i="62"/>
  <c r="Z13" i="62"/>
  <c r="I13" i="62"/>
  <c r="H13" i="62"/>
  <c r="AD13" i="62" s="1"/>
  <c r="AC11" i="62"/>
  <c r="AB11" i="62"/>
  <c r="AA11" i="62"/>
  <c r="Z11" i="62"/>
  <c r="S11" i="62"/>
  <c r="I11" i="62"/>
  <c r="H11" i="62"/>
  <c r="AG33" i="62" l="1"/>
  <c r="U11" i="62"/>
  <c r="V11" i="62" s="1"/>
  <c r="W11" i="62" s="1"/>
  <c r="X11" i="62" s="1"/>
  <c r="Y11" i="62" s="1"/>
  <c r="AD11" i="62"/>
  <c r="AD27" i="62"/>
  <c r="AE18" i="62"/>
  <c r="AA27" i="62"/>
  <c r="AB27" i="62"/>
  <c r="Z27" i="62"/>
  <c r="J20" i="62"/>
  <c r="K20" i="62" s="1"/>
  <c r="L20" i="62" s="1"/>
  <c r="AF19" i="62"/>
  <c r="AE19" i="62"/>
  <c r="AE17" i="62"/>
  <c r="AE16" i="62"/>
  <c r="AF16" i="62"/>
  <c r="AE15" i="62"/>
  <c r="AE14" i="62"/>
  <c r="AE13" i="62"/>
  <c r="AG19" i="62"/>
  <c r="W19" i="62"/>
  <c r="X19" i="62" s="1"/>
  <c r="Y19" i="62" s="1"/>
  <c r="AC27" i="62"/>
  <c r="V20" i="62"/>
  <c r="W20" i="62" s="1"/>
  <c r="X20" i="62" s="1"/>
  <c r="Y20" i="62" s="1"/>
  <c r="M19" i="62"/>
  <c r="J11" i="62"/>
  <c r="J14" i="62"/>
  <c r="J15" i="62"/>
  <c r="K16" i="62"/>
  <c r="J17" i="62"/>
  <c r="J18" i="62"/>
  <c r="AH33" i="62" l="1"/>
  <c r="AF11" i="62"/>
  <c r="AE27" i="62"/>
  <c r="AF20" i="62"/>
  <c r="AH19" i="62"/>
  <c r="AF15" i="62"/>
  <c r="K15" i="62"/>
  <c r="K14" i="62"/>
  <c r="AF14" i="62"/>
  <c r="AF13" i="62"/>
  <c r="K13" i="62"/>
  <c r="K11" i="62"/>
  <c r="N19" i="62"/>
  <c r="AJ19" i="62" s="1"/>
  <c r="AI19" i="62"/>
  <c r="AF18" i="62"/>
  <c r="K18" i="62"/>
  <c r="AF17" i="62"/>
  <c r="K17" i="62"/>
  <c r="AG20" i="62"/>
  <c r="M20" i="62"/>
  <c r="AH20" i="62"/>
  <c r="AG16" i="62"/>
  <c r="L16" i="62"/>
  <c r="AI33" i="62" l="1"/>
  <c r="AF27" i="62"/>
  <c r="AF34" i="62" s="1"/>
  <c r="AF36" i="62" s="1"/>
  <c r="O31" i="53" s="1"/>
  <c r="AH16" i="62"/>
  <c r="M16" i="62"/>
  <c r="AG17" i="62"/>
  <c r="L17" i="62"/>
  <c r="AG11" i="62"/>
  <c r="L11" i="62"/>
  <c r="AG18" i="62"/>
  <c r="L18" i="62"/>
  <c r="AG13" i="62"/>
  <c r="L13" i="62"/>
  <c r="AG14" i="62"/>
  <c r="L14" i="62"/>
  <c r="AG15" i="62"/>
  <c r="L15" i="62"/>
  <c r="N20" i="62"/>
  <c r="AJ20" i="62" s="1"/>
  <c r="AI20" i="62"/>
  <c r="AJ33" i="62" l="1"/>
  <c r="AH13" i="62"/>
  <c r="M13" i="62"/>
  <c r="M18" i="62"/>
  <c r="AH18" i="62"/>
  <c r="AH11" i="62"/>
  <c r="M11" i="62"/>
  <c r="AG27" i="62"/>
  <c r="AG34" i="62" s="1"/>
  <c r="AG36" i="62" s="1"/>
  <c r="P31" i="53" s="1"/>
  <c r="AH15" i="62"/>
  <c r="M15" i="62"/>
  <c r="M17" i="62"/>
  <c r="AH17" i="62"/>
  <c r="N16" i="62"/>
  <c r="AJ16" i="62" s="1"/>
  <c r="AI16" i="62"/>
  <c r="AH14" i="62"/>
  <c r="M14" i="62"/>
  <c r="AI13" i="62" l="1"/>
  <c r="N13" i="62"/>
  <c r="AJ13" i="62" s="1"/>
  <c r="N17" i="62"/>
  <c r="AJ17" i="62" s="1"/>
  <c r="AI17" i="62"/>
  <c r="AI15" i="62"/>
  <c r="N15" i="62"/>
  <c r="AJ15" i="62" s="1"/>
  <c r="AI11" i="62"/>
  <c r="N11" i="62"/>
  <c r="AJ11" i="62" s="1"/>
  <c r="AH27" i="62"/>
  <c r="AH34" i="62" s="1"/>
  <c r="AH36" i="62" s="1"/>
  <c r="Q31" i="53" s="1"/>
  <c r="AI14" i="62"/>
  <c r="N14" i="62"/>
  <c r="AJ14" i="62" s="1"/>
  <c r="N18" i="62"/>
  <c r="AJ18" i="62" s="1"/>
  <c r="AI18" i="62"/>
  <c r="AJ27" i="62" l="1"/>
  <c r="AJ34" i="62" s="1"/>
  <c r="AJ36" i="62" s="1"/>
  <c r="S31" i="53" s="1"/>
  <c r="AI27" i="62"/>
  <c r="AI34" i="62" s="1"/>
  <c r="AI36" i="62" s="1"/>
  <c r="R31" i="53" s="1"/>
  <c r="C87" i="42" l="1"/>
  <c r="D23" i="59" l="1"/>
  <c r="D22" i="59"/>
  <c r="D21" i="59"/>
  <c r="D20" i="59"/>
  <c r="D19" i="59"/>
  <c r="D18" i="59"/>
  <c r="D17" i="59"/>
  <c r="D16" i="59"/>
  <c r="D15" i="59"/>
  <c r="D14" i="59"/>
  <c r="D13" i="59"/>
  <c r="D12" i="59"/>
  <c r="D11" i="59"/>
  <c r="B1" i="59"/>
  <c r="E86" i="42"/>
  <c r="C86" i="42"/>
  <c r="E22" i="53"/>
  <c r="H78" i="55" l="1"/>
  <c r="H81" i="55"/>
  <c r="H69" i="55"/>
  <c r="H70" i="55"/>
  <c r="H71" i="55"/>
  <c r="H72" i="55"/>
  <c r="H73" i="55"/>
  <c r="H74" i="55"/>
  <c r="H75" i="55"/>
  <c r="H76" i="55"/>
  <c r="H77" i="55"/>
  <c r="H79" i="55"/>
  <c r="H80" i="55"/>
  <c r="H84" i="55" s="1"/>
  <c r="K15" i="58"/>
  <c r="L15" i="58"/>
  <c r="M15" i="58"/>
  <c r="N15" i="58"/>
  <c r="C78" i="42"/>
  <c r="C79" i="42"/>
  <c r="C80" i="42"/>
  <c r="C81" i="42"/>
  <c r="C82" i="42"/>
  <c r="C83" i="42"/>
  <c r="C84" i="42"/>
  <c r="C85" i="42"/>
  <c r="C88" i="42"/>
  <c r="E14" i="53"/>
  <c r="E79" i="42"/>
  <c r="E78" i="42"/>
  <c r="E13" i="53"/>
  <c r="U77" i="2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V10" i="55"/>
  <c r="V12" i="55"/>
  <c r="V14" i="55"/>
  <c r="V15" i="55"/>
  <c r="V17" i="55"/>
  <c r="V18" i="55"/>
  <c r="V20" i="55"/>
  <c r="V21" i="55"/>
  <c r="V22" i="55"/>
  <c r="V23" i="55"/>
  <c r="V25" i="55"/>
  <c r="V26" i="55"/>
  <c r="V27" i="55"/>
  <c r="V28" i="55"/>
  <c r="V29" i="55"/>
  <c r="E13" i="55"/>
  <c r="V87" i="55"/>
  <c r="V88" i="55"/>
  <c r="W35" i="53"/>
  <c r="W34" i="53"/>
  <c r="V67" i="58"/>
  <c r="V45" i="58"/>
  <c r="V44" i="58"/>
  <c r="V26" i="58"/>
  <c r="V27" i="58"/>
  <c r="B2" i="55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T115" i="2"/>
  <c r="S67" i="42" s="1"/>
  <c r="S115" i="2"/>
  <c r="R67" i="42" s="1"/>
  <c r="R115" i="2"/>
  <c r="Q67" i="42" s="1"/>
  <c r="Q115" i="2"/>
  <c r="P67" i="42" s="1"/>
  <c r="C7" i="4"/>
  <c r="S15" i="54"/>
  <c r="F43" i="53"/>
  <c r="E35" i="53"/>
  <c r="E34" i="53"/>
  <c r="E33" i="53"/>
  <c r="E32" i="53"/>
  <c r="E31" i="53"/>
  <c r="F35" i="53"/>
  <c r="F34" i="53"/>
  <c r="F31" i="53"/>
  <c r="E23" i="53"/>
  <c r="E21" i="53"/>
  <c r="E20" i="53"/>
  <c r="E19" i="53"/>
  <c r="E18" i="53"/>
  <c r="E17" i="53"/>
  <c r="E16" i="53"/>
  <c r="E15" i="53"/>
  <c r="E12" i="53"/>
  <c r="F13" i="58"/>
  <c r="F24" i="58" s="1"/>
  <c r="F69" i="58"/>
  <c r="F28" i="42" s="1"/>
  <c r="F67" i="58"/>
  <c r="F49" i="42" s="1"/>
  <c r="F46" i="42"/>
  <c r="F43" i="42"/>
  <c r="F40" i="42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E14" i="42" s="1"/>
  <c r="J4" i="42"/>
  <c r="J49" i="42" s="1"/>
  <c r="K4" i="42"/>
  <c r="L4" i="42"/>
  <c r="L106" i="42" s="1"/>
  <c r="M4" i="42"/>
  <c r="N4" i="42"/>
  <c r="O4" i="42"/>
  <c r="O106" i="42" s="1"/>
  <c r="P4" i="42"/>
  <c r="P58" i="42" s="1"/>
  <c r="Q4" i="42"/>
  <c r="Q106" i="42" s="1"/>
  <c r="R4" i="42"/>
  <c r="R106" i="42" s="1"/>
  <c r="S4" i="42"/>
  <c r="S106" i="42" s="1"/>
  <c r="T4" i="42"/>
  <c r="T94" i="42" s="1"/>
  <c r="J4" i="58"/>
  <c r="J10" i="58" s="1"/>
  <c r="F8" i="42"/>
  <c r="E18" i="44"/>
  <c r="C18" i="44"/>
  <c r="C99" i="42"/>
  <c r="E99" i="42"/>
  <c r="C100" i="42"/>
  <c r="E100" i="42"/>
  <c r="E16" i="44"/>
  <c r="C15" i="44"/>
  <c r="C16" i="44"/>
  <c r="C17" i="44"/>
  <c r="C98" i="42"/>
  <c r="C97" i="42"/>
  <c r="T4" i="44"/>
  <c r="T11" i="44" s="1"/>
  <c r="T64" i="42"/>
  <c r="U79" i="2"/>
  <c r="U80" i="2"/>
  <c r="U4" i="2"/>
  <c r="U104" i="2" s="1"/>
  <c r="U106" i="2" s="1"/>
  <c r="H78" i="4"/>
  <c r="G78" i="4" s="1"/>
  <c r="T4" i="53"/>
  <c r="T41" i="53" s="1"/>
  <c r="T45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O47" i="58"/>
  <c r="P47" i="58"/>
  <c r="Q47" i="58"/>
  <c r="R47" i="58"/>
  <c r="S47" i="58"/>
  <c r="C102" i="2"/>
  <c r="C101" i="2"/>
  <c r="C100" i="2"/>
  <c r="C99" i="2"/>
  <c r="C98" i="2"/>
  <c r="C97" i="2"/>
  <c r="F19" i="42"/>
  <c r="F8" i="44"/>
  <c r="F18" i="44" s="1"/>
  <c r="E24" i="42"/>
  <c r="E22" i="42"/>
  <c r="E20" i="42"/>
  <c r="O29" i="58"/>
  <c r="P29" i="58"/>
  <c r="Q29" i="58"/>
  <c r="R29" i="58"/>
  <c r="S29" i="58"/>
  <c r="D15" i="58"/>
  <c r="O15" i="58"/>
  <c r="P15" i="58"/>
  <c r="Q15" i="58"/>
  <c r="R15" i="58"/>
  <c r="S15" i="58"/>
  <c r="J15" i="58"/>
  <c r="E29" i="42"/>
  <c r="C29" i="42"/>
  <c r="E35" i="42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G79" i="4" s="1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N18" i="44" s="1"/>
  <c r="M4" i="44"/>
  <c r="M11" i="44" s="1"/>
  <c r="L4" i="44"/>
  <c r="L11" i="44" s="1"/>
  <c r="L15" i="44" s="1"/>
  <c r="K4" i="44"/>
  <c r="K11" i="44" s="1"/>
  <c r="J4" i="44"/>
  <c r="J11" i="44" s="1"/>
  <c r="J18" i="44" s="1"/>
  <c r="S4" i="53"/>
  <c r="S10" i="53" s="1"/>
  <c r="R4" i="53"/>
  <c r="Q4" i="53"/>
  <c r="Q41" i="53" s="1"/>
  <c r="P4" i="53"/>
  <c r="P41" i="53" s="1"/>
  <c r="O4" i="53"/>
  <c r="O41" i="53" s="1"/>
  <c r="N4" i="53"/>
  <c r="N10" i="53" s="1"/>
  <c r="N25" i="53" s="1"/>
  <c r="M4" i="53"/>
  <c r="M41" i="53" s="1"/>
  <c r="M45" i="53" s="1"/>
  <c r="L4" i="53"/>
  <c r="L29" i="53" s="1"/>
  <c r="L37" i="53" s="1"/>
  <c r="K4" i="53"/>
  <c r="K41" i="53" s="1"/>
  <c r="K45" i="53" s="1"/>
  <c r="J4" i="53"/>
  <c r="J41" i="53" s="1"/>
  <c r="J45" i="53" s="1"/>
  <c r="J4" i="2"/>
  <c r="J36" i="2" s="1"/>
  <c r="J47" i="2" s="1"/>
  <c r="T4" i="2"/>
  <c r="T24" i="2" s="1"/>
  <c r="S4" i="2"/>
  <c r="S64" i="2" s="1"/>
  <c r="R4" i="2"/>
  <c r="R49" i="2" s="1"/>
  <c r="R60" i="2" s="1"/>
  <c r="Q4" i="2"/>
  <c r="Q49" i="2" s="1"/>
  <c r="Q60" i="2" s="1"/>
  <c r="P4" i="2"/>
  <c r="P10" i="2" s="1"/>
  <c r="P12" i="2" s="1"/>
  <c r="O4" i="2"/>
  <c r="O64" i="2" s="1"/>
  <c r="N4" i="2"/>
  <c r="N64" i="2" s="1"/>
  <c r="N73" i="2" s="1"/>
  <c r="M4" i="2"/>
  <c r="M104" i="2" s="1"/>
  <c r="L4" i="2"/>
  <c r="L113" i="2" s="1"/>
  <c r="L117" i="2" s="1"/>
  <c r="K4" i="2"/>
  <c r="K10" i="2" s="1"/>
  <c r="S4" i="58"/>
  <c r="R4" i="58"/>
  <c r="R61" i="58" s="1"/>
  <c r="Q4" i="58"/>
  <c r="Q10" i="58" s="1"/>
  <c r="P4" i="58"/>
  <c r="P61" i="58" s="1"/>
  <c r="O4" i="58"/>
  <c r="O61" i="58" s="1"/>
  <c r="N4" i="58"/>
  <c r="M4" i="58"/>
  <c r="M61" i="58" s="1"/>
  <c r="L4" i="58"/>
  <c r="L61" i="58" s="1"/>
  <c r="K4" i="58"/>
  <c r="K34" i="58" s="1"/>
  <c r="J78" i="2"/>
  <c r="K78" i="2"/>
  <c r="L78" i="2"/>
  <c r="M78" i="2"/>
  <c r="N78" i="2"/>
  <c r="O78" i="2"/>
  <c r="J79" i="2"/>
  <c r="K79" i="2"/>
  <c r="L79" i="2"/>
  <c r="M79" i="2"/>
  <c r="N79" i="2"/>
  <c r="O79" i="2"/>
  <c r="Q79" i="2"/>
  <c r="R79" i="2"/>
  <c r="S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N77" i="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V75" i="2"/>
  <c r="C2" i="58"/>
  <c r="C1" i="58"/>
  <c r="E17" i="44"/>
  <c r="E15" i="44"/>
  <c r="E14" i="44"/>
  <c r="C13" i="44"/>
  <c r="C14" i="44"/>
  <c r="E108" i="42"/>
  <c r="C31" i="4"/>
  <c r="S9" i="54"/>
  <c r="E50" i="42"/>
  <c r="E47" i="42"/>
  <c r="E44" i="42"/>
  <c r="E41" i="42"/>
  <c r="E38" i="42"/>
  <c r="E90" i="42"/>
  <c r="E110" i="42"/>
  <c r="C96" i="42"/>
  <c r="E54" i="42"/>
  <c r="E52" i="42"/>
  <c r="E13" i="42"/>
  <c r="E15" i="42"/>
  <c r="E13" i="44"/>
  <c r="E109" i="42"/>
  <c r="E17" i="42"/>
  <c r="E77" i="42"/>
  <c r="E80" i="42"/>
  <c r="E81" i="42"/>
  <c r="E82" i="42"/>
  <c r="E83" i="42"/>
  <c r="E84" i="42"/>
  <c r="E85" i="42"/>
  <c r="E87" i="42"/>
  <c r="E88" i="42"/>
  <c r="E96" i="42"/>
  <c r="E97" i="42"/>
  <c r="E98" i="42"/>
  <c r="E102" i="42"/>
  <c r="E33" i="42"/>
  <c r="S11" i="54"/>
  <c r="S14" i="54"/>
  <c r="B1" i="55"/>
  <c r="E12" i="2"/>
  <c r="O67" i="42"/>
  <c r="J64" i="42"/>
  <c r="J67" i="42"/>
  <c r="K64" i="42"/>
  <c r="K67" i="42"/>
  <c r="L64" i="42"/>
  <c r="L67" i="42"/>
  <c r="M64" i="42"/>
  <c r="M67" i="42"/>
  <c r="N64" i="42"/>
  <c r="N67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K57" i="58"/>
  <c r="S35" i="42"/>
  <c r="L19" i="42"/>
  <c r="F21" i="58"/>
  <c r="V25" i="58"/>
  <c r="J16" i="44"/>
  <c r="L33" i="42"/>
  <c r="N34" i="58" l="1"/>
  <c r="N61" i="58"/>
  <c r="T58" i="42"/>
  <c r="T62" i="42" s="1" a="1"/>
  <c r="T62" i="42" s="1"/>
  <c r="N106" i="42"/>
  <c r="M16" i="59" s="1"/>
  <c r="N16" i="42"/>
  <c r="K106" i="42"/>
  <c r="J9" i="59" s="1"/>
  <c r="K19" i="42"/>
  <c r="P9" i="59"/>
  <c r="P22" i="59"/>
  <c r="J15" i="59"/>
  <c r="J21" i="59"/>
  <c r="J14" i="59"/>
  <c r="J12" i="59"/>
  <c r="J11" i="59"/>
  <c r="J16" i="59"/>
  <c r="J22" i="59"/>
  <c r="J20" i="59"/>
  <c r="J19" i="59"/>
  <c r="J18" i="59"/>
  <c r="J17" i="59"/>
  <c r="S10" i="42"/>
  <c r="S94" i="42"/>
  <c r="P104" i="2"/>
  <c r="Q9" i="59"/>
  <c r="Q22" i="59"/>
  <c r="K37" i="42"/>
  <c r="S12" i="42"/>
  <c r="N22" i="59"/>
  <c r="N9" i="59"/>
  <c r="R9" i="59"/>
  <c r="R22" i="59"/>
  <c r="S16" i="42"/>
  <c r="S58" i="42"/>
  <c r="S68" i="42" s="1" a="1"/>
  <c r="S68" i="42" s="1"/>
  <c r="E20" i="59"/>
  <c r="E19" i="59"/>
  <c r="E18" i="59"/>
  <c r="E17" i="59"/>
  <c r="E16" i="59"/>
  <c r="E23" i="59"/>
  <c r="E15" i="59"/>
  <c r="E21" i="59"/>
  <c r="E14" i="59"/>
  <c r="E13" i="59"/>
  <c r="E12" i="59"/>
  <c r="E11" i="59"/>
  <c r="E22" i="59"/>
  <c r="M20" i="59"/>
  <c r="R14" i="2"/>
  <c r="L17" i="44"/>
  <c r="K21" i="59"/>
  <c r="K19" i="59"/>
  <c r="K13" i="59"/>
  <c r="K12" i="59"/>
  <c r="K11" i="59"/>
  <c r="K20" i="59"/>
  <c r="K16" i="59"/>
  <c r="K22" i="59"/>
  <c r="K17" i="59"/>
  <c r="K14" i="59"/>
  <c r="K18" i="59"/>
  <c r="K15" i="59"/>
  <c r="K9" i="59"/>
  <c r="J15" i="44"/>
  <c r="J14" i="44"/>
  <c r="J34" i="58"/>
  <c r="P36" i="2"/>
  <c r="P14" i="2"/>
  <c r="P113" i="2"/>
  <c r="P117" i="2" s="1"/>
  <c r="P64" i="2"/>
  <c r="P73" i="2" s="1"/>
  <c r="J13" i="44"/>
  <c r="P24" i="2"/>
  <c r="J61" i="58"/>
  <c r="J110" i="42"/>
  <c r="J75" i="42"/>
  <c r="J109" i="42"/>
  <c r="J43" i="42"/>
  <c r="S40" i="2"/>
  <c r="S42" i="2" s="1"/>
  <c r="R46" i="42"/>
  <c r="J108" i="42"/>
  <c r="J21" i="42"/>
  <c r="L16" i="44"/>
  <c r="R64" i="2"/>
  <c r="J19" i="42"/>
  <c r="F13" i="42"/>
  <c r="F86" i="42"/>
  <c r="S23" i="42"/>
  <c r="K40" i="42"/>
  <c r="J10" i="42"/>
  <c r="K31" i="42"/>
  <c r="S31" i="42"/>
  <c r="L35" i="42"/>
  <c r="F38" i="42"/>
  <c r="L108" i="42"/>
  <c r="J35" i="42"/>
  <c r="N21" i="42"/>
  <c r="K108" i="42"/>
  <c r="J16" i="42"/>
  <c r="J106" i="42"/>
  <c r="R75" i="42"/>
  <c r="S21" i="42"/>
  <c r="T109" i="42"/>
  <c r="K10" i="42"/>
  <c r="J40" i="42"/>
  <c r="R12" i="42"/>
  <c r="S75" i="42"/>
  <c r="O29" i="53"/>
  <c r="K10" i="53"/>
  <c r="K25" i="53" s="1"/>
  <c r="Q45" i="53"/>
  <c r="Q61" i="58"/>
  <c r="Q28" i="42" s="1"/>
  <c r="P75" i="2"/>
  <c r="S104" i="2"/>
  <c r="F27" i="58"/>
  <c r="J31" i="42"/>
  <c r="P49" i="2"/>
  <c r="P60" i="2" s="1"/>
  <c r="F78" i="42"/>
  <c r="P31" i="42"/>
  <c r="T14" i="2"/>
  <c r="M10" i="58"/>
  <c r="M28" i="42" s="1"/>
  <c r="M34" i="58"/>
  <c r="E17" i="55"/>
  <c r="E16" i="42"/>
  <c r="T10" i="2"/>
  <c r="T12" i="2" s="1"/>
  <c r="R75" i="2"/>
  <c r="K43" i="42"/>
  <c r="S43" i="42"/>
  <c r="S14" i="42"/>
  <c r="L10" i="2"/>
  <c r="L24" i="2"/>
  <c r="T104" i="2"/>
  <c r="L14" i="44"/>
  <c r="R104" i="2"/>
  <c r="S46" i="42"/>
  <c r="S40" i="42"/>
  <c r="F26" i="58"/>
  <c r="F20" i="42"/>
  <c r="F20" i="58"/>
  <c r="F25" i="58"/>
  <c r="F23" i="58"/>
  <c r="F47" i="42"/>
  <c r="F41" i="42"/>
  <c r="V13" i="55"/>
  <c r="S29" i="53"/>
  <c r="F44" i="42"/>
  <c r="F108" i="42"/>
  <c r="O34" i="58"/>
  <c r="Q29" i="53"/>
  <c r="V84" i="55"/>
  <c r="F15" i="58"/>
  <c r="F14" i="42" s="1"/>
  <c r="F29" i="58"/>
  <c r="F23" i="42" s="1"/>
  <c r="F31" i="42"/>
  <c r="F17" i="42"/>
  <c r="O37" i="42"/>
  <c r="M29" i="58"/>
  <c r="P49" i="42"/>
  <c r="F50" i="42"/>
  <c r="F100" i="42"/>
  <c r="P19" i="42"/>
  <c r="L23" i="42"/>
  <c r="M109" i="42"/>
  <c r="L31" i="42"/>
  <c r="L75" i="2"/>
  <c r="M21" i="42"/>
  <c r="K33" i="42"/>
  <c r="K75" i="42"/>
  <c r="L14" i="2"/>
  <c r="L46" i="42"/>
  <c r="K49" i="42"/>
  <c r="T110" i="42"/>
  <c r="S23" i="59" s="1"/>
  <c r="M46" i="42"/>
  <c r="K46" i="42"/>
  <c r="L12" i="42"/>
  <c r="M97" i="2"/>
  <c r="K47" i="58"/>
  <c r="K12" i="42" s="1"/>
  <c r="L29" i="58"/>
  <c r="K110" i="42"/>
  <c r="M40" i="42"/>
  <c r="M14" i="42"/>
  <c r="M58" i="42"/>
  <c r="M61" i="42" s="1"/>
  <c r="M70" i="42" s="1"/>
  <c r="M23" i="42"/>
  <c r="L36" i="2"/>
  <c r="L47" i="2" s="1"/>
  <c r="K109" i="42"/>
  <c r="L16" i="42"/>
  <c r="Q10" i="53"/>
  <c r="L110" i="42"/>
  <c r="T106" i="42"/>
  <c r="L40" i="42"/>
  <c r="L109" i="42"/>
  <c r="L104" i="2"/>
  <c r="L109" i="2" s="1"/>
  <c r="K58" i="42"/>
  <c r="K61" i="42" s="1"/>
  <c r="K70" i="42" s="1"/>
  <c r="L58" i="42"/>
  <c r="L62" i="42" s="1" a="1"/>
  <c r="L62" i="42" s="1"/>
  <c r="L10" i="42"/>
  <c r="M108" i="42"/>
  <c r="K16" i="42"/>
  <c r="L64" i="2"/>
  <c r="L73" i="2" s="1"/>
  <c r="K35" i="42"/>
  <c r="L21" i="42"/>
  <c r="K23" i="42"/>
  <c r="L14" i="42"/>
  <c r="L37" i="42"/>
  <c r="P10" i="58"/>
  <c r="P28" i="42" s="1"/>
  <c r="R19" i="42"/>
  <c r="R10" i="42"/>
  <c r="E18" i="55"/>
  <c r="K14" i="2"/>
  <c r="R14" i="42"/>
  <c r="S49" i="2"/>
  <c r="S60" i="2" s="1"/>
  <c r="R34" i="58"/>
  <c r="R16" i="42"/>
  <c r="T75" i="42"/>
  <c r="L18" i="44"/>
  <c r="Q10" i="2"/>
  <c r="Q12" i="2" s="1"/>
  <c r="R58" i="42"/>
  <c r="R68" i="42" s="1" a="1"/>
  <c r="R68" i="42" s="1"/>
  <c r="L13" i="44"/>
  <c r="R40" i="42"/>
  <c r="J75" i="2"/>
  <c r="R33" i="42"/>
  <c r="S41" i="53"/>
  <c r="S45" i="53" s="1"/>
  <c r="Q46" i="42"/>
  <c r="R43" i="42"/>
  <c r="T12" i="42"/>
  <c r="T13" i="42" s="1"/>
  <c r="R113" i="2"/>
  <c r="R117" i="2" s="1"/>
  <c r="T108" i="42"/>
  <c r="R24" i="2"/>
  <c r="S10" i="2"/>
  <c r="S12" i="2" s="1"/>
  <c r="R21" i="42"/>
  <c r="R23" i="42"/>
  <c r="R49" i="42"/>
  <c r="R31" i="42"/>
  <c r="S75" i="2"/>
  <c r="R35" i="42"/>
  <c r="R37" i="42"/>
  <c r="R94" i="42"/>
  <c r="O33" i="42"/>
  <c r="O46" i="42"/>
  <c r="O43" i="42"/>
  <c r="O49" i="42"/>
  <c r="O35" i="42"/>
  <c r="M37" i="42"/>
  <c r="L34" i="58"/>
  <c r="K29" i="53"/>
  <c r="K37" i="53" s="1"/>
  <c r="O19" i="42"/>
  <c r="O21" i="42"/>
  <c r="M12" i="42"/>
  <c r="L47" i="58"/>
  <c r="O10" i="58"/>
  <c r="O28" i="42" s="1"/>
  <c r="O36" i="2"/>
  <c r="O47" i="2" s="1"/>
  <c r="O113" i="2"/>
  <c r="O117" i="2" s="1"/>
  <c r="O10" i="53"/>
  <c r="N10" i="42"/>
  <c r="N19" i="42"/>
  <c r="O31" i="42"/>
  <c r="M16" i="42"/>
  <c r="T71" i="42" a="1"/>
  <c r="T71" i="42" s="1"/>
  <c r="U36" i="2"/>
  <c r="U47" i="2" s="1"/>
  <c r="M75" i="42"/>
  <c r="O10" i="42"/>
  <c r="R40" i="2"/>
  <c r="R42" i="2" s="1"/>
  <c r="U113" i="2"/>
  <c r="U117" i="2" s="1"/>
  <c r="T61" i="42"/>
  <c r="T70" i="42" s="1"/>
  <c r="N14" i="42"/>
  <c r="O40" i="42"/>
  <c r="M31" i="42"/>
  <c r="M106" i="42"/>
  <c r="U108" i="2"/>
  <c r="O58" i="42"/>
  <c r="Q34" i="58"/>
  <c r="O14" i="42"/>
  <c r="E19" i="42"/>
  <c r="M49" i="42"/>
  <c r="K75" i="2"/>
  <c r="O75" i="42"/>
  <c r="Q94" i="42"/>
  <c r="O94" i="42"/>
  <c r="M10" i="42"/>
  <c r="K64" i="2"/>
  <c r="K73" i="2" s="1"/>
  <c r="U109" i="2"/>
  <c r="U107" i="2"/>
  <c r="U75" i="2"/>
  <c r="M33" i="42"/>
  <c r="U64" i="2"/>
  <c r="U73" i="2" s="1"/>
  <c r="N58" i="42"/>
  <c r="N65" i="42" s="1" a="1"/>
  <c r="N65" i="42" s="1"/>
  <c r="N37" i="42"/>
  <c r="O16" i="42"/>
  <c r="M110" i="42"/>
  <c r="M35" i="42"/>
  <c r="U49" i="2"/>
  <c r="U60" i="2" s="1"/>
  <c r="M19" i="42"/>
  <c r="K24" i="2"/>
  <c r="O23" i="42"/>
  <c r="O12" i="42"/>
  <c r="M43" i="42"/>
  <c r="E20" i="55"/>
  <c r="N47" i="58"/>
  <c r="E29" i="55"/>
  <c r="Q40" i="2"/>
  <c r="Q77" i="2"/>
  <c r="Q10" i="42"/>
  <c r="Q12" i="42"/>
  <c r="F14" i="44"/>
  <c r="P12" i="42"/>
  <c r="M102" i="2"/>
  <c r="N13" i="44"/>
  <c r="Q33" i="42"/>
  <c r="P33" i="42"/>
  <c r="E25" i="55"/>
  <c r="R77" i="2"/>
  <c r="Q19" i="42"/>
  <c r="P35" i="42"/>
  <c r="T29" i="53"/>
  <c r="T37" i="53" s="1"/>
  <c r="M36" i="2"/>
  <c r="M47" i="2" s="1"/>
  <c r="M49" i="2"/>
  <c r="M60" i="2" s="1"/>
  <c r="M113" i="2"/>
  <c r="M117" i="2" s="1"/>
  <c r="T10" i="53"/>
  <c r="T25" i="53" s="1"/>
  <c r="P75" i="42"/>
  <c r="E21" i="55"/>
  <c r="K29" i="58"/>
  <c r="K21" i="42" s="1"/>
  <c r="N17" i="44"/>
  <c r="R73" i="2"/>
  <c r="Q36" i="2"/>
  <c r="Q37" i="42"/>
  <c r="M75" i="2"/>
  <c r="F16" i="44"/>
  <c r="P46" i="42"/>
  <c r="K10" i="58"/>
  <c r="M14" i="2"/>
  <c r="N29" i="53"/>
  <c r="N37" i="53" s="1"/>
  <c r="F13" i="44"/>
  <c r="Q40" i="42"/>
  <c r="E14" i="55"/>
  <c r="P78" i="2"/>
  <c r="M98" i="2"/>
  <c r="L57" i="58"/>
  <c r="M10" i="2"/>
  <c r="N14" i="44"/>
  <c r="N15" i="44"/>
  <c r="N16" i="44"/>
  <c r="K61" i="58"/>
  <c r="M29" i="53"/>
  <c r="M37" i="53" s="1"/>
  <c r="P10" i="42"/>
  <c r="P79" i="2"/>
  <c r="Q58" i="42"/>
  <c r="Q68" i="42" s="1" a="1"/>
  <c r="Q68" i="42" s="1"/>
  <c r="Q23" i="42"/>
  <c r="Q43" i="42"/>
  <c r="P23" i="42"/>
  <c r="Q21" i="42"/>
  <c r="F17" i="44"/>
  <c r="P16" i="42"/>
  <c r="P106" i="42"/>
  <c r="Q31" i="42"/>
  <c r="M10" i="53"/>
  <c r="M25" i="53" s="1"/>
  <c r="P21" i="42"/>
  <c r="L10" i="58"/>
  <c r="L28" i="42" s="1"/>
  <c r="M64" i="2"/>
  <c r="M73" i="2" s="1"/>
  <c r="Q35" i="42"/>
  <c r="Q14" i="42"/>
  <c r="Q16" i="42"/>
  <c r="P40" i="42"/>
  <c r="P43" i="42"/>
  <c r="M101" i="2"/>
  <c r="Q49" i="42"/>
  <c r="Q75" i="42"/>
  <c r="P37" i="42"/>
  <c r="P94" i="42"/>
  <c r="P14" i="42"/>
  <c r="S77" i="2"/>
  <c r="V16" i="55"/>
  <c r="M99" i="2"/>
  <c r="Q78" i="2"/>
  <c r="P45" i="53"/>
  <c r="M100" i="2"/>
  <c r="K98" i="2"/>
  <c r="Q14" i="2"/>
  <c r="S36" i="2"/>
  <c r="N40" i="42"/>
  <c r="Q24" i="2"/>
  <c r="Q64" i="2"/>
  <c r="Q73" i="2" s="1"/>
  <c r="N12" i="42"/>
  <c r="I73" i="55"/>
  <c r="V73" i="55" s="1"/>
  <c r="L93" i="2"/>
  <c r="N43" i="42"/>
  <c r="N110" i="42"/>
  <c r="Q113" i="2"/>
  <c r="Q117" i="2" s="1"/>
  <c r="N109" i="42"/>
  <c r="S14" i="2"/>
  <c r="S113" i="2"/>
  <c r="S117" i="2" s="1"/>
  <c r="N46" i="42"/>
  <c r="N75" i="42"/>
  <c r="P29" i="53"/>
  <c r="N108" i="42"/>
  <c r="Q75" i="2"/>
  <c r="R10" i="2"/>
  <c r="R12" i="2" s="1"/>
  <c r="L49" i="2"/>
  <c r="L60" i="2" s="1"/>
  <c r="S24" i="2"/>
  <c r="N49" i="42"/>
  <c r="M24" i="2"/>
  <c r="E26" i="55"/>
  <c r="E22" i="55"/>
  <c r="V9" i="55"/>
  <c r="M106" i="2"/>
  <c r="M109" i="2"/>
  <c r="M108" i="2"/>
  <c r="M107" i="2"/>
  <c r="K113" i="2"/>
  <c r="K117" i="2" s="1"/>
  <c r="C106" i="2" a="1"/>
  <c r="C109" i="2" s="1"/>
  <c r="N29" i="58"/>
  <c r="N23" i="42" s="1"/>
  <c r="T78" i="2"/>
  <c r="L100" i="2"/>
  <c r="I75" i="55"/>
  <c r="V75" i="55" s="1"/>
  <c r="J10" i="53"/>
  <c r="R78" i="2"/>
  <c r="J100" i="2"/>
  <c r="P34" i="58"/>
  <c r="J29" i="53"/>
  <c r="J37" i="53" s="1"/>
  <c r="M93" i="2"/>
  <c r="K104" i="2"/>
  <c r="K108" i="2" s="1"/>
  <c r="J29" i="58"/>
  <c r="I77" i="55"/>
  <c r="V77" i="55" s="1"/>
  <c r="K36" i="2"/>
  <c r="K47" i="2" s="1"/>
  <c r="K18" i="44"/>
  <c r="K15" i="44"/>
  <c r="K16" i="44"/>
  <c r="K17" i="44"/>
  <c r="K14" i="44"/>
  <c r="K13" i="44"/>
  <c r="T15" i="44"/>
  <c r="T18" i="44"/>
  <c r="T13" i="44"/>
  <c r="I81" i="55"/>
  <c r="V81" i="55" s="1"/>
  <c r="N104" i="2"/>
  <c r="N109" i="2" s="1"/>
  <c r="J24" i="2"/>
  <c r="F52" i="42"/>
  <c r="F87" i="42"/>
  <c r="F84" i="42"/>
  <c r="F82" i="42"/>
  <c r="O45" i="53"/>
  <c r="J104" i="2"/>
  <c r="J109" i="2" s="1"/>
  <c r="J99" i="2"/>
  <c r="L99" i="2"/>
  <c r="P10" i="53"/>
  <c r="F22" i="42"/>
  <c r="F29" i="42"/>
  <c r="F98" i="42"/>
  <c r="F96" i="42"/>
  <c r="F79" i="42"/>
  <c r="L102" i="2"/>
  <c r="L98" i="2"/>
  <c r="K93" i="2"/>
  <c r="J47" i="58"/>
  <c r="K101" i="2"/>
  <c r="N49" i="2"/>
  <c r="N60" i="2" s="1"/>
  <c r="J113" i="2"/>
  <c r="J117" i="2" s="1"/>
  <c r="J10" i="2"/>
  <c r="K49" i="2"/>
  <c r="K60" i="2" s="1"/>
  <c r="N10" i="2"/>
  <c r="J14" i="2"/>
  <c r="F15" i="44"/>
  <c r="F26" i="42"/>
  <c r="F83" i="42"/>
  <c r="F97" i="42"/>
  <c r="F81" i="42"/>
  <c r="F90" i="42"/>
  <c r="L43" i="42"/>
  <c r="F24" i="42"/>
  <c r="S19" i="42"/>
  <c r="S49" i="42"/>
  <c r="L75" i="42"/>
  <c r="T79" i="2"/>
  <c r="N14" i="2"/>
  <c r="J64" i="2"/>
  <c r="J73" i="2" s="1"/>
  <c r="F88" i="42"/>
  <c r="F33" i="42"/>
  <c r="F99" i="42"/>
  <c r="F54" i="42"/>
  <c r="J49" i="2"/>
  <c r="J60" i="2" s="1"/>
  <c r="E21" i="42"/>
  <c r="L101" i="2"/>
  <c r="F77" i="42"/>
  <c r="F109" i="42"/>
  <c r="F15" i="42"/>
  <c r="F80" i="42"/>
  <c r="S1" i="54"/>
  <c r="G10" i="16" s="1"/>
  <c r="L97" i="2"/>
  <c r="P40" i="2"/>
  <c r="P42" i="2" s="1"/>
  <c r="N75" i="2"/>
  <c r="R36" i="2"/>
  <c r="F110" i="42"/>
  <c r="F85" i="42"/>
  <c r="F102" i="42"/>
  <c r="F35" i="42"/>
  <c r="L49" i="42"/>
  <c r="S33" i="42"/>
  <c r="S37" i="42"/>
  <c r="I27" i="55"/>
  <c r="J57" i="58"/>
  <c r="I50" i="55"/>
  <c r="V50" i="55" s="1"/>
  <c r="M14" i="44"/>
  <c r="M15" i="44"/>
  <c r="M18" i="44"/>
  <c r="M16" i="44"/>
  <c r="M17" i="44"/>
  <c r="M13" i="44"/>
  <c r="T16" i="44"/>
  <c r="T113" i="2"/>
  <c r="T117" i="2" s="1"/>
  <c r="O104" i="2"/>
  <c r="O107" i="2" s="1"/>
  <c r="J23" i="42"/>
  <c r="J14" i="42"/>
  <c r="J98" i="2"/>
  <c r="E23" i="55"/>
  <c r="E15" i="55"/>
  <c r="I55" i="55"/>
  <c r="V55" i="55" s="1"/>
  <c r="J17" i="44"/>
  <c r="T65" i="42" a="1"/>
  <c r="T65" i="42" s="1"/>
  <c r="T68" i="42" a="1"/>
  <c r="T68" i="42" s="1"/>
  <c r="T49" i="2"/>
  <c r="T60" i="2" s="1"/>
  <c r="R10" i="58"/>
  <c r="R28" i="42" s="1"/>
  <c r="T36" i="2"/>
  <c r="J12" i="42"/>
  <c r="F19" i="58"/>
  <c r="E28" i="55"/>
  <c r="Q104" i="2"/>
  <c r="K100" i="2"/>
  <c r="T14" i="44"/>
  <c r="T17" i="44"/>
  <c r="O49" i="2"/>
  <c r="O60" i="2" s="1"/>
  <c r="F22" i="58"/>
  <c r="N41" i="53"/>
  <c r="N45" i="53" s="1"/>
  <c r="T64" i="2"/>
  <c r="T73" i="2" s="1"/>
  <c r="J58" i="42"/>
  <c r="J71" i="42" s="1" a="1"/>
  <c r="J71" i="42" s="1"/>
  <c r="K97" i="2"/>
  <c r="I54" i="55"/>
  <c r="V54" i="55" s="1"/>
  <c r="I48" i="55"/>
  <c r="V48" i="55" s="1"/>
  <c r="I34" i="55"/>
  <c r="V34" i="55" s="1"/>
  <c r="M47" i="58"/>
  <c r="O10" i="2"/>
  <c r="S78" i="2"/>
  <c r="J97" i="2"/>
  <c r="K102" i="2"/>
  <c r="T77" i="2"/>
  <c r="K14" i="42"/>
  <c r="O14" i="2"/>
  <c r="J102" i="2"/>
  <c r="K99" i="2"/>
  <c r="O75" i="2"/>
  <c r="J37" i="42"/>
  <c r="J46" i="42"/>
  <c r="J33" i="42"/>
  <c r="O24" i="2"/>
  <c r="J101" i="2"/>
  <c r="J93" i="2"/>
  <c r="T75" i="2"/>
  <c r="I66" i="55"/>
  <c r="I79" i="55"/>
  <c r="V79" i="55" s="1"/>
  <c r="I71" i="55"/>
  <c r="V71" i="55" s="1"/>
  <c r="I74" i="55"/>
  <c r="V74" i="55" s="1"/>
  <c r="H83" i="55"/>
  <c r="I59" i="55"/>
  <c r="V59" i="55" s="1"/>
  <c r="I39" i="55"/>
  <c r="V39" i="55" s="1"/>
  <c r="I32" i="55"/>
  <c r="V32" i="55" s="1"/>
  <c r="I70" i="55"/>
  <c r="V70" i="55" s="1"/>
  <c r="I64" i="55"/>
  <c r="V64" i="55" s="1"/>
  <c r="I30" i="55"/>
  <c r="V30" i="55" s="1"/>
  <c r="I26" i="55"/>
  <c r="I42" i="55"/>
  <c r="V42" i="55" s="1"/>
  <c r="I46" i="55"/>
  <c r="V46" i="55" s="1"/>
  <c r="I58" i="55"/>
  <c r="V58" i="55" s="1"/>
  <c r="I62" i="55"/>
  <c r="V62" i="55" s="1"/>
  <c r="I38" i="55"/>
  <c r="V38" i="55" s="1"/>
  <c r="I31" i="55"/>
  <c r="V31" i="55" s="1"/>
  <c r="I35" i="55"/>
  <c r="V35" i="55" s="1"/>
  <c r="I51" i="55"/>
  <c r="V51" i="55" s="1"/>
  <c r="I47" i="55"/>
  <c r="V47" i="55" s="1"/>
  <c r="I63" i="55"/>
  <c r="V63" i="55" s="1"/>
  <c r="I43" i="55"/>
  <c r="V43" i="55" s="1"/>
  <c r="I67" i="55"/>
  <c r="V67" i="55" s="1"/>
  <c r="I57" i="55"/>
  <c r="V57" i="55" s="1"/>
  <c r="I41" i="55"/>
  <c r="V41" i="55" s="1"/>
  <c r="I25" i="55"/>
  <c r="E19" i="55"/>
  <c r="V19" i="55"/>
  <c r="V11" i="55"/>
  <c r="I78" i="55"/>
  <c r="E27" i="55"/>
  <c r="E24" i="55"/>
  <c r="E16" i="55"/>
  <c r="I72" i="55"/>
  <c r="V72" i="55" s="1"/>
  <c r="I76" i="55"/>
  <c r="V76" i="55" s="1"/>
  <c r="I56" i="55"/>
  <c r="V56" i="55" s="1"/>
  <c r="I40" i="55"/>
  <c r="V40" i="55" s="1"/>
  <c r="I61" i="55"/>
  <c r="V61" i="55" s="1"/>
  <c r="I45" i="55"/>
  <c r="V45" i="55" s="1"/>
  <c r="I29" i="55"/>
  <c r="I49" i="55"/>
  <c r="V49" i="55" s="1"/>
  <c r="I33" i="55"/>
  <c r="V33" i="55" s="1"/>
  <c r="O73" i="2"/>
  <c r="S73" i="2"/>
  <c r="I80" i="55"/>
  <c r="V80" i="55" s="1"/>
  <c r="O68" i="42" a="1"/>
  <c r="O68" i="42" s="1"/>
  <c r="N10" i="58"/>
  <c r="N24" i="2"/>
  <c r="N36" i="2"/>
  <c r="N47" i="2" s="1"/>
  <c r="N113" i="2"/>
  <c r="N117" i="2" s="1"/>
  <c r="P68" i="42" a="1"/>
  <c r="P68" i="42" s="1"/>
  <c r="S34" i="58"/>
  <c r="S61" i="58"/>
  <c r="S10" i="58"/>
  <c r="I60" i="55"/>
  <c r="V60" i="55" s="1"/>
  <c r="I44" i="55"/>
  <c r="V44" i="55" s="1"/>
  <c r="I28" i="55"/>
  <c r="I69" i="55"/>
  <c r="V69" i="55" s="1"/>
  <c r="I65" i="55"/>
  <c r="V65" i="55" s="1"/>
  <c r="L41" i="53"/>
  <c r="L45" i="53" s="1"/>
  <c r="L10" i="53"/>
  <c r="R41" i="53"/>
  <c r="R45" i="53" s="1"/>
  <c r="R10" i="53"/>
  <c r="R29" i="53"/>
  <c r="I53" i="55"/>
  <c r="V53" i="55" s="1"/>
  <c r="I37" i="55"/>
  <c r="V37" i="55" s="1"/>
  <c r="I68" i="55"/>
  <c r="V68" i="55" s="1"/>
  <c r="I52" i="55"/>
  <c r="V52" i="55" s="1"/>
  <c r="I36" i="55"/>
  <c r="V36" i="55" s="1"/>
  <c r="T40" i="2"/>
  <c r="V24" i="55"/>
  <c r="W33" i="53" l="1"/>
  <c r="J13" i="59"/>
  <c r="M21" i="59"/>
  <c r="M11" i="59"/>
  <c r="M15" i="59"/>
  <c r="M9" i="59"/>
  <c r="M17" i="59"/>
  <c r="M18" i="59"/>
  <c r="M19" i="59"/>
  <c r="M14" i="59"/>
  <c r="M12" i="59"/>
  <c r="M22" i="59"/>
  <c r="M13" i="59"/>
  <c r="R64" i="42"/>
  <c r="Q64" i="42"/>
  <c r="J28" i="42"/>
  <c r="V66" i="58"/>
  <c r="S47" i="2"/>
  <c r="L13" i="59"/>
  <c r="L12" i="59"/>
  <c r="L11" i="59"/>
  <c r="L16" i="59"/>
  <c r="L21" i="59"/>
  <c r="L22" i="59"/>
  <c r="L14" i="59"/>
  <c r="L20" i="59"/>
  <c r="L19" i="59"/>
  <c r="L18" i="59"/>
  <c r="L17" i="59"/>
  <c r="L9" i="59"/>
  <c r="L15" i="59"/>
  <c r="O9" i="59"/>
  <c r="O22" i="59"/>
  <c r="S21" i="59"/>
  <c r="S20" i="59"/>
  <c r="S13" i="59"/>
  <c r="S19" i="59" a="1"/>
  <c r="S19" i="59" s="1"/>
  <c r="S18" i="59" a="1"/>
  <c r="S18" i="59" s="1"/>
  <c r="S17" i="59" a="1"/>
  <c r="S17" i="59" s="1"/>
  <c r="S16" i="59"/>
  <c r="S22" i="59"/>
  <c r="S15" i="59"/>
  <c r="S14" i="59"/>
  <c r="S12" i="59"/>
  <c r="S11" i="59"/>
  <c r="S9" i="59"/>
  <c r="I9" i="59"/>
  <c r="I19" i="59"/>
  <c r="I15" i="59"/>
  <c r="I17" i="59"/>
  <c r="I21" i="59"/>
  <c r="I13" i="59"/>
  <c r="I12" i="59"/>
  <c r="I11" i="59"/>
  <c r="I22" i="59"/>
  <c r="I20" i="59"/>
  <c r="I16" i="59"/>
  <c r="I18" i="59"/>
  <c r="I14" i="59"/>
  <c r="F21" i="42"/>
  <c r="L107" i="2"/>
  <c r="T20" i="42"/>
  <c r="K62" i="42" a="1"/>
  <c r="K62" i="42" s="1"/>
  <c r="K65" i="42" a="1"/>
  <c r="K65" i="42" s="1"/>
  <c r="N68" i="42" a="1"/>
  <c r="N68" i="42" s="1"/>
  <c r="N62" i="42" a="1"/>
  <c r="N62" i="42" s="1"/>
  <c r="J25" i="53"/>
  <c r="W22" i="53"/>
  <c r="H88" i="55"/>
  <c r="J12" i="2"/>
  <c r="M65" i="42" a="1"/>
  <c r="M65" i="42" s="1"/>
  <c r="J108" i="2"/>
  <c r="M62" i="42" a="1"/>
  <c r="M62" i="42" s="1"/>
  <c r="F16" i="42"/>
  <c r="J106" i="2"/>
  <c r="K28" i="42"/>
  <c r="L108" i="2"/>
  <c r="L106" i="2"/>
  <c r="M71" i="42" a="1"/>
  <c r="M71" i="42" s="1"/>
  <c r="M68" i="42" a="1"/>
  <c r="M68" i="42" s="1"/>
  <c r="L61" i="42"/>
  <c r="L70" i="42" s="1"/>
  <c r="L65" i="42" a="1"/>
  <c r="L65" i="42" s="1"/>
  <c r="L68" i="42" a="1"/>
  <c r="L68" i="42" s="1"/>
  <c r="L71" i="42" a="1"/>
  <c r="L71" i="42" s="1"/>
  <c r="K71" i="42" a="1"/>
  <c r="K71" i="42" s="1"/>
  <c r="R47" i="2"/>
  <c r="K68" i="42" a="1"/>
  <c r="K68" i="42" s="1"/>
  <c r="N61" i="42"/>
  <c r="N70" i="42" s="1"/>
  <c r="N71" i="42" a="1"/>
  <c r="N71" i="42" s="1"/>
  <c r="J107" i="2"/>
  <c r="Q42" i="2"/>
  <c r="N106" i="2"/>
  <c r="V55" i="58"/>
  <c r="R109" i="2"/>
  <c r="I82" i="55"/>
  <c r="V82" i="55" s="1"/>
  <c r="Q106" i="2"/>
  <c r="Q109" i="2"/>
  <c r="X93" i="2"/>
  <c r="S109" i="2"/>
  <c r="R108" i="2"/>
  <c r="C16" i="2" a="1"/>
  <c r="C22" i="2" s="1"/>
  <c r="C108" i="2"/>
  <c r="C107" i="2"/>
  <c r="C106" i="2"/>
  <c r="P108" i="2"/>
  <c r="K107" i="2"/>
  <c r="K106" i="2"/>
  <c r="K109" i="2"/>
  <c r="Q107" i="2"/>
  <c r="T107" i="2"/>
  <c r="W45" i="53"/>
  <c r="V37" i="58"/>
  <c r="S106" i="2"/>
  <c r="T106" i="2"/>
  <c r="J68" i="42" a="1"/>
  <c r="J68" i="42" s="1"/>
  <c r="V63" i="58"/>
  <c r="R107" i="2"/>
  <c r="T108" i="2"/>
  <c r="X73" i="2"/>
  <c r="S107" i="2"/>
  <c r="T109" i="2"/>
  <c r="Q108" i="2"/>
  <c r="X60" i="2"/>
  <c r="S108" i="2"/>
  <c r="N108" i="2"/>
  <c r="N107" i="2"/>
  <c r="P107" i="2"/>
  <c r="C26" i="2" a="1"/>
  <c r="P109" i="2"/>
  <c r="P106" i="2"/>
  <c r="X117" i="2"/>
  <c r="P47" i="2"/>
  <c r="K12" i="2"/>
  <c r="R106" i="2"/>
  <c r="I83" i="55"/>
  <c r="V83" i="55" s="1"/>
  <c r="L12" i="2"/>
  <c r="V66" i="55"/>
  <c r="J61" i="42"/>
  <c r="J70" i="42" s="1"/>
  <c r="J62" i="42" a="1"/>
  <c r="J62" i="42" s="1"/>
  <c r="J65" i="42" a="1"/>
  <c r="J65" i="42" s="1"/>
  <c r="O106" i="2"/>
  <c r="O109" i="2"/>
  <c r="O108" i="2"/>
  <c r="W12" i="53"/>
  <c r="V13" i="58"/>
  <c r="H86" i="55"/>
  <c r="V78" i="55"/>
  <c r="M12" i="2"/>
  <c r="W20" i="53"/>
  <c r="S28" i="42"/>
  <c r="V64" i="58"/>
  <c r="V43" i="58"/>
  <c r="V20" i="58"/>
  <c r="W14" i="53"/>
  <c r="T42" i="2"/>
  <c r="V65" i="58"/>
  <c r="V53" i="58"/>
  <c r="V42" i="58"/>
  <c r="W13" i="53"/>
  <c r="W32" i="53"/>
  <c r="L25" i="53"/>
  <c r="W19" i="53"/>
  <c r="W15" i="53"/>
  <c r="W21" i="53"/>
  <c r="V51" i="58"/>
  <c r="V54" i="58"/>
  <c r="V41" i="58"/>
  <c r="V19" i="58"/>
  <c r="V22" i="58"/>
  <c r="V24" i="58"/>
  <c r="V21" i="58"/>
  <c r="V23" i="58"/>
  <c r="U22" i="59" l="1"/>
  <c r="AA22" i="59" s="1"/>
  <c r="Q47" i="2"/>
  <c r="O61" i="42"/>
  <c r="O62" i="42" s="1" a="1"/>
  <c r="O62" i="42" s="1"/>
  <c r="P64" i="42"/>
  <c r="N12" i="2"/>
  <c r="C20" i="2"/>
  <c r="P20" i="2" s="1"/>
  <c r="H87" i="55"/>
  <c r="I87" i="55" s="1"/>
  <c r="P61" i="42"/>
  <c r="C17" i="2"/>
  <c r="E17" i="2" s="1"/>
  <c r="C18" i="2"/>
  <c r="E18" i="2" s="1"/>
  <c r="C21" i="2"/>
  <c r="C19" i="2"/>
  <c r="M19" i="2" s="1"/>
  <c r="C16" i="2"/>
  <c r="Q61" i="42"/>
  <c r="Q70" i="42" s="1"/>
  <c r="C73" i="66" s="1"/>
  <c r="R61" i="42"/>
  <c r="R70" i="42" s="1"/>
  <c r="D73" i="66" s="1"/>
  <c r="S61" i="42"/>
  <c r="C32" i="2"/>
  <c r="C31" i="2"/>
  <c r="C27" i="2"/>
  <c r="C30" i="2"/>
  <c r="C29" i="2"/>
  <c r="C28" i="2"/>
  <c r="C26" i="2"/>
  <c r="H85" i="55"/>
  <c r="I85" i="55" s="1"/>
  <c r="V85" i="55" s="1"/>
  <c r="P22" i="2"/>
  <c r="O22" i="2"/>
  <c r="M22" i="2"/>
  <c r="E22" i="2"/>
  <c r="N22" i="2"/>
  <c r="K22" i="2"/>
  <c r="J22" i="2"/>
  <c r="L22" i="2"/>
  <c r="D22" i="2"/>
  <c r="S64" i="42"/>
  <c r="T47" i="2"/>
  <c r="G31" i="66" l="1"/>
  <c r="G58" i="66"/>
  <c r="F31" i="66"/>
  <c r="F58" i="66"/>
  <c r="Z22" i="59"/>
  <c r="E20" i="2"/>
  <c r="P16" i="2"/>
  <c r="E19" i="2"/>
  <c r="L18" i="2"/>
  <c r="K18" i="2" s="1"/>
  <c r="J18" i="2" s="1"/>
  <c r="J28" i="2" s="1"/>
  <c r="P18" i="2"/>
  <c r="X47" i="2"/>
  <c r="T1" i="2" s="1"/>
  <c r="G13" i="16" s="1"/>
  <c r="K17" i="2"/>
  <c r="K27" i="2" s="1"/>
  <c r="P17" i="2"/>
  <c r="D17" i="2"/>
  <c r="D19" i="2"/>
  <c r="P19" i="2"/>
  <c r="R65" i="42" a="1"/>
  <c r="R65" i="42" s="1"/>
  <c r="J16" i="2"/>
  <c r="J26" i="2" s="1"/>
  <c r="N20" i="2"/>
  <c r="N30" i="2" s="1"/>
  <c r="D20" i="2"/>
  <c r="D18" i="2"/>
  <c r="E16" i="2"/>
  <c r="D16" i="2"/>
  <c r="P65" i="42" a="1"/>
  <c r="P65" i="42" s="1"/>
  <c r="P62" i="42" a="1"/>
  <c r="P62" i="42" s="1"/>
  <c r="P70" i="42"/>
  <c r="B73" i="66" s="1"/>
  <c r="Q65" i="42" a="1"/>
  <c r="Q65" i="42" s="1"/>
  <c r="O65" i="42" a="1"/>
  <c r="O65" i="42" s="1"/>
  <c r="Q62" i="42" a="1"/>
  <c r="Q62" i="42" s="1"/>
  <c r="R62" i="42" a="1"/>
  <c r="R62" i="42" s="1"/>
  <c r="D21" i="2"/>
  <c r="E21" i="2"/>
  <c r="P21" i="2"/>
  <c r="O21" i="2"/>
  <c r="R100" i="42" s="1"/>
  <c r="R18" i="44" s="1"/>
  <c r="O70" i="42"/>
  <c r="S62" i="42" a="1"/>
  <c r="S62" i="42" s="1"/>
  <c r="Q29" i="2"/>
  <c r="S29" i="2"/>
  <c r="E29" i="2"/>
  <c r="T29" i="2"/>
  <c r="P29" i="2"/>
  <c r="R29" i="2"/>
  <c r="D29" i="2"/>
  <c r="R27" i="2"/>
  <c r="E27" i="2"/>
  <c r="S27" i="2"/>
  <c r="Q27" i="2"/>
  <c r="P27" i="2"/>
  <c r="D27" i="2"/>
  <c r="T27" i="2"/>
  <c r="T31" i="2"/>
  <c r="Q31" i="2"/>
  <c r="D31" i="2"/>
  <c r="E31" i="2"/>
  <c r="P31" i="2"/>
  <c r="S31" i="2"/>
  <c r="R31" i="2"/>
  <c r="Q28" i="2"/>
  <c r="S28" i="2"/>
  <c r="R28" i="2"/>
  <c r="T28" i="2"/>
  <c r="D28" i="2"/>
  <c r="P28" i="2"/>
  <c r="E28" i="2"/>
  <c r="M32" i="2"/>
  <c r="J32" i="2"/>
  <c r="P32" i="2"/>
  <c r="E32" i="2"/>
  <c r="S32" i="2"/>
  <c r="K32" i="2"/>
  <c r="R32" i="2"/>
  <c r="Q32" i="2"/>
  <c r="L32" i="2"/>
  <c r="T32" i="2"/>
  <c r="D32" i="2"/>
  <c r="N32" i="2"/>
  <c r="O32" i="2"/>
  <c r="S30" i="2"/>
  <c r="P30" i="2"/>
  <c r="E30" i="2"/>
  <c r="D30" i="2"/>
  <c r="Q30" i="2"/>
  <c r="R30" i="2"/>
  <c r="T30" i="2"/>
  <c r="M29" i="2"/>
  <c r="R26" i="2"/>
  <c r="D26" i="2"/>
  <c r="Q26" i="2"/>
  <c r="S26" i="2"/>
  <c r="E26" i="2"/>
  <c r="T26" i="2"/>
  <c r="P26" i="2"/>
  <c r="O12" i="2"/>
  <c r="V86" i="55"/>
  <c r="V1" i="55" s="1"/>
  <c r="G11" i="16" s="1"/>
  <c r="N19" i="2"/>
  <c r="N29" i="2" s="1"/>
  <c r="S70" i="42"/>
  <c r="E73" i="66" s="1"/>
  <c r="S65" i="42" a="1"/>
  <c r="S65" i="42" s="1"/>
  <c r="L19" i="2"/>
  <c r="D58" i="66" l="1"/>
  <c r="A73" i="66"/>
  <c r="B65" i="66" s="1"/>
  <c r="D65" i="66" s="1"/>
  <c r="O17" i="53" s="1"/>
  <c r="H31" i="66"/>
  <c r="H58" i="66"/>
  <c r="E31" i="66"/>
  <c r="E58" i="66"/>
  <c r="D31" i="66"/>
  <c r="B23" i="66" s="1"/>
  <c r="D23" i="66" s="1"/>
  <c r="M20" i="2"/>
  <c r="M30" i="2" s="1"/>
  <c r="J17" i="2"/>
  <c r="J27" i="2" s="1"/>
  <c r="K28" i="2"/>
  <c r="L17" i="2"/>
  <c r="L27" i="2" s="1"/>
  <c r="O29" i="42"/>
  <c r="M18" i="2"/>
  <c r="M28" i="2" s="1"/>
  <c r="L28" i="2"/>
  <c r="K16" i="2"/>
  <c r="L16" i="2" s="1"/>
  <c r="L85" i="42"/>
  <c r="S99" i="42"/>
  <c r="S17" i="44" s="1"/>
  <c r="T99" i="42"/>
  <c r="N83" i="42"/>
  <c r="L50" i="42"/>
  <c r="M29" i="42"/>
  <c r="O100" i="42"/>
  <c r="O18" i="44" s="1"/>
  <c r="P100" i="42"/>
  <c r="P18" i="44" s="1"/>
  <c r="O20" i="2"/>
  <c r="N88" i="42" s="1"/>
  <c r="M57" i="58"/>
  <c r="Q29" i="42"/>
  <c r="M83" i="42"/>
  <c r="Q99" i="42"/>
  <c r="Q17" i="44" s="1"/>
  <c r="P50" i="42"/>
  <c r="Q50" i="42"/>
  <c r="P99" i="42"/>
  <c r="P17" i="44" s="1"/>
  <c r="J29" i="42"/>
  <c r="L83" i="42"/>
  <c r="S29" i="42"/>
  <c r="K50" i="42"/>
  <c r="T50" i="42"/>
  <c r="T96" i="42"/>
  <c r="Q85" i="42"/>
  <c r="O50" i="42"/>
  <c r="N21" i="2"/>
  <c r="N31" i="2" s="1"/>
  <c r="T29" i="42"/>
  <c r="K83" i="42"/>
  <c r="J50" i="42"/>
  <c r="R29" i="42"/>
  <c r="P29" i="42"/>
  <c r="R50" i="42"/>
  <c r="R85" i="42"/>
  <c r="K85" i="42"/>
  <c r="S50" i="42"/>
  <c r="M50" i="42"/>
  <c r="R99" i="42"/>
  <c r="R17" i="44" s="1"/>
  <c r="N85" i="42"/>
  <c r="T85" i="42"/>
  <c r="J83" i="42"/>
  <c r="Q100" i="42"/>
  <c r="Q18" i="44" s="1"/>
  <c r="O85" i="42"/>
  <c r="L29" i="42"/>
  <c r="K29" i="42"/>
  <c r="M85" i="42"/>
  <c r="R80" i="42"/>
  <c r="N50" i="42"/>
  <c r="J85" i="42"/>
  <c r="T83" i="42"/>
  <c r="T88" i="42"/>
  <c r="P85" i="42"/>
  <c r="O99" i="42"/>
  <c r="O17" i="44" s="1"/>
  <c r="T100" i="42"/>
  <c r="S100" i="42"/>
  <c r="S18" i="44" s="1"/>
  <c r="S85" i="42"/>
  <c r="P71" i="42" a="1"/>
  <c r="P71" i="42" s="1"/>
  <c r="O71" i="42" a="1"/>
  <c r="O71" i="42" s="1"/>
  <c r="R71" i="42" a="1"/>
  <c r="R71" i="42" s="1"/>
  <c r="Q71" i="42" a="1"/>
  <c r="Q71" i="42" s="1"/>
  <c r="R20" i="42"/>
  <c r="R13" i="42"/>
  <c r="R26" i="42" s="1"/>
  <c r="O13" i="42"/>
  <c r="O26" i="42" s="1"/>
  <c r="O20" i="42"/>
  <c r="P13" i="42"/>
  <c r="P26" i="42" s="1"/>
  <c r="P20" i="42"/>
  <c r="Q13" i="42"/>
  <c r="Q26" i="42" s="1"/>
  <c r="Q20" i="42"/>
  <c r="S13" i="42"/>
  <c r="S26" i="42" s="1"/>
  <c r="S20" i="42"/>
  <c r="O31" i="2"/>
  <c r="O19" i="2"/>
  <c r="K81" i="42" s="1"/>
  <c r="S71" i="42" a="1"/>
  <c r="S71" i="42" s="1"/>
  <c r="L29" i="2"/>
  <c r="K19" i="2"/>
  <c r="B50" i="66" l="1"/>
  <c r="B66" i="66"/>
  <c r="E23" i="66"/>
  <c r="O18" i="53" s="1"/>
  <c r="B24" i="66"/>
  <c r="D24" i="66" s="1"/>
  <c r="E24" i="66" s="1"/>
  <c r="P18" i="53" s="1"/>
  <c r="P83" i="42" s="1"/>
  <c r="S80" i="42"/>
  <c r="T80" i="42"/>
  <c r="P80" i="42"/>
  <c r="J80" i="42"/>
  <c r="M80" i="42"/>
  <c r="K80" i="42"/>
  <c r="L80" i="42"/>
  <c r="O80" i="42"/>
  <c r="Q80" i="42"/>
  <c r="N80" i="42"/>
  <c r="O98" i="42"/>
  <c r="O16" i="44" s="1"/>
  <c r="N82" i="42"/>
  <c r="K88" i="42"/>
  <c r="L88" i="42"/>
  <c r="R98" i="42"/>
  <c r="R16" i="44" s="1"/>
  <c r="O84" i="42"/>
  <c r="M84" i="42"/>
  <c r="L82" i="42"/>
  <c r="L20" i="2"/>
  <c r="L30" i="2" s="1"/>
  <c r="Q98" i="42"/>
  <c r="Q16" i="44" s="1"/>
  <c r="N84" i="42"/>
  <c r="M82" i="42"/>
  <c r="S98" i="42"/>
  <c r="S16" i="44" s="1"/>
  <c r="K82" i="42"/>
  <c r="P98" i="42"/>
  <c r="P16" i="44" s="1"/>
  <c r="T82" i="42"/>
  <c r="R84" i="42"/>
  <c r="T98" i="42"/>
  <c r="O82" i="42"/>
  <c r="M88" i="42"/>
  <c r="Q84" i="42"/>
  <c r="P84" i="42"/>
  <c r="J84" i="42"/>
  <c r="J88" i="42"/>
  <c r="T84" i="42"/>
  <c r="J82" i="42"/>
  <c r="O30" i="2"/>
  <c r="R87" i="42"/>
  <c r="O87" i="42"/>
  <c r="P87" i="42"/>
  <c r="S87" i="42"/>
  <c r="Q87" i="42"/>
  <c r="L84" i="42"/>
  <c r="S84" i="42"/>
  <c r="K84" i="42"/>
  <c r="M17" i="2"/>
  <c r="M27" i="2" s="1"/>
  <c r="K26" i="2"/>
  <c r="N18" i="2"/>
  <c r="N28" i="2" s="1"/>
  <c r="M21" i="2"/>
  <c r="M31" i="2" s="1"/>
  <c r="M81" i="42"/>
  <c r="L77" i="42"/>
  <c r="S77" i="42"/>
  <c r="T81" i="42"/>
  <c r="J78" i="42"/>
  <c r="P78" i="42"/>
  <c r="N77" i="42"/>
  <c r="R78" i="42"/>
  <c r="L78" i="42"/>
  <c r="L81" i="42"/>
  <c r="S97" i="42"/>
  <c r="S15" i="44" s="1"/>
  <c r="Q77" i="42"/>
  <c r="N13" i="42"/>
  <c r="N26" i="42" s="1"/>
  <c r="N20" i="42"/>
  <c r="R77" i="42"/>
  <c r="O97" i="42"/>
  <c r="O15" i="44" s="1"/>
  <c r="O77" i="42"/>
  <c r="O78" i="42"/>
  <c r="T78" i="42"/>
  <c r="N78" i="42"/>
  <c r="P97" i="42"/>
  <c r="Q97" i="42"/>
  <c r="M78" i="42"/>
  <c r="N81" i="42"/>
  <c r="Q78" i="42"/>
  <c r="T97" i="42"/>
  <c r="J81" i="42"/>
  <c r="O29" i="2"/>
  <c r="S78" i="42"/>
  <c r="R97" i="42"/>
  <c r="R15" i="44" s="1"/>
  <c r="M77" i="42"/>
  <c r="K77" i="42"/>
  <c r="K78" i="42"/>
  <c r="P77" i="42"/>
  <c r="J77" i="42"/>
  <c r="T77" i="42"/>
  <c r="M13" i="42"/>
  <c r="M26" i="42" s="1"/>
  <c r="M20" i="42"/>
  <c r="K29" i="2"/>
  <c r="J19" i="2"/>
  <c r="J29" i="2" s="1"/>
  <c r="L26" i="2"/>
  <c r="M16" i="2"/>
  <c r="D50" i="66" l="1"/>
  <c r="O16" i="53" s="1"/>
  <c r="O81" i="42" s="1"/>
  <c r="B51" i="66"/>
  <c r="B52" i="66" s="1"/>
  <c r="D52" i="66" s="1"/>
  <c r="Q16" i="53" s="1"/>
  <c r="Q81" i="42" s="1"/>
  <c r="B67" i="66"/>
  <c r="D66" i="66"/>
  <c r="P17" i="53" s="1"/>
  <c r="O83" i="42"/>
  <c r="B25" i="66"/>
  <c r="B26" i="66" s="1"/>
  <c r="T102" i="42"/>
  <c r="K20" i="2"/>
  <c r="N17" i="2"/>
  <c r="N27" i="2" s="1"/>
  <c r="O18" i="2"/>
  <c r="N57" i="58"/>
  <c r="V52" i="58"/>
  <c r="L21" i="2"/>
  <c r="K21" i="2" s="1"/>
  <c r="Q15" i="44"/>
  <c r="P15" i="44"/>
  <c r="L13" i="42"/>
  <c r="L26" i="42" s="1"/>
  <c r="L20" i="42"/>
  <c r="M26" i="2"/>
  <c r="N16" i="2"/>
  <c r="O90" i="42" l="1"/>
  <c r="B53" i="66"/>
  <c r="B54" i="66" s="1"/>
  <c r="D54" i="66" s="1"/>
  <c r="S16" i="53" s="1"/>
  <c r="S81" i="42" s="1"/>
  <c r="D51" i="66"/>
  <c r="P16" i="53" s="1"/>
  <c r="P81" i="42" s="1"/>
  <c r="P82" i="42"/>
  <c r="B68" i="66"/>
  <c r="D67" i="66"/>
  <c r="Q17" i="53" s="1"/>
  <c r="Q82" i="42" s="1"/>
  <c r="D25" i="66"/>
  <c r="E25" i="66" s="1"/>
  <c r="Q18" i="53" s="1"/>
  <c r="B27" i="66"/>
  <c r="D27" i="66" s="1"/>
  <c r="E27" i="66" s="1"/>
  <c r="S18" i="53" s="1"/>
  <c r="S83" i="42" s="1"/>
  <c r="D26" i="66"/>
  <c r="E26" i="66" s="1"/>
  <c r="R18" i="53" s="1"/>
  <c r="R83" i="42" s="1"/>
  <c r="J20" i="2"/>
  <c r="J30" i="2" s="1"/>
  <c r="K30" i="2"/>
  <c r="N41" i="42"/>
  <c r="R47" i="42"/>
  <c r="S47" i="42"/>
  <c r="P47" i="42"/>
  <c r="J47" i="42"/>
  <c r="L47" i="42"/>
  <c r="N47" i="42"/>
  <c r="M47" i="42"/>
  <c r="T47" i="42"/>
  <c r="O47" i="42"/>
  <c r="K47" i="42"/>
  <c r="Q47" i="42"/>
  <c r="O17" i="2"/>
  <c r="O27" i="2" s="1"/>
  <c r="S79" i="42"/>
  <c r="R44" i="42"/>
  <c r="O44" i="42"/>
  <c r="K41" i="42"/>
  <c r="M79" i="42"/>
  <c r="L38" i="42"/>
  <c r="O79" i="42"/>
  <c r="L44" i="42"/>
  <c r="S41" i="42"/>
  <c r="S44" i="42"/>
  <c r="N38" i="42"/>
  <c r="R41" i="42"/>
  <c r="L79" i="42"/>
  <c r="R38" i="42"/>
  <c r="T38" i="42"/>
  <c r="K79" i="42"/>
  <c r="T79" i="42"/>
  <c r="N44" i="42"/>
  <c r="J41" i="42"/>
  <c r="J44" i="42"/>
  <c r="P44" i="42"/>
  <c r="N79" i="42"/>
  <c r="P41" i="42"/>
  <c r="J38" i="42"/>
  <c r="M44" i="42"/>
  <c r="J79" i="42"/>
  <c r="S38" i="42"/>
  <c r="L41" i="42"/>
  <c r="T44" i="42"/>
  <c r="K44" i="42"/>
  <c r="T41" i="42"/>
  <c r="K38" i="42"/>
  <c r="P38" i="42"/>
  <c r="O41" i="42"/>
  <c r="O28" i="2"/>
  <c r="M41" i="42"/>
  <c r="O38" i="42"/>
  <c r="Q41" i="42"/>
  <c r="M38" i="42"/>
  <c r="P79" i="42"/>
  <c r="Q79" i="42"/>
  <c r="R79" i="42"/>
  <c r="Q38" i="42"/>
  <c r="Q44" i="42"/>
  <c r="L31" i="2"/>
  <c r="K31" i="2"/>
  <c r="J21" i="2"/>
  <c r="N26" i="2"/>
  <c r="O16" i="2"/>
  <c r="D53" i="66" l="1"/>
  <c r="R16" i="53" s="1"/>
  <c r="R81" i="42" s="1"/>
  <c r="B69" i="66"/>
  <c r="D69" i="66" s="1"/>
  <c r="S17" i="53" s="1"/>
  <c r="S82" i="42" s="1"/>
  <c r="D68" i="66"/>
  <c r="Q83" i="42"/>
  <c r="W18" i="53"/>
  <c r="E28" i="66"/>
  <c r="B55" i="66"/>
  <c r="B28" i="66"/>
  <c r="D28" i="66"/>
  <c r="J31" i="2"/>
  <c r="K13" i="42"/>
  <c r="K26" i="42" s="1"/>
  <c r="O52" i="42"/>
  <c r="O54" i="42" s="1"/>
  <c r="P14" i="59"/>
  <c r="N14" i="59"/>
  <c r="Q14" i="59"/>
  <c r="R14" i="59"/>
  <c r="O14" i="59"/>
  <c r="K52" i="42"/>
  <c r="K54" i="42" s="1"/>
  <c r="R52" i="42"/>
  <c r="R54" i="42" s="1"/>
  <c r="R86" i="42"/>
  <c r="J86" i="42"/>
  <c r="P86" i="42"/>
  <c r="L86" i="42"/>
  <c r="Q86" i="42"/>
  <c r="S86" i="42"/>
  <c r="O86" i="42"/>
  <c r="K86" i="42"/>
  <c r="T86" i="42"/>
  <c r="N86" i="42"/>
  <c r="M86" i="42"/>
  <c r="Q52" i="42"/>
  <c r="Q54" i="42" s="1"/>
  <c r="L52" i="42"/>
  <c r="L54" i="42" s="1"/>
  <c r="M52" i="42"/>
  <c r="M54" i="42" s="1"/>
  <c r="P52" i="42"/>
  <c r="P54" i="42" s="1"/>
  <c r="S52" i="42"/>
  <c r="S54" i="42" s="1"/>
  <c r="J52" i="42"/>
  <c r="J54" i="42" s="1"/>
  <c r="K20" i="42"/>
  <c r="J20" i="42"/>
  <c r="J13" i="42"/>
  <c r="J26" i="42" s="1"/>
  <c r="S24" i="42"/>
  <c r="K22" i="42"/>
  <c r="M22" i="42"/>
  <c r="O26" i="2"/>
  <c r="R22" i="42"/>
  <c r="P24" i="42"/>
  <c r="J22" i="42"/>
  <c r="L24" i="42"/>
  <c r="L15" i="42"/>
  <c r="Q15" i="42"/>
  <c r="P15" i="42"/>
  <c r="S22" i="42"/>
  <c r="O17" i="42"/>
  <c r="K87" i="42"/>
  <c r="L17" i="42"/>
  <c r="S17" i="42"/>
  <c r="M87" i="42"/>
  <c r="Q17" i="42"/>
  <c r="O15" i="42"/>
  <c r="M24" i="42"/>
  <c r="S15" i="42"/>
  <c r="T17" i="42"/>
  <c r="K15" i="42"/>
  <c r="J24" i="42"/>
  <c r="N24" i="42"/>
  <c r="P22" i="42"/>
  <c r="O24" i="42"/>
  <c r="T87" i="42"/>
  <c r="J17" i="42"/>
  <c r="N15" i="42"/>
  <c r="M17" i="42"/>
  <c r="R24" i="42"/>
  <c r="Q22" i="42"/>
  <c r="O22" i="42"/>
  <c r="L22" i="42"/>
  <c r="M15" i="42"/>
  <c r="T15" i="42"/>
  <c r="J15" i="42"/>
  <c r="P17" i="42"/>
  <c r="K17" i="42"/>
  <c r="J87" i="42"/>
  <c r="R15" i="42"/>
  <c r="R17" i="42"/>
  <c r="T24" i="42"/>
  <c r="Q24" i="42"/>
  <c r="N87" i="42"/>
  <c r="K24" i="42"/>
  <c r="T22" i="42"/>
  <c r="N22" i="42"/>
  <c r="L87" i="42"/>
  <c r="D55" i="66" l="1"/>
  <c r="W16" i="53"/>
  <c r="D70" i="66"/>
  <c r="R17" i="53"/>
  <c r="B70" i="66"/>
  <c r="N35" i="42"/>
  <c r="U14" i="59"/>
  <c r="AA14" i="59" s="1"/>
  <c r="T90" i="42"/>
  <c r="O11" i="59"/>
  <c r="N11" i="59"/>
  <c r="Q11" i="59"/>
  <c r="P11" i="59"/>
  <c r="R11" i="59"/>
  <c r="N90" i="42"/>
  <c r="M90" i="42"/>
  <c r="L90" i="42"/>
  <c r="K90" i="42"/>
  <c r="J90" i="42"/>
  <c r="R82" i="42" l="1"/>
  <c r="W17" i="53"/>
  <c r="Z14" i="59"/>
  <c r="N16" i="59"/>
  <c r="R16" i="59"/>
  <c r="Q16" i="59"/>
  <c r="O16" i="59"/>
  <c r="P16" i="59"/>
  <c r="Q15" i="59"/>
  <c r="O15" i="59"/>
  <c r="R15" i="59"/>
  <c r="N15" i="59"/>
  <c r="P15" i="59"/>
  <c r="P25" i="53"/>
  <c r="P88" i="42"/>
  <c r="P90" i="42" s="1"/>
  <c r="O20" i="59" s="1"/>
  <c r="Q25" i="53"/>
  <c r="Q88" i="42"/>
  <c r="Q90" i="42" s="1"/>
  <c r="P20" i="59" s="1"/>
  <c r="O25" i="53"/>
  <c r="W23" i="53"/>
  <c r="O88" i="42"/>
  <c r="S25" i="53"/>
  <c r="S88" i="42"/>
  <c r="S90" i="42" s="1"/>
  <c r="R20" i="59" s="1"/>
  <c r="R25" i="53"/>
  <c r="R88" i="42"/>
  <c r="R90" i="42" l="1"/>
  <c r="Q20" i="59" s="1"/>
  <c r="U15" i="59"/>
  <c r="U16" i="59"/>
  <c r="W25" i="53"/>
  <c r="V71" i="58"/>
  <c r="N28" i="42"/>
  <c r="N29" i="42" s="1"/>
  <c r="V69" i="58"/>
  <c r="S1" i="58" s="1"/>
  <c r="G12" i="16" s="1"/>
  <c r="N20" i="59"/>
  <c r="U20" i="59" l="1"/>
  <c r="AA20" i="59" s="1"/>
  <c r="N13" i="59"/>
  <c r="R13" i="59"/>
  <c r="Q13" i="59"/>
  <c r="P13" i="59"/>
  <c r="O13" i="59"/>
  <c r="AA16" i="59"/>
  <c r="Z16" i="59"/>
  <c r="Z15" i="59"/>
  <c r="AA15" i="59"/>
  <c r="N33" i="42"/>
  <c r="Z20" i="59" l="1"/>
  <c r="U13" i="59"/>
  <c r="N52" i="42"/>
  <c r="AA13" i="59" l="1"/>
  <c r="Z13" i="59"/>
  <c r="N54" i="42"/>
  <c r="O108" i="42" s="1"/>
  <c r="P12" i="59"/>
  <c r="O12" i="59"/>
  <c r="N12" i="59"/>
  <c r="R12" i="59"/>
  <c r="Q12" i="59"/>
  <c r="R108" i="42" l="1"/>
  <c r="R13" i="44" s="1"/>
  <c r="Q108" i="42"/>
  <c r="Q13" i="44" s="1"/>
  <c r="S108" i="42"/>
  <c r="S13" i="44" s="1"/>
  <c r="P108" i="42"/>
  <c r="P13" i="44" s="1"/>
  <c r="O13" i="44"/>
  <c r="R18" i="59"/>
  <c r="N18" i="59"/>
  <c r="P18" i="59"/>
  <c r="N19" i="59"/>
  <c r="R17" i="59"/>
  <c r="N17" i="59"/>
  <c r="Q19" i="59"/>
  <c r="R19" i="59"/>
  <c r="P19" i="59"/>
  <c r="O17" i="59"/>
  <c r="O18" i="59"/>
  <c r="P17" i="59"/>
  <c r="Q18" i="59"/>
  <c r="Q17" i="59"/>
  <c r="O19" i="59"/>
  <c r="O37" i="53"/>
  <c r="W31" i="53"/>
  <c r="O96" i="42"/>
  <c r="R37" i="53" l="1"/>
  <c r="R96" i="42"/>
  <c r="Q37" i="53"/>
  <c r="Q96" i="42"/>
  <c r="S37" i="53"/>
  <c r="S96" i="42"/>
  <c r="P37" i="53"/>
  <c r="P96" i="42"/>
  <c r="O14" i="44"/>
  <c r="O102" i="42"/>
  <c r="N21" i="59" s="1"/>
  <c r="W37" i="53" l="1"/>
  <c r="S1" i="53" s="1"/>
  <c r="G14" i="16" s="1"/>
  <c r="P14" i="44"/>
  <c r="P102" i="42"/>
  <c r="O21" i="59" s="1"/>
  <c r="S14" i="44"/>
  <c r="S102" i="42"/>
  <c r="R21" i="59" s="1"/>
  <c r="R14" i="44"/>
  <c r="R102" i="42"/>
  <c r="Q21" i="59" s="1"/>
  <c r="Q14" i="44"/>
  <c r="Q102" i="42"/>
  <c r="P21" i="59" s="1"/>
  <c r="O109" i="42"/>
  <c r="O110" i="42" s="1"/>
  <c r="N23" i="59" l="1"/>
  <c r="U21" i="59"/>
  <c r="AA21" i="59" s="1"/>
  <c r="R109" i="42"/>
  <c r="R110" i="42" s="1"/>
  <c r="S109" i="42"/>
  <c r="S110" i="42" s="1"/>
  <c r="Q109" i="42"/>
  <c r="Q110" i="42" s="1"/>
  <c r="P109" i="42"/>
  <c r="P110" i="42" s="1"/>
  <c r="Z21" i="59" l="1"/>
  <c r="R23" i="59"/>
  <c r="Q23" i="59"/>
  <c r="O23" i="59"/>
  <c r="P23" i="59"/>
  <c r="S1" i="16"/>
  <c r="W1" i="42" l="1"/>
  <c r="Y1" i="59"/>
  <c r="V1" i="4"/>
  <c r="W1" i="44"/>
  <c r="V1" i="58"/>
  <c r="V1" i="54"/>
  <c r="Y1" i="55"/>
  <c r="V1" i="53"/>
  <c r="X1" i="2"/>
  <c r="U11" i="59" l="1"/>
  <c r="Y11" i="59" l="1"/>
  <c r="U12" i="59" l="1"/>
  <c r="U19" i="59" l="1"/>
  <c r="AA19" i="59" s="1"/>
  <c r="U17" i="59"/>
  <c r="U18" i="59"/>
  <c r="AA12" i="59"/>
  <c r="X12" i="59" s="1"/>
  <c r="Z12" i="59"/>
  <c r="X15" i="59"/>
  <c r="X14" i="59"/>
  <c r="X16" i="59"/>
  <c r="X13" i="59"/>
  <c r="Z19" i="59" l="1"/>
  <c r="X20" i="59"/>
  <c r="X22" i="59"/>
  <c r="X21" i="59"/>
  <c r="X19" i="59"/>
  <c r="Z18" i="59"/>
  <c r="AA18" i="59"/>
  <c r="X18" i="59" s="1"/>
  <c r="Z17" i="59"/>
  <c r="AA17" i="59"/>
  <c r="X17" i="59" s="1"/>
  <c r="U23" i="59" l="1"/>
  <c r="Y23" i="59" l="1"/>
  <c r="V19" i="59"/>
  <c r="V15" i="59"/>
  <c r="V23" i="59"/>
  <c r="V14" i="59"/>
  <c r="V16" i="59"/>
  <c r="V22" i="59"/>
  <c r="V17" i="59"/>
  <c r="V21" i="59"/>
  <c r="V18" i="59"/>
  <c r="V20" i="59"/>
  <c r="V12" i="59"/>
  <c r="V13" i="5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<sst xmlns="http://schemas.openxmlformats.org/spreadsheetml/2006/main" count="1050" uniqueCount="398">
  <si>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</si>
  <si>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</si>
  <si>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</si>
  <si>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</si>
  <si>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</si>
  <si>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</si>
  <si>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</si>
  <si>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</si>
  <si>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</si>
  <si>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</si>
  <si>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</si>
  <si>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</si>
  <si>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</si>
  <si>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</si>
  <si>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</si>
  <si>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</si>
  <si>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</si>
  <si>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</si>
  <si>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</si>
  <si>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</si>
  <si>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</si>
  <si>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</si>
  <si>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</si>
  <si>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</si>
  <si>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</si>
  <si>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</si>
  <si>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</si>
  <si>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</si>
  <si>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</si>
  <si>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</si>
  <si>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</si>
  <si>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</si>
  <si>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</si>
  <si>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</si>
  <si>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</si>
  <si>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</si>
  <si>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</si>
  <si>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</si>
  <si>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</si>
  <si>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</si>
  <si>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</si>
  <si>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</si>
  <si>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</si>
  <si>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</si>
  <si>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</si>
  <si>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</si>
  <si>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</si>
  <si>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</si>
  <si>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</si>
  <si>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</si>
  <si>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</si>
  <si>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</si>
  <si>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</si>
  <si>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</si>
  <si>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</si>
  <si>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</si>
  <si>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</si>
  <si>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</si>
  <si>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</si>
  <si>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</si>
  <si>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</si>
  <si>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</si>
  <si>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</si>
  <si>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</si>
  <si>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</si>
  <si>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</si>
  <si>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</si>
  <si>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</si>
  <si>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</si>
  <si>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</si>
  <si>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</si>
  <si>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</si>
  <si>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</si>
  <si>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</si>
  <si>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</si>
  <si>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</si>
  <si>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</si>
  <si>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</si>
  <si>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</si>
  <si>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</si>
  <si>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</si>
  <si>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</si>
  <si>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</si>
  <si>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</si>
  <si>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</si>
  <si>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</si>
  <si>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</si>
  <si>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</si>
  <si>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</si>
  <si>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</si>
  <si>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</si>
  <si>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</si>
  <si>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</si>
  <si>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</si>
  <si>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</si>
  <si>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</si>
  <si>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</si>
  <si>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</si>
  <si>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</si>
  <si>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</si>
  <si>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</si>
  <si>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</si>
  <si>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</si>
  <si>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</si>
  <si>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</si>
  <si>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</si>
  <si>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</si>
  <si>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</si>
  <si>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</si>
  <si>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</si>
  <si>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</si>
  <si>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</si>
  <si>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</si>
  <si>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</si>
  <si>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</si>
  <si>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</si>
  <si>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</si>
  <si>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</si>
  <si>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</si>
  <si>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</si>
  <si>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</si>
  <si>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</si>
  <si>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</si>
  <si>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</si>
  <si>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</si>
  <si>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</si>
  <si>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</si>
  <si>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</si>
  <si>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</si>
  <si>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</si>
  <si>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</si>
  <si>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</si>
  <si>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</si>
  <si>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</si>
  <si>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</si>
  <si>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</si>
  <si>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</si>
  <si>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</si>
  <si>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</si>
  <si>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</si>
  <si>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</si>
  <si>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</si>
  <si>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</si>
  <si>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</si>
  <si>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</si>
  <si>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</si>
  <si>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</si>
  <si>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</si>
  <si>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</si>
  <si>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</si>
  <si>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</si>
  <si>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</si>
  <si>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</si>
  <si>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</si>
  <si>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</si>
  <si>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</si>
  <si>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</si>
  <si>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</si>
  <si>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</si>
  <si>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</si>
  <si>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</si>
  <si>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</si>
  <si>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</si>
  <si>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</si>
  <si>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</si>
  <si>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</si>
  <si>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</si>
  <si>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</si>
  <si>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</si>
  <si>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</si>
  <si>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</si>
  <si>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</si>
  <si>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</si>
  <si>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</si>
  <si>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</si>
  <si>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</si>
  <si>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</si>
  <si>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</si>
  <si>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</si>
  <si>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</si>
  <si>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</si>
  <si>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</si>
  <si>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</si>
  <si>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</si>
  <si>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</si>
  <si>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</si>
  <si>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</si>
  <si>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</si>
  <si>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</si>
  <si>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</si>
  <si>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</si>
  <si>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</si>
  <si>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</si>
  <si>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</si>
  <si>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</si>
  <si>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</si>
  <si>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</si>
  <si>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</si>
  <si>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</si>
  <si>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</si>
  <si>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</si>
  <si>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</si>
  <si>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</si>
  <si>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</si>
  <si>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</si>
  <si>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</si>
  <si>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</si>
  <si>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</si>
  <si>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</si>
  <si>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</si>
  <si>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</si>
  <si>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</si>
  <si>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</si>
  <si>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Ausnet</t>
  </si>
  <si>
    <t>GSL payments</t>
  </si>
  <si>
    <t>innovation</t>
  </si>
  <si>
    <t>GSL</t>
  </si>
  <si>
    <t>GSL payments (June 2021 storms)</t>
  </si>
  <si>
    <t>GSL payments (February 2024 storms)</t>
  </si>
  <si>
    <t>GSL payments (June 2021 Storms)</t>
  </si>
  <si>
    <t>GSL payments (February 2024 Storms)</t>
  </si>
  <si>
    <t>Innovation Fund</t>
  </si>
  <si>
    <t>Adjustment - Corporate Overheads</t>
  </si>
  <si>
    <t xml:space="preserve">Adjustment - Property </t>
  </si>
  <si>
    <t>DAE forecast</t>
  </si>
  <si>
    <t>Oxford economics</t>
  </si>
  <si>
    <t xml:space="preserve">WPI - average </t>
  </si>
  <si>
    <t>Saas costs</t>
  </si>
  <si>
    <t>Flexible services and non-network solutions</t>
  </si>
  <si>
    <t xml:space="preserve">ESV more frequent pole inspections </t>
  </si>
  <si>
    <t>Emergency Backstop Mechanism</t>
  </si>
  <si>
    <t>Innovation fund</t>
  </si>
  <si>
    <t>GSL payments (September 2024 storms)</t>
  </si>
  <si>
    <t>License fees</t>
  </si>
  <si>
    <t/>
  </si>
  <si>
    <t>OK</t>
  </si>
  <si>
    <t>Output|Decomposition</t>
  </si>
  <si>
    <t>Decomposition</t>
  </si>
  <si>
    <t>TOTAL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</si>
  <si>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</si>
  <si>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</si>
  <si>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</si>
  <si>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</si>
  <si>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</si>
  <si>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</si>
  <si>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</si>
  <si>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</si>
  <si>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</si>
  <si>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</si>
  <si>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</si>
  <si>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Output| Decomposition</t>
  </si>
  <si>
    <t>Outputs the contribution of the various elements to the total opex forecast generated by this opex model.</t>
  </si>
  <si>
    <t>Based on reported opex in 2022–23</t>
  </si>
  <si>
    <t>2022–23 to 2025–26 increment</t>
  </si>
  <si>
    <t>ESV levy</t>
  </si>
  <si>
    <t>AusNet revised proposal</t>
  </si>
  <si>
    <t>GSL payments (September 2024 Storms)</t>
  </si>
  <si>
    <t>Sustainability reporting</t>
  </si>
  <si>
    <t>AusNet GSL forecast ($nominal)</t>
  </si>
  <si>
    <t>FY27 increase</t>
  </si>
  <si>
    <t>Category</t>
  </si>
  <si>
    <t>Measure</t>
  </si>
  <si>
    <t>GSL Rate FY21 (recast)</t>
  </si>
  <si>
    <t>GSL Rate FY22act</t>
  </si>
  <si>
    <t>GSL Rate FY23act</t>
  </si>
  <si>
    <t>GSL Rate FY26fct</t>
  </si>
  <si>
    <t>GSL Rate FY27fct</t>
  </si>
  <si>
    <t>GSL Rate FY28fct</t>
  </si>
  <si>
    <t>GSL Rate FY29fct</t>
  </si>
  <si>
    <t>GSL Rate FY30fct</t>
  </si>
  <si>
    <t>GSL Rate FY31fct</t>
  </si>
  <si>
    <t>GSL Value FY21 (recast)</t>
  </si>
  <si>
    <t>GSL Value FY22act</t>
  </si>
  <si>
    <t>GSL Value FY23act</t>
  </si>
  <si>
    <t>GSL Value FY26fct</t>
  </si>
  <si>
    <t>GSL Value FY27fct</t>
  </si>
  <si>
    <t>GSL Value FY28fct</t>
  </si>
  <si>
    <t>GSL Value FY29fct</t>
  </si>
  <si>
    <t>GSL Value FY30fct</t>
  </si>
  <si>
    <t>GSL Value FY31fct</t>
  </si>
  <si>
    <t>GSL Amount FY21act</t>
  </si>
  <si>
    <t>GSL Amount FY22act</t>
  </si>
  <si>
    <t>GSL Amount FY23act</t>
  </si>
  <si>
    <t>GSL Amount FY26fct</t>
  </si>
  <si>
    <t>GSL Amount FY27fct</t>
  </si>
  <si>
    <t>GSL Amount FY28fct</t>
  </si>
  <si>
    <t>GSL Amount FY29fct</t>
  </si>
  <si>
    <t>GSL Amount FY30fct</t>
  </si>
  <si>
    <t>GSL Amount FY31fct</t>
  </si>
  <si>
    <t>Appointments</t>
  </si>
  <si>
    <t>Customer arranged appointments Central - number</t>
  </si>
  <si>
    <t>Appointments not met within 15 minutes of agreed time</t>
  </si>
  <si>
    <t>Appointments - GSL payments</t>
  </si>
  <si>
    <t>Connections</t>
  </si>
  <si>
    <t>Connections Made</t>
  </si>
  <si>
    <t>Connections not made by agreed date</t>
  </si>
  <si>
    <t>Connections - GSL payments - 1-4 day delay</t>
  </si>
  <si>
    <t>Connections - GSL payments - 5+ day delay</t>
  </si>
  <si>
    <t>Reliability of supply</t>
  </si>
  <si>
    <t>MED - 12 hours:</t>
  </si>
  <si>
    <t>Single interruption Payment Rural - 18 hours</t>
  </si>
  <si>
    <t>Low reliability payments - 18 hours</t>
  </si>
  <si>
    <t>Low reliability payments - 30 hours</t>
  </si>
  <si>
    <t>Low reliability payments - 60 hours</t>
  </si>
  <si>
    <t>Low reliability payments - 24 momentary events</t>
  </si>
  <si>
    <t>Low reliability payments - 36 momentary events</t>
  </si>
  <si>
    <t>Low reliability payments - 8 events</t>
  </si>
  <si>
    <t>Low reliability payments - 12 events</t>
  </si>
  <si>
    <t>Low reliability payments - 20 events</t>
  </si>
  <si>
    <t>Street lights</t>
  </si>
  <si>
    <t>Street lights "out" during period</t>
  </si>
  <si>
    <t>Street lights not repaired by "fix by" date</t>
  </si>
  <si>
    <t>Street lights not repaired in 2 business days</t>
  </si>
  <si>
    <t>Street lights - number of business days to repair</t>
  </si>
  <si>
    <t>Street lights - GSL payments</t>
  </si>
  <si>
    <t>Total GSL Annual RIN 6.9 ($nominal)</t>
  </si>
  <si>
    <t>Adjusted GSLs with no reliability improvements</t>
  </si>
  <si>
    <t>Expected inflation</t>
  </si>
  <si>
    <t>Average inflation</t>
  </si>
  <si>
    <t>Total GSL payment, $2025-26</t>
  </si>
  <si>
    <t>RY21</t>
  </si>
  <si>
    <t>RY23</t>
  </si>
  <si>
    <t>RY24</t>
  </si>
  <si>
    <t>RY25</t>
  </si>
  <si>
    <t>Pass through</t>
  </si>
  <si>
    <t>GSL Rate FY24act</t>
  </si>
  <si>
    <t>GSL Rate FY25act</t>
  </si>
  <si>
    <t>GSL Value FY24act</t>
  </si>
  <si>
    <t>GSL Value FY25act</t>
  </si>
  <si>
    <t>GSL Amount FY24act</t>
  </si>
  <si>
    <t>GSL Amount FY25act</t>
  </si>
  <si>
    <t xml:space="preserve">Emergency preparedness and response </t>
  </si>
  <si>
    <t>Fleet electrification</t>
  </si>
  <si>
    <t>Early Fault Detection rollout</t>
  </si>
  <si>
    <t>Insurance</t>
  </si>
  <si>
    <t>Customer numbers</t>
  </si>
  <si>
    <t>RY26</t>
  </si>
  <si>
    <t>RY27</t>
  </si>
  <si>
    <t>RY28</t>
  </si>
  <si>
    <t>RY29</t>
  </si>
  <si>
    <t>RY30</t>
  </si>
  <si>
    <t>RY31</t>
  </si>
  <si>
    <t>Highest Historic Value CY2020 (MW)</t>
  </si>
  <si>
    <t>Demand year</t>
  </si>
  <si>
    <t>POE50</t>
  </si>
  <si>
    <t>Regulatory year</t>
  </si>
  <si>
    <t>RMD Series</t>
  </si>
  <si>
    <t>Terminal station list</t>
  </si>
  <si>
    <t>cbts</t>
  </si>
  <si>
    <t>2025-26</t>
  </si>
  <si>
    <t>Inputs to Opex model</t>
  </si>
  <si>
    <t>erts12</t>
  </si>
  <si>
    <t>2026-27</t>
  </si>
  <si>
    <t>erts34</t>
  </si>
  <si>
    <t>2027-28</t>
  </si>
  <si>
    <t>gnts</t>
  </si>
  <si>
    <t>2028-29</t>
  </si>
  <si>
    <t>lys</t>
  </si>
  <si>
    <t>2029-30</t>
  </si>
  <si>
    <t>mbts</t>
  </si>
  <si>
    <t>2030-31</t>
  </si>
  <si>
    <t>mwts</t>
  </si>
  <si>
    <t>rwts13</t>
  </si>
  <si>
    <t>rwts22</t>
  </si>
  <si>
    <t>rwts24</t>
  </si>
  <si>
    <t>smts</t>
  </si>
  <si>
    <t>tsts</t>
  </si>
  <si>
    <t>tts</t>
  </si>
  <si>
    <t>wots</t>
  </si>
  <si>
    <t>Ratcheted maximum demand (RMD)</t>
  </si>
  <si>
    <t xml:space="preserve">Digital </t>
  </si>
  <si>
    <t>Hazard tree program</t>
  </si>
  <si>
    <t>Customer engagement and communications program</t>
  </si>
  <si>
    <t>Total GSL payment adjusted, $2025-26</t>
  </si>
  <si>
    <t>Total GSL Improvement, $2025-26</t>
  </si>
  <si>
    <t xml:space="preserve">AER PTRM for the current control period. </t>
  </si>
  <si>
    <t>Flexible trading arrangement</t>
  </si>
  <si>
    <t>Emergency Management Specialists</t>
  </si>
  <si>
    <t>In base year</t>
  </si>
  <si>
    <t>$26, real Totals</t>
  </si>
  <si>
    <t>ROC</t>
  </si>
  <si>
    <t>Step</t>
  </si>
  <si>
    <t>Total 2026-31</t>
  </si>
  <si>
    <t>2023-24</t>
  </si>
  <si>
    <t>2024-25</t>
  </si>
  <si>
    <t>Early fault detection</t>
  </si>
  <si>
    <t>Opex nominal to real $2025-26</t>
  </si>
  <si>
    <t>Step Changes</t>
  </si>
  <si>
    <t>Flexible trading arrangement pass through added to 2025-26 $0.14m ($2021) - pending AER approval</t>
  </si>
  <si>
    <t>$m, 2024</t>
  </si>
  <si>
    <t>Component</t>
  </si>
  <si>
    <t>Ongoing licensing/subscriptions (no base spend)</t>
  </si>
  <si>
    <t xml:space="preserve">Delivery of Emergency Management related training and refreshers </t>
  </si>
  <si>
    <t>Emergency role specific training material- development and maintainance (no base spend)</t>
  </si>
  <si>
    <t>nominal to real $2025-26</t>
  </si>
  <si>
    <t>real $2020-21 to real $2025-26</t>
  </si>
  <si>
    <t>Integrated distribution system planning rule change</t>
  </si>
  <si>
    <t>Emergency preparedness &amp;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</si>
</sst>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8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#,##0.0_ ;\-#,##0.0\ "/>
    <numFmt numFmtId="211" formatCode="_(#\ ##0.0_);\(#\ ##0.0\);_(&quot;-&quot;_)"/>
    <numFmt numFmtId="212" formatCode="_-* ###\ ##0.00_-;\-* ###\ ##0.00_-;_-* &quot;-&quot;??_-;_-@_-"/>
    <numFmt numFmtId="213" formatCode="&quot;$&quot;#,##0"/>
    <numFmt numFmtId="214" formatCode="#,##0.0"/>
    <numFmt numFmtId="215" formatCode="0.0000"/>
    <numFmt numFmtId="216" formatCode="_-&quot;$&quot;* #,##0_-;\-&quot;$&quot;* #,##0_-;_-&quot;$&quot;* &quot;-&quot;??_-;_-@_-"/>
    <numFmt numFmtId="217" formatCode="_(* #,##0_);_(* \(#,##0\);_(* &quot;-&quot;??_);_(@_)"/>
    <numFmt numFmtId="218" formatCode="_-&quot;$&quot;* #,##0.000000_-;\-&quot;$&quot;* #,##0.000000_-;_-&quot;$&quot;* &quot;-&quot;??_-;_-@_-"/>
  </numFmts>
  <fonts count="122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4" tint="-0.249977111117893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sz val="13"/>
      <color theme="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0"/>
      <color theme="1" tint="4.9989318521683403E-2"/>
      <name val="Century Gothic"/>
      <family val="2"/>
    </font>
    <font>
      <i/>
      <sz val="10"/>
      <color theme="2" tint="-0.499984740745262"/>
      <name val="Century Gothic"/>
      <family val="2"/>
    </font>
    <font>
      <b/>
      <i/>
      <sz val="10"/>
      <color rgb="FF000000"/>
      <name val="Century Gothic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theme="4" tint="0.79998168889431442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18">
    <xf numFmtId="0" fontId="0" fillId="0" borderId="0"/>
    <xf numFmtId="170" fontId="9" fillId="7" borderId="0" applyProtection="0"/>
    <xf numFmtId="9" fontId="1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9" fontId="19" fillId="0" borderId="0" applyFont="0" applyFill="0" applyBorder="0" applyAlignment="0" applyProtection="0"/>
    <xf numFmtId="171" fontId="18" fillId="0" borderId="5">
      <alignment horizontal="right" vertical="center"/>
      <protection locked="0"/>
    </xf>
    <xf numFmtId="166" fontId="16" fillId="0" borderId="0" applyFont="0" applyFill="0" applyBorder="0" applyAlignment="0" applyProtection="0"/>
    <xf numFmtId="0" fontId="25" fillId="0" borderId="0"/>
    <xf numFmtId="166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8" fontId="18" fillId="0" borderId="0"/>
    <xf numFmtId="178" fontId="18" fillId="0" borderId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0" borderId="0"/>
    <xf numFmtId="167" fontId="30" fillId="0" borderId="0" applyFont="0" applyFill="0" applyBorder="0" applyAlignment="0" applyProtection="0"/>
    <xf numFmtId="0" fontId="31" fillId="30" borderId="0" applyNumberFormat="0" applyBorder="0" applyAlignment="0" applyProtection="0"/>
    <xf numFmtId="0" fontId="32" fillId="0" borderId="0" applyNumberFormat="0" applyFill="0" applyBorder="0" applyAlignment="0"/>
    <xf numFmtId="164" fontId="25" fillId="4" borderId="0" applyNumberFormat="0" applyFont="0" applyBorder="0" applyAlignment="0">
      <alignment horizontal="right"/>
    </xf>
    <xf numFmtId="164" fontId="25" fillId="4" borderId="0" applyNumberFormat="0" applyFont="0" applyBorder="0" applyAlignment="0">
      <alignment horizontal="right"/>
    </xf>
    <xf numFmtId="0" fontId="33" fillId="0" borderId="0" applyNumberFormat="0" applyFill="0" applyBorder="0" applyAlignment="0">
      <protection locked="0"/>
    </xf>
    <xf numFmtId="0" fontId="34" fillId="14" borderId="11" applyNumberFormat="0" applyAlignment="0" applyProtection="0"/>
    <xf numFmtId="0" fontId="35" fillId="31" borderId="12" applyNumberFormat="0" applyAlignment="0" applyProtection="0"/>
    <xf numFmtId="164" fontId="2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3" fontId="38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180" fontId="2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181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0" fontId="41" fillId="0" borderId="0"/>
    <xf numFmtId="0" fontId="42" fillId="0" borderId="0"/>
    <xf numFmtId="0" fontId="43" fillId="35" borderId="0" applyNumberFormat="0" applyBorder="0" applyAlignment="0" applyProtection="0"/>
    <xf numFmtId="0" fontId="27" fillId="0" borderId="0" applyFill="0" applyBorder="0">
      <alignment vertical="center"/>
    </xf>
    <xf numFmtId="0" fontId="44" fillId="0" borderId="13" applyNumberFormat="0" applyFill="0" applyAlignment="0" applyProtection="0"/>
    <xf numFmtId="0" fontId="27" fillId="0" borderId="0" applyFill="0" applyBorder="0">
      <alignment vertical="center"/>
    </xf>
    <xf numFmtId="0" fontId="45" fillId="0" borderId="0" applyFill="0" applyBorder="0">
      <alignment vertical="center"/>
    </xf>
    <xf numFmtId="0" fontId="46" fillId="0" borderId="14" applyNumberFormat="0" applyFill="0" applyAlignment="0" applyProtection="0"/>
    <xf numFmtId="0" fontId="45" fillId="0" borderId="0" applyFill="0" applyBorder="0">
      <alignment vertical="center"/>
    </xf>
    <xf numFmtId="0" fontId="15" fillId="0" borderId="0" applyFill="0" applyBorder="0">
      <alignment vertical="center"/>
    </xf>
    <xf numFmtId="0" fontId="47" fillId="0" borderId="15" applyNumberFormat="0" applyFill="0" applyAlignment="0" applyProtection="0"/>
    <xf numFmtId="0" fontId="15" fillId="0" borderId="0" applyFill="0" applyBorder="0">
      <alignment vertical="center"/>
    </xf>
    <xf numFmtId="0" fontId="18" fillId="0" borderId="0" applyFill="0" applyBorder="0">
      <alignment vertical="center"/>
    </xf>
    <xf numFmtId="0" fontId="47" fillId="0" borderId="0" applyNumberFormat="0" applyFill="0" applyBorder="0" applyAlignment="0" applyProtection="0"/>
    <xf numFmtId="0" fontId="18" fillId="0" borderId="0" applyFill="0" applyBorder="0">
      <alignment vertical="center"/>
    </xf>
    <xf numFmtId="182" fontId="48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Fill="0" applyBorder="0">
      <alignment horizontal="center" vertical="center"/>
      <protection locked="0"/>
    </xf>
    <xf numFmtId="0" fontId="51" fillId="0" borderId="0" applyFill="0" applyBorder="0">
      <alignment horizontal="left" vertical="center"/>
      <protection locked="0"/>
    </xf>
    <xf numFmtId="0" fontId="52" fillId="12" borderId="11" applyNumberFormat="0" applyAlignment="0" applyProtection="0"/>
    <xf numFmtId="164" fontId="25" fillId="36" borderId="0" applyFont="0" applyBorder="0" applyAlignment="0">
      <alignment horizontal="right"/>
      <protection locked="0"/>
    </xf>
    <xf numFmtId="164" fontId="25" fillId="36" borderId="0" applyFont="0" applyBorder="0" applyAlignment="0">
      <alignment horizontal="right"/>
      <protection locked="0"/>
    </xf>
    <xf numFmtId="183" fontId="25" fillId="6" borderId="0" applyFont="0" applyBorder="0">
      <alignment horizontal="right"/>
      <protection locked="0"/>
    </xf>
    <xf numFmtId="183" fontId="25" fillId="6" borderId="0" applyFont="0" applyBorder="0">
      <alignment horizontal="right"/>
      <protection locked="0"/>
    </xf>
    <xf numFmtId="164" fontId="25" fillId="10" borderId="0" applyFont="0" applyBorder="0">
      <alignment horizontal="right"/>
      <protection locked="0"/>
    </xf>
    <xf numFmtId="164" fontId="25" fillId="10" borderId="0" applyFont="0" applyBorder="0">
      <alignment horizontal="right"/>
      <protection locked="0"/>
    </xf>
    <xf numFmtId="0" fontId="18" fillId="4" borderId="0"/>
    <xf numFmtId="0" fontId="53" fillId="0" borderId="16" applyNumberFormat="0" applyFill="0" applyAlignment="0" applyProtection="0"/>
    <xf numFmtId="184" fontId="54" fillId="0" borderId="0"/>
    <xf numFmtId="0" fontId="55" fillId="0" borderId="0" applyFill="0" applyBorder="0">
      <alignment horizontal="left" vertical="center"/>
    </xf>
    <xf numFmtId="0" fontId="56" fillId="15" borderId="0" applyNumberFormat="0" applyBorder="0" applyAlignment="0" applyProtection="0"/>
    <xf numFmtId="185" fontId="5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3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30" fillId="0" borderId="0"/>
    <xf numFmtId="0" fontId="25" fillId="3" borderId="0"/>
    <xf numFmtId="0" fontId="58" fillId="0" borderId="0"/>
    <xf numFmtId="0" fontId="25" fillId="0" borderId="0"/>
    <xf numFmtId="0" fontId="25" fillId="0" borderId="0"/>
    <xf numFmtId="0" fontId="25" fillId="13" borderId="17" applyNumberFormat="0" applyFont="0" applyAlignment="0" applyProtection="0"/>
    <xf numFmtId="0" fontId="59" fillId="14" borderId="18" applyNumberFormat="0" applyAlignment="0" applyProtection="0"/>
    <xf numFmtId="186" fontId="25" fillId="0" borderId="0" applyFill="0" applyBorder="0"/>
    <xf numFmtId="186" fontId="25" fillId="0" borderId="0" applyFill="0" applyBorder="0"/>
    <xf numFmtId="186" fontId="25" fillId="0" borderId="0" applyFill="0" applyBorder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2" fontId="60" fillId="0" borderId="0"/>
    <xf numFmtId="0" fontId="15" fillId="0" borderId="0" applyFill="0" applyBorder="0">
      <alignment vertical="center"/>
    </xf>
    <xf numFmtId="0" fontId="36" fillId="0" borderId="0" applyNumberFormat="0" applyFont="0" applyFill="0" applyBorder="0" applyAlignment="0" applyProtection="0">
      <alignment horizontal="left"/>
    </xf>
    <xf numFmtId="15" fontId="36" fillId="0" borderId="0" applyFont="0" applyFill="0" applyBorder="0" applyAlignment="0" applyProtection="0"/>
    <xf numFmtId="4" fontId="36" fillId="0" borderId="0" applyFont="0" applyFill="0" applyBorder="0" applyAlignment="0" applyProtection="0"/>
    <xf numFmtId="187" fontId="61" fillId="0" borderId="19"/>
    <xf numFmtId="0" fontId="62" fillId="0" borderId="20">
      <alignment horizontal="center"/>
    </xf>
    <xf numFmtId="3" fontId="36" fillId="0" borderId="0" applyFont="0" applyFill="0" applyBorder="0" applyAlignment="0" applyProtection="0"/>
    <xf numFmtId="0" fontId="36" fillId="37" borderId="0" applyNumberFormat="0" applyFont="0" applyBorder="0" applyAlignment="0" applyProtection="0"/>
    <xf numFmtId="188" fontId="25" fillId="0" borderId="0"/>
    <xf numFmtId="188" fontId="25" fillId="0" borderId="0"/>
    <xf numFmtId="188" fontId="25" fillId="0" borderId="0"/>
    <xf numFmtId="189" fontId="18" fillId="0" borderId="0" applyFill="0" applyBorder="0">
      <alignment horizontal="right" vertical="center"/>
    </xf>
    <xf numFmtId="190" fontId="18" fillId="0" borderId="0" applyFill="0" applyBorder="0">
      <alignment horizontal="right" vertical="center"/>
    </xf>
    <xf numFmtId="191" fontId="18" fillId="0" borderId="0" applyFill="0" applyBorder="0">
      <alignment horizontal="right" vertical="center"/>
    </xf>
    <xf numFmtId="0" fontId="25" fillId="13" borderId="0" applyNumberFormat="0" applyFont="0" applyBorder="0" applyAlignment="0" applyProtection="0"/>
    <xf numFmtId="0" fontId="25" fillId="13" borderId="0" applyNumberFormat="0" applyFont="0" applyBorder="0" applyAlignment="0" applyProtection="0"/>
    <xf numFmtId="0" fontId="25" fillId="14" borderId="0" applyNumberFormat="0" applyFont="0" applyBorder="0" applyAlignment="0" applyProtection="0"/>
    <xf numFmtId="0" fontId="25" fillId="14" borderId="0" applyNumberFormat="0" applyFont="0" applyBorder="0" applyAlignment="0" applyProtection="0"/>
    <xf numFmtId="0" fontId="25" fillId="16" borderId="0" applyNumberFormat="0" applyFont="0" applyBorder="0" applyAlignment="0" applyProtection="0"/>
    <xf numFmtId="0" fontId="25" fillId="16" borderId="0" applyNumberFormat="0" applyFont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16" borderId="0" applyNumberFormat="0" applyFont="0" applyBorder="0" applyAlignment="0" applyProtection="0"/>
    <xf numFmtId="0" fontId="25" fillId="16" borderId="0" applyNumberFormat="0" applyFont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Border="0" applyAlignment="0" applyProtection="0"/>
    <xf numFmtId="0" fontId="25" fillId="0" borderId="0" applyNumberFormat="0" applyFont="0" applyBorder="0" applyAlignment="0" applyProtection="0"/>
    <xf numFmtId="0" fontId="63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55" fillId="0" borderId="0"/>
    <xf numFmtId="0" fontId="64" fillId="0" borderId="0"/>
    <xf numFmtId="15" fontId="25" fillId="0" borderId="0"/>
    <xf numFmtId="15" fontId="25" fillId="0" borderId="0"/>
    <xf numFmtId="15" fontId="25" fillId="0" borderId="0"/>
    <xf numFmtId="10" fontId="25" fillId="0" borderId="0"/>
    <xf numFmtId="10" fontId="25" fillId="0" borderId="0"/>
    <xf numFmtId="10" fontId="25" fillId="0" borderId="0"/>
    <xf numFmtId="0" fontId="65" fillId="9" borderId="7" applyBorder="0" applyProtection="0">
      <alignment horizontal="centerContinuous" vertical="center"/>
    </xf>
    <xf numFmtId="0" fontId="66" fillId="0" borderId="0" applyBorder="0" applyProtection="0">
      <alignment vertical="center"/>
    </xf>
    <xf numFmtId="0" fontId="67" fillId="0" borderId="0">
      <alignment horizontal="left"/>
    </xf>
    <xf numFmtId="0" fontId="67" fillId="0" borderId="10" applyFill="0" applyBorder="0" applyProtection="0">
      <alignment horizontal="left" vertical="top"/>
    </xf>
    <xf numFmtId="49" fontId="25" fillId="0" borderId="0" applyFont="0" applyFill="0" applyBorder="0" applyAlignment="0" applyProtection="0"/>
    <xf numFmtId="0" fontId="68" fillId="0" borderId="0"/>
    <xf numFmtId="49" fontId="25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84" fontId="70" fillId="0" borderId="0"/>
    <xf numFmtId="0" fontId="63" fillId="0" borderId="0" applyNumberFormat="0" applyFill="0" applyBorder="0" applyAlignment="0" applyProtection="0"/>
    <xf numFmtId="0" fontId="71" fillId="0" borderId="0" applyFill="0" applyBorder="0">
      <alignment horizontal="left" vertical="center"/>
      <protection locked="0"/>
    </xf>
    <xf numFmtId="0" fontId="68" fillId="0" borderId="0"/>
    <xf numFmtId="0" fontId="72" fillId="0" borderId="0" applyFill="0" applyBorder="0">
      <alignment horizontal="left" vertical="center"/>
      <protection locked="0"/>
    </xf>
    <xf numFmtId="0" fontId="39" fillId="0" borderId="21" applyNumberFormat="0" applyFill="0" applyAlignment="0" applyProtection="0"/>
    <xf numFmtId="0" fontId="73" fillId="0" borderId="0" applyNumberFormat="0" applyFill="0" applyBorder="0" applyAlignment="0" applyProtection="0"/>
    <xf numFmtId="192" fontId="25" fillId="0" borderId="7" applyBorder="0" applyProtection="0">
      <alignment horizontal="right"/>
    </xf>
    <xf numFmtId="192" fontId="25" fillId="0" borderId="7" applyBorder="0" applyProtection="0">
      <alignment horizontal="right"/>
    </xf>
    <xf numFmtId="192" fontId="25" fillId="0" borderId="7" applyBorder="0" applyProtection="0">
      <alignment horizontal="right"/>
    </xf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9" fillId="42" borderId="0"/>
    <xf numFmtId="202" fontId="80" fillId="0" borderId="22">
      <alignment horizontal="center"/>
    </xf>
    <xf numFmtId="0" fontId="81" fillId="43" borderId="6">
      <alignment horizontal="center" vertical="center"/>
    </xf>
    <xf numFmtId="0" fontId="25" fillId="44" borderId="11"/>
    <xf numFmtId="0" fontId="82" fillId="0" borderId="0" applyFill="0" applyBorder="0"/>
    <xf numFmtId="0" fontId="83" fillId="0" borderId="0" applyNumberFormat="0" applyFill="0"/>
    <xf numFmtId="0" fontId="84" fillId="0" borderId="0" applyFill="0"/>
    <xf numFmtId="0" fontId="85" fillId="0" borderId="0" applyFill="0"/>
    <xf numFmtId="0" fontId="86" fillId="0" borderId="0" applyFill="0"/>
    <xf numFmtId="0" fontId="79" fillId="45" borderId="0"/>
    <xf numFmtId="0" fontId="25" fillId="38" borderId="23" applyNumberFormat="0" applyFont="0" applyAlignment="0"/>
    <xf numFmtId="0" fontId="87" fillId="7" borderId="24" applyNumberFormat="0"/>
    <xf numFmtId="0" fontId="88" fillId="46" borderId="0"/>
    <xf numFmtId="0" fontId="89" fillId="46" borderId="0" applyNumberFormat="0"/>
    <xf numFmtId="0" fontId="90" fillId="46" borderId="0"/>
    <xf numFmtId="0" fontId="91" fillId="47" borderId="6" applyNumberFormat="0">
      <alignment horizontal="center" vertical="center"/>
    </xf>
    <xf numFmtId="0" fontId="92" fillId="48" borderId="11" applyNumberFormat="0" applyAlignment="0">
      <alignment horizontal="right"/>
    </xf>
    <xf numFmtId="0" fontId="27" fillId="38" borderId="23" applyNumberFormat="0" applyAlignment="0"/>
    <xf numFmtId="0" fontId="80" fillId="0" borderId="0" applyNumberFormat="0" applyFill="0" applyBorder="0"/>
    <xf numFmtId="0" fontId="93" fillId="49" borderId="23" applyNumberFormat="0">
      <protection locked="0"/>
    </xf>
    <xf numFmtId="0" fontId="6" fillId="0" borderId="0"/>
    <xf numFmtId="0" fontId="95" fillId="50" borderId="27">
      <alignment vertical="center"/>
    </xf>
    <xf numFmtId="166" fontId="16" fillId="0" borderId="0" applyFont="0" applyFill="0" applyBorder="0" applyAlignment="0" applyProtection="0"/>
    <xf numFmtId="166" fontId="25" fillId="0" borderId="0" applyFont="0" applyFill="0" applyBorder="0" applyAlignment="0" applyProtection="0"/>
    <xf numFmtId="164" fontId="25" fillId="4" borderId="0" applyNumberFormat="0" applyFont="0" applyBorder="0" applyAlignment="0">
      <alignment horizontal="right"/>
    </xf>
    <xf numFmtId="164" fontId="25" fillId="4" borderId="0" applyNumberFormat="0" applyFont="0" applyBorder="0" applyAlignment="0">
      <alignment horizontal="right"/>
    </xf>
    <xf numFmtId="166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36" borderId="0" applyFont="0" applyBorder="0" applyAlignment="0">
      <alignment horizontal="right"/>
      <protection locked="0"/>
    </xf>
    <xf numFmtId="164" fontId="25" fillId="36" borderId="0" applyFont="0" applyBorder="0" applyAlignment="0">
      <alignment horizontal="right"/>
      <protection locked="0"/>
    </xf>
    <xf numFmtId="164" fontId="25" fillId="10" borderId="0" applyFont="0" applyBorder="0">
      <alignment horizontal="right"/>
      <protection locked="0"/>
    </xf>
    <xf numFmtId="164" fontId="25" fillId="10" borderId="0" applyFont="0" applyBorder="0">
      <alignment horizontal="right"/>
      <protection locked="0"/>
    </xf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6" fillId="0" borderId="0"/>
    <xf numFmtId="9" fontId="96" fillId="0" borderId="0" applyFont="0" applyFill="0" applyBorder="0" applyAlignment="0" applyProtection="0"/>
    <xf numFmtId="165" fontId="96" fillId="0" borderId="0" applyFont="0" applyFill="0" applyBorder="0" applyAlignment="0" applyProtection="0"/>
    <xf numFmtId="0" fontId="5" fillId="0" borderId="0"/>
    <xf numFmtId="166" fontId="96" fillId="0" borderId="0" applyFont="0" applyFill="0" applyBorder="0" applyAlignment="0" applyProtection="0"/>
    <xf numFmtId="0" fontId="96" fillId="0" borderId="0"/>
    <xf numFmtId="207" fontId="25" fillId="0" borderId="0" applyFill="0" applyBorder="0">
      <alignment vertical="center"/>
    </xf>
    <xf numFmtId="0" fontId="4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8" fillId="0" borderId="39" applyNumberFormat="0" applyFill="0" applyAlignment="0" applyProtection="0"/>
    <xf numFmtId="0" fontId="112" fillId="0" borderId="40" applyNumberFormat="0" applyFill="0" applyAlignment="0" applyProtection="0"/>
    <xf numFmtId="0" fontId="1" fillId="0" borderId="0"/>
    <xf numFmtId="0" fontId="11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411">
    <xf numFmtId="0" fontId="0" fillId="0" borderId="0" xfId="0"/>
    <xf numFmtId="0" fontId="8" fillId="2" borderId="0" xfId="0" applyFont="1" applyFill="1"/>
    <xf numFmtId="0" fontId="8" fillId="2" borderId="0" xfId="0" applyFont="1" applyFill="1" applyAlignment="1">
      <alignment horizontal="right"/>
    </xf>
    <xf numFmtId="0" fontId="9" fillId="2" borderId="0" xfId="0" applyFont="1" applyFill="1" applyAlignment="1">
      <alignment horizontal="center"/>
    </xf>
    <xf numFmtId="0" fontId="9" fillId="2" borderId="0" xfId="0" applyFont="1" applyFill="1"/>
    <xf numFmtId="0" fontId="8" fillId="2" borderId="1" xfId="0" applyFont="1" applyFill="1" applyBorder="1"/>
    <xf numFmtId="168" fontId="9" fillId="3" borderId="0" xfId="0" applyNumberFormat="1" applyFont="1" applyFill="1"/>
    <xf numFmtId="168" fontId="10" fillId="0" borderId="0" xfId="0" applyNumberFormat="1" applyFont="1"/>
    <xf numFmtId="168" fontId="9" fillId="0" borderId="0" xfId="0" applyNumberFormat="1" applyFont="1"/>
    <xf numFmtId="168" fontId="11" fillId="0" borderId="0" xfId="0" applyNumberFormat="1" applyFont="1"/>
    <xf numFmtId="168" fontId="12" fillId="0" borderId="0" xfId="0" applyNumberFormat="1" applyFont="1"/>
    <xf numFmtId="0" fontId="9" fillId="5" borderId="0" xfId="0" applyFont="1" applyFill="1"/>
    <xf numFmtId="0" fontId="9" fillId="6" borderId="0" xfId="0" applyFont="1" applyFill="1"/>
    <xf numFmtId="168" fontId="15" fillId="0" borderId="0" xfId="0" applyNumberFormat="1" applyFont="1"/>
    <xf numFmtId="168" fontId="11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left" indent="1"/>
    </xf>
    <xf numFmtId="168" fontId="10" fillId="0" borderId="0" xfId="0" applyNumberFormat="1" applyFont="1" applyAlignment="1">
      <alignment horizontal="center"/>
    </xf>
    <xf numFmtId="168" fontId="0" fillId="0" borderId="0" xfId="0" applyNumberFormat="1"/>
    <xf numFmtId="166" fontId="15" fillId="0" borderId="6" xfId="0" applyNumberFormat="1" applyFont="1" applyBorder="1" applyAlignment="1">
      <alignment horizontal="center"/>
    </xf>
    <xf numFmtId="168" fontId="10" fillId="3" borderId="0" xfId="0" applyNumberFormat="1" applyFont="1" applyFill="1"/>
    <xf numFmtId="168" fontId="21" fillId="0" borderId="0" xfId="0" applyNumberFormat="1" applyFont="1" applyAlignment="1">
      <alignment horizontal="center"/>
    </xf>
    <xf numFmtId="168" fontId="10" fillId="3" borderId="0" xfId="0" applyNumberFormat="1" applyFont="1" applyFill="1" applyAlignment="1">
      <alignment horizontal="center"/>
    </xf>
    <xf numFmtId="174" fontId="15" fillId="0" borderId="0" xfId="5" applyNumberFormat="1" applyFont="1" applyBorder="1" applyAlignment="1" applyProtection="1">
      <alignment horizontal="center" vertical="center"/>
    </xf>
    <xf numFmtId="175" fontId="9" fillId="0" borderId="0" xfId="0" applyNumberFormat="1" applyFont="1"/>
    <xf numFmtId="168" fontId="20" fillId="0" borderId="0" xfId="3" applyNumberFormat="1" applyFont="1" applyAlignment="1" applyProtection="1">
      <alignment horizontal="center"/>
    </xf>
    <xf numFmtId="0" fontId="74" fillId="38" borderId="0" xfId="0" applyFont="1" applyFill="1" applyAlignment="1">
      <alignment horizontal="left" vertical="center"/>
    </xf>
    <xf numFmtId="0" fontId="74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6" fillId="38" borderId="0" xfId="0" applyNumberFormat="1" applyFont="1" applyFill="1" applyAlignment="1">
      <alignment horizontal="center"/>
    </xf>
    <xf numFmtId="0" fontId="76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7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7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6" fillId="39" borderId="4" xfId="0" applyFont="1" applyFill="1" applyBorder="1"/>
    <xf numFmtId="169" fontId="9" fillId="41" borderId="3" xfId="0" applyNumberFormat="1" applyFont="1" applyFill="1" applyBorder="1" applyAlignment="1" applyProtection="1">
      <alignment horizontal="center"/>
      <protection locked="0"/>
    </xf>
    <xf numFmtId="0" fontId="78" fillId="39" borderId="4" xfId="0" applyFont="1" applyFill="1" applyBorder="1"/>
    <xf numFmtId="0" fontId="76" fillId="38" borderId="0" xfId="0" applyFont="1" applyFill="1" applyAlignment="1">
      <alignment horizontal="left"/>
    </xf>
    <xf numFmtId="0" fontId="76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9" fillId="40" borderId="0" xfId="0" applyFont="1" applyFill="1" applyAlignment="1">
      <alignment horizontal="center"/>
    </xf>
    <xf numFmtId="168" fontId="21" fillId="0" borderId="0" xfId="0" applyNumberFormat="1" applyFont="1" applyAlignment="1">
      <alignment horizontal="center" wrapText="1"/>
    </xf>
    <xf numFmtId="193" fontId="9" fillId="41" borderId="3" xfId="0" applyNumberFormat="1" applyFont="1" applyFill="1" applyBorder="1" applyAlignment="1" applyProtection="1">
      <alignment horizontal="center"/>
      <protection locked="0"/>
    </xf>
    <xf numFmtId="197" fontId="9" fillId="0" borderId="0" xfId="0" applyNumberFormat="1" applyFont="1" applyAlignment="1">
      <alignment horizontal="left"/>
    </xf>
    <xf numFmtId="168" fontId="10" fillId="0" borderId="0" xfId="0" applyNumberFormat="1" applyFont="1" applyAlignment="1">
      <alignment horizontal="center" wrapText="1"/>
    </xf>
    <xf numFmtId="168" fontId="22" fillId="40" borderId="9" xfId="0" applyNumberFormat="1" applyFont="1" applyFill="1" applyBorder="1" applyAlignment="1" applyProtection="1">
      <alignment horizontal="center"/>
      <protection locked="0"/>
    </xf>
    <xf numFmtId="0" fontId="76" fillId="38" borderId="1" xfId="0" applyFont="1" applyFill="1" applyBorder="1" applyAlignment="1">
      <alignment horizontal="left" indent="9"/>
    </xf>
    <xf numFmtId="0" fontId="26" fillId="38" borderId="2" xfId="0" applyFont="1" applyFill="1" applyBorder="1"/>
    <xf numFmtId="0" fontId="77" fillId="38" borderId="2" xfId="0" applyFont="1" applyFill="1" applyBorder="1"/>
    <xf numFmtId="0" fontId="77" fillId="39" borderId="4" xfId="0" applyFont="1" applyFill="1" applyBorder="1"/>
    <xf numFmtId="0" fontId="77" fillId="39" borderId="4" xfId="0" applyFont="1" applyFill="1" applyBorder="1" applyAlignment="1">
      <alignment horizontal="center"/>
    </xf>
    <xf numFmtId="0" fontId="22" fillId="39" borderId="4" xfId="0" applyFont="1" applyFill="1" applyBorder="1" applyAlignment="1">
      <alignment horizontal="center" vertical="center"/>
    </xf>
    <xf numFmtId="0" fontId="22" fillId="39" borderId="4" xfId="0" applyFont="1" applyFill="1" applyBorder="1" applyAlignment="1">
      <alignment vertical="center"/>
    </xf>
    <xf numFmtId="0" fontId="77" fillId="39" borderId="4" xfId="0" applyFont="1" applyFill="1" applyBorder="1" applyAlignment="1">
      <alignment wrapText="1"/>
    </xf>
    <xf numFmtId="165" fontId="22" fillId="39" borderId="4" xfId="0" applyNumberFormat="1" applyFont="1" applyFill="1" applyBorder="1" applyAlignment="1">
      <alignment horizontal="center" wrapText="1"/>
    </xf>
    <xf numFmtId="0" fontId="77" fillId="3" borderId="0" xfId="0" applyFont="1" applyFill="1" applyAlignment="1">
      <alignment wrapText="1"/>
    </xf>
    <xf numFmtId="0" fontId="77" fillId="3" borderId="0" xfId="0" applyFont="1" applyFill="1"/>
    <xf numFmtId="0" fontId="77" fillId="0" borderId="0" xfId="0" applyFont="1"/>
    <xf numFmtId="168" fontId="9" fillId="0" borderId="0" xfId="0" applyNumberFormat="1" applyFont="1" applyAlignment="1">
      <alignment horizontal="center"/>
    </xf>
    <xf numFmtId="168" fontId="20" fillId="0" borderId="0" xfId="3" applyNumberFormat="1" applyFont="1" applyFill="1" applyAlignment="1" applyProtection="1">
      <alignment horizontal="center"/>
    </xf>
    <xf numFmtId="198" fontId="9" fillId="0" borderId="0" xfId="0" applyNumberFormat="1" applyFont="1" applyAlignment="1">
      <alignment horizontal="center"/>
    </xf>
    <xf numFmtId="168" fontId="10" fillId="0" borderId="7" xfId="0" applyNumberFormat="1" applyFont="1" applyBorder="1" applyAlignment="1">
      <alignment horizontal="center"/>
    </xf>
    <xf numFmtId="168" fontId="11" fillId="0" borderId="8" xfId="0" applyNumberFormat="1" applyFont="1" applyBorder="1" applyAlignment="1">
      <alignment horizontal="left" indent="1"/>
    </xf>
    <xf numFmtId="168" fontId="10" fillId="0" borderId="8" xfId="0" applyNumberFormat="1" applyFont="1" applyBorder="1" applyAlignment="1">
      <alignment horizontal="center"/>
    </xf>
    <xf numFmtId="198" fontId="11" fillId="0" borderId="0" xfId="0" applyNumberFormat="1" applyFont="1" applyAlignment="1">
      <alignment horizontal="center"/>
    </xf>
    <xf numFmtId="168" fontId="10" fillId="0" borderId="0" xfId="0" applyNumberFormat="1" applyFont="1" applyAlignment="1">
      <alignment horizontal="left"/>
    </xf>
    <xf numFmtId="10" fontId="9" fillId="0" borderId="0" xfId="2" applyNumberFormat="1" applyFont="1" applyAlignment="1" applyProtection="1">
      <alignment horizontal="center"/>
    </xf>
    <xf numFmtId="168" fontId="11" fillId="0" borderId="8" xfId="0" applyNumberFormat="1" applyFont="1" applyBorder="1"/>
    <xf numFmtId="176" fontId="9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left" indent="2"/>
    </xf>
    <xf numFmtId="168" fontId="21" fillId="0" borderId="8" xfId="0" applyNumberFormat="1" applyFont="1" applyBorder="1" applyAlignment="1">
      <alignment horizontal="center"/>
    </xf>
    <xf numFmtId="168" fontId="11" fillId="0" borderId="0" xfId="0" applyNumberFormat="1" applyFont="1" applyAlignment="1">
      <alignment horizontal="left" indent="1"/>
    </xf>
    <xf numFmtId="195" fontId="11" fillId="0" borderId="0" xfId="0" applyNumberFormat="1" applyFont="1" applyAlignment="1">
      <alignment horizontal="center"/>
    </xf>
    <xf numFmtId="201" fontId="9" fillId="0" borderId="0" xfId="0" applyNumberFormat="1" applyFont="1" applyAlignment="1">
      <alignment horizontal="center"/>
    </xf>
    <xf numFmtId="201" fontId="11" fillId="0" borderId="0" xfId="0" applyNumberFormat="1" applyFont="1" applyAlignment="1">
      <alignment horizontal="center"/>
    </xf>
    <xf numFmtId="166" fontId="15" fillId="0" borderId="3" xfId="0" applyNumberFormat="1" applyFont="1" applyBorder="1" applyAlignment="1">
      <alignment horizontal="center"/>
    </xf>
    <xf numFmtId="166" fontId="15" fillId="0" borderId="0" xfId="0" applyNumberFormat="1" applyFont="1" applyAlignment="1">
      <alignment horizontal="center"/>
    </xf>
    <xf numFmtId="0" fontId="13" fillId="38" borderId="2" xfId="0" applyFont="1" applyFill="1" applyBorder="1"/>
    <xf numFmtId="0" fontId="14" fillId="38" borderId="2" xfId="0" applyFont="1" applyFill="1" applyBorder="1" applyAlignment="1">
      <alignment horizontal="center"/>
    </xf>
    <xf numFmtId="0" fontId="14" fillId="38" borderId="2" xfId="0" applyFont="1" applyFill="1" applyBorder="1"/>
    <xf numFmtId="168" fontId="11" fillId="0" borderId="7" xfId="0" applyNumberFormat="1" applyFont="1" applyBorder="1"/>
    <xf numFmtId="168" fontId="9" fillId="0" borderId="7" xfId="0" applyNumberFormat="1" applyFont="1" applyBorder="1"/>
    <xf numFmtId="10" fontId="9" fillId="0" borderId="0" xfId="2" applyNumberFormat="1" applyFont="1" applyBorder="1" applyAlignment="1" applyProtection="1">
      <alignment horizontal="center"/>
    </xf>
    <xf numFmtId="176" fontId="9" fillId="0" borderId="0" xfId="0" applyNumberFormat="1" applyFont="1"/>
    <xf numFmtId="200" fontId="11" fillId="0" borderId="0" xfId="0" applyNumberFormat="1" applyFont="1" applyAlignment="1">
      <alignment horizontal="center"/>
    </xf>
    <xf numFmtId="168" fontId="9" fillId="0" borderId="0" xfId="0" applyNumberFormat="1" applyFont="1" applyProtection="1">
      <protection locked="0"/>
    </xf>
    <xf numFmtId="203" fontId="9" fillId="41" borderId="3" xfId="0" applyNumberFormat="1" applyFont="1" applyFill="1" applyBorder="1" applyAlignment="1" applyProtection="1">
      <alignment horizontal="center"/>
      <protection locked="0"/>
    </xf>
    <xf numFmtId="1" fontId="9" fillId="41" borderId="3" xfId="0" applyNumberFormat="1" applyFont="1" applyFill="1" applyBorder="1" applyAlignment="1" applyProtection="1">
      <alignment horizontal="center"/>
      <protection locked="0"/>
    </xf>
    <xf numFmtId="204" fontId="77" fillId="39" borderId="4" xfId="0" applyNumberFormat="1" applyFont="1" applyFill="1" applyBorder="1" applyAlignment="1">
      <alignment horizontal="center" wrapText="1"/>
    </xf>
    <xf numFmtId="204" fontId="94" fillId="38" borderId="2" xfId="0" applyNumberFormat="1" applyFont="1" applyFill="1" applyBorder="1" applyAlignment="1">
      <alignment horizontal="center"/>
    </xf>
    <xf numFmtId="204" fontId="77" fillId="38" borderId="2" xfId="0" applyNumberFormat="1" applyFont="1" applyFill="1" applyBorder="1" applyAlignment="1">
      <alignment horizontal="left"/>
    </xf>
    <xf numFmtId="204" fontId="9" fillId="0" borderId="0" xfId="0" applyNumberFormat="1" applyFont="1" applyAlignment="1">
      <alignment horizontal="left" indent="1"/>
    </xf>
    <xf numFmtId="204" fontId="10" fillId="0" borderId="0" xfId="0" applyNumberFormat="1" applyFont="1" applyAlignment="1">
      <alignment horizontal="center"/>
    </xf>
    <xf numFmtId="204" fontId="11" fillId="0" borderId="0" xfId="0" applyNumberFormat="1" applyFont="1" applyAlignment="1">
      <alignment horizontal="center"/>
    </xf>
    <xf numFmtId="0" fontId="77" fillId="38" borderId="25" xfId="0" applyFont="1" applyFill="1" applyBorder="1"/>
    <xf numFmtId="204" fontId="21" fillId="0" borderId="0" xfId="0" applyNumberFormat="1" applyFont="1" applyAlignment="1">
      <alignment horizontal="center"/>
    </xf>
    <xf numFmtId="168" fontId="11" fillId="0" borderId="7" xfId="0" applyNumberFormat="1" applyFont="1" applyBorder="1" applyAlignment="1">
      <alignment horizontal="left" indent="1"/>
    </xf>
    <xf numFmtId="204" fontId="10" fillId="0" borderId="7" xfId="0" applyNumberFormat="1" applyFont="1" applyBorder="1" applyAlignment="1">
      <alignment horizontal="center"/>
    </xf>
    <xf numFmtId="205" fontId="9" fillId="0" borderId="0" xfId="2" applyNumberFormat="1" applyFont="1" applyFill="1" applyBorder="1" applyAlignment="1" applyProtection="1">
      <alignment horizontal="center"/>
    </xf>
    <xf numFmtId="0" fontId="77" fillId="38" borderId="2" xfId="0" applyFont="1" applyFill="1" applyBorder="1" applyAlignment="1">
      <alignment horizontal="center"/>
    </xf>
    <xf numFmtId="0" fontId="9" fillId="0" borderId="3" xfId="0" applyFont="1" applyBorder="1" applyAlignment="1" applyProtection="1">
      <alignment horizontal="center"/>
      <protection locked="0"/>
    </xf>
    <xf numFmtId="204" fontId="9" fillId="0" borderId="3" xfId="0" applyNumberFormat="1" applyFont="1" applyBorder="1" applyAlignment="1" applyProtection="1">
      <alignment horizontal="center"/>
      <protection locked="0"/>
    </xf>
    <xf numFmtId="195" fontId="9" fillId="0" borderId="0" xfId="0" applyNumberFormat="1" applyFont="1" applyProtection="1">
      <protection locked="0"/>
    </xf>
    <xf numFmtId="195" fontId="11" fillId="0" borderId="0" xfId="0" applyNumberFormat="1" applyFont="1" applyProtection="1">
      <protection locked="0"/>
    </xf>
    <xf numFmtId="182" fontId="9" fillId="0" borderId="0" xfId="2" applyNumberFormat="1" applyFont="1" applyFill="1" applyBorder="1" applyAlignment="1" applyProtection="1">
      <alignment horizontal="center"/>
      <protection locked="0"/>
    </xf>
    <xf numFmtId="204" fontId="22" fillId="8" borderId="9" xfId="0" applyNumberFormat="1" applyFont="1" applyFill="1" applyBorder="1" applyAlignment="1" applyProtection="1">
      <alignment horizontal="center"/>
      <protection locked="0"/>
    </xf>
    <xf numFmtId="206" fontId="9" fillId="0" borderId="0" xfId="0" applyNumberFormat="1" applyFont="1" applyProtection="1">
      <protection locked="0"/>
    </xf>
    <xf numFmtId="1" fontId="9" fillId="0" borderId="0" xfId="0" applyNumberFormat="1" applyFont="1" applyAlignment="1" applyProtection="1">
      <alignment horizontal="center"/>
      <protection locked="0"/>
    </xf>
    <xf numFmtId="204" fontId="9" fillId="0" borderId="0" xfId="0" applyNumberFormat="1" applyFont="1" applyAlignment="1" applyProtection="1">
      <alignment horizontal="center"/>
      <protection locked="0"/>
    </xf>
    <xf numFmtId="195" fontId="23" fillId="0" borderId="0" xfId="0" applyNumberFormat="1" applyFont="1" applyProtection="1">
      <protection locked="0"/>
    </xf>
    <xf numFmtId="195" fontId="17" fillId="0" borderId="0" xfId="3" applyNumberFormat="1" applyProtection="1">
      <protection locked="0"/>
    </xf>
    <xf numFmtId="193" fontId="9" fillId="0" borderId="0" xfId="0" applyNumberFormat="1" applyFont="1" applyAlignment="1" applyProtection="1">
      <alignment horizontal="center"/>
      <protection locked="0"/>
    </xf>
    <xf numFmtId="0" fontId="81" fillId="39" borderId="4" xfId="0" applyFont="1" applyFill="1" applyBorder="1" applyAlignment="1">
      <alignment vertical="center"/>
    </xf>
    <xf numFmtId="165" fontId="81" fillId="39" borderId="4" xfId="0" applyNumberFormat="1" applyFont="1" applyFill="1" applyBorder="1" applyAlignment="1">
      <alignment horizontal="center" wrapText="1"/>
    </xf>
    <xf numFmtId="168" fontId="78" fillId="0" borderId="0" xfId="0" applyNumberFormat="1" applyFont="1" applyAlignment="1">
      <alignment horizontal="center"/>
    </xf>
    <xf numFmtId="168" fontId="77" fillId="0" borderId="0" xfId="0" applyNumberFormat="1" applyFont="1" applyAlignment="1">
      <alignment horizontal="center"/>
    </xf>
    <xf numFmtId="168" fontId="26" fillId="0" borderId="0" xfId="0" applyNumberFormat="1" applyFont="1"/>
    <xf numFmtId="204" fontId="26" fillId="0" borderId="7" xfId="0" applyNumberFormat="1" applyFont="1" applyBorder="1" applyAlignment="1">
      <alignment horizontal="center"/>
    </xf>
    <xf numFmtId="168" fontId="26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6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6" fillId="0" borderId="4" xfId="0" applyNumberFormat="1" applyFont="1" applyBorder="1" applyAlignment="1">
      <alignment horizontal="left"/>
    </xf>
    <xf numFmtId="168" fontId="78" fillId="0" borderId="4" xfId="0" applyNumberFormat="1" applyFont="1" applyBorder="1" applyAlignment="1">
      <alignment horizontal="center"/>
    </xf>
    <xf numFmtId="204" fontId="78" fillId="0" borderId="4" xfId="0" applyNumberFormat="1" applyFont="1" applyBorder="1" applyAlignment="1">
      <alignment horizontal="center"/>
    </xf>
    <xf numFmtId="199" fontId="26" fillId="0" borderId="4" xfId="5" applyNumberFormat="1" applyFont="1" applyBorder="1" applyAlignment="1" applyProtection="1">
      <alignment horizontal="center" vertical="center"/>
    </xf>
    <xf numFmtId="204" fontId="78" fillId="0" borderId="0" xfId="0" applyNumberFormat="1" applyFont="1" applyAlignment="1">
      <alignment horizontal="center"/>
    </xf>
    <xf numFmtId="49" fontId="78" fillId="0" borderId="4" xfId="0" applyNumberFormat="1" applyFont="1" applyBorder="1" applyAlignment="1">
      <alignment horizontal="center"/>
    </xf>
    <xf numFmtId="166" fontId="0" fillId="0" borderId="0" xfId="0" applyNumberFormat="1"/>
    <xf numFmtId="2" fontId="26" fillId="0" borderId="4" xfId="5" applyNumberFormat="1" applyFont="1" applyBorder="1" applyAlignment="1" applyProtection="1">
      <alignment horizontal="center" vertical="center"/>
    </xf>
    <xf numFmtId="204" fontId="26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7" fillId="39" borderId="4" xfId="0" applyFont="1" applyFill="1" applyBorder="1" applyAlignment="1">
      <alignment horizontal="center" vertical="center"/>
    </xf>
    <xf numFmtId="0" fontId="77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8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6" fillId="0" borderId="0" xfId="0" applyNumberFormat="1" applyFont="1" applyAlignment="1">
      <alignment horizontal="center"/>
    </xf>
    <xf numFmtId="168" fontId="78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8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6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6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7" fillId="0" borderId="0" xfId="0" applyNumberFormat="1" applyFont="1" applyAlignment="1">
      <alignment horizontal="center"/>
    </xf>
    <xf numFmtId="174" fontId="26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7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7" fillId="0" borderId="0" xfId="3" applyFill="1"/>
    <xf numFmtId="168" fontId="17" fillId="0" borderId="0" xfId="3" applyNumberFormat="1" applyAlignment="1" applyProtection="1">
      <protection locked="0"/>
    </xf>
    <xf numFmtId="0" fontId="75" fillId="38" borderId="0" xfId="0" applyFont="1" applyFill="1" applyProtection="1">
      <protection locked="0"/>
    </xf>
    <xf numFmtId="0" fontId="17" fillId="38" borderId="0" xfId="3" applyFill="1" applyBorder="1" applyAlignment="1" applyProtection="1">
      <alignment horizontal="right"/>
      <protection locked="0"/>
    </xf>
    <xf numFmtId="168" fontId="17" fillId="0" borderId="0" xfId="3" applyNumberFormat="1" applyAlignment="1" applyProtection="1">
      <alignment horizontal="center"/>
      <protection locked="0"/>
    </xf>
    <xf numFmtId="0" fontId="17" fillId="0" borderId="0" xfId="3" applyFill="1" applyProtection="1">
      <protection locked="0"/>
    </xf>
    <xf numFmtId="194" fontId="26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0" fontId="9" fillId="0" borderId="0" xfId="0" applyNumberFormat="1" applyFont="1" applyAlignment="1">
      <alignment horizontal="center"/>
    </xf>
    <xf numFmtId="193" fontId="9" fillId="52" borderId="3" xfId="0" applyNumberFormat="1" applyFont="1" applyFill="1" applyBorder="1" applyAlignment="1" applyProtection="1">
      <alignment horizontal="center"/>
      <protection locked="0"/>
    </xf>
    <xf numFmtId="174" fontId="26" fillId="0" borderId="0" xfId="5" applyNumberFormat="1" applyFont="1" applyBorder="1" applyAlignment="1" applyProtection="1">
      <alignment horizontal="left" vertical="center"/>
    </xf>
    <xf numFmtId="0" fontId="0" fillId="0" borderId="0" xfId="0" applyProtection="1">
      <protection locked="0"/>
    </xf>
    <xf numFmtId="0" fontId="0" fillId="0" borderId="0" xfId="3" applyFont="1" applyFill="1" applyProtection="1">
      <protection locked="0"/>
    </xf>
    <xf numFmtId="204" fontId="9" fillId="41" borderId="3" xfId="2" applyNumberFormat="1" applyFont="1" applyFill="1" applyBorder="1" applyAlignment="1" applyProtection="1">
      <alignment horizontal="center"/>
      <protection locked="0"/>
    </xf>
    <xf numFmtId="195" fontId="0" fillId="0" borderId="0" xfId="0" applyNumberFormat="1"/>
    <xf numFmtId="193" fontId="0" fillId="0" borderId="0" xfId="0" applyNumberFormat="1" applyAlignment="1" applyProtection="1">
      <alignment horizontal="center"/>
      <protection locked="0"/>
    </xf>
    <xf numFmtId="211" fontId="26" fillId="0" borderId="4" xfId="5" applyNumberFormat="1" applyFont="1" applyBorder="1" applyAlignment="1" applyProtection="1">
      <alignment horizontal="center" vertical="center"/>
    </xf>
    <xf numFmtId="0" fontId="3" fillId="0" borderId="0" xfId="306"/>
    <xf numFmtId="0" fontId="98" fillId="0" borderId="0" xfId="306" applyFont="1"/>
    <xf numFmtId="0" fontId="98" fillId="0" borderId="0" xfId="306" applyFont="1" applyAlignment="1">
      <alignment horizontal="right"/>
    </xf>
    <xf numFmtId="0" fontId="15" fillId="0" borderId="0" xfId="306" applyFont="1" applyAlignment="1">
      <alignment horizontal="right"/>
    </xf>
    <xf numFmtId="10" fontId="11" fillId="0" borderId="0" xfId="2" applyNumberFormat="1" applyFont="1" applyAlignment="1" applyProtection="1">
      <alignment horizontal="center"/>
    </xf>
    <xf numFmtId="212" fontId="11" fillId="0" borderId="0" xfId="0" applyNumberFormat="1" applyFont="1" applyAlignment="1">
      <alignment horizontal="center"/>
    </xf>
    <xf numFmtId="0" fontId="99" fillId="0" borderId="0" xfId="306" applyFont="1" applyAlignment="1">
      <alignment horizontal="right"/>
    </xf>
    <xf numFmtId="166" fontId="3" fillId="0" borderId="0" xfId="306" applyNumberFormat="1"/>
    <xf numFmtId="2" fontId="3" fillId="0" borderId="0" xfId="306" applyNumberFormat="1"/>
    <xf numFmtId="43" fontId="98" fillId="0" borderId="0" xfId="306" applyNumberFormat="1" applyFont="1" applyAlignment="1">
      <alignment horizontal="right"/>
    </xf>
    <xf numFmtId="0" fontId="18" fillId="0" borderId="0" xfId="306" applyFont="1"/>
    <xf numFmtId="166" fontId="3" fillId="0" borderId="0" xfId="6" applyFont="1"/>
    <xf numFmtId="43" fontId="3" fillId="0" borderId="0" xfId="306" applyNumberFormat="1"/>
    <xf numFmtId="0" fontId="100" fillId="0" borderId="0" xfId="306" applyFont="1"/>
    <xf numFmtId="0" fontId="100" fillId="0" borderId="0" xfId="307" applyFont="1"/>
    <xf numFmtId="0" fontId="100" fillId="0" borderId="0" xfId="307" applyFont="1" applyAlignment="1">
      <alignment horizontal="center"/>
    </xf>
    <xf numFmtId="0" fontId="99" fillId="0" borderId="0" xfId="307" applyFont="1" applyAlignment="1">
      <alignment horizontal="left"/>
    </xf>
    <xf numFmtId="9" fontId="101" fillId="53" borderId="0" xfId="307" applyNumberFormat="1" applyFont="1" applyFill="1" applyAlignment="1">
      <alignment horizontal="center"/>
    </xf>
    <xf numFmtId="0" fontId="102" fillId="54" borderId="29" xfId="307" applyFont="1" applyFill="1" applyBorder="1" applyAlignment="1">
      <alignment wrapText="1"/>
    </xf>
    <xf numFmtId="0" fontId="102" fillId="54" borderId="8" xfId="307" applyFont="1" applyFill="1" applyBorder="1" applyAlignment="1">
      <alignment wrapText="1"/>
    </xf>
    <xf numFmtId="0" fontId="102" fillId="54" borderId="29" xfId="307" applyFont="1" applyFill="1" applyBorder="1" applyAlignment="1">
      <alignment horizontal="center" wrapText="1"/>
    </xf>
    <xf numFmtId="0" fontId="102" fillId="54" borderId="8" xfId="307" applyFont="1" applyFill="1" applyBorder="1" applyAlignment="1">
      <alignment horizontal="center" wrapText="1"/>
    </xf>
    <xf numFmtId="0" fontId="102" fillId="54" borderId="30" xfId="307" applyFont="1" applyFill="1" applyBorder="1" applyAlignment="1">
      <alignment horizontal="center" wrapText="1"/>
    </xf>
    <xf numFmtId="0" fontId="102" fillId="55" borderId="31" xfId="307" applyFont="1" applyFill="1" applyBorder="1" applyAlignment="1">
      <alignment horizontal="center" wrapText="1"/>
    </xf>
    <xf numFmtId="0" fontId="102" fillId="55" borderId="8" xfId="307" applyFont="1" applyFill="1" applyBorder="1" applyAlignment="1">
      <alignment horizontal="center" wrapText="1"/>
    </xf>
    <xf numFmtId="0" fontId="102" fillId="55" borderId="30" xfId="307" applyFont="1" applyFill="1" applyBorder="1" applyAlignment="1">
      <alignment horizontal="center" wrapText="1"/>
    </xf>
    <xf numFmtId="0" fontId="102" fillId="55" borderId="29" xfId="307" applyFont="1" applyFill="1" applyBorder="1" applyAlignment="1">
      <alignment horizontal="center" wrapText="1"/>
    </xf>
    <xf numFmtId="0" fontId="102" fillId="56" borderId="29" xfId="307" applyFont="1" applyFill="1" applyBorder="1" applyAlignment="1">
      <alignment horizontal="center" wrapText="1"/>
    </xf>
    <xf numFmtId="0" fontId="102" fillId="56" borderId="8" xfId="307" applyFont="1" applyFill="1" applyBorder="1" applyAlignment="1">
      <alignment horizontal="center" wrapText="1"/>
    </xf>
    <xf numFmtId="0" fontId="102" fillId="56" borderId="30" xfId="307" applyFont="1" applyFill="1" applyBorder="1" applyAlignment="1">
      <alignment horizontal="center" wrapText="1"/>
    </xf>
    <xf numFmtId="213" fontId="100" fillId="57" borderId="10" xfId="307" applyNumberFormat="1" applyFont="1" applyFill="1" applyBorder="1" applyAlignment="1">
      <alignment horizontal="center"/>
    </xf>
    <xf numFmtId="213" fontId="100" fillId="57" borderId="0" xfId="307" applyNumberFormat="1" applyFont="1" applyFill="1" applyAlignment="1">
      <alignment horizontal="center"/>
    </xf>
    <xf numFmtId="213" fontId="100" fillId="57" borderId="32" xfId="307" applyNumberFormat="1" applyFont="1" applyFill="1" applyBorder="1" applyAlignment="1">
      <alignment horizontal="center"/>
    </xf>
    <xf numFmtId="213" fontId="100" fillId="57" borderId="19" xfId="307" applyNumberFormat="1" applyFont="1" applyFill="1" applyBorder="1" applyAlignment="1">
      <alignment horizontal="center"/>
    </xf>
    <xf numFmtId="3" fontId="100" fillId="57" borderId="0" xfId="307" applyNumberFormat="1" applyFont="1" applyFill="1" applyAlignment="1">
      <alignment horizontal="center"/>
    </xf>
    <xf numFmtId="3" fontId="100" fillId="57" borderId="32" xfId="307" applyNumberFormat="1" applyFont="1" applyFill="1" applyBorder="1" applyAlignment="1">
      <alignment horizontal="center"/>
    </xf>
    <xf numFmtId="3" fontId="100" fillId="57" borderId="10" xfId="307" applyNumberFormat="1" applyFont="1" applyFill="1" applyBorder="1" applyAlignment="1">
      <alignment horizontal="center"/>
    </xf>
    <xf numFmtId="213" fontId="100" fillId="53" borderId="10" xfId="307" applyNumberFormat="1" applyFont="1" applyFill="1" applyBorder="1" applyAlignment="1">
      <alignment horizontal="center"/>
    </xf>
    <xf numFmtId="213" fontId="100" fillId="53" borderId="0" xfId="307" applyNumberFormat="1" applyFont="1" applyFill="1" applyAlignment="1">
      <alignment horizontal="center"/>
    </xf>
    <xf numFmtId="213" fontId="100" fillId="0" borderId="0" xfId="307" applyNumberFormat="1" applyFont="1" applyAlignment="1">
      <alignment horizontal="center"/>
    </xf>
    <xf numFmtId="213" fontId="100" fillId="0" borderId="32" xfId="307" applyNumberFormat="1" applyFont="1" applyBorder="1" applyAlignment="1">
      <alignment horizontal="center"/>
    </xf>
    <xf numFmtId="3" fontId="100" fillId="49" borderId="0" xfId="307" applyNumberFormat="1" applyFont="1" applyFill="1" applyAlignment="1">
      <alignment horizontal="center"/>
    </xf>
    <xf numFmtId="3" fontId="100" fillId="58" borderId="0" xfId="307" applyNumberFormat="1" applyFont="1" applyFill="1" applyAlignment="1">
      <alignment horizontal="center"/>
    </xf>
    <xf numFmtId="3" fontId="100" fillId="0" borderId="32" xfId="307" applyNumberFormat="1" applyFont="1" applyBorder="1" applyAlignment="1">
      <alignment horizontal="center"/>
    </xf>
    <xf numFmtId="3" fontId="100" fillId="0" borderId="10" xfId="307" applyNumberFormat="1" applyFont="1" applyBorder="1" applyAlignment="1">
      <alignment horizontal="center"/>
    </xf>
    <xf numFmtId="3" fontId="100" fillId="0" borderId="0" xfId="307" applyNumberFormat="1" applyFont="1" applyAlignment="1">
      <alignment horizontal="center"/>
    </xf>
    <xf numFmtId="213" fontId="100" fillId="58" borderId="10" xfId="307" applyNumberFormat="1" applyFont="1" applyFill="1" applyBorder="1" applyAlignment="1">
      <alignment horizontal="center"/>
    </xf>
    <xf numFmtId="213" fontId="100" fillId="49" borderId="10" xfId="307" applyNumberFormat="1" applyFont="1" applyFill="1" applyBorder="1" applyAlignment="1">
      <alignment horizontal="center"/>
    </xf>
    <xf numFmtId="213" fontId="100" fillId="0" borderId="10" xfId="307" applyNumberFormat="1" applyFont="1" applyBorder="1" applyAlignment="1">
      <alignment horizontal="center"/>
    </xf>
    <xf numFmtId="1" fontId="100" fillId="57" borderId="19" xfId="307" applyNumberFormat="1" applyFont="1" applyFill="1" applyBorder="1" applyAlignment="1">
      <alignment horizontal="center"/>
    </xf>
    <xf numFmtId="3" fontId="100" fillId="49" borderId="10" xfId="307" applyNumberFormat="1" applyFont="1" applyFill="1" applyBorder="1" applyAlignment="1">
      <alignment horizontal="center"/>
    </xf>
    <xf numFmtId="214" fontId="100" fillId="57" borderId="0" xfId="307" applyNumberFormat="1" applyFont="1" applyFill="1" applyAlignment="1">
      <alignment horizontal="center"/>
    </xf>
    <xf numFmtId="214" fontId="100" fillId="57" borderId="32" xfId="307" applyNumberFormat="1" applyFont="1" applyFill="1" applyBorder="1" applyAlignment="1">
      <alignment horizontal="center"/>
    </xf>
    <xf numFmtId="214" fontId="100" fillId="57" borderId="10" xfId="307" applyNumberFormat="1" applyFont="1" applyFill="1" applyBorder="1" applyAlignment="1">
      <alignment horizontal="center"/>
    </xf>
    <xf numFmtId="213" fontId="100" fillId="57" borderId="33" xfId="307" applyNumberFormat="1" applyFont="1" applyFill="1" applyBorder="1" applyAlignment="1">
      <alignment horizontal="center"/>
    </xf>
    <xf numFmtId="0" fontId="99" fillId="57" borderId="4" xfId="307" applyFont="1" applyFill="1" applyBorder="1"/>
    <xf numFmtId="0" fontId="99" fillId="57" borderId="34" xfId="307" applyFont="1" applyFill="1" applyBorder="1"/>
    <xf numFmtId="0" fontId="99" fillId="57" borderId="35" xfId="307" applyFont="1" applyFill="1" applyBorder="1"/>
    <xf numFmtId="213" fontId="99" fillId="0" borderId="34" xfId="307" applyNumberFormat="1" applyFont="1" applyBorder="1" applyAlignment="1">
      <alignment horizontal="center"/>
    </xf>
    <xf numFmtId="0" fontId="109" fillId="38" borderId="0" xfId="0" applyFont="1" applyFill="1"/>
    <xf numFmtId="0" fontId="105" fillId="38" borderId="0" xfId="0" applyFont="1" applyFill="1"/>
    <xf numFmtId="3" fontId="109" fillId="38" borderId="0" xfId="0" applyNumberFormat="1" applyFont="1" applyFill="1"/>
    <xf numFmtId="0" fontId="109" fillId="0" borderId="6" xfId="0" applyFont="1" applyBorder="1" applyAlignment="1">
      <alignment horizontal="center" vertical="center" wrapText="1"/>
    </xf>
    <xf numFmtId="0" fontId="109" fillId="0" borderId="6" xfId="0" applyFont="1" applyBorder="1" applyAlignment="1">
      <alignment wrapText="1"/>
    </xf>
    <xf numFmtId="1" fontId="105" fillId="0" borderId="6" xfId="0" applyNumberFormat="1" applyFont="1" applyBorder="1"/>
    <xf numFmtId="168" fontId="105" fillId="0" borderId="6" xfId="6" applyNumberFormat="1" applyFont="1" applyBorder="1"/>
    <xf numFmtId="0" fontId="109" fillId="49" borderId="6" xfId="0" applyFont="1" applyFill="1" applyBorder="1" applyAlignment="1">
      <alignment horizontal="right"/>
    </xf>
    <xf numFmtId="168" fontId="105" fillId="38" borderId="0" xfId="6" applyNumberFormat="1" applyFont="1" applyFill="1"/>
    <xf numFmtId="0" fontId="105" fillId="0" borderId="6" xfId="0" applyFont="1" applyBorder="1"/>
    <xf numFmtId="0" fontId="110" fillId="38" borderId="0" xfId="0" applyFont="1" applyFill="1"/>
    <xf numFmtId="168" fontId="110" fillId="38" borderId="0" xfId="6" applyNumberFormat="1" applyFont="1" applyFill="1" applyBorder="1"/>
    <xf numFmtId="1" fontId="110" fillId="38" borderId="0" xfId="0" applyNumberFormat="1" applyFont="1" applyFill="1"/>
    <xf numFmtId="1" fontId="111" fillId="38" borderId="0" xfId="0" applyNumberFormat="1" applyFont="1" applyFill="1"/>
    <xf numFmtId="0" fontId="108" fillId="38" borderId="39" xfId="311" applyFill="1"/>
    <xf numFmtId="0" fontId="109" fillId="0" borderId="6" xfId="0" applyFont="1" applyBorder="1" applyAlignment="1">
      <alignment horizontal="center" vertical="center"/>
    </xf>
    <xf numFmtId="0" fontId="109" fillId="38" borderId="0" xfId="0" applyFont="1" applyFill="1" applyAlignment="1">
      <alignment horizontal="right"/>
    </xf>
    <xf numFmtId="0" fontId="112" fillId="38" borderId="40" xfId="312" applyFill="1"/>
    <xf numFmtId="0" fontId="100" fillId="38" borderId="0" xfId="307" applyFont="1" applyFill="1"/>
    <xf numFmtId="0" fontId="100" fillId="38" borderId="0" xfId="307" applyFont="1" applyFill="1" applyAlignment="1">
      <alignment wrapText="1"/>
    </xf>
    <xf numFmtId="0" fontId="99" fillId="38" borderId="0" xfId="307" applyFont="1" applyFill="1"/>
    <xf numFmtId="0" fontId="112" fillId="38" borderId="40" xfId="312" applyFill="1" applyAlignment="1">
      <alignment horizontal="center"/>
    </xf>
    <xf numFmtId="0" fontId="100" fillId="38" borderId="0" xfId="307" applyFont="1" applyFill="1" applyAlignment="1">
      <alignment horizontal="center"/>
    </xf>
    <xf numFmtId="3" fontId="103" fillId="38" borderId="0" xfId="307" applyNumberFormat="1" applyFont="1" applyFill="1" applyAlignment="1">
      <alignment horizontal="center"/>
    </xf>
    <xf numFmtId="0" fontId="99" fillId="38" borderId="0" xfId="307" applyFont="1" applyFill="1" applyAlignment="1">
      <alignment horizontal="center"/>
    </xf>
    <xf numFmtId="0" fontId="104" fillId="38" borderId="0" xfId="307" applyFont="1" applyFill="1"/>
    <xf numFmtId="0" fontId="105" fillId="38" borderId="0" xfId="307" applyFont="1" applyFill="1"/>
    <xf numFmtId="0" fontId="100" fillId="38" borderId="0" xfId="307" applyFont="1" applyFill="1" applyAlignment="1">
      <alignment horizontal="right"/>
    </xf>
    <xf numFmtId="10" fontId="100" fillId="38" borderId="0" xfId="308" applyNumberFormat="1" applyFont="1" applyFill="1" applyAlignment="1">
      <alignment horizontal="center"/>
    </xf>
    <xf numFmtId="168" fontId="100" fillId="38" borderId="0" xfId="309" applyNumberFormat="1" applyFont="1" applyFill="1" applyAlignment="1">
      <alignment horizontal="center"/>
    </xf>
    <xf numFmtId="215" fontId="100" fillId="38" borderId="0" xfId="307" applyNumberFormat="1" applyFont="1" applyFill="1" applyAlignment="1">
      <alignment horizontal="center"/>
    </xf>
    <xf numFmtId="0" fontId="100" fillId="38" borderId="36" xfId="307" applyFont="1" applyFill="1" applyBorder="1" applyAlignment="1">
      <alignment horizontal="center"/>
    </xf>
    <xf numFmtId="0" fontId="100" fillId="38" borderId="37" xfId="307" applyFont="1" applyFill="1" applyBorder="1" applyAlignment="1">
      <alignment horizontal="center"/>
    </xf>
    <xf numFmtId="0" fontId="100" fillId="38" borderId="37" xfId="307" applyFont="1" applyFill="1" applyBorder="1" applyAlignment="1">
      <alignment horizontal="right"/>
    </xf>
    <xf numFmtId="44" fontId="100" fillId="38" borderId="37" xfId="310" applyFont="1" applyFill="1" applyBorder="1" applyAlignment="1">
      <alignment horizontal="center"/>
    </xf>
    <xf numFmtId="44" fontId="100" fillId="38" borderId="38" xfId="310" applyFont="1" applyFill="1" applyBorder="1" applyAlignment="1">
      <alignment horizontal="center"/>
    </xf>
    <xf numFmtId="216" fontId="100" fillId="38" borderId="0" xfId="310" applyNumberFormat="1" applyFont="1" applyFill="1" applyAlignment="1">
      <alignment horizontal="center"/>
    </xf>
    <xf numFmtId="0" fontId="99" fillId="38" borderId="0" xfId="307" applyFont="1" applyFill="1" applyAlignment="1">
      <alignment horizontal="right"/>
    </xf>
    <xf numFmtId="6" fontId="100" fillId="38" borderId="0" xfId="307" applyNumberFormat="1" applyFont="1" applyFill="1" applyAlignment="1">
      <alignment horizontal="center"/>
    </xf>
    <xf numFmtId="6" fontId="103" fillId="38" borderId="0" xfId="307" applyNumberFormat="1" applyFont="1" applyFill="1" applyAlignment="1">
      <alignment horizontal="center"/>
    </xf>
    <xf numFmtId="216" fontId="106" fillId="38" borderId="0" xfId="310" applyNumberFormat="1" applyFont="1" applyFill="1" applyBorder="1" applyAlignment="1">
      <alignment horizontal="center"/>
    </xf>
    <xf numFmtId="216" fontId="107" fillId="38" borderId="0" xfId="307" applyNumberFormat="1" applyFont="1" applyFill="1" applyAlignment="1">
      <alignment horizontal="center"/>
    </xf>
    <xf numFmtId="216" fontId="107" fillId="38" borderId="0" xfId="310" applyNumberFormat="1" applyFont="1" applyFill="1" applyAlignment="1">
      <alignment horizontal="center"/>
    </xf>
    <xf numFmtId="44" fontId="100" fillId="38" borderId="0" xfId="310" applyFont="1" applyFill="1" applyBorder="1" applyAlignment="1">
      <alignment horizontal="center"/>
    </xf>
    <xf numFmtId="44" fontId="100" fillId="38" borderId="0" xfId="307" applyNumberFormat="1" applyFont="1" applyFill="1"/>
    <xf numFmtId="0" fontId="102" fillId="56" borderId="41" xfId="307" applyFont="1" applyFill="1" applyBorder="1" applyAlignment="1">
      <alignment horizontal="center" wrapText="1"/>
    </xf>
    <xf numFmtId="213" fontId="100" fillId="0" borderId="19" xfId="307" applyNumberFormat="1" applyFont="1" applyBorder="1" applyAlignment="1">
      <alignment horizontal="center"/>
    </xf>
    <xf numFmtId="213" fontId="99" fillId="0" borderId="6" xfId="307" applyNumberFormat="1" applyFont="1" applyBorder="1" applyAlignment="1">
      <alignment horizontal="center"/>
    </xf>
    <xf numFmtId="0" fontId="100" fillId="0" borderId="10" xfId="307" applyFont="1" applyBorder="1"/>
    <xf numFmtId="0" fontId="99" fillId="0" borderId="34" xfId="307" applyFont="1" applyBorder="1"/>
    <xf numFmtId="10" fontId="0" fillId="38" borderId="0" xfId="2" applyNumberFormat="1" applyFont="1" applyFill="1"/>
    <xf numFmtId="0" fontId="100" fillId="0" borderId="0" xfId="307" applyFont="1" applyAlignment="1">
      <alignment horizontal="left"/>
    </xf>
    <xf numFmtId="217" fontId="105" fillId="38" borderId="0" xfId="6" applyNumberFormat="1" applyFont="1" applyFill="1"/>
    <xf numFmtId="0" fontId="99" fillId="38" borderId="0" xfId="307" applyFont="1" applyFill="1" applyAlignment="1">
      <alignment horizontal="left"/>
    </xf>
    <xf numFmtId="216" fontId="100" fillId="38" borderId="0" xfId="310" applyNumberFormat="1" applyFont="1" applyFill="1" applyAlignment="1">
      <alignment horizontal="left"/>
    </xf>
    <xf numFmtId="0" fontId="100" fillId="38" borderId="0" xfId="307" applyFont="1" applyFill="1" applyAlignment="1">
      <alignment horizontal="left"/>
    </xf>
    <xf numFmtId="0" fontId="100" fillId="38" borderId="42" xfId="307" applyFont="1" applyFill="1" applyBorder="1" applyAlignment="1">
      <alignment horizontal="center"/>
    </xf>
    <xf numFmtId="0" fontId="100" fillId="38" borderId="42" xfId="307" applyFont="1" applyFill="1" applyBorder="1" applyAlignment="1">
      <alignment horizontal="right"/>
    </xf>
    <xf numFmtId="44" fontId="100" fillId="38" borderId="42" xfId="310" applyFont="1" applyFill="1" applyBorder="1" applyAlignment="1">
      <alignment horizontal="center"/>
    </xf>
    <xf numFmtId="0" fontId="100" fillId="38" borderId="34" xfId="307" applyFont="1" applyFill="1" applyBorder="1" applyAlignment="1">
      <alignment horizontal="center"/>
    </xf>
    <xf numFmtId="0" fontId="100" fillId="38" borderId="4" xfId="307" applyFont="1" applyFill="1" applyBorder="1" applyAlignment="1">
      <alignment horizontal="center"/>
    </xf>
    <xf numFmtId="0" fontId="100" fillId="38" borderId="4" xfId="307" applyFont="1" applyFill="1" applyBorder="1" applyAlignment="1">
      <alignment horizontal="right"/>
    </xf>
    <xf numFmtId="44" fontId="100" fillId="38" borderId="4" xfId="310" applyFont="1" applyFill="1" applyBorder="1" applyAlignment="1">
      <alignment horizontal="center"/>
    </xf>
    <xf numFmtId="44" fontId="100" fillId="38" borderId="35" xfId="310" applyFont="1" applyFill="1" applyBorder="1" applyAlignment="1">
      <alignment horizontal="center"/>
    </xf>
    <xf numFmtId="44" fontId="100" fillId="38" borderId="43" xfId="310" applyFont="1" applyFill="1" applyBorder="1" applyAlignment="1">
      <alignment horizontal="center"/>
    </xf>
    <xf numFmtId="0" fontId="100" fillId="38" borderId="44" xfId="307" applyFont="1" applyFill="1" applyBorder="1" applyAlignment="1">
      <alignment horizontal="center"/>
    </xf>
    <xf numFmtId="0" fontId="113" fillId="38" borderId="0" xfId="313" applyFont="1" applyFill="1" applyAlignment="1">
      <alignment vertical="center" wrapText="1"/>
    </xf>
    <xf numFmtId="0" fontId="114" fillId="38" borderId="0" xfId="313" applyFont="1" applyFill="1" applyAlignment="1">
      <alignment vertical="center"/>
    </xf>
    <xf numFmtId="0" fontId="116" fillId="38" borderId="0" xfId="314" applyFont="1" applyFill="1" applyBorder="1"/>
    <xf numFmtId="0" fontId="105" fillId="38" borderId="0" xfId="313" applyFont="1" applyFill="1"/>
    <xf numFmtId="0" fontId="104" fillId="60" borderId="6" xfId="313" applyFont="1" applyFill="1" applyBorder="1" applyAlignment="1">
      <alignment horizontal="right"/>
    </xf>
    <xf numFmtId="0" fontId="117" fillId="38" borderId="0" xfId="313" applyFont="1" applyFill="1" applyAlignment="1">
      <alignment horizontal="left" vertical="center" wrapText="1"/>
    </xf>
    <xf numFmtId="0" fontId="118" fillId="38" borderId="0" xfId="313" applyFont="1" applyFill="1" applyAlignment="1">
      <alignment vertical="center"/>
    </xf>
    <xf numFmtId="0" fontId="114" fillId="38" borderId="0" xfId="313" applyFont="1" applyFill="1" applyAlignment="1">
      <alignment vertical="center" wrapText="1"/>
    </xf>
    <xf numFmtId="3" fontId="114" fillId="38" borderId="0" xfId="313" applyNumberFormat="1" applyFont="1" applyFill="1" applyAlignment="1">
      <alignment vertical="center" wrapText="1"/>
    </xf>
    <xf numFmtId="0" fontId="120" fillId="38" borderId="0" xfId="313" applyFont="1" applyFill="1"/>
    <xf numFmtId="0" fontId="119" fillId="38" borderId="0" xfId="313" applyFont="1" applyFill="1" applyAlignment="1">
      <alignment vertical="center" wrapText="1"/>
    </xf>
    <xf numFmtId="2" fontId="105" fillId="38" borderId="0" xfId="313" applyNumberFormat="1" applyFont="1" applyFill="1"/>
    <xf numFmtId="0" fontId="105" fillId="38" borderId="34" xfId="313" applyFont="1" applyFill="1" applyBorder="1"/>
    <xf numFmtId="216" fontId="105" fillId="38" borderId="0" xfId="313" applyNumberFormat="1" applyFont="1" applyFill="1"/>
    <xf numFmtId="218" fontId="105" fillId="38" borderId="0" xfId="313" applyNumberFormat="1" applyFont="1" applyFill="1"/>
    <xf numFmtId="0" fontId="105" fillId="38" borderId="29" xfId="313" applyFont="1" applyFill="1" applyBorder="1"/>
    <xf numFmtId="0" fontId="105" fillId="38" borderId="10" xfId="313" applyFont="1" applyFill="1" applyBorder="1"/>
    <xf numFmtId="0" fontId="105" fillId="38" borderId="45" xfId="313" applyFont="1" applyFill="1" applyBorder="1"/>
    <xf numFmtId="44" fontId="105" fillId="38" borderId="0" xfId="313" applyNumberFormat="1" applyFont="1" applyFill="1"/>
    <xf numFmtId="10" fontId="105" fillId="38" borderId="45" xfId="316" applyNumberFormat="1" applyFont="1" applyFill="1" applyBorder="1" applyAlignment="1">
      <alignment horizontal="right"/>
    </xf>
    <xf numFmtId="10" fontId="105" fillId="38" borderId="7" xfId="316" applyNumberFormat="1" applyFont="1" applyFill="1" applyBorder="1" applyAlignment="1">
      <alignment horizontal="right"/>
    </xf>
    <xf numFmtId="10" fontId="105" fillId="38" borderId="46" xfId="316" applyNumberFormat="1" applyFont="1" applyFill="1" applyBorder="1" applyAlignment="1">
      <alignment horizontal="right"/>
    </xf>
    <xf numFmtId="10" fontId="105" fillId="38" borderId="6" xfId="316" applyNumberFormat="1" applyFont="1" applyFill="1" applyBorder="1"/>
    <xf numFmtId="0" fontId="105" fillId="38" borderId="6" xfId="0" applyFont="1" applyFill="1" applyBorder="1"/>
    <xf numFmtId="0" fontId="104" fillId="60" borderId="6" xfId="0" applyFont="1" applyFill="1" applyBorder="1" applyAlignment="1">
      <alignment horizontal="right"/>
    </xf>
    <xf numFmtId="2" fontId="105" fillId="38" borderId="6" xfId="0" applyNumberFormat="1" applyFont="1" applyFill="1" applyBorder="1"/>
    <xf numFmtId="0" fontId="105" fillId="38" borderId="34" xfId="0" applyFont="1" applyFill="1" applyBorder="1"/>
    <xf numFmtId="216" fontId="105" fillId="38" borderId="0" xfId="0" applyNumberFormat="1" applyFont="1" applyFill="1"/>
    <xf numFmtId="218" fontId="105" fillId="38" borderId="0" xfId="0" applyNumberFormat="1" applyFont="1" applyFill="1"/>
    <xf numFmtId="0" fontId="105" fillId="38" borderId="29" xfId="0" applyFont="1" applyFill="1" applyBorder="1"/>
    <xf numFmtId="0" fontId="105" fillId="38" borderId="10" xfId="0" applyFont="1" applyFill="1" applyBorder="1"/>
    <xf numFmtId="0" fontId="105" fillId="38" borderId="45" xfId="0" applyFont="1" applyFill="1" applyBorder="1"/>
    <xf numFmtId="0" fontId="105" fillId="38" borderId="0" xfId="0" applyFont="1" applyFill="1" applyAlignment="1">
      <alignment wrapText="1"/>
    </xf>
    <xf numFmtId="2" fontId="105" fillId="0" borderId="0" xfId="0" applyNumberFormat="1" applyFont="1"/>
    <xf numFmtId="2" fontId="105" fillId="0" borderId="0" xfId="313" applyNumberFormat="1" applyFont="1"/>
    <xf numFmtId="216" fontId="105" fillId="38" borderId="0" xfId="315" applyNumberFormat="1" applyFont="1" applyFill="1" applyBorder="1"/>
    <xf numFmtId="44" fontId="105" fillId="38" borderId="33" xfId="313" applyNumberFormat="1" applyFont="1" applyFill="1" applyBorder="1"/>
    <xf numFmtId="0" fontId="108" fillId="38" borderId="39" xfId="311" applyFill="1" applyAlignment="1">
      <alignment vertical="center"/>
    </xf>
    <xf numFmtId="0" fontId="108" fillId="38" borderId="0" xfId="311" applyFill="1" applyBorder="1"/>
    <xf numFmtId="44" fontId="105" fillId="38" borderId="35" xfId="315" applyFont="1" applyFill="1" applyBorder="1"/>
    <xf numFmtId="44" fontId="105" fillId="38" borderId="31" xfId="315" applyFont="1" applyFill="1" applyBorder="1"/>
    <xf numFmtId="44" fontId="105" fillId="38" borderId="19" xfId="315" applyFont="1" applyFill="1" applyBorder="1"/>
    <xf numFmtId="44" fontId="105" fillId="38" borderId="33" xfId="315" applyFont="1" applyFill="1" applyBorder="1"/>
    <xf numFmtId="44" fontId="105" fillId="38" borderId="6" xfId="313" applyNumberFormat="1" applyFont="1" applyFill="1" applyBorder="1"/>
    <xf numFmtId="44" fontId="105" fillId="38" borderId="6" xfId="315" applyFont="1" applyFill="1" applyBorder="1"/>
    <xf numFmtId="44" fontId="109" fillId="38" borderId="6" xfId="313" applyNumberFormat="1" applyFont="1" applyFill="1" applyBorder="1"/>
    <xf numFmtId="44" fontId="105" fillId="38" borderId="30" xfId="313" applyNumberFormat="1" applyFont="1" applyFill="1" applyBorder="1"/>
    <xf numFmtId="44" fontId="105" fillId="38" borderId="32" xfId="313" applyNumberFormat="1" applyFont="1" applyFill="1" applyBorder="1"/>
    <xf numFmtId="44" fontId="105" fillId="38" borderId="46" xfId="313" applyNumberFormat="1" applyFont="1" applyFill="1" applyBorder="1"/>
    <xf numFmtId="0" fontId="109" fillId="38" borderId="0" xfId="313" applyFont="1" applyFill="1" applyAlignment="1">
      <alignment horizontal="right"/>
    </xf>
    <xf numFmtId="44" fontId="109" fillId="38" borderId="31" xfId="313" applyNumberFormat="1" applyFont="1" applyFill="1" applyBorder="1"/>
    <xf numFmtId="44" fontId="109" fillId="38" borderId="19" xfId="313" applyNumberFormat="1" applyFont="1" applyFill="1" applyBorder="1"/>
    <xf numFmtId="44" fontId="109" fillId="38" borderId="33" xfId="313" applyNumberFormat="1" applyFont="1" applyFill="1" applyBorder="1"/>
    <xf numFmtId="44" fontId="105" fillId="38" borderId="34" xfId="313" applyNumberFormat="1" applyFont="1" applyFill="1" applyBorder="1"/>
    <xf numFmtId="44" fontId="105" fillId="38" borderId="34" xfId="315" applyFont="1" applyFill="1" applyBorder="1"/>
    <xf numFmtId="0" fontId="104" fillId="60" borderId="34" xfId="313" applyFont="1" applyFill="1" applyBorder="1" applyAlignment="1">
      <alignment horizontal="right"/>
    </xf>
    <xf numFmtId="0" fontId="105" fillId="61" borderId="6" xfId="313" applyFont="1" applyFill="1" applyBorder="1" applyAlignment="1">
      <alignment vertical="center"/>
    </xf>
    <xf numFmtId="0" fontId="121" fillId="61" borderId="6" xfId="313" applyFont="1" applyFill="1" applyBorder="1" applyAlignment="1">
      <alignment vertical="center"/>
    </xf>
    <xf numFmtId="0" fontId="105" fillId="38" borderId="6" xfId="313" applyFont="1" applyFill="1" applyBorder="1" applyAlignment="1">
      <alignment vertical="center"/>
    </xf>
    <xf numFmtId="0" fontId="109" fillId="38" borderId="6" xfId="313" applyFont="1" applyFill="1" applyBorder="1"/>
    <xf numFmtId="44" fontId="105" fillId="38" borderId="0" xfId="0" applyNumberFormat="1" applyFont="1" applyFill="1"/>
    <xf numFmtId="44" fontId="105" fillId="38" borderId="30" xfId="315" applyFont="1" applyFill="1" applyBorder="1"/>
    <xf numFmtId="44" fontId="105" fillId="38" borderId="32" xfId="315" applyFont="1" applyFill="1" applyBorder="1"/>
    <xf numFmtId="44" fontId="105" fillId="38" borderId="46" xfId="315" applyFont="1" applyFill="1" applyBorder="1"/>
    <xf numFmtId="44" fontId="105" fillId="38" borderId="6" xfId="0" applyNumberFormat="1" applyFont="1" applyFill="1" applyBorder="1"/>
    <xf numFmtId="44" fontId="109" fillId="38" borderId="6" xfId="0" applyNumberFormat="1" applyFont="1" applyFill="1" applyBorder="1"/>
    <xf numFmtId="44" fontId="109" fillId="38" borderId="31" xfId="0" applyNumberFormat="1" applyFont="1" applyFill="1" applyBorder="1"/>
    <xf numFmtId="44" fontId="109" fillId="38" borderId="19" xfId="0" applyNumberFormat="1" applyFont="1" applyFill="1" applyBorder="1"/>
    <xf numFmtId="44" fontId="109" fillId="38" borderId="33" xfId="0" applyNumberFormat="1" applyFont="1" applyFill="1" applyBorder="1"/>
    <xf numFmtId="44" fontId="109" fillId="38" borderId="35" xfId="315" applyFont="1" applyFill="1" applyBorder="1"/>
    <xf numFmtId="44" fontId="109" fillId="38" borderId="30" xfId="313" applyNumberFormat="1" applyFont="1" applyFill="1" applyBorder="1"/>
    <xf numFmtId="44" fontId="109" fillId="38" borderId="32" xfId="313" applyNumberFormat="1" applyFont="1" applyFill="1" applyBorder="1"/>
    <xf numFmtId="44" fontId="109" fillId="38" borderId="46" xfId="313" applyNumberFormat="1" applyFont="1" applyFill="1" applyBorder="1"/>
    <xf numFmtId="2" fontId="105" fillId="38" borderId="31" xfId="313" applyNumberFormat="1" applyFont="1" applyFill="1" applyBorder="1"/>
    <xf numFmtId="2" fontId="105" fillId="38" borderId="19" xfId="313" applyNumberFormat="1" applyFont="1" applyFill="1" applyBorder="1"/>
    <xf numFmtId="2" fontId="105" fillId="38" borderId="33" xfId="313" applyNumberFormat="1" applyFont="1" applyFill="1" applyBorder="1"/>
    <xf numFmtId="3" fontId="100" fillId="58" borderId="19" xfId="307" applyNumberFormat="1" applyFont="1" applyFill="1" applyBorder="1" applyAlignment="1">
      <alignment horizontal="center"/>
    </xf>
    <xf numFmtId="0" fontId="105" fillId="38" borderId="0" xfId="313" applyFont="1" applyFill="1" applyAlignment="1">
      <alignment wrapText="1"/>
    </xf>
    <xf numFmtId="0" fontId="105" fillId="38" borderId="0" xfId="313" applyFont="1" applyFill="1" applyAlignment="1">
      <alignment horizontal="right" vertical="center"/>
    </xf>
    <xf numFmtId="44" fontId="105" fillId="38" borderId="6" xfId="317" applyFont="1" applyFill="1" applyBorder="1"/>
    <xf numFmtId="44" fontId="105" fillId="38" borderId="34" xfId="317" applyFont="1" applyFill="1" applyBorder="1"/>
    <xf numFmtId="216" fontId="99" fillId="38" borderId="0" xfId="307" applyNumberFormat="1" applyFont="1" applyFill="1" applyAlignment="1">
      <alignment horizontal="center"/>
    </xf>
    <xf numFmtId="0" fontId="77" fillId="38" borderId="2" xfId="0" applyFont="1" applyFill="1" applyBorder="1" applyAlignment="1">
      <alignment horizontal="center"/>
    </xf>
    <xf numFmtId="0" fontId="105" fillId="59" borderId="10" xfId="0" applyFont="1" applyFill="1" applyBorder="1" applyAlignment="1">
      <alignment horizontal="center" vertical="center" wrapText="1"/>
    </xf>
    <xf numFmtId="0" fontId="114" fillId="38" borderId="0" xfId="313" applyFont="1" applyFill="1" applyAlignment="1">
      <alignment horizontal="center" vertical="center"/>
    </xf>
  </cellXfs>
  <cellStyles count="318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11" xfId="309" xr:uid="{0A47F6FD-96B4-4E08-952C-64BFB4783C6C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" xfId="317" builtinId="4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Currency 7" xfId="310" xr:uid="{7B5B41D1-4663-4171-92AE-24B5E9FF9585}"/>
    <cellStyle name="Currency 8" xfId="315" xr:uid="{8AC664FC-737C-4576-9AC2-B531BA600F2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" xfId="312" builtinId="16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" xfId="311" builtinId="17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3" xfId="314" xr:uid="{CE21868B-5B43-47D1-BD9B-6D1AA3ABF232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0 3 2" xfId="306" xr:uid="{53081495-EFD1-46A9-AB50-971CAA8782D4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4" xfId="307" xr:uid="{9078B99E-6AA1-4225-A151-9942AAF6A201}"/>
    <cellStyle name="Normal 15" xfId="139" xr:uid="{00000000-0005-0000-0000-0000B9000000}"/>
    <cellStyle name="Normal 16" xfId="140" xr:uid="{00000000-0005-0000-0000-0000BA000000}"/>
    <cellStyle name="Normal 17" xfId="313" xr:uid="{7981EE20-5FCD-4ACB-A755-B1FF2B94CFCB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 8" xfId="308" xr:uid="{CC7CFF4D-35E3-4A8D-B316-8C57F6D9187E}"/>
    <cellStyle name="Percent 9" xfId="316" xr:uid="{3198960A-87E9-45A9-B132-51B1CC464056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7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FFFF99"/>
      <color rgb="FFCCFFCC"/>
      <color rgb="FFDAEEF3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AusNet revised proposal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1348.155501907768</c:v>
                </c:pt>
                <c:pt idx="2">
                  <c:v>1348.155501907768</c:v>
                </c:pt>
                <c:pt idx="3">
                  <c:v>1348.155501907768</c:v>
                </c:pt>
                <c:pt idx="4">
                  <c:v>1351.4814649591169</c:v>
                </c:pt>
                <c:pt idx="5">
                  <c:v>1412.6005148627939</c:v>
                </c:pt>
                <c:pt idx="6">
                  <c:v>1412.6005148627939</c:v>
                </c:pt>
                <c:pt idx="7">
                  <c:v>1490.5810458339022</c:v>
                </c:pt>
                <c:pt idx="8">
                  <c:v>1494.3843186671761</c:v>
                </c:pt>
                <c:pt idx="9">
                  <c:v>1494.3843186671761</c:v>
                </c:pt>
                <c:pt idx="10">
                  <c:v>1551.1220652910645</c:v>
                </c:pt>
                <c:pt idx="11">
                  <c:v>1606.1853182468346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3C-462F-A3E0-2B6AE57E4F9B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AusNet revised proposal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1348.155501907768</c:v>
                </c:pt>
                <c:pt idx="12">
                  <c:v>1623.911169381762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3C-462F-A3E0-2B6AE57E4F9B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AusNet revised proposal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3.3259630513488259</c:v>
                </c:pt>
                <c:pt idx="4">
                  <c:v>98.930584650534854</c:v>
                </c:pt>
                <c:pt idx="5">
                  <c:v>0</c:v>
                </c:pt>
                <c:pt idx="6">
                  <c:v>77.980530971108323</c:v>
                </c:pt>
                <c:pt idx="7">
                  <c:v>25.159254637962686</c:v>
                </c:pt>
                <c:pt idx="8">
                  <c:v>0</c:v>
                </c:pt>
                <c:pt idx="9">
                  <c:v>56.737746623888455</c:v>
                </c:pt>
                <c:pt idx="10">
                  <c:v>55.063252955770267</c:v>
                </c:pt>
                <c:pt idx="11">
                  <c:v>17.725851134927471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3C-462F-A3E0-2B6AE57E4F9B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AusNet revised proposal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37.811534746857951</c:v>
                </c:pt>
                <c:pt idx="6">
                  <c:v>0</c:v>
                </c:pt>
                <c:pt idx="7">
                  <c:v>0</c:v>
                </c:pt>
                <c:pt idx="8">
                  <c:v>21.355981804688867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3C-462F-A3E0-2B6AE57E4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2025-26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496EEB-BB6F-4ED1-A7F8-B859FC961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ice%20Review\2026-31%20EDPR\12.0%202026%20EDPR%20-%20Revised%20proposal%20submission%20models\SCS\Public\ASD%20-%20AusNet%20Distribution%20-%20PTRM%20Model%20-%20011225%20-%20PUBLIC.xlsm" TargetMode="External"/><Relationship Id="rId1" Type="http://schemas.openxmlformats.org/officeDocument/2006/relationships/externalLinkPath" Target="ASD%20-%20AusNet%20Distribution%20-%20PTRM%20Model%20-%20011225%20-%20PUBLI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PTRM input"/>
      <sheetName val="WACC"/>
      <sheetName val="Assets"/>
      <sheetName val="Analysis"/>
      <sheetName val="Forecast revenues"/>
      <sheetName val="X factors"/>
      <sheetName val="Revenue summary"/>
      <sheetName val="DMIA_Allowance"/>
      <sheetName val="Equity raising costs"/>
      <sheetName val="Chart 1-Revenue"/>
      <sheetName val="Chart 2-Price path"/>
      <sheetName val="Chart 3-Building bloc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40">
          <cell r="G340">
            <v>3.1731337735500649</v>
          </cell>
          <cell r="H340">
            <v>3.3660834971602656</v>
          </cell>
          <cell r="I340">
            <v>3.5602017756769029</v>
          </cell>
          <cell r="J340">
            <v>3.7505128203358189</v>
          </cell>
          <cell r="K340">
            <v>3.8759192682044192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4"/>
  <sheetViews>
    <sheetView topLeftCell="C1" workbookViewId="0">
      <selection activeCell="A17" sqref="A17"/>
    </sheetView>
  </sheetViews>
  <sheetFormatPr defaultColWidth="0" defaultRowHeight="10" zeroHeight="1"/>
  <cols>
    <col min="1" max="2" width="1.44140625" style="8" customWidth="1"/>
    <col min="3" max="3" width="30.77734375" style="8" customWidth="1"/>
    <col min="4" max="4" width="163.77734375" style="8" customWidth="1"/>
    <col min="5" max="5" width="6.44140625" style="8" customWidth="1"/>
    <col min="6" max="6" width="9.33203125" style="8" hidden="1" customWidth="1"/>
    <col min="7" max="14" width="9.77734375" style="8" hidden="1" customWidth="1"/>
    <col min="15" max="15" width="1.44140625" style="8" hidden="1" customWidth="1"/>
    <col min="16" max="16" width="10.44140625" style="8" hidden="1" customWidth="1"/>
    <col min="17" max="17" width="1.44140625" style="8" hidden="1" customWidth="1"/>
    <col min="18" max="16384" width="10.44140625" style="8" hidden="1"/>
  </cols>
  <sheetData>
    <row r="1" spans="1:30" s="1" customFormat="1" ht="15.75" customHeight="1">
      <c r="A1" s="27"/>
      <c r="B1" s="25" t="s">
        <v>211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3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9" t="s">
        <v>0</v>
      </c>
      <c r="D6" s="9" t="s">
        <v>1</v>
      </c>
    </row>
    <row r="7" spans="1:30">
      <c r="C7" s="185" t="s">
        <v>57</v>
      </c>
      <c r="D7" s="8" t="s">
        <v>195</v>
      </c>
    </row>
    <row r="8" spans="1:30">
      <c r="C8" s="185" t="s">
        <v>35</v>
      </c>
      <c r="D8" s="8" t="s">
        <v>91</v>
      </c>
    </row>
    <row r="9" spans="1:30" ht="10.5">
      <c r="C9" s="185" t="s">
        <v>54</v>
      </c>
      <c r="D9" s="8" t="s">
        <v>203</v>
      </c>
    </row>
    <row r="10" spans="1:30">
      <c r="C10" s="185" t="s">
        <v>169</v>
      </c>
      <c r="D10" s="8" t="s">
        <v>196</v>
      </c>
    </row>
    <row r="11" spans="1:30">
      <c r="C11" s="185" t="s">
        <v>56</v>
      </c>
      <c r="D11" s="8" t="s">
        <v>197</v>
      </c>
    </row>
    <row r="12" spans="1:30">
      <c r="C12" s="185" t="s">
        <v>170</v>
      </c>
      <c r="D12" s="8" t="s">
        <v>198</v>
      </c>
    </row>
    <row r="13" spans="1:30">
      <c r="C13" s="185" t="s">
        <v>171</v>
      </c>
      <c r="D13" s="8" t="s">
        <v>199</v>
      </c>
    </row>
    <row r="14" spans="1:30">
      <c r="C14" s="185" t="s">
        <v>250</v>
      </c>
      <c r="D14" s="8" t="s">
        <v>251</v>
      </c>
    </row>
    <row r="15" spans="1:30">
      <c r="C15" s="185" t="s">
        <v>50</v>
      </c>
      <c r="D15" s="8" t="s">
        <v>55</v>
      </c>
    </row>
    <row r="16" spans="1:30">
      <c r="C16" s="185" t="s">
        <v>25</v>
      </c>
      <c r="D16" s="8" t="s">
        <v>200</v>
      </c>
    </row>
    <row r="19" spans="1:30" ht="13">
      <c r="C19" s="10"/>
      <c r="D19" s="7"/>
    </row>
    <row r="20" spans="1:30" customFormat="1" ht="13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5"/>
      <c r="W20" s="35"/>
      <c r="X20" s="36"/>
      <c r="Y20" s="36"/>
      <c r="Z20" s="36"/>
      <c r="AA20" s="36"/>
      <c r="AB20" s="36"/>
      <c r="AC20" s="37"/>
      <c r="AD20" s="37"/>
    </row>
    <row r="21" spans="1:30" hidden="1">
      <c r="D21" s="7"/>
      <c r="F21" s="23"/>
    </row>
    <row r="22" spans="1:30" hidden="1">
      <c r="D22" s="7"/>
      <c r="F22" s="23"/>
    </row>
    <row r="23" spans="1:30" hidden="1">
      <c r="D23" s="7"/>
      <c r="F23" s="23"/>
    </row>
    <row r="24" spans="1:30" hidden="1">
      <c r="D24" s="7"/>
      <c r="F24" s="23"/>
    </row>
    <row r="25" spans="1:30" hidden="1">
      <c r="D25" s="7"/>
      <c r="F25" s="23"/>
    </row>
    <row r="26" spans="1:30" hidden="1">
      <c r="C26" s="7"/>
      <c r="D26" s="7"/>
      <c r="F26" s="23"/>
    </row>
    <row r="27" spans="1:30" hidden="1">
      <c r="C27" s="7"/>
      <c r="D27" s="7"/>
      <c r="F27" s="23"/>
    </row>
    <row r="28" spans="1:30" hidden="1">
      <c r="C28" s="7"/>
      <c r="D28" s="7"/>
    </row>
    <row r="29" spans="1:30" hidden="1">
      <c r="D29" s="7"/>
    </row>
    <row r="30" spans="1:30" hidden="1">
      <c r="D30" s="7"/>
    </row>
    <row r="31" spans="1:30" hidden="1">
      <c r="D31" s="7"/>
    </row>
    <row r="32" spans="1:30" hidden="1">
      <c r="D32" s="7"/>
    </row>
    <row r="33" spans="3:4" hidden="1">
      <c r="D33" s="7"/>
    </row>
    <row r="34" spans="3:4" ht="13" hidden="1">
      <c r="C34" s="10"/>
      <c r="D34" s="7"/>
    </row>
  </sheetData>
  <dataValidations count="1">
    <dataValidation type="custom" allowBlank="1" showInputMessage="1" showErrorMessage="1" sqref="C7:C16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  <hyperlink ref="C14" location="'Output|Decomposition'!A1" display="Output| Decomposition" xr:uid="{944D5D92-B8A1-4E38-BCB1-E010F34521C4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workbookViewId="0">
      <selection activeCell="K60" sqref="K60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7" style="7" customWidth="1"/>
    <col min="5" max="5" width="15.77734375" style="7" customWidth="1"/>
    <col min="6" max="6" width="10.6640625" style="7" customWidth="1"/>
    <col min="7" max="7" width="15" style="16" customWidth="1"/>
    <col min="8" max="9" width="15" style="8" customWidth="1"/>
    <col min="10" max="23" width="10.77734375" style="8" customWidth="1"/>
    <col min="24" max="311" width="10.44140625" style="8" hidden="1" customWidth="1"/>
    <col min="312" max="16371" width="10.44140625" style="8" hidden="1"/>
    <col min="16372" max="16372" width="0" style="8" hidden="1"/>
    <col min="16373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7" t="s">
        <v>24</v>
      </c>
      <c r="V1" s="29" t="str">
        <f ca="1">'Check|List'!$S$1</f>
        <v>Ok</v>
      </c>
    </row>
    <row r="2" spans="1:30" s="27" customFormat="1" ht="13">
      <c r="B2" s="41" t="str">
        <f>Index!$C$15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3">
      <c r="A5" s="32"/>
      <c r="B5" s="38" t="s">
        <v>177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 ht="10.5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178</v>
      </c>
      <c r="D8" s="16" t="s">
        <v>181</v>
      </c>
      <c r="E8" s="16"/>
      <c r="F8" s="16"/>
      <c r="G8" s="39" t="s">
        <v>178</v>
      </c>
    </row>
    <row r="9" spans="1:30">
      <c r="C9" s="15" t="s">
        <v>179</v>
      </c>
      <c r="D9" s="16" t="s">
        <v>181</v>
      </c>
      <c r="E9" s="16"/>
      <c r="F9" s="16"/>
      <c r="G9" s="39" t="s">
        <v>179</v>
      </c>
    </row>
    <row r="10" spans="1:30">
      <c r="C10" s="15" t="s">
        <v>180</v>
      </c>
      <c r="D10" s="16" t="s">
        <v>64</v>
      </c>
      <c r="E10" s="16"/>
      <c r="F10" s="16"/>
      <c r="G10" s="39" t="s">
        <v>180</v>
      </c>
      <c r="T10" s="17"/>
    </row>
    <row r="11" spans="1:30">
      <c r="C11" s="15" t="s">
        <v>182</v>
      </c>
      <c r="D11" s="16" t="s">
        <v>181</v>
      </c>
      <c r="E11" s="16"/>
      <c r="F11" s="16"/>
      <c r="G11" s="39" t="s">
        <v>182</v>
      </c>
    </row>
    <row r="12" spans="1:30">
      <c r="C12" s="15" t="s">
        <v>183</v>
      </c>
      <c r="D12" s="16" t="s">
        <v>64</v>
      </c>
      <c r="E12" s="16"/>
      <c r="F12" s="16"/>
      <c r="G12" s="39" t="s">
        <v>183</v>
      </c>
      <c r="T12" s="17"/>
    </row>
    <row r="13" spans="1:30">
      <c r="F13" s="8"/>
      <c r="G13" s="8"/>
    </row>
    <row r="14" spans="1:30" customFormat="1" ht="13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 ht="10.5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3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 ht="10.5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 ht="10.5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 ht="10.5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 ht="10.5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3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 ht="10.5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2018</v>
      </c>
      <c r="H48" s="107">
        <f>DATE(G48,MONTH('Input|General'!$G$9),1)</f>
        <v>43252</v>
      </c>
      <c r="I48" s="106" t="str">
        <f>G48-1&amp;"–"&amp;RIGHT(G48,2)</f>
        <v>2017–18</v>
      </c>
    </row>
    <row r="49" spans="3:20">
      <c r="C49" s="97">
        <v>41061</v>
      </c>
      <c r="D49" s="16" t="s">
        <v>64</v>
      </c>
      <c r="E49" s="16"/>
      <c r="F49" s="16"/>
      <c r="G49" s="93">
        <v>2019</v>
      </c>
      <c r="H49" s="107">
        <f>DATE(G49,MONTH('Input|General'!$G$9),1)</f>
        <v>43617</v>
      </c>
      <c r="I49" s="106" t="str">
        <f t="shared" ref="I49:I67" si="0">G49-1&amp;"–"&amp;RIGHT(G49,2)</f>
        <v>2018–19</v>
      </c>
    </row>
    <row r="50" spans="3:20">
      <c r="C50" s="97">
        <v>41426</v>
      </c>
      <c r="D50" s="16" t="s">
        <v>64</v>
      </c>
      <c r="E50" s="16"/>
      <c r="F50" s="16"/>
      <c r="G50" s="93">
        <v>2020</v>
      </c>
      <c r="H50" s="107">
        <f>DATE(G50,MONTH('Input|General'!$G$9),1)</f>
        <v>43983</v>
      </c>
      <c r="I50" s="106" t="str">
        <f t="shared" si="0"/>
        <v>2019–20</v>
      </c>
    </row>
    <row r="51" spans="3:20">
      <c r="C51" s="97">
        <v>41791</v>
      </c>
      <c r="D51" s="16" t="s">
        <v>64</v>
      </c>
      <c r="E51" s="16"/>
      <c r="F51" s="16"/>
      <c r="G51" s="93">
        <v>2021</v>
      </c>
      <c r="H51" s="107">
        <f>DATE(G51,MONTH('Input|General'!$G$9),1)</f>
        <v>44348</v>
      </c>
      <c r="I51" s="106" t="str">
        <f t="shared" si="0"/>
        <v>2020–21</v>
      </c>
    </row>
    <row r="52" spans="3:20">
      <c r="C52" s="97">
        <v>42156</v>
      </c>
      <c r="D52" s="16" t="s">
        <v>64</v>
      </c>
      <c r="E52" s="16"/>
      <c r="F52" s="16"/>
      <c r="G52" s="93">
        <v>2022</v>
      </c>
      <c r="H52" s="107">
        <f>DATE(G52,MONTH('Input|General'!$G$9),1)</f>
        <v>44713</v>
      </c>
      <c r="I52" s="106" t="str">
        <f t="shared" si="0"/>
        <v>2021–22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2023</v>
      </c>
      <c r="H53" s="107">
        <f>DATE(G53,MONTH('Input|General'!$G$9),1)</f>
        <v>45078</v>
      </c>
      <c r="I53" s="106" t="str">
        <f t="shared" si="0"/>
        <v>2022–23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2024</v>
      </c>
      <c r="H54" s="107">
        <f>DATE(G54,MONTH('Input|General'!$G$9),1)</f>
        <v>45444</v>
      </c>
      <c r="I54" s="106" t="str">
        <f t="shared" si="0"/>
        <v>2023–24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2025</v>
      </c>
      <c r="H55" s="107">
        <f>DATE(G55,MONTH('Input|General'!$G$9),1)</f>
        <v>45809</v>
      </c>
      <c r="I55" s="106" t="str">
        <f t="shared" si="0"/>
        <v>2024–25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2026</v>
      </c>
      <c r="H56" s="107">
        <f>DATE(G56,MONTH('Input|General'!$G$9),1)</f>
        <v>46174</v>
      </c>
      <c r="I56" s="106" t="str">
        <f t="shared" si="0"/>
        <v>2025–26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2027</v>
      </c>
      <c r="H57" s="107">
        <f>DATE(G57,MONTH('Input|General'!$G$9),1)</f>
        <v>46539</v>
      </c>
      <c r="I57" s="106" t="str">
        <f t="shared" si="0"/>
        <v>2026–27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2028</v>
      </c>
      <c r="H58" s="107">
        <f>DATE(G58,MONTH('Input|General'!$G$9),1)</f>
        <v>46905</v>
      </c>
      <c r="I58" s="106" t="str">
        <f t="shared" si="0"/>
        <v>2027–28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2029</v>
      </c>
      <c r="H59" s="107">
        <f>DATE(G59,MONTH('Input|General'!$G$9),1)</f>
        <v>47270</v>
      </c>
      <c r="I59" s="106" t="str">
        <f t="shared" si="0"/>
        <v>2028–29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2030</v>
      </c>
      <c r="H60" s="107">
        <f>DATE(G60,MONTH('Input|General'!$G$9),1)</f>
        <v>47635</v>
      </c>
      <c r="I60" s="106" t="str">
        <f t="shared" si="0"/>
        <v>2029–30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2031</v>
      </c>
      <c r="H61" s="107">
        <f>DATE(G61,MONTH('Input|General'!$G$9),1)</f>
        <v>48000</v>
      </c>
      <c r="I61" s="106" t="str">
        <f t="shared" si="0"/>
        <v>2030–31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2032</v>
      </c>
      <c r="H62" s="107">
        <f>DATE(G62,MONTH('Input|General'!$G$9),1)</f>
        <v>48366</v>
      </c>
      <c r="I62" s="106" t="str">
        <f t="shared" si="0"/>
        <v>2031–32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2033</v>
      </c>
      <c r="H63" s="107">
        <f>DATE(G63,MONTH('Input|General'!$G$9),1)</f>
        <v>48731</v>
      </c>
      <c r="I63" s="106" t="str">
        <f t="shared" si="0"/>
        <v>2032–33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2034</v>
      </c>
      <c r="H64" s="107">
        <f>DATE(G64,MONTH('Input|General'!$G$9),1)</f>
        <v>49096</v>
      </c>
      <c r="I64" s="106" t="str">
        <f t="shared" si="0"/>
        <v>2033–34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2035</v>
      </c>
      <c r="H65" s="107">
        <f>DATE(G65,MONTH('Input|General'!$G$9),1)</f>
        <v>49461</v>
      </c>
      <c r="I65" s="106" t="str">
        <f t="shared" si="0"/>
        <v>2034–35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2036</v>
      </c>
      <c r="H66" s="107">
        <f>DATE(G66,MONTH('Input|General'!$G$9),1)</f>
        <v>49827</v>
      </c>
      <c r="I66" s="106" t="str">
        <f t="shared" si="0"/>
        <v>2035–36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2037</v>
      </c>
      <c r="H67" s="107">
        <f>DATE(G67,MONTH('Input|General'!$G$9),1)</f>
        <v>50192</v>
      </c>
      <c r="I67" s="106" t="str">
        <f t="shared" si="0"/>
        <v>2036–37</v>
      </c>
      <c r="T67" s="17"/>
    </row>
    <row r="68" spans="1:30"/>
    <row r="69" spans="1:30" customFormat="1" ht="13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 ht="10.5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 ht="10.5">
      <c r="C72" s="15" t="s">
        <v>160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1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1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1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1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1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162</v>
      </c>
      <c r="D78" s="16" t="s">
        <v>93</v>
      </c>
      <c r="E78" s="16"/>
      <c r="F78" s="16"/>
      <c r="G78" s="106" t="str">
        <f t="shared" si="1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1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1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1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1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3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disablePrompts="1"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workbookViewId="0">
      <selection activeCell="A17" sqref="A17:XFD17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26.33203125" style="7" bestFit="1" customWidth="1"/>
    <col min="5" max="5" width="15.77734375" style="7" customWidth="1"/>
    <col min="6" max="6" width="10.6640625" style="7" customWidth="1"/>
    <col min="7" max="7" width="15" style="16" customWidth="1"/>
    <col min="8" max="9" width="5.33203125" style="8" customWidth="1"/>
    <col min="10" max="20" width="10.77734375" style="8" customWidth="1"/>
    <col min="21" max="23" width="10.77734375" style="8" hidden="1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7" t="s">
        <v>24</v>
      </c>
      <c r="S1" s="29" t="str">
        <f ca="1">IF(COUNTIF(G10:G16,"Check")=0,"Ok","Check")</f>
        <v>Ok</v>
      </c>
      <c r="U1" s="28"/>
      <c r="V1" s="29"/>
    </row>
    <row r="2" spans="1:30" s="27" customFormat="1" ht="13">
      <c r="B2" s="41" t="str">
        <f>Index!$C$16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3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 ht="10.5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 ht="10.5">
      <c r="C10" s="15" t="str">
        <f>Index!C7</f>
        <v>Input | General</v>
      </c>
      <c r="D10" s="188" t="str">
        <f t="shared" ref="D10:D16" si="0"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 ht="10.5">
      <c r="C11" s="15" t="str">
        <f>Index!C8</f>
        <v>Input | Inflation</v>
      </c>
      <c r="D11" s="188" t="str">
        <f t="shared" si="0"/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 ht="10.5">
      <c r="C12" s="15" t="str">
        <f>Index!C9</f>
        <v>Input | Reported opex</v>
      </c>
      <c r="D12" s="188" t="str">
        <f t="shared" si="0"/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 ht="10.5">
      <c r="C13" s="15" t="str">
        <f>Index!C10</f>
        <v>Input | Rate of change</v>
      </c>
      <c r="D13" s="188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 ht="10.5">
      <c r="C14" s="15" t="str">
        <f>Index!C11</f>
        <v>Input | Step changes</v>
      </c>
      <c r="D14" s="188" t="str">
        <f t="shared" si="0"/>
        <v>Input | Step changes</v>
      </c>
      <c r="E14" s="16" t="s">
        <v>28</v>
      </c>
      <c r="F14" s="16"/>
      <c r="G14" s="18" t="str">
        <f ca="1">'Input|Step changes'!S1</f>
        <v>OK</v>
      </c>
      <c r="H14" s="16"/>
      <c r="T14" s="17"/>
    </row>
    <row r="15" spans="1:30" ht="10.5">
      <c r="C15" s="15" t="str">
        <f>Index!C12</f>
        <v>Calc | Opex Forecast</v>
      </c>
      <c r="D15" s="188" t="str">
        <f t="shared" si="0"/>
        <v>Calc | Opex Forecast</v>
      </c>
      <c r="E15" s="16" t="s">
        <v>28</v>
      </c>
      <c r="F15" s="16"/>
      <c r="G15" s="18" t="s">
        <v>235</v>
      </c>
      <c r="H15" s="16"/>
      <c r="T15" s="17"/>
    </row>
    <row r="16" spans="1:30" ht="10.5">
      <c r="C16" s="15" t="str">
        <f>Index!C13</f>
        <v>Output | Models</v>
      </c>
      <c r="D16" s="188" t="str">
        <f t="shared" si="0"/>
        <v>Output | Models</v>
      </c>
      <c r="E16" s="16" t="s">
        <v>28</v>
      </c>
      <c r="F16" s="16"/>
      <c r="G16" s="18" t="s">
        <v>235</v>
      </c>
      <c r="H16" s="16"/>
      <c r="T16" s="17"/>
    </row>
    <row r="17" spans="1:30" hidden="1">
      <c r="C17" s="15"/>
    </row>
    <row r="18" spans="1:30" customFormat="1" ht="13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28483-2DE1-4D68-ACA7-C56A04903FFF}">
  <sheetPr>
    <tabColor theme="0" tint="-0.14999847407452621"/>
  </sheetPr>
  <dimension ref="A1"/>
  <sheetViews>
    <sheetView workbookViewId="0">
      <selection activeCell="T33" sqref="T33"/>
    </sheetView>
  </sheetViews>
  <sheetFormatPr defaultRowHeight="10"/>
  <cols>
    <col min="1" max="16384" width="8.88671875" style="27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A6DE0-C430-4A0E-8A29-CD0697BC3721}">
  <sheetPr>
    <tabColor theme="0" tint="-4.9989318521683403E-2"/>
  </sheetPr>
  <dimension ref="A1:AK51"/>
  <sheetViews>
    <sheetView zoomScale="80" zoomScaleNormal="80" workbookViewId="0">
      <pane xSplit="3" topLeftCell="H1" activePane="topRight" state="frozen"/>
      <selection pane="topRight" activeCell="Y44" sqref="Y44"/>
    </sheetView>
  </sheetViews>
  <sheetFormatPr defaultColWidth="10.6640625" defaultRowHeight="14.5"/>
  <cols>
    <col min="1" max="1" width="5.109375" style="278" customWidth="1"/>
    <col min="2" max="2" width="27.44140625" style="278" customWidth="1"/>
    <col min="3" max="3" width="62.44140625" style="278" bestFit="1" customWidth="1"/>
    <col min="4" max="4" width="14.109375" style="278" customWidth="1"/>
    <col min="5" max="14" width="11" style="282" customWidth="1"/>
    <col min="15" max="15" width="13.6640625" style="282" customWidth="1"/>
    <col min="16" max="16" width="13.77734375" style="282" customWidth="1"/>
    <col min="17" max="17" width="12.44140625" style="282" customWidth="1"/>
    <col min="18" max="18" width="14.109375" style="282" customWidth="1"/>
    <col min="19" max="19" width="13.6640625" style="282" customWidth="1"/>
    <col min="20" max="20" width="11" style="282" customWidth="1"/>
    <col min="21" max="21" width="12.77734375" style="282" customWidth="1"/>
    <col min="22" max="22" width="11" style="282" customWidth="1"/>
    <col min="23" max="23" width="16.77734375" style="282" customWidth="1"/>
    <col min="24" max="24" width="16.109375" style="282" customWidth="1"/>
    <col min="25" max="25" width="17.109375" style="282" customWidth="1"/>
    <col min="26" max="26" width="14.109375" style="282" customWidth="1"/>
    <col min="27" max="27" width="15.6640625" style="282" customWidth="1"/>
    <col min="28" max="28" width="17.33203125" style="282" customWidth="1"/>
    <col min="29" max="29" width="16.33203125" style="282" customWidth="1"/>
    <col min="30" max="30" width="16.6640625" style="282" customWidth="1"/>
    <col min="31" max="31" width="14.109375" style="282" customWidth="1"/>
    <col min="32" max="36" width="17.6640625" style="282" bestFit="1" customWidth="1"/>
    <col min="37" max="37" width="15.109375" style="278" customWidth="1"/>
    <col min="38" max="16384" width="10.6640625" style="278"/>
  </cols>
  <sheetData>
    <row r="1" spans="1:36" s="277" customFormat="1" ht="20" thickBot="1">
      <c r="A1" s="277" t="s">
        <v>258</v>
      </c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</row>
    <row r="2" spans="1:36" ht="15" thickTop="1">
      <c r="J2" s="217" t="s">
        <v>259</v>
      </c>
      <c r="K2" s="216"/>
      <c r="L2" s="218">
        <v>0</v>
      </c>
    </row>
    <row r="3" spans="1:36" s="279" customFormat="1" ht="28" customHeight="1">
      <c r="B3" s="219" t="s">
        <v>260</v>
      </c>
      <c r="C3" s="220" t="s">
        <v>261</v>
      </c>
      <c r="D3" s="221" t="s">
        <v>262</v>
      </c>
      <c r="E3" s="221" t="s">
        <v>263</v>
      </c>
      <c r="F3" s="222" t="s">
        <v>264</v>
      </c>
      <c r="G3" s="222" t="s">
        <v>325</v>
      </c>
      <c r="H3" s="222" t="s">
        <v>326</v>
      </c>
      <c r="I3" s="222" t="s">
        <v>265</v>
      </c>
      <c r="J3" s="221" t="s">
        <v>266</v>
      </c>
      <c r="K3" s="222" t="s">
        <v>267</v>
      </c>
      <c r="L3" s="222" t="s">
        <v>268</v>
      </c>
      <c r="M3" s="222" t="s">
        <v>269</v>
      </c>
      <c r="N3" s="223" t="s">
        <v>270</v>
      </c>
      <c r="O3" s="224" t="s">
        <v>271</v>
      </c>
      <c r="P3" s="225" t="s">
        <v>272</v>
      </c>
      <c r="Q3" s="225" t="s">
        <v>273</v>
      </c>
      <c r="R3" s="225" t="s">
        <v>327</v>
      </c>
      <c r="S3" s="225" t="s">
        <v>328</v>
      </c>
      <c r="T3" s="226" t="s">
        <v>274</v>
      </c>
      <c r="U3" s="227" t="s">
        <v>275</v>
      </c>
      <c r="V3" s="225" t="s">
        <v>276</v>
      </c>
      <c r="W3" s="225" t="s">
        <v>277</v>
      </c>
      <c r="X3" s="225" t="s">
        <v>278</v>
      </c>
      <c r="Y3" s="226" t="s">
        <v>279</v>
      </c>
      <c r="Z3" s="228" t="s">
        <v>280</v>
      </c>
      <c r="AA3" s="228" t="s">
        <v>281</v>
      </c>
      <c r="AB3" s="229" t="s">
        <v>282</v>
      </c>
      <c r="AC3" s="229" t="s">
        <v>329</v>
      </c>
      <c r="AD3" s="229" t="s">
        <v>330</v>
      </c>
      <c r="AE3" s="230" t="s">
        <v>283</v>
      </c>
      <c r="AF3" s="228" t="s">
        <v>284</v>
      </c>
      <c r="AG3" s="305" t="s">
        <v>285</v>
      </c>
      <c r="AH3" s="305" t="s">
        <v>286</v>
      </c>
      <c r="AI3" s="305" t="s">
        <v>287</v>
      </c>
      <c r="AJ3" s="230" t="s">
        <v>288</v>
      </c>
    </row>
    <row r="4" spans="1:36">
      <c r="B4" s="308" t="s">
        <v>289</v>
      </c>
      <c r="C4" s="311" t="s">
        <v>290</v>
      </c>
      <c r="D4" s="231"/>
      <c r="E4" s="231"/>
      <c r="F4" s="232"/>
      <c r="G4" s="232"/>
      <c r="H4" s="232"/>
      <c r="I4" s="232"/>
      <c r="J4" s="231"/>
      <c r="K4" s="232"/>
      <c r="L4" s="232"/>
      <c r="M4" s="232"/>
      <c r="N4" s="233"/>
      <c r="O4" s="234"/>
      <c r="P4" s="235"/>
      <c r="Q4" s="235"/>
      <c r="R4" s="235"/>
      <c r="S4" s="235"/>
      <c r="T4" s="236"/>
      <c r="U4" s="237"/>
      <c r="V4" s="235"/>
      <c r="W4" s="235"/>
      <c r="X4" s="235"/>
      <c r="Y4" s="236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4"/>
    </row>
    <row r="5" spans="1:36">
      <c r="B5" s="308" t="s">
        <v>289</v>
      </c>
      <c r="C5" s="311" t="s">
        <v>291</v>
      </c>
      <c r="D5" s="231"/>
      <c r="E5" s="231"/>
      <c r="F5" s="232"/>
      <c r="G5" s="232"/>
      <c r="H5" s="232"/>
      <c r="I5" s="232"/>
      <c r="J5" s="231"/>
      <c r="K5" s="232"/>
      <c r="L5" s="232"/>
      <c r="M5" s="232"/>
      <c r="N5" s="233"/>
      <c r="O5" s="234"/>
      <c r="P5" s="235"/>
      <c r="Q5" s="235"/>
      <c r="R5" s="235"/>
      <c r="S5" s="235"/>
      <c r="T5" s="236"/>
      <c r="U5" s="237"/>
      <c r="V5" s="235"/>
      <c r="W5" s="235"/>
      <c r="X5" s="235"/>
      <c r="Y5" s="236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4"/>
    </row>
    <row r="6" spans="1:36">
      <c r="B6" s="308" t="s">
        <v>289</v>
      </c>
      <c r="C6" s="311" t="s">
        <v>292</v>
      </c>
      <c r="D6" s="231"/>
      <c r="E6" s="231"/>
      <c r="F6" s="232"/>
      <c r="G6" s="232"/>
      <c r="H6" s="232"/>
      <c r="I6" s="232"/>
      <c r="J6" s="231"/>
      <c r="K6" s="232"/>
      <c r="L6" s="232"/>
      <c r="M6" s="232"/>
      <c r="N6" s="233"/>
      <c r="O6" s="234"/>
      <c r="P6" s="235"/>
      <c r="Q6" s="235"/>
      <c r="R6" s="235"/>
      <c r="S6" s="235"/>
      <c r="T6" s="236"/>
      <c r="U6" s="237"/>
      <c r="V6" s="235"/>
      <c r="W6" s="235"/>
      <c r="X6" s="235"/>
      <c r="Y6" s="236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4"/>
    </row>
    <row r="7" spans="1:36">
      <c r="B7" s="308" t="s">
        <v>293</v>
      </c>
      <c r="C7" s="311" t="s">
        <v>294</v>
      </c>
      <c r="D7" s="231"/>
      <c r="E7" s="231"/>
      <c r="F7" s="232"/>
      <c r="G7" s="232"/>
      <c r="H7" s="232"/>
      <c r="I7" s="232"/>
      <c r="J7" s="231"/>
      <c r="K7" s="232"/>
      <c r="L7" s="232"/>
      <c r="M7" s="232"/>
      <c r="N7" s="233"/>
      <c r="O7" s="234"/>
      <c r="P7" s="235"/>
      <c r="Q7" s="235"/>
      <c r="R7" s="235"/>
      <c r="S7" s="235"/>
      <c r="T7" s="236"/>
      <c r="U7" s="237"/>
      <c r="V7" s="235"/>
      <c r="W7" s="235"/>
      <c r="X7" s="235"/>
      <c r="Y7" s="236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4"/>
    </row>
    <row r="8" spans="1:36">
      <c r="B8" s="308" t="s">
        <v>293</v>
      </c>
      <c r="C8" s="311" t="s">
        <v>295</v>
      </c>
      <c r="D8" s="231"/>
      <c r="E8" s="231"/>
      <c r="F8" s="232"/>
      <c r="G8" s="232"/>
      <c r="H8" s="232"/>
      <c r="I8" s="232"/>
      <c r="J8" s="231"/>
      <c r="K8" s="232"/>
      <c r="L8" s="232"/>
      <c r="M8" s="232"/>
      <c r="N8" s="233"/>
      <c r="O8" s="234"/>
      <c r="P8" s="235"/>
      <c r="Q8" s="235"/>
      <c r="R8" s="235"/>
      <c r="S8" s="235"/>
      <c r="T8" s="236"/>
      <c r="U8" s="237"/>
      <c r="V8" s="235"/>
      <c r="W8" s="235"/>
      <c r="X8" s="235"/>
      <c r="Y8" s="236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4"/>
    </row>
    <row r="9" spans="1:36">
      <c r="B9" s="308" t="s">
        <v>293</v>
      </c>
      <c r="C9" s="311" t="s">
        <v>296</v>
      </c>
      <c r="D9" s="231"/>
      <c r="E9" s="231"/>
      <c r="F9" s="232"/>
      <c r="G9" s="232"/>
      <c r="H9" s="232"/>
      <c r="I9" s="232"/>
      <c r="J9" s="231"/>
      <c r="K9" s="232"/>
      <c r="L9" s="232"/>
      <c r="M9" s="232"/>
      <c r="N9" s="233"/>
      <c r="O9" s="234"/>
      <c r="P9" s="235"/>
      <c r="Q9" s="235"/>
      <c r="R9" s="235"/>
      <c r="S9" s="235"/>
      <c r="T9" s="236"/>
      <c r="U9" s="237"/>
      <c r="V9" s="235"/>
      <c r="W9" s="235"/>
      <c r="X9" s="235"/>
      <c r="Y9" s="236"/>
      <c r="Z9" s="231"/>
      <c r="AA9" s="231"/>
      <c r="AB9" s="231"/>
      <c r="AC9" s="231"/>
      <c r="AD9" s="231"/>
      <c r="AE9" s="231"/>
      <c r="AF9" s="231"/>
      <c r="AG9" s="231"/>
      <c r="AH9" s="231"/>
      <c r="AI9" s="231"/>
      <c r="AJ9" s="234"/>
    </row>
    <row r="10" spans="1:36">
      <c r="B10" s="308" t="s">
        <v>293</v>
      </c>
      <c r="C10" s="311" t="s">
        <v>297</v>
      </c>
      <c r="D10" s="231"/>
      <c r="E10" s="231"/>
      <c r="F10" s="232"/>
      <c r="G10" s="232"/>
      <c r="H10" s="232"/>
      <c r="I10" s="232"/>
      <c r="J10" s="231"/>
      <c r="K10" s="232"/>
      <c r="L10" s="232"/>
      <c r="M10" s="232"/>
      <c r="N10" s="233"/>
      <c r="O10" s="234"/>
      <c r="P10" s="235"/>
      <c r="Q10" s="235"/>
      <c r="R10" s="235"/>
      <c r="S10" s="235"/>
      <c r="T10" s="236"/>
      <c r="U10" s="237"/>
      <c r="V10" s="235"/>
      <c r="W10" s="235"/>
      <c r="X10" s="235"/>
      <c r="Y10" s="236"/>
      <c r="Z10" s="231"/>
      <c r="AA10" s="231"/>
      <c r="AB10" s="231"/>
      <c r="AC10" s="231"/>
      <c r="AD10" s="231"/>
      <c r="AE10" s="231"/>
      <c r="AF10" s="231"/>
      <c r="AG10" s="231"/>
      <c r="AH10" s="231"/>
      <c r="AI10" s="231"/>
      <c r="AJ10" s="234"/>
    </row>
    <row r="11" spans="1:36">
      <c r="B11" s="308" t="s">
        <v>298</v>
      </c>
      <c r="C11" s="215" t="s">
        <v>299</v>
      </c>
      <c r="D11" s="238">
        <v>90</v>
      </c>
      <c r="E11" s="238">
        <v>90</v>
      </c>
      <c r="F11" s="239">
        <v>90</v>
      </c>
      <c r="G11" s="239">
        <v>90</v>
      </c>
      <c r="H11" s="239">
        <f t="shared" ref="H11:I11" si="0">$E11</f>
        <v>90</v>
      </c>
      <c r="I11" s="240">
        <f t="shared" si="0"/>
        <v>90</v>
      </c>
      <c r="J11" s="238">
        <f>I11*(1+L$2)</f>
        <v>90</v>
      </c>
      <c r="K11" s="240">
        <f t="shared" ref="K11:N11" si="1">J11</f>
        <v>90</v>
      </c>
      <c r="L11" s="240">
        <f t="shared" si="1"/>
        <v>90</v>
      </c>
      <c r="M11" s="240">
        <f t="shared" si="1"/>
        <v>90</v>
      </c>
      <c r="N11" s="241">
        <f t="shared" si="1"/>
        <v>90</v>
      </c>
      <c r="O11" s="402">
        <v>69407</v>
      </c>
      <c r="P11" s="242">
        <v>100133</v>
      </c>
      <c r="Q11" s="242">
        <v>13755</v>
      </c>
      <c r="R11" s="242">
        <v>19069</v>
      </c>
      <c r="S11" s="243">
        <f>4193+4886+3651+1727+54+2929+46</f>
        <v>17486</v>
      </c>
      <c r="T11" s="244">
        <f>AVERAGE($O11:S11)</f>
        <v>43970</v>
      </c>
      <c r="U11" s="245">
        <f>T11</f>
        <v>43970</v>
      </c>
      <c r="V11" s="246">
        <f>U11</f>
        <v>43970</v>
      </c>
      <c r="W11" s="246">
        <f>V11</f>
        <v>43970</v>
      </c>
      <c r="X11" s="246">
        <f t="shared" ref="X11" si="2">W11</f>
        <v>43970</v>
      </c>
      <c r="Y11" s="244">
        <f>X11</f>
        <v>43970</v>
      </c>
      <c r="Z11" s="247">
        <f>O11*D11</f>
        <v>6246630</v>
      </c>
      <c r="AA11" s="248">
        <f t="shared" ref="AA11:AJ11" si="3">E11*P11</f>
        <v>9011970</v>
      </c>
      <c r="AB11" s="248">
        <f t="shared" si="3"/>
        <v>1237950</v>
      </c>
      <c r="AC11" s="248">
        <f t="shared" si="3"/>
        <v>1716210</v>
      </c>
      <c r="AD11" s="247">
        <f t="shared" si="3"/>
        <v>1573740</v>
      </c>
      <c r="AE11" s="249">
        <f>I11*T11</f>
        <v>3957300</v>
      </c>
      <c r="AF11" s="249">
        <f>J11*U11</f>
        <v>3957300</v>
      </c>
      <c r="AG11" s="249">
        <f t="shared" si="3"/>
        <v>3957300</v>
      </c>
      <c r="AH11" s="249">
        <f t="shared" si="3"/>
        <v>3957300</v>
      </c>
      <c r="AI11" s="249">
        <f t="shared" si="3"/>
        <v>3957300</v>
      </c>
      <c r="AJ11" s="306">
        <f t="shared" si="3"/>
        <v>3957300</v>
      </c>
    </row>
    <row r="12" spans="1:36">
      <c r="B12" s="308" t="s">
        <v>298</v>
      </c>
      <c r="C12" s="215" t="s">
        <v>300</v>
      </c>
      <c r="D12" s="231"/>
      <c r="E12" s="231"/>
      <c r="F12" s="232"/>
      <c r="G12" s="232"/>
      <c r="H12" s="232"/>
      <c r="I12" s="232"/>
      <c r="J12" s="231"/>
      <c r="K12" s="232"/>
      <c r="L12" s="232"/>
      <c r="M12" s="232"/>
      <c r="N12" s="233"/>
      <c r="O12" s="250"/>
      <c r="P12" s="235"/>
      <c r="Q12" s="235"/>
      <c r="R12" s="235"/>
      <c r="S12" s="235"/>
      <c r="T12" s="236"/>
      <c r="U12" s="237"/>
      <c r="V12" s="235"/>
      <c r="W12" s="235"/>
      <c r="X12" s="235"/>
      <c r="Y12" s="236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4"/>
    </row>
    <row r="13" spans="1:36">
      <c r="B13" s="308" t="s">
        <v>298</v>
      </c>
      <c r="C13" s="215" t="s">
        <v>301</v>
      </c>
      <c r="D13" s="238">
        <v>130</v>
      </c>
      <c r="E13" s="238">
        <v>130</v>
      </c>
      <c r="F13" s="239">
        <v>130</v>
      </c>
      <c r="G13" s="239">
        <v>130</v>
      </c>
      <c r="H13" s="239">
        <f t="shared" ref="G13:I20" si="4">$E13</f>
        <v>130</v>
      </c>
      <c r="I13" s="240">
        <f t="shared" si="4"/>
        <v>130</v>
      </c>
      <c r="J13" s="238">
        <f>I13*(1+L$2)</f>
        <v>130</v>
      </c>
      <c r="K13" s="240">
        <f t="shared" ref="K13:N20" si="5">J13</f>
        <v>130</v>
      </c>
      <c r="L13" s="240">
        <f t="shared" si="5"/>
        <v>130</v>
      </c>
      <c r="M13" s="240">
        <f t="shared" si="5"/>
        <v>130</v>
      </c>
      <c r="N13" s="241">
        <f t="shared" si="5"/>
        <v>130</v>
      </c>
      <c r="O13" s="243">
        <v>9911</v>
      </c>
      <c r="P13" s="251">
        <v>12039</v>
      </c>
      <c r="Q13" s="242">
        <v>16114</v>
      </c>
      <c r="R13" s="242">
        <v>21974</v>
      </c>
      <c r="S13" s="243">
        <v>25515</v>
      </c>
      <c r="T13" s="244">
        <f>AVERAGE($O13:S13)</f>
        <v>17110.599999999999</v>
      </c>
      <c r="U13" s="245">
        <f>T13</f>
        <v>17110.599999999999</v>
      </c>
      <c r="V13" s="246">
        <f>U13</f>
        <v>17110.599999999999</v>
      </c>
      <c r="W13" s="246">
        <f>V13</f>
        <v>17110.599999999999</v>
      </c>
      <c r="X13" s="246">
        <f>W13</f>
        <v>17110.599999999999</v>
      </c>
      <c r="Y13" s="244">
        <f>X13</f>
        <v>17110.599999999999</v>
      </c>
      <c r="Z13" s="247">
        <f t="shared" ref="Z13:AJ20" si="6">D13*O13</f>
        <v>1288430</v>
      </c>
      <c r="AA13" s="248">
        <f t="shared" si="6"/>
        <v>1565070</v>
      </c>
      <c r="AB13" s="248">
        <f t="shared" si="6"/>
        <v>2094820</v>
      </c>
      <c r="AC13" s="248">
        <f t="shared" si="6"/>
        <v>2856620</v>
      </c>
      <c r="AD13" s="247">
        <f t="shared" si="6"/>
        <v>3316950</v>
      </c>
      <c r="AE13" s="249">
        <f t="shared" si="6"/>
        <v>2224378</v>
      </c>
      <c r="AF13" s="249">
        <f t="shared" si="6"/>
        <v>2224378</v>
      </c>
      <c r="AG13" s="249">
        <f t="shared" si="6"/>
        <v>2224378</v>
      </c>
      <c r="AH13" s="249">
        <f t="shared" si="6"/>
        <v>2224378</v>
      </c>
      <c r="AI13" s="249">
        <f t="shared" si="6"/>
        <v>2224378</v>
      </c>
      <c r="AJ13" s="306">
        <f t="shared" si="6"/>
        <v>2224378</v>
      </c>
    </row>
    <row r="14" spans="1:36">
      <c r="B14" s="308" t="s">
        <v>298</v>
      </c>
      <c r="C14" s="215" t="s">
        <v>302</v>
      </c>
      <c r="D14" s="238">
        <v>190</v>
      </c>
      <c r="E14" s="238">
        <v>190</v>
      </c>
      <c r="F14" s="239">
        <v>190</v>
      </c>
      <c r="G14" s="239">
        <v>190</v>
      </c>
      <c r="H14" s="239">
        <f t="shared" si="4"/>
        <v>190</v>
      </c>
      <c r="I14" s="240">
        <f t="shared" si="4"/>
        <v>190</v>
      </c>
      <c r="J14" s="238">
        <f t="shared" ref="J14:J20" si="7">I14*(1+L$2)</f>
        <v>190</v>
      </c>
      <c r="K14" s="240">
        <f t="shared" si="5"/>
        <v>190</v>
      </c>
      <c r="L14" s="240">
        <f t="shared" si="5"/>
        <v>190</v>
      </c>
      <c r="M14" s="240">
        <f t="shared" si="5"/>
        <v>190</v>
      </c>
      <c r="N14" s="241">
        <f t="shared" si="5"/>
        <v>190</v>
      </c>
      <c r="O14" s="243">
        <v>5089</v>
      </c>
      <c r="P14" s="251">
        <v>6265</v>
      </c>
      <c r="Q14" s="242">
        <v>7303</v>
      </c>
      <c r="R14" s="242">
        <v>7093</v>
      </c>
      <c r="S14" s="243">
        <v>7920</v>
      </c>
      <c r="T14" s="244">
        <f>AVERAGE($O14:S14)</f>
        <v>6734</v>
      </c>
      <c r="U14" s="245">
        <f t="shared" ref="U14:Y20" si="8">T14</f>
        <v>6734</v>
      </c>
      <c r="V14" s="246">
        <f t="shared" si="8"/>
        <v>6734</v>
      </c>
      <c r="W14" s="246">
        <f t="shared" si="8"/>
        <v>6734</v>
      </c>
      <c r="X14" s="246">
        <f t="shared" si="8"/>
        <v>6734</v>
      </c>
      <c r="Y14" s="244">
        <f t="shared" si="8"/>
        <v>6734</v>
      </c>
      <c r="Z14" s="247">
        <f t="shared" si="6"/>
        <v>966910</v>
      </c>
      <c r="AA14" s="248">
        <f t="shared" si="6"/>
        <v>1190350</v>
      </c>
      <c r="AB14" s="248">
        <f t="shared" si="6"/>
        <v>1387570</v>
      </c>
      <c r="AC14" s="248">
        <f t="shared" si="6"/>
        <v>1347670</v>
      </c>
      <c r="AD14" s="247">
        <f t="shared" si="6"/>
        <v>1504800</v>
      </c>
      <c r="AE14" s="249">
        <f t="shared" si="6"/>
        <v>1279460</v>
      </c>
      <c r="AF14" s="249">
        <f t="shared" si="6"/>
        <v>1279460</v>
      </c>
      <c r="AG14" s="249">
        <f t="shared" si="6"/>
        <v>1279460</v>
      </c>
      <c r="AH14" s="249">
        <f t="shared" si="6"/>
        <v>1279460</v>
      </c>
      <c r="AI14" s="249">
        <f t="shared" si="6"/>
        <v>1279460</v>
      </c>
      <c r="AJ14" s="306">
        <f t="shared" si="6"/>
        <v>1279460</v>
      </c>
    </row>
    <row r="15" spans="1:36">
      <c r="B15" s="308" t="s">
        <v>298</v>
      </c>
      <c r="C15" s="215" t="s">
        <v>303</v>
      </c>
      <c r="D15" s="238">
        <v>380</v>
      </c>
      <c r="E15" s="238">
        <v>380</v>
      </c>
      <c r="F15" s="239">
        <v>380</v>
      </c>
      <c r="G15" s="239">
        <v>380</v>
      </c>
      <c r="H15" s="239">
        <f t="shared" si="4"/>
        <v>380</v>
      </c>
      <c r="I15" s="240">
        <f t="shared" si="4"/>
        <v>380</v>
      </c>
      <c r="J15" s="238">
        <f t="shared" si="7"/>
        <v>380</v>
      </c>
      <c r="K15" s="240">
        <f t="shared" si="5"/>
        <v>380</v>
      </c>
      <c r="L15" s="240">
        <f t="shared" si="5"/>
        <v>380</v>
      </c>
      <c r="M15" s="240">
        <f t="shared" si="5"/>
        <v>380</v>
      </c>
      <c r="N15" s="241">
        <f t="shared" si="5"/>
        <v>380</v>
      </c>
      <c r="O15" s="243">
        <v>800</v>
      </c>
      <c r="P15" s="251">
        <v>831</v>
      </c>
      <c r="Q15" s="242">
        <v>1538</v>
      </c>
      <c r="R15" s="242">
        <v>1437</v>
      </c>
      <c r="S15" s="243">
        <v>1543</v>
      </c>
      <c r="T15" s="244">
        <f>AVERAGE($O15:S15)</f>
        <v>1229.8</v>
      </c>
      <c r="U15" s="245">
        <f>T15</f>
        <v>1229.8</v>
      </c>
      <c r="V15" s="246">
        <f t="shared" si="8"/>
        <v>1229.8</v>
      </c>
      <c r="W15" s="246">
        <f t="shared" si="8"/>
        <v>1229.8</v>
      </c>
      <c r="X15" s="246">
        <f t="shared" si="8"/>
        <v>1229.8</v>
      </c>
      <c r="Y15" s="244">
        <f t="shared" si="8"/>
        <v>1229.8</v>
      </c>
      <c r="Z15" s="247">
        <f t="shared" si="6"/>
        <v>304000</v>
      </c>
      <c r="AA15" s="248">
        <f t="shared" si="6"/>
        <v>315780</v>
      </c>
      <c r="AB15" s="248">
        <f t="shared" si="6"/>
        <v>584440</v>
      </c>
      <c r="AC15" s="248">
        <f t="shared" si="6"/>
        <v>546060</v>
      </c>
      <c r="AD15" s="247">
        <f t="shared" si="6"/>
        <v>586340</v>
      </c>
      <c r="AE15" s="249">
        <f t="shared" si="6"/>
        <v>467324</v>
      </c>
      <c r="AF15" s="249">
        <f t="shared" si="6"/>
        <v>467324</v>
      </c>
      <c r="AG15" s="249">
        <f t="shared" si="6"/>
        <v>467324</v>
      </c>
      <c r="AH15" s="249">
        <f t="shared" si="6"/>
        <v>467324</v>
      </c>
      <c r="AI15" s="249">
        <f t="shared" si="6"/>
        <v>467324</v>
      </c>
      <c r="AJ15" s="306">
        <f t="shared" si="6"/>
        <v>467324</v>
      </c>
    </row>
    <row r="16" spans="1:36">
      <c r="B16" s="308" t="s">
        <v>298</v>
      </c>
      <c r="C16" s="215" t="s">
        <v>304</v>
      </c>
      <c r="D16" s="238">
        <v>40</v>
      </c>
      <c r="E16" s="238">
        <v>40</v>
      </c>
      <c r="F16" s="239">
        <v>40</v>
      </c>
      <c r="G16" s="239">
        <f t="shared" si="4"/>
        <v>40</v>
      </c>
      <c r="H16" s="239">
        <f t="shared" si="4"/>
        <v>40</v>
      </c>
      <c r="I16" s="240">
        <f t="shared" si="4"/>
        <v>40</v>
      </c>
      <c r="J16" s="238">
        <f t="shared" si="7"/>
        <v>40</v>
      </c>
      <c r="K16" s="240">
        <f t="shared" si="5"/>
        <v>40</v>
      </c>
      <c r="L16" s="240">
        <f t="shared" si="5"/>
        <v>40</v>
      </c>
      <c r="M16" s="240">
        <f t="shared" si="5"/>
        <v>40</v>
      </c>
      <c r="N16" s="241">
        <f t="shared" si="5"/>
        <v>40</v>
      </c>
      <c r="O16" s="243">
        <v>12807</v>
      </c>
      <c r="P16" s="251">
        <v>8412</v>
      </c>
      <c r="Q16" s="242">
        <v>7557</v>
      </c>
      <c r="R16" s="242">
        <v>5860</v>
      </c>
      <c r="S16" s="243">
        <v>6982</v>
      </c>
      <c r="T16" s="244">
        <f>AVERAGE($O16:S16)</f>
        <v>8323.6</v>
      </c>
      <c r="U16" s="245">
        <f t="shared" si="8"/>
        <v>8323.6</v>
      </c>
      <c r="V16" s="246">
        <f t="shared" si="8"/>
        <v>8323.6</v>
      </c>
      <c r="W16" s="246">
        <f t="shared" si="8"/>
        <v>8323.6</v>
      </c>
      <c r="X16" s="246">
        <f t="shared" si="8"/>
        <v>8323.6</v>
      </c>
      <c r="Y16" s="244">
        <f t="shared" si="8"/>
        <v>8323.6</v>
      </c>
      <c r="Z16" s="247">
        <f t="shared" si="6"/>
        <v>512280</v>
      </c>
      <c r="AA16" s="248">
        <f t="shared" si="6"/>
        <v>336480</v>
      </c>
      <c r="AB16" s="248">
        <f t="shared" si="6"/>
        <v>302280</v>
      </c>
      <c r="AC16" s="248">
        <f t="shared" si="6"/>
        <v>234400</v>
      </c>
      <c r="AD16" s="247">
        <f t="shared" si="6"/>
        <v>279280</v>
      </c>
      <c r="AE16" s="249">
        <f t="shared" si="6"/>
        <v>332944</v>
      </c>
      <c r="AF16" s="249">
        <f t="shared" si="6"/>
        <v>332944</v>
      </c>
      <c r="AG16" s="249">
        <f t="shared" si="6"/>
        <v>332944</v>
      </c>
      <c r="AH16" s="249">
        <f t="shared" si="6"/>
        <v>332944</v>
      </c>
      <c r="AI16" s="249">
        <f t="shared" si="6"/>
        <v>332944</v>
      </c>
      <c r="AJ16" s="306">
        <f t="shared" si="6"/>
        <v>332944</v>
      </c>
    </row>
    <row r="17" spans="2:36">
      <c r="B17" s="308" t="s">
        <v>298</v>
      </c>
      <c r="C17" s="215" t="s">
        <v>305</v>
      </c>
      <c r="D17" s="238">
        <v>50</v>
      </c>
      <c r="E17" s="238">
        <v>50</v>
      </c>
      <c r="F17" s="239">
        <v>50</v>
      </c>
      <c r="G17" s="239">
        <f t="shared" si="4"/>
        <v>50</v>
      </c>
      <c r="H17" s="239">
        <f t="shared" si="4"/>
        <v>50</v>
      </c>
      <c r="I17" s="240">
        <f t="shared" si="4"/>
        <v>50</v>
      </c>
      <c r="J17" s="238">
        <f t="shared" si="7"/>
        <v>50</v>
      </c>
      <c r="K17" s="240">
        <f t="shared" si="5"/>
        <v>50</v>
      </c>
      <c r="L17" s="240">
        <f t="shared" si="5"/>
        <v>50</v>
      </c>
      <c r="M17" s="240">
        <f t="shared" si="5"/>
        <v>50</v>
      </c>
      <c r="N17" s="241">
        <f t="shared" si="5"/>
        <v>50</v>
      </c>
      <c r="O17" s="243">
        <v>2968</v>
      </c>
      <c r="P17" s="251">
        <v>5765</v>
      </c>
      <c r="Q17" s="242">
        <v>5488</v>
      </c>
      <c r="R17" s="242">
        <v>2398</v>
      </c>
      <c r="S17" s="243">
        <v>583</v>
      </c>
      <c r="T17" s="244">
        <f>AVERAGE($O17:S17)</f>
        <v>3440.4</v>
      </c>
      <c r="U17" s="245">
        <f t="shared" si="8"/>
        <v>3440.4</v>
      </c>
      <c r="V17" s="246">
        <f t="shared" si="8"/>
        <v>3440.4</v>
      </c>
      <c r="W17" s="246">
        <f t="shared" si="8"/>
        <v>3440.4</v>
      </c>
      <c r="X17" s="246">
        <f t="shared" si="8"/>
        <v>3440.4</v>
      </c>
      <c r="Y17" s="244">
        <f t="shared" si="8"/>
        <v>3440.4</v>
      </c>
      <c r="Z17" s="247">
        <f t="shared" si="6"/>
        <v>148400</v>
      </c>
      <c r="AA17" s="248">
        <f t="shared" si="6"/>
        <v>288250</v>
      </c>
      <c r="AB17" s="248">
        <f t="shared" si="6"/>
        <v>274400</v>
      </c>
      <c r="AC17" s="248">
        <f t="shared" si="6"/>
        <v>119900</v>
      </c>
      <c r="AD17" s="247">
        <f t="shared" si="6"/>
        <v>29150</v>
      </c>
      <c r="AE17" s="249">
        <f t="shared" si="6"/>
        <v>172020</v>
      </c>
      <c r="AF17" s="249">
        <f t="shared" si="6"/>
        <v>172020</v>
      </c>
      <c r="AG17" s="249">
        <f t="shared" si="6"/>
        <v>172020</v>
      </c>
      <c r="AH17" s="249">
        <f t="shared" si="6"/>
        <v>172020</v>
      </c>
      <c r="AI17" s="249">
        <f t="shared" si="6"/>
        <v>172020</v>
      </c>
      <c r="AJ17" s="306">
        <f t="shared" si="6"/>
        <v>172020</v>
      </c>
    </row>
    <row r="18" spans="2:36">
      <c r="B18" s="308" t="s">
        <v>298</v>
      </c>
      <c r="C18" s="215" t="s">
        <v>306</v>
      </c>
      <c r="D18" s="238">
        <v>130</v>
      </c>
      <c r="E18" s="238">
        <v>130</v>
      </c>
      <c r="F18" s="239">
        <v>130</v>
      </c>
      <c r="G18" s="239">
        <v>130</v>
      </c>
      <c r="H18" s="239">
        <f t="shared" si="4"/>
        <v>130</v>
      </c>
      <c r="I18" s="240">
        <f t="shared" si="4"/>
        <v>130</v>
      </c>
      <c r="J18" s="238">
        <f t="shared" si="7"/>
        <v>130</v>
      </c>
      <c r="K18" s="240">
        <f t="shared" si="5"/>
        <v>130</v>
      </c>
      <c r="L18" s="240">
        <f t="shared" si="5"/>
        <v>130</v>
      </c>
      <c r="M18" s="240">
        <f t="shared" si="5"/>
        <v>130</v>
      </c>
      <c r="N18" s="241">
        <f t="shared" si="5"/>
        <v>130</v>
      </c>
      <c r="O18" s="243">
        <v>3909</v>
      </c>
      <c r="P18" s="251">
        <v>2172</v>
      </c>
      <c r="Q18" s="242">
        <v>7702</v>
      </c>
      <c r="R18" s="242">
        <v>6036</v>
      </c>
      <c r="S18" s="243">
        <v>8147</v>
      </c>
      <c r="T18" s="244">
        <f>AVERAGE($O18:S18)</f>
        <v>5593.2</v>
      </c>
      <c r="U18" s="245">
        <f t="shared" si="8"/>
        <v>5593.2</v>
      </c>
      <c r="V18" s="246">
        <f t="shared" si="8"/>
        <v>5593.2</v>
      </c>
      <c r="W18" s="246">
        <f t="shared" si="8"/>
        <v>5593.2</v>
      </c>
      <c r="X18" s="246">
        <f t="shared" si="8"/>
        <v>5593.2</v>
      </c>
      <c r="Y18" s="244">
        <f t="shared" si="8"/>
        <v>5593.2</v>
      </c>
      <c r="Z18" s="247">
        <f t="shared" si="6"/>
        <v>508170</v>
      </c>
      <c r="AA18" s="248">
        <f t="shared" si="6"/>
        <v>282360</v>
      </c>
      <c r="AB18" s="248">
        <f t="shared" si="6"/>
        <v>1001260</v>
      </c>
      <c r="AC18" s="248">
        <f t="shared" si="6"/>
        <v>784680</v>
      </c>
      <c r="AD18" s="247">
        <f t="shared" si="6"/>
        <v>1059110</v>
      </c>
      <c r="AE18" s="249">
        <f t="shared" si="6"/>
        <v>727116</v>
      </c>
      <c r="AF18" s="249">
        <f t="shared" si="6"/>
        <v>727116</v>
      </c>
      <c r="AG18" s="249">
        <f t="shared" si="6"/>
        <v>727116</v>
      </c>
      <c r="AH18" s="249">
        <f t="shared" si="6"/>
        <v>727116</v>
      </c>
      <c r="AI18" s="249">
        <f t="shared" si="6"/>
        <v>727116</v>
      </c>
      <c r="AJ18" s="306">
        <f t="shared" si="6"/>
        <v>727116</v>
      </c>
    </row>
    <row r="19" spans="2:36">
      <c r="B19" s="308" t="s">
        <v>298</v>
      </c>
      <c r="C19" s="215" t="s">
        <v>307</v>
      </c>
      <c r="D19" s="238">
        <v>190</v>
      </c>
      <c r="E19" s="238">
        <v>190</v>
      </c>
      <c r="F19" s="239">
        <v>190</v>
      </c>
      <c r="G19" s="239">
        <f t="shared" si="4"/>
        <v>190</v>
      </c>
      <c r="H19" s="239">
        <f t="shared" si="4"/>
        <v>190</v>
      </c>
      <c r="I19" s="240">
        <f t="shared" si="4"/>
        <v>190</v>
      </c>
      <c r="J19" s="238">
        <f t="shared" si="7"/>
        <v>190</v>
      </c>
      <c r="K19" s="240">
        <f t="shared" si="5"/>
        <v>190</v>
      </c>
      <c r="L19" s="240">
        <f t="shared" si="5"/>
        <v>190</v>
      </c>
      <c r="M19" s="240">
        <f t="shared" si="5"/>
        <v>190</v>
      </c>
      <c r="N19" s="241">
        <f t="shared" si="5"/>
        <v>190</v>
      </c>
      <c r="O19" s="243">
        <v>778</v>
      </c>
      <c r="P19" s="251">
        <v>790</v>
      </c>
      <c r="Q19" s="242">
        <v>115</v>
      </c>
      <c r="R19" s="242">
        <v>551</v>
      </c>
      <c r="S19" s="243">
        <v>1034</v>
      </c>
      <c r="T19" s="244">
        <f>AVERAGE($O19:S19)</f>
        <v>653.6</v>
      </c>
      <c r="U19" s="245">
        <f t="shared" si="8"/>
        <v>653.6</v>
      </c>
      <c r="V19" s="246">
        <f t="shared" si="8"/>
        <v>653.6</v>
      </c>
      <c r="W19" s="246">
        <f t="shared" si="8"/>
        <v>653.6</v>
      </c>
      <c r="X19" s="246">
        <f t="shared" si="8"/>
        <v>653.6</v>
      </c>
      <c r="Y19" s="244">
        <f t="shared" si="8"/>
        <v>653.6</v>
      </c>
      <c r="Z19" s="247">
        <f t="shared" si="6"/>
        <v>147820</v>
      </c>
      <c r="AA19" s="248">
        <f t="shared" si="6"/>
        <v>150100</v>
      </c>
      <c r="AB19" s="248">
        <f t="shared" si="6"/>
        <v>21850</v>
      </c>
      <c r="AC19" s="248">
        <f t="shared" si="6"/>
        <v>104690</v>
      </c>
      <c r="AD19" s="247">
        <f t="shared" si="6"/>
        <v>196460</v>
      </c>
      <c r="AE19" s="249">
        <f t="shared" si="6"/>
        <v>124184</v>
      </c>
      <c r="AF19" s="249">
        <f t="shared" si="6"/>
        <v>124184</v>
      </c>
      <c r="AG19" s="249">
        <f t="shared" si="6"/>
        <v>124184</v>
      </c>
      <c r="AH19" s="249">
        <f t="shared" si="6"/>
        <v>124184</v>
      </c>
      <c r="AI19" s="249">
        <f t="shared" si="6"/>
        <v>124184</v>
      </c>
      <c r="AJ19" s="306">
        <f t="shared" si="6"/>
        <v>124184</v>
      </c>
    </row>
    <row r="20" spans="2:36">
      <c r="B20" s="308" t="s">
        <v>298</v>
      </c>
      <c r="C20" s="215" t="s">
        <v>308</v>
      </c>
      <c r="D20" s="238">
        <v>380</v>
      </c>
      <c r="E20" s="238">
        <v>380</v>
      </c>
      <c r="F20" s="239">
        <v>380</v>
      </c>
      <c r="G20" s="239">
        <f t="shared" si="4"/>
        <v>380</v>
      </c>
      <c r="H20" s="239">
        <f t="shared" si="4"/>
        <v>380</v>
      </c>
      <c r="I20" s="240">
        <f t="shared" si="4"/>
        <v>380</v>
      </c>
      <c r="J20" s="238">
        <f t="shared" si="7"/>
        <v>380</v>
      </c>
      <c r="K20" s="240">
        <f t="shared" si="5"/>
        <v>380</v>
      </c>
      <c r="L20" s="240">
        <f t="shared" si="5"/>
        <v>380</v>
      </c>
      <c r="M20" s="240">
        <f t="shared" si="5"/>
        <v>380</v>
      </c>
      <c r="N20" s="241">
        <f t="shared" si="5"/>
        <v>380</v>
      </c>
      <c r="O20" s="243">
        <v>0</v>
      </c>
      <c r="P20" s="251">
        <v>0</v>
      </c>
      <c r="Q20" s="242">
        <v>1</v>
      </c>
      <c r="R20" s="242">
        <v>3</v>
      </c>
      <c r="S20" s="243">
        <v>0</v>
      </c>
      <c r="T20" s="244">
        <f>AVERAGE($O20:S20)</f>
        <v>0.8</v>
      </c>
      <c r="U20" s="245">
        <f t="shared" si="8"/>
        <v>0.8</v>
      </c>
      <c r="V20" s="246">
        <f t="shared" si="8"/>
        <v>0.8</v>
      </c>
      <c r="W20" s="246">
        <f t="shared" si="8"/>
        <v>0.8</v>
      </c>
      <c r="X20" s="246">
        <f t="shared" si="8"/>
        <v>0.8</v>
      </c>
      <c r="Y20" s="244">
        <f t="shared" si="8"/>
        <v>0.8</v>
      </c>
      <c r="Z20" s="247">
        <f t="shared" si="6"/>
        <v>0</v>
      </c>
      <c r="AA20" s="248">
        <f t="shared" si="6"/>
        <v>0</v>
      </c>
      <c r="AB20" s="248">
        <f t="shared" si="6"/>
        <v>380</v>
      </c>
      <c r="AC20" s="248">
        <f t="shared" si="6"/>
        <v>1140</v>
      </c>
      <c r="AD20" s="247">
        <f t="shared" si="6"/>
        <v>0</v>
      </c>
      <c r="AE20" s="249">
        <f t="shared" si="6"/>
        <v>304</v>
      </c>
      <c r="AF20" s="249">
        <f t="shared" si="6"/>
        <v>304</v>
      </c>
      <c r="AG20" s="249">
        <f t="shared" si="6"/>
        <v>304</v>
      </c>
      <c r="AH20" s="249">
        <f t="shared" si="6"/>
        <v>304</v>
      </c>
      <c r="AI20" s="249">
        <f t="shared" si="6"/>
        <v>304</v>
      </c>
      <c r="AJ20" s="306">
        <f t="shared" si="6"/>
        <v>304</v>
      </c>
    </row>
    <row r="21" spans="2:36">
      <c r="B21" s="308" t="s">
        <v>309</v>
      </c>
      <c r="C21" s="215" t="s">
        <v>309</v>
      </c>
      <c r="D21" s="231"/>
      <c r="E21" s="231"/>
      <c r="F21" s="232"/>
      <c r="G21" s="232"/>
      <c r="H21" s="232"/>
      <c r="I21" s="232"/>
      <c r="J21" s="231"/>
      <c r="K21" s="232"/>
      <c r="L21" s="232"/>
      <c r="M21" s="232"/>
      <c r="N21" s="233"/>
      <c r="O21" s="234"/>
      <c r="P21" s="235"/>
      <c r="Q21" s="235"/>
      <c r="R21" s="235"/>
      <c r="S21" s="235"/>
      <c r="T21" s="236"/>
      <c r="U21" s="237"/>
      <c r="V21" s="235"/>
      <c r="W21" s="235"/>
      <c r="X21" s="235"/>
      <c r="Y21" s="236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4"/>
    </row>
    <row r="22" spans="2:36">
      <c r="B22" s="308" t="s">
        <v>309</v>
      </c>
      <c r="C22" s="215" t="s">
        <v>310</v>
      </c>
      <c r="D22" s="231"/>
      <c r="E22" s="231"/>
      <c r="F22" s="232"/>
      <c r="G22" s="232"/>
      <c r="H22" s="232"/>
      <c r="I22" s="232"/>
      <c r="J22" s="231"/>
      <c r="K22" s="232"/>
      <c r="L22" s="232"/>
      <c r="M22" s="232"/>
      <c r="N22" s="233"/>
      <c r="O22" s="234"/>
      <c r="P22" s="235"/>
      <c r="Q22" s="235"/>
      <c r="R22" s="235"/>
      <c r="S22" s="235"/>
      <c r="T22" s="236"/>
      <c r="U22" s="237"/>
      <c r="V22" s="235"/>
      <c r="W22" s="235"/>
      <c r="X22" s="235"/>
      <c r="Y22" s="236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4"/>
    </row>
    <row r="23" spans="2:36">
      <c r="B23" s="308" t="s">
        <v>309</v>
      </c>
      <c r="C23" s="215" t="s">
        <v>311</v>
      </c>
      <c r="D23" s="231"/>
      <c r="E23" s="231"/>
      <c r="F23" s="232"/>
      <c r="G23" s="232"/>
      <c r="H23" s="232"/>
      <c r="I23" s="232"/>
      <c r="J23" s="231"/>
      <c r="K23" s="232"/>
      <c r="L23" s="232"/>
      <c r="M23" s="232"/>
      <c r="N23" s="233"/>
      <c r="O23" s="234"/>
      <c r="P23" s="235"/>
      <c r="Q23" s="235"/>
      <c r="R23" s="235"/>
      <c r="S23" s="235"/>
      <c r="T23" s="236"/>
      <c r="U23" s="237"/>
      <c r="V23" s="235"/>
      <c r="W23" s="235"/>
      <c r="X23" s="235"/>
      <c r="Y23" s="236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4"/>
    </row>
    <row r="24" spans="2:36">
      <c r="B24" s="308" t="s">
        <v>309</v>
      </c>
      <c r="C24" s="215" t="s">
        <v>312</v>
      </c>
      <c r="D24" s="231"/>
      <c r="E24" s="231"/>
      <c r="F24" s="232"/>
      <c r="G24" s="232"/>
      <c r="H24" s="232"/>
      <c r="I24" s="232"/>
      <c r="J24" s="231"/>
      <c r="K24" s="232"/>
      <c r="L24" s="232"/>
      <c r="M24" s="232"/>
      <c r="N24" s="233"/>
      <c r="O24" s="234"/>
      <c r="P24" s="235"/>
      <c r="Q24" s="235"/>
      <c r="R24" s="235"/>
      <c r="S24" s="235"/>
      <c r="T24" s="236"/>
      <c r="U24" s="237"/>
      <c r="V24" s="235"/>
      <c r="W24" s="235"/>
      <c r="X24" s="235"/>
      <c r="Y24" s="236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4"/>
    </row>
    <row r="25" spans="2:36">
      <c r="B25" s="308" t="s">
        <v>309</v>
      </c>
      <c r="C25" s="215" t="s">
        <v>313</v>
      </c>
      <c r="D25" s="231"/>
      <c r="E25" s="231"/>
      <c r="F25" s="232"/>
      <c r="G25" s="232"/>
      <c r="H25" s="232"/>
      <c r="I25" s="232"/>
      <c r="J25" s="231"/>
      <c r="K25" s="232"/>
      <c r="L25" s="232"/>
      <c r="M25" s="232"/>
      <c r="N25" s="233"/>
      <c r="O25" s="234"/>
      <c r="P25" s="252"/>
      <c r="Q25" s="252"/>
      <c r="R25" s="252"/>
      <c r="S25" s="252"/>
      <c r="T25" s="253"/>
      <c r="U25" s="254"/>
      <c r="V25" s="252"/>
      <c r="W25" s="252"/>
      <c r="X25" s="252"/>
      <c r="Y25" s="253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4"/>
    </row>
    <row r="26" spans="2:36">
      <c r="B26" s="308" t="s">
        <v>309</v>
      </c>
      <c r="C26" s="215" t="s">
        <v>314</v>
      </c>
      <c r="D26" s="231"/>
      <c r="E26" s="231"/>
      <c r="F26" s="232"/>
      <c r="G26" s="232"/>
      <c r="H26" s="232"/>
      <c r="I26" s="232"/>
      <c r="J26" s="231"/>
      <c r="K26" s="232"/>
      <c r="L26" s="232"/>
      <c r="M26" s="232"/>
      <c r="N26" s="233"/>
      <c r="O26" s="255"/>
      <c r="P26" s="235"/>
      <c r="Q26" s="235"/>
      <c r="R26" s="235"/>
      <c r="S26" s="235"/>
      <c r="T26" s="236"/>
      <c r="U26" s="237"/>
      <c r="V26" s="235"/>
      <c r="W26" s="235"/>
      <c r="X26" s="235"/>
      <c r="Y26" s="236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4"/>
    </row>
    <row r="27" spans="2:36" s="280" customFormat="1">
      <c r="B27" s="309" t="s">
        <v>315</v>
      </c>
      <c r="C27" s="256"/>
      <c r="D27" s="256"/>
      <c r="E27" s="257"/>
      <c r="F27" s="256"/>
      <c r="G27" s="256"/>
      <c r="H27" s="256"/>
      <c r="I27" s="256"/>
      <c r="J27" s="257"/>
      <c r="K27" s="256"/>
      <c r="L27" s="256"/>
      <c r="M27" s="256"/>
      <c r="N27" s="258"/>
      <c r="O27" s="256"/>
      <c r="P27" s="257"/>
      <c r="Q27" s="256"/>
      <c r="R27" s="256"/>
      <c r="S27" s="256"/>
      <c r="T27" s="258"/>
      <c r="U27" s="257"/>
      <c r="V27" s="256"/>
      <c r="W27" s="256"/>
      <c r="X27" s="256"/>
      <c r="Y27" s="258"/>
      <c r="Z27" s="259">
        <f t="shared" ref="Z27:AJ27" si="9">SUM(Z5:Z26)</f>
        <v>10122640</v>
      </c>
      <c r="AA27" s="259">
        <f t="shared" si="9"/>
        <v>13140360</v>
      </c>
      <c r="AB27" s="259">
        <f>SUM(AB5:AB26)</f>
        <v>6904950</v>
      </c>
      <c r="AC27" s="259">
        <f>SUM(AC5:AC26)</f>
        <v>7711370</v>
      </c>
      <c r="AD27" s="259">
        <f>SUM(AD5:AD26)</f>
        <v>8545830</v>
      </c>
      <c r="AE27" s="259">
        <f t="shared" si="9"/>
        <v>9285030</v>
      </c>
      <c r="AF27" s="259">
        <f>SUM(AF5:AF26)</f>
        <v>9285030</v>
      </c>
      <c r="AG27" s="259">
        <f>SUM(AG5:AG26)</f>
        <v>9285030</v>
      </c>
      <c r="AH27" s="259">
        <f t="shared" si="9"/>
        <v>9285030</v>
      </c>
      <c r="AI27" s="259">
        <f t="shared" si="9"/>
        <v>9285030</v>
      </c>
      <c r="AJ27" s="307">
        <f t="shared" si="9"/>
        <v>9285030</v>
      </c>
    </row>
    <row r="29" spans="2:36">
      <c r="K29" s="283"/>
      <c r="Q29" s="284"/>
      <c r="AC29" s="285" t="s">
        <v>316</v>
      </c>
      <c r="AD29" s="286"/>
      <c r="AE29" s="286"/>
      <c r="AF29" s="286"/>
      <c r="AG29" s="286"/>
      <c r="AH29" s="285"/>
      <c r="AI29" s="285"/>
      <c r="AJ29" s="285"/>
    </row>
    <row r="30" spans="2:36">
      <c r="K30" s="283"/>
      <c r="Q30" s="284"/>
    </row>
    <row r="31" spans="2:36">
      <c r="K31" s="283"/>
      <c r="Q31" s="284"/>
      <c r="AE31" s="287" t="s">
        <v>317</v>
      </c>
      <c r="AF31" s="288">
        <v>2.5999999999999999E-2</v>
      </c>
      <c r="AG31" s="288">
        <v>2.5999999999999999E-2</v>
      </c>
      <c r="AH31" s="288">
        <v>2.5999999999999999E-2</v>
      </c>
      <c r="AI31" s="288">
        <v>2.5999999999999999E-2</v>
      </c>
      <c r="AJ31" s="288">
        <v>2.5999999999999999E-2</v>
      </c>
    </row>
    <row r="32" spans="2:36">
      <c r="K32" s="283"/>
      <c r="Q32" s="284"/>
      <c r="AE32" s="287" t="s">
        <v>318</v>
      </c>
      <c r="AF32" s="288" cm="1">
        <f t="array" ref="AF32">GEOMEAN(1+AF31:AJ31)-1</f>
        <v>2.6000000000000023E-2</v>
      </c>
      <c r="AG32" s="289"/>
      <c r="AH32" s="289"/>
      <c r="AI32" s="289"/>
      <c r="AJ32" s="289"/>
    </row>
    <row r="33" spans="11:37">
      <c r="K33" s="283"/>
      <c r="Q33" s="284"/>
      <c r="AE33" s="287" t="s">
        <v>41</v>
      </c>
      <c r="AF33" s="290">
        <f>1+AF32</f>
        <v>1.026</v>
      </c>
      <c r="AG33" s="290">
        <f>AF33*(1+$AF$32)</f>
        <v>1.0526759999999999</v>
      </c>
      <c r="AH33" s="290">
        <f>AG33*(1+$AF$32)</f>
        <v>1.0800455760000001</v>
      </c>
      <c r="AI33" s="290">
        <f>AH33*(1+$AF$32)</f>
        <v>1.1081267609760002</v>
      </c>
      <c r="AJ33" s="290">
        <f>AI33*(1+$AF$32)</f>
        <v>1.1369380567613763</v>
      </c>
    </row>
    <row r="34" spans="11:37">
      <c r="K34" s="283"/>
      <c r="Q34" s="284"/>
      <c r="AC34" s="319"/>
      <c r="AD34" s="320"/>
      <c r="AE34" s="321" t="s">
        <v>319</v>
      </c>
      <c r="AF34" s="322">
        <f>(AF27/AF33)/10^6</f>
        <v>9.0497368421052631</v>
      </c>
      <c r="AG34" s="322">
        <f>(AG27/AG33)/10^6</f>
        <v>8.8204062788550335</v>
      </c>
      <c r="AH34" s="322">
        <f>(AH27/AH33)/10^6</f>
        <v>8.5968872113596788</v>
      </c>
      <c r="AI34" s="322">
        <f>(AI27/AI33)/10^6</f>
        <v>8.3790323697462767</v>
      </c>
      <c r="AJ34" s="323">
        <f>(AJ27/AJ33)/10^6</f>
        <v>8.1666982161269743</v>
      </c>
    </row>
    <row r="35" spans="11:37" ht="15" thickBot="1">
      <c r="K35" s="283"/>
      <c r="Q35" s="284"/>
      <c r="AC35" s="325"/>
      <c r="AD35" s="316"/>
      <c r="AE35" s="317" t="s">
        <v>374</v>
      </c>
      <c r="AF35" s="318">
        <v>0</v>
      </c>
      <c r="AG35" s="318">
        <f>0.00885527137995728/AG33</f>
        <v>8.4121528181104934E-3</v>
      </c>
      <c r="AH35" s="318">
        <f>0.0202612172116131/AH33</f>
        <v>1.8759594652154845E-2</v>
      </c>
      <c r="AI35" s="318">
        <f>0.0601683525149867/AI33</f>
        <v>5.4297355351288941E-2</v>
      </c>
      <c r="AJ35" s="324">
        <f>0.0738162347543207/AJ33</f>
        <v>6.4925467412525403E-2</v>
      </c>
    </row>
    <row r="36" spans="11:37" ht="15" thickBot="1">
      <c r="K36" s="283"/>
      <c r="Q36" s="284"/>
      <c r="AC36" s="291"/>
      <c r="AD36" s="292"/>
      <c r="AE36" s="293" t="s">
        <v>373</v>
      </c>
      <c r="AF36" s="294">
        <f>AF34-AF35</f>
        <v>9.0497368421052631</v>
      </c>
      <c r="AG36" s="294">
        <f t="shared" ref="AG36:AJ36" si="10">AG34-AG35</f>
        <v>8.8119941260369234</v>
      </c>
      <c r="AH36" s="294">
        <f t="shared" si="10"/>
        <v>8.5781276167075244</v>
      </c>
      <c r="AI36" s="294">
        <f t="shared" si="10"/>
        <v>8.324735014394987</v>
      </c>
      <c r="AJ36" s="295">
        <f t="shared" si="10"/>
        <v>8.1017727487144491</v>
      </c>
    </row>
    <row r="37" spans="11:37">
      <c r="K37" s="283"/>
      <c r="Q37" s="284"/>
      <c r="W37" s="284"/>
      <c r="X37" s="284"/>
      <c r="Y37" s="284"/>
      <c r="Z37" s="284"/>
      <c r="AA37" s="284"/>
      <c r="AB37" s="284"/>
      <c r="AC37" s="284"/>
    </row>
    <row r="38" spans="11:37">
      <c r="W38" s="296"/>
      <c r="X38" s="296"/>
      <c r="Y38" s="296"/>
      <c r="Z38" s="296"/>
      <c r="AA38" s="296"/>
      <c r="AB38" s="296"/>
      <c r="AC38" s="314"/>
      <c r="AD38" s="284"/>
      <c r="AF38" s="284"/>
      <c r="AG38" s="284"/>
      <c r="AH38" s="284"/>
      <c r="AI38" s="284"/>
      <c r="AJ38" s="284"/>
    </row>
    <row r="39" spans="11:37">
      <c r="Q39" s="297"/>
      <c r="R39" s="284"/>
      <c r="S39" s="284"/>
      <c r="AC39" s="315"/>
      <c r="AD39" s="313"/>
      <c r="AF39" s="296"/>
      <c r="AG39" s="296"/>
      <c r="AH39" s="296"/>
      <c r="AI39" s="296"/>
      <c r="AJ39" s="296"/>
    </row>
    <row r="40" spans="11:37">
      <c r="Q40" s="283"/>
      <c r="R40" s="298"/>
      <c r="S40" s="298"/>
      <c r="AD40" s="313"/>
      <c r="AF40" s="296"/>
      <c r="AG40" s="296"/>
      <c r="AH40" s="296"/>
      <c r="AI40" s="296"/>
      <c r="AJ40" s="296"/>
    </row>
    <row r="41" spans="11:37">
      <c r="Q41" s="283"/>
      <c r="R41" s="298"/>
      <c r="S41" s="298"/>
      <c r="AF41" s="407"/>
      <c r="AG41" s="407"/>
      <c r="AH41" s="407"/>
      <c r="AI41" s="407"/>
      <c r="AJ41" s="407"/>
    </row>
    <row r="42" spans="11:37">
      <c r="Q42" s="283"/>
      <c r="R42" s="298"/>
      <c r="S42" s="298"/>
      <c r="AG42" s="284"/>
    </row>
    <row r="43" spans="11:37">
      <c r="Q43" s="283"/>
      <c r="R43" s="299"/>
      <c r="U43" s="298"/>
      <c r="AE43" s="284"/>
      <c r="AF43" s="300"/>
      <c r="AG43" s="301"/>
    </row>
    <row r="44" spans="11:37">
      <c r="Q44" s="283"/>
      <c r="R44" s="299"/>
      <c r="U44" s="298"/>
      <c r="AE44" s="284"/>
      <c r="AF44" s="300"/>
      <c r="AG44" s="301"/>
    </row>
    <row r="45" spans="11:37">
      <c r="Q45" s="283"/>
      <c r="R45" s="299"/>
      <c r="U45" s="298"/>
      <c r="AB45" s="302"/>
      <c r="AE45" s="284"/>
      <c r="AF45" s="303"/>
      <c r="AG45" s="303"/>
      <c r="AH45" s="303"/>
      <c r="AI45" s="303"/>
      <c r="AJ45" s="303"/>
    </row>
    <row r="46" spans="11:37">
      <c r="Q46" s="283"/>
      <c r="R46" s="299"/>
      <c r="U46" s="298"/>
      <c r="AE46" s="284"/>
      <c r="AF46" s="300"/>
      <c r="AG46" s="301"/>
    </row>
    <row r="47" spans="11:37">
      <c r="Q47" s="283"/>
      <c r="R47" s="299"/>
      <c r="U47" s="298"/>
    </row>
    <row r="48" spans="11:37">
      <c r="AE48" s="284"/>
      <c r="AF48" s="303"/>
      <c r="AG48" s="303"/>
      <c r="AH48" s="303"/>
      <c r="AI48" s="303"/>
      <c r="AJ48" s="303"/>
      <c r="AK48" s="304"/>
    </row>
    <row r="49" spans="31:37">
      <c r="AE49" s="284"/>
      <c r="AF49" s="303"/>
      <c r="AG49" s="303"/>
      <c r="AH49" s="303"/>
      <c r="AI49" s="303"/>
      <c r="AJ49" s="303"/>
      <c r="AK49" s="304"/>
    </row>
    <row r="50" spans="31:37">
      <c r="AE50" s="284"/>
      <c r="AF50" s="303"/>
      <c r="AG50" s="303"/>
      <c r="AH50" s="303"/>
      <c r="AI50" s="303"/>
      <c r="AJ50" s="303"/>
      <c r="AK50" s="304"/>
    </row>
    <row r="51" spans="31:37">
      <c r="AE51" s="284"/>
      <c r="AF51" s="303"/>
      <c r="AG51" s="303"/>
      <c r="AH51" s="303"/>
      <c r="AI51" s="303"/>
      <c r="AJ51" s="303"/>
      <c r="AK51" s="30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5875A-8A90-43C6-856F-B11C40B1F5A5}">
  <sheetPr>
    <tabColor theme="0" tint="-4.9989318521683403E-2"/>
  </sheetPr>
  <dimension ref="A1:J27"/>
  <sheetViews>
    <sheetView workbookViewId="0">
      <selection activeCell="R34" sqref="R34"/>
    </sheetView>
  </sheetViews>
  <sheetFormatPr defaultColWidth="8.77734375" defaultRowHeight="10"/>
  <cols>
    <col min="1" max="2" width="11.44140625" style="27" bestFit="1" customWidth="1"/>
    <col min="3" max="3" width="11.6640625" style="27" customWidth="1"/>
    <col min="4" max="6" width="11.44140625" style="27" bestFit="1" customWidth="1"/>
    <col min="7" max="16384" width="8.77734375" style="27"/>
  </cols>
  <sheetData>
    <row r="1" spans="1:10" s="277" customFormat="1" ht="20" thickBot="1">
      <c r="A1" s="277" t="s">
        <v>247</v>
      </c>
    </row>
    <row r="2" spans="1:10" ht="10.5" thickTop="1"/>
    <row r="3" spans="1:10" s="274" customFormat="1" ht="17.5" thickBot="1">
      <c r="A3" s="274" t="s">
        <v>335</v>
      </c>
    </row>
    <row r="4" spans="1:10" ht="13.5" thickTop="1">
      <c r="A4" s="276" t="s">
        <v>336</v>
      </c>
      <c r="B4" s="276" t="s">
        <v>337</v>
      </c>
      <c r="C4" s="276" t="s">
        <v>338</v>
      </c>
      <c r="D4" s="276" t="s">
        <v>339</v>
      </c>
      <c r="E4" s="276" t="s">
        <v>340</v>
      </c>
      <c r="F4" s="276" t="s">
        <v>341</v>
      </c>
    </row>
    <row r="5" spans="1:10" ht="13">
      <c r="A5" s="312">
        <v>842971</v>
      </c>
      <c r="B5" s="312">
        <v>860058</v>
      </c>
      <c r="C5" s="312">
        <v>877208</v>
      </c>
      <c r="D5" s="312">
        <v>894287</v>
      </c>
      <c r="E5" s="312">
        <v>911384</v>
      </c>
      <c r="F5" s="312">
        <v>928464</v>
      </c>
    </row>
    <row r="6" spans="1:10">
      <c r="B6" s="310"/>
      <c r="C6" s="310"/>
      <c r="D6" s="310"/>
      <c r="E6" s="310"/>
      <c r="F6" s="310"/>
    </row>
    <row r="10" spans="1:10" s="274" customFormat="1" ht="17.5" thickBot="1">
      <c r="A10" s="274" t="s">
        <v>369</v>
      </c>
    </row>
    <row r="11" spans="1:10" ht="13.5" thickTop="1">
      <c r="A11" s="260" t="s">
        <v>342</v>
      </c>
      <c r="B11" s="261"/>
      <c r="C11" s="261"/>
      <c r="D11" s="262">
        <v>2115</v>
      </c>
      <c r="E11" s="261"/>
      <c r="F11" s="261"/>
      <c r="G11" s="261"/>
      <c r="H11" s="261"/>
      <c r="I11" s="261"/>
      <c r="J11" s="261"/>
    </row>
    <row r="12" spans="1:10" ht="13">
      <c r="A12" s="261"/>
      <c r="B12" s="261"/>
      <c r="C12" s="261"/>
      <c r="D12" s="261"/>
      <c r="E12" s="261"/>
      <c r="F12" s="261"/>
      <c r="G12" s="261"/>
      <c r="H12" s="261"/>
      <c r="I12" s="261"/>
      <c r="J12" s="261"/>
    </row>
    <row r="13" spans="1:10" ht="39">
      <c r="A13" s="263" t="s">
        <v>343</v>
      </c>
      <c r="B13" s="275" t="s">
        <v>344</v>
      </c>
      <c r="C13" s="263" t="s">
        <v>345</v>
      </c>
      <c r="D13" s="261"/>
      <c r="E13" s="276" t="s">
        <v>346</v>
      </c>
      <c r="G13" s="264" t="s">
        <v>347</v>
      </c>
      <c r="H13" s="261"/>
      <c r="I13" s="261"/>
    </row>
    <row r="14" spans="1:10" ht="12.75" customHeight="1">
      <c r="A14" s="265">
        <v>2025</v>
      </c>
      <c r="B14" s="266">
        <v>2191.0632441874718</v>
      </c>
      <c r="C14" s="267" t="s">
        <v>349</v>
      </c>
      <c r="D14" s="409" t="s">
        <v>350</v>
      </c>
      <c r="E14" s="268">
        <f>MAX($D$11,B14)</f>
        <v>2191.0632441874718</v>
      </c>
      <c r="G14" s="269" t="s">
        <v>348</v>
      </c>
      <c r="H14" s="261"/>
      <c r="I14" s="261"/>
    </row>
    <row r="15" spans="1:10" ht="12.75" customHeight="1">
      <c r="A15" s="265">
        <v>2026</v>
      </c>
      <c r="B15" s="266">
        <v>2256.3431975379804</v>
      </c>
      <c r="C15" s="267" t="s">
        <v>352</v>
      </c>
      <c r="D15" s="409"/>
      <c r="E15" s="268">
        <f>MAX($E$14,B15)</f>
        <v>2256.3431975379804</v>
      </c>
      <c r="G15" s="269" t="s">
        <v>351</v>
      </c>
      <c r="H15" s="261"/>
      <c r="I15" s="261"/>
    </row>
    <row r="16" spans="1:10" ht="13">
      <c r="A16" s="265">
        <v>2027</v>
      </c>
      <c r="B16" s="266">
        <v>2291.1560678019509</v>
      </c>
      <c r="C16" s="267" t="s">
        <v>354</v>
      </c>
      <c r="D16" s="409"/>
      <c r="E16" s="268">
        <f>MAX($E$15,B16)</f>
        <v>2291.1560678019509</v>
      </c>
      <c r="G16" s="269" t="s">
        <v>353</v>
      </c>
      <c r="H16" s="261"/>
      <c r="I16" s="261"/>
    </row>
    <row r="17" spans="1:9" ht="13">
      <c r="A17" s="265">
        <v>2028</v>
      </c>
      <c r="B17" s="266">
        <v>2339.8054521998565</v>
      </c>
      <c r="C17" s="267" t="s">
        <v>356</v>
      </c>
      <c r="D17" s="409"/>
      <c r="E17" s="268">
        <f>MAX($E$16,B17)</f>
        <v>2339.8054521998565</v>
      </c>
      <c r="G17" s="269" t="s">
        <v>355</v>
      </c>
      <c r="H17" s="261"/>
      <c r="I17" s="261"/>
    </row>
    <row r="18" spans="1:9" ht="13">
      <c r="A18" s="265">
        <v>2029</v>
      </c>
      <c r="B18" s="266">
        <v>2371.9388038755365</v>
      </c>
      <c r="C18" s="267" t="s">
        <v>358</v>
      </c>
      <c r="D18" s="409"/>
      <c r="E18" s="268">
        <f>MAX($E$17,B18)</f>
        <v>2371.9388038755365</v>
      </c>
      <c r="G18" s="269" t="s">
        <v>357</v>
      </c>
      <c r="H18" s="261"/>
      <c r="I18" s="261"/>
    </row>
    <row r="19" spans="1:9" ht="13">
      <c r="A19" s="265">
        <v>2030</v>
      </c>
      <c r="B19" s="266">
        <v>2452.308998173834</v>
      </c>
      <c r="C19" s="267" t="s">
        <v>360</v>
      </c>
      <c r="D19" s="409"/>
      <c r="E19" s="268">
        <f>MAX($E$18,B19)</f>
        <v>2452.308998173834</v>
      </c>
      <c r="G19" s="269" t="s">
        <v>359</v>
      </c>
      <c r="H19" s="261"/>
      <c r="I19" s="261"/>
    </row>
    <row r="20" spans="1:9" ht="13">
      <c r="G20" s="269" t="s">
        <v>361</v>
      </c>
      <c r="H20" s="270"/>
      <c r="I20" s="271"/>
    </row>
    <row r="21" spans="1:9" ht="13">
      <c r="A21" s="261"/>
      <c r="B21" s="268"/>
      <c r="C21" s="271"/>
      <c r="D21" s="271"/>
      <c r="E21" s="272"/>
      <c r="F21" s="273"/>
      <c r="G21" s="269" t="s">
        <v>362</v>
      </c>
      <c r="H21" s="270"/>
      <c r="I21" s="271"/>
    </row>
    <row r="22" spans="1:9" ht="13">
      <c r="A22" s="261"/>
      <c r="B22" s="261"/>
      <c r="C22" s="270"/>
      <c r="D22" s="272"/>
      <c r="E22" s="272"/>
      <c r="F22" s="273"/>
      <c r="G22" s="269" t="s">
        <v>363</v>
      </c>
      <c r="H22" s="270"/>
      <c r="I22" s="271"/>
    </row>
    <row r="23" spans="1:9" ht="13">
      <c r="A23" s="261"/>
      <c r="B23" s="261"/>
      <c r="C23" s="270"/>
      <c r="D23" s="272"/>
      <c r="E23" s="272"/>
      <c r="F23" s="273"/>
      <c r="G23" s="269" t="s">
        <v>364</v>
      </c>
      <c r="H23" s="270"/>
      <c r="I23" s="271"/>
    </row>
    <row r="24" spans="1:9" ht="13">
      <c r="A24" s="261"/>
      <c r="B24" s="261"/>
      <c r="C24" s="270"/>
      <c r="D24" s="272"/>
      <c r="E24" s="272"/>
      <c r="F24" s="273"/>
      <c r="G24" s="269" t="s">
        <v>365</v>
      </c>
      <c r="H24" s="270"/>
      <c r="I24" s="271"/>
    </row>
    <row r="25" spans="1:9" ht="13">
      <c r="A25" s="261"/>
      <c r="B25" s="261"/>
      <c r="C25" s="270"/>
      <c r="D25" s="272"/>
      <c r="E25" s="272"/>
      <c r="F25" s="273"/>
      <c r="G25" s="269" t="s">
        <v>366</v>
      </c>
      <c r="H25" s="270"/>
      <c r="I25" s="271"/>
    </row>
    <row r="26" spans="1:9" ht="13">
      <c r="A26" s="261"/>
      <c r="B26" s="261"/>
      <c r="C26" s="270"/>
      <c r="D26" s="272"/>
      <c r="E26" s="272"/>
      <c r="F26" s="273"/>
      <c r="G26" s="269" t="s">
        <v>367</v>
      </c>
      <c r="H26" s="270"/>
      <c r="I26" s="271"/>
    </row>
    <row r="27" spans="1:9" ht="13">
      <c r="A27" s="261"/>
      <c r="B27" s="261"/>
      <c r="C27" s="261"/>
      <c r="D27" s="261"/>
      <c r="E27" s="261"/>
      <c r="F27" s="261"/>
      <c r="G27" s="269" t="s">
        <v>368</v>
      </c>
      <c r="H27" s="261"/>
      <c r="I27" s="261"/>
    </row>
  </sheetData>
  <mergeCells count="1">
    <mergeCell ref="D14:D1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BA17D-9FAA-49C8-84A2-D41206E27720}">
  <sheetPr>
    <tabColor theme="0" tint="-4.9989318521683403E-2"/>
  </sheetPr>
  <dimension ref="A1:J75"/>
  <sheetViews>
    <sheetView topLeftCell="A30" zoomScaleNormal="100" workbookViewId="0">
      <selection activeCell="A6" sqref="A6"/>
    </sheetView>
  </sheetViews>
  <sheetFormatPr defaultColWidth="11.44140625" defaultRowHeight="13"/>
  <cols>
    <col min="1" max="1" width="17.5546875" style="329" customWidth="1"/>
    <col min="2" max="2" width="19.77734375" style="329" customWidth="1"/>
    <col min="3" max="3" width="18.44140625" style="329" customWidth="1"/>
    <col min="4" max="4" width="19" style="329" customWidth="1"/>
    <col min="5" max="5" width="18.6640625" style="329" customWidth="1"/>
    <col min="6" max="6" width="19.44140625" style="329" customWidth="1"/>
    <col min="7" max="7" width="18.5546875" style="329" customWidth="1"/>
    <col min="8" max="8" width="18.44140625" style="329" customWidth="1"/>
    <col min="9" max="9" width="35.44140625" style="329" customWidth="1"/>
    <col min="10" max="10" width="18.109375" style="329" customWidth="1"/>
    <col min="11" max="11" width="30.109375" style="329" customWidth="1"/>
    <col min="12" max="12" width="14.6640625" style="329" bestFit="1" customWidth="1"/>
    <col min="13" max="16384" width="11.44140625" style="329"/>
  </cols>
  <sheetData>
    <row r="1" spans="1:10">
      <c r="A1" s="326"/>
      <c r="B1" s="326"/>
      <c r="C1" s="410"/>
      <c r="D1" s="410"/>
      <c r="E1" s="410"/>
      <c r="F1" s="410"/>
      <c r="G1" s="327"/>
      <c r="H1" s="328"/>
      <c r="I1" s="327"/>
    </row>
    <row r="2" spans="1:10" s="277" customFormat="1" ht="20" thickBot="1">
      <c r="A2" s="277" t="s">
        <v>387</v>
      </c>
    </row>
    <row r="3" spans="1:10" ht="13.5" thickTop="1"/>
    <row r="4" spans="1:10" s="364" customFormat="1" ht="17"/>
    <row r="5" spans="1:10" s="274" customFormat="1" ht="18" customHeight="1" thickBot="1">
      <c r="A5" s="363" t="s">
        <v>397</v>
      </c>
      <c r="B5" s="363"/>
      <c r="C5" s="363"/>
      <c r="D5" s="363"/>
      <c r="E5" s="363"/>
      <c r="F5" s="363"/>
      <c r="G5" s="363"/>
      <c r="H5" s="363"/>
      <c r="I5" s="363"/>
    </row>
    <row r="6" spans="1:10" ht="16.5" customHeight="1" thickTop="1"/>
    <row r="7" spans="1:10" ht="12" customHeight="1">
      <c r="A7" s="330" t="s">
        <v>352</v>
      </c>
      <c r="B7" s="330" t="s">
        <v>354</v>
      </c>
      <c r="C7" s="330" t="s">
        <v>356</v>
      </c>
      <c r="D7" s="330" t="s">
        <v>358</v>
      </c>
      <c r="E7" s="381" t="s">
        <v>360</v>
      </c>
      <c r="F7" s="385" t="s">
        <v>390</v>
      </c>
      <c r="H7" s="327"/>
      <c r="I7" s="331"/>
    </row>
    <row r="8" spans="1:10" ht="16" customHeight="1">
      <c r="A8" s="369">
        <v>0.54</v>
      </c>
      <c r="B8" s="369">
        <v>0.54</v>
      </c>
      <c r="C8" s="369">
        <v>0.54</v>
      </c>
      <c r="D8" s="369">
        <v>0.54</v>
      </c>
      <c r="E8" s="379">
        <v>0.54</v>
      </c>
      <c r="F8" s="382" t="s">
        <v>377</v>
      </c>
      <c r="H8" s="331"/>
      <c r="I8" s="332"/>
    </row>
    <row r="9" spans="1:10" ht="14.15" customHeight="1">
      <c r="A9" s="370">
        <v>0.81681599999999999</v>
      </c>
      <c r="B9" s="370">
        <v>0.92901599999999995</v>
      </c>
      <c r="C9" s="370">
        <v>0.92901599999999995</v>
      </c>
      <c r="D9" s="370">
        <v>0.92901599999999995</v>
      </c>
      <c r="E9" s="380">
        <v>0.92901599999999995</v>
      </c>
      <c r="F9" s="383" t="s">
        <v>391</v>
      </c>
      <c r="H9" s="333"/>
      <c r="I9" s="332"/>
      <c r="J9" s="335"/>
    </row>
    <row r="10" spans="1:10" s="335" customFormat="1" ht="17.5" customHeight="1">
      <c r="A10" s="369">
        <v>0.25</v>
      </c>
      <c r="B10" s="369">
        <v>0.25</v>
      </c>
      <c r="C10" s="369">
        <v>0.25</v>
      </c>
      <c r="D10" s="369">
        <v>0.25</v>
      </c>
      <c r="E10" s="379">
        <v>0.25</v>
      </c>
      <c r="F10" s="384" t="s">
        <v>392</v>
      </c>
      <c r="G10" s="329"/>
      <c r="H10" s="334"/>
      <c r="I10" s="332"/>
      <c r="J10" s="329"/>
    </row>
    <row r="11" spans="1:10" ht="14.5" customHeight="1">
      <c r="A11" s="370">
        <v>0.1</v>
      </c>
      <c r="B11" s="370">
        <v>0.05</v>
      </c>
      <c r="C11" s="370">
        <v>2.5000000000000001E-2</v>
      </c>
      <c r="D11" s="405">
        <v>0</v>
      </c>
      <c r="E11" s="406">
        <v>0</v>
      </c>
      <c r="F11" s="382" t="s">
        <v>393</v>
      </c>
      <c r="H11" s="334"/>
      <c r="I11" s="332"/>
    </row>
    <row r="12" spans="1:10" ht="13.5" customHeight="1">
      <c r="A12" s="371">
        <f>SUM(A8:A11)</f>
        <v>1.7068160000000001</v>
      </c>
      <c r="B12" s="371">
        <f>SUM(B8:B11)</f>
        <v>1.7690159999999999</v>
      </c>
      <c r="C12" s="371">
        <f>SUM(C8:C11)</f>
        <v>1.7440159999999998</v>
      </c>
      <c r="D12" s="371">
        <f>SUM(D8:D11)</f>
        <v>1.7190159999999999</v>
      </c>
      <c r="E12" s="371">
        <f>SUM(E8:E11)</f>
        <v>1.7190159999999999</v>
      </c>
      <c r="F12" s="362"/>
      <c r="H12" s="334"/>
      <c r="I12" s="332"/>
    </row>
    <row r="13" spans="1:10" ht="14.5" customHeight="1">
      <c r="H13" s="336"/>
      <c r="I13" s="332"/>
    </row>
    <row r="14" spans="1:10" ht="24" customHeight="1">
      <c r="A14" s="358" t="s">
        <v>386</v>
      </c>
      <c r="B14" s="360">
        <f>'Input|Rate of change'!M31</f>
        <v>1.0786689311415787</v>
      </c>
      <c r="I14" s="332"/>
    </row>
    <row r="15" spans="1:10">
      <c r="B15" s="329" t="s">
        <v>378</v>
      </c>
    </row>
    <row r="16" spans="1:10">
      <c r="A16" s="338" t="s">
        <v>321</v>
      </c>
      <c r="B16" s="365">
        <f>0.05+0.18</f>
        <v>0.22999999999999998</v>
      </c>
    </row>
    <row r="17" spans="1:8">
      <c r="A17" s="329" t="s">
        <v>379</v>
      </c>
      <c r="B17" s="344"/>
    </row>
    <row r="18" spans="1:8">
      <c r="A18" s="338" t="s">
        <v>321</v>
      </c>
      <c r="B18" s="365">
        <f>B16*B19</f>
        <v>0.26028743024140361</v>
      </c>
      <c r="C18" s="339"/>
    </row>
    <row r="19" spans="1:8">
      <c r="A19" s="329" t="s">
        <v>380</v>
      </c>
      <c r="B19" s="360">
        <f>'Input|Rate of change'!L31</f>
        <v>1.1316844793104506</v>
      </c>
      <c r="C19" s="340"/>
    </row>
    <row r="20" spans="1:8">
      <c r="A20" s="341" t="s">
        <v>322</v>
      </c>
      <c r="B20" s="366">
        <f>B18*(A31+1)</f>
        <v>0.26266948346001684</v>
      </c>
      <c r="C20" s="361"/>
      <c r="D20" s="339"/>
    </row>
    <row r="21" spans="1:8">
      <c r="A21" s="342" t="s">
        <v>323</v>
      </c>
      <c r="B21" s="367">
        <f>B20*(B31+1)</f>
        <v>0.26558585233384541</v>
      </c>
      <c r="C21" s="361"/>
      <c r="D21" s="339"/>
    </row>
    <row r="22" spans="1:8">
      <c r="A22" s="343" t="s">
        <v>336</v>
      </c>
      <c r="B22" s="368">
        <f>B21*(C31+1)</f>
        <v>0.26901712355538832</v>
      </c>
      <c r="C22" s="361"/>
      <c r="D22" s="339"/>
      <c r="E22" s="375" t="s">
        <v>381</v>
      </c>
    </row>
    <row r="23" spans="1:8">
      <c r="A23" s="341" t="s">
        <v>337</v>
      </c>
      <c r="B23" s="366">
        <f ca="1">B22*(D31+1)</f>
        <v>0.27461591750314168</v>
      </c>
      <c r="C23" s="366">
        <f>($A$8+0.18+$A$10+0.05)*$B$14</f>
        <v>1.1002423097644103</v>
      </c>
      <c r="D23" s="372">
        <f ca="1">C23-B23</f>
        <v>0.82562639226126855</v>
      </c>
      <c r="E23" s="376">
        <f ca="1">D23+(A9+A11)*B14</f>
        <v>1.8145673270347662</v>
      </c>
    </row>
    <row r="24" spans="1:8">
      <c r="A24" s="342" t="s">
        <v>338</v>
      </c>
      <c r="B24" s="367">
        <f ca="1">B23*(E31+1)</f>
        <v>0.27898625830130885</v>
      </c>
      <c r="C24" s="367">
        <f t="shared" ref="C24:C27" si="0">($A$8+0.18+$A$10+0.05)*$B$14</f>
        <v>1.1002423097644103</v>
      </c>
      <c r="D24" s="373">
        <f t="shared" ref="D24:D27" ca="1" si="1">C24-B24</f>
        <v>0.82125605146310143</v>
      </c>
      <c r="E24" s="377">
        <f ca="1">D24+(B9+B11)*B14</f>
        <v>1.8772901937536051</v>
      </c>
    </row>
    <row r="25" spans="1:8">
      <c r="A25" s="342" t="s">
        <v>339</v>
      </c>
      <c r="B25" s="367">
        <f ca="1">B24*(F31+1)</f>
        <v>0.28430637755035171</v>
      </c>
      <c r="C25" s="367">
        <f t="shared" si="0"/>
        <v>1.1002423097644103</v>
      </c>
      <c r="D25" s="373">
        <f t="shared" ca="1" si="1"/>
        <v>0.81593593221405858</v>
      </c>
      <c r="E25" s="377">
        <f ca="1">D25+(C9+C11)*B14</f>
        <v>1.8450033512260231</v>
      </c>
    </row>
    <row r="26" spans="1:8">
      <c r="A26" s="342" t="s">
        <v>340</v>
      </c>
      <c r="B26" s="367">
        <f ca="1">B25*(G31+1)</f>
        <v>0.28901491758568892</v>
      </c>
      <c r="C26" s="367">
        <f t="shared" si="0"/>
        <v>1.1002423097644103</v>
      </c>
      <c r="D26" s="373">
        <f t="shared" ca="1" si="1"/>
        <v>0.81122739217872142</v>
      </c>
      <c r="E26" s="377">
        <f ca="1">D26+(D9)*B14</f>
        <v>1.8133280879121463</v>
      </c>
    </row>
    <row r="27" spans="1:8">
      <c r="A27" s="343" t="s">
        <v>341</v>
      </c>
      <c r="B27" s="368">
        <f ca="1">B26*(H31+1)</f>
        <v>0.29603711368442054</v>
      </c>
      <c r="C27" s="368">
        <f t="shared" si="0"/>
        <v>1.1002423097644103</v>
      </c>
      <c r="D27" s="374">
        <f t="shared" ca="1" si="1"/>
        <v>0.80420519607998975</v>
      </c>
      <c r="E27" s="378">
        <f ca="1">D27+(E9)*B14</f>
        <v>1.8063058918134147</v>
      </c>
    </row>
    <row r="28" spans="1:8">
      <c r="A28" s="338" t="s">
        <v>382</v>
      </c>
      <c r="B28" s="365">
        <f ca="1">SUM(B23:B27)</f>
        <v>1.4229605846249118</v>
      </c>
      <c r="C28" s="362">
        <f>SUM(C23:C27)</f>
        <v>5.5012115488220514</v>
      </c>
      <c r="D28" s="369">
        <f ca="1">SUM(D23:D27)</f>
        <v>4.0782509641971396</v>
      </c>
      <c r="E28" s="371">
        <f ca="1">SUM(E23:E27)</f>
        <v>9.1564948517399554</v>
      </c>
    </row>
    <row r="30" spans="1:8">
      <c r="A30" s="330" t="s">
        <v>383</v>
      </c>
      <c r="B30" s="330" t="s">
        <v>384</v>
      </c>
      <c r="C30" s="330" t="s">
        <v>349</v>
      </c>
      <c r="D30" s="330" t="s">
        <v>352</v>
      </c>
      <c r="E30" s="330" t="s">
        <v>354</v>
      </c>
      <c r="F30" s="330" t="s">
        <v>356</v>
      </c>
      <c r="G30" s="330" t="s">
        <v>358</v>
      </c>
      <c r="H30" s="330" t="s">
        <v>360</v>
      </c>
    </row>
    <row r="31" spans="1:8">
      <c r="A31" s="345">
        <v>9.1516260174531201E-3</v>
      </c>
      <c r="B31" s="346">
        <v>1.110280811997133E-2</v>
      </c>
      <c r="C31" s="347">
        <v>1.2919631039795654E-2</v>
      </c>
      <c r="D31" s="348">
        <f ca="1">'Calc|Opex forecast'!$O$70</f>
        <v>2.0812035582562505E-2</v>
      </c>
      <c r="E31" s="348">
        <f ca="1">'Calc|Opex forecast'!$P$70</f>
        <v>1.5914375386187007E-2</v>
      </c>
      <c r="F31" s="348">
        <f ca="1">'Calc|Opex forecast'!$Q$70</f>
        <v>1.9069467010439878E-2</v>
      </c>
      <c r="G31" s="348">
        <f ca="1">'Calc|Opex forecast'!$R$70</f>
        <v>1.656149987174782E-2</v>
      </c>
      <c r="H31" s="348">
        <f ca="1">'Calc|Opex forecast'!$S$70</f>
        <v>2.429700223570519E-2</v>
      </c>
    </row>
    <row r="34" spans="1:6" s="274" customFormat="1" ht="17.5" thickBot="1">
      <c r="A34" s="274" t="s">
        <v>385</v>
      </c>
    </row>
    <row r="35" spans="1:6" s="261" customFormat="1" ht="13.5" thickTop="1"/>
    <row r="36" spans="1:6" s="261" customFormat="1"/>
    <row r="37" spans="1:6" s="261" customFormat="1">
      <c r="A37" s="349"/>
      <c r="B37" s="350" t="s">
        <v>352</v>
      </c>
      <c r="C37" s="350" t="s">
        <v>354</v>
      </c>
      <c r="D37" s="350" t="s">
        <v>356</v>
      </c>
      <c r="E37" s="350" t="s">
        <v>358</v>
      </c>
      <c r="F37" s="350" t="s">
        <v>360</v>
      </c>
    </row>
    <row r="38" spans="1:6" s="261" customFormat="1">
      <c r="A38" s="349" t="s">
        <v>389</v>
      </c>
      <c r="B38" s="351">
        <f>(7.6776/1828*254*1.2)/5</f>
        <v>0.25603199999999998</v>
      </c>
      <c r="C38" s="351">
        <v>0.25603199999999998</v>
      </c>
      <c r="D38" s="351">
        <v>0.25603199999999998</v>
      </c>
      <c r="E38" s="351">
        <v>0.25603199999999998</v>
      </c>
      <c r="F38" s="351">
        <v>0.25603199999999998</v>
      </c>
    </row>
    <row r="39" spans="1:6" s="261" customFormat="1"/>
    <row r="40" spans="1:6" s="261" customFormat="1" ht="24.5" customHeight="1">
      <c r="A40" s="358" t="s">
        <v>394</v>
      </c>
      <c r="B40" s="359">
        <f>'Input|Rate of change'!M31</f>
        <v>1.0786689311415787</v>
      </c>
    </row>
    <row r="41" spans="1:6" s="261" customFormat="1"/>
    <row r="42" spans="1:6" s="261" customFormat="1">
      <c r="B42" s="329" t="s">
        <v>378</v>
      </c>
    </row>
    <row r="43" spans="1:6" s="261" customFormat="1">
      <c r="A43" s="352" t="s">
        <v>321</v>
      </c>
      <c r="B43" s="365">
        <v>7.0000000000000007E-2</v>
      </c>
    </row>
    <row r="44" spans="1:6" s="261" customFormat="1">
      <c r="A44" s="261" t="s">
        <v>379</v>
      </c>
      <c r="B44" s="386"/>
    </row>
    <row r="45" spans="1:6" s="261" customFormat="1">
      <c r="A45" s="352" t="s">
        <v>321</v>
      </c>
      <c r="B45" s="365">
        <f>B43*B46</f>
        <v>7.921791355173155E-2</v>
      </c>
      <c r="C45" s="353"/>
    </row>
    <row r="46" spans="1:6" s="261" customFormat="1">
      <c r="A46" s="261" t="s">
        <v>380</v>
      </c>
      <c r="B46" s="359">
        <f>'Input|Rate of change'!L31</f>
        <v>1.1316844793104506</v>
      </c>
      <c r="C46" s="354"/>
    </row>
    <row r="47" spans="1:6" s="261" customFormat="1">
      <c r="A47" s="355" t="s">
        <v>322</v>
      </c>
      <c r="B47" s="366">
        <f>B45*(A58+1)</f>
        <v>7.9942886270439925E-2</v>
      </c>
      <c r="C47" s="361"/>
      <c r="D47" s="353"/>
    </row>
    <row r="48" spans="1:6" s="261" customFormat="1">
      <c r="A48" s="356" t="s">
        <v>323</v>
      </c>
      <c r="B48" s="367">
        <f>B47*(B58+1)</f>
        <v>8.0830476797257314E-2</v>
      </c>
      <c r="C48" s="361"/>
      <c r="D48" s="353"/>
    </row>
    <row r="49" spans="1:8" s="261" customFormat="1">
      <c r="A49" s="357" t="s">
        <v>336</v>
      </c>
      <c r="B49" s="368">
        <f>B48*(C58+1)</f>
        <v>8.1874776734248644E-2</v>
      </c>
      <c r="C49" s="339"/>
      <c r="D49" s="375" t="s">
        <v>381</v>
      </c>
    </row>
    <row r="50" spans="1:8" s="261" customFormat="1">
      <c r="A50" s="355" t="s">
        <v>337</v>
      </c>
      <c r="B50" s="387">
        <f ca="1">B49*(D58+1)</f>
        <v>8.3578757500956183E-2</v>
      </c>
      <c r="C50" s="366">
        <f>B38*B40</f>
        <v>0.27617376377804065</v>
      </c>
      <c r="D50" s="392">
        <f t="shared" ref="D50:D54" ca="1" si="2">C50-B50</f>
        <v>0.19259500627708448</v>
      </c>
    </row>
    <row r="51" spans="1:8" s="261" customFormat="1">
      <c r="A51" s="356" t="s">
        <v>338</v>
      </c>
      <c r="B51" s="388">
        <f ca="1">B50*(E58+1)</f>
        <v>8.4908861222137491E-2</v>
      </c>
      <c r="C51" s="367">
        <f>C38*B40</f>
        <v>0.27617376377804065</v>
      </c>
      <c r="D51" s="393">
        <f t="shared" ca="1" si="2"/>
        <v>0.19126490255590317</v>
      </c>
    </row>
    <row r="52" spans="1:8" s="261" customFormat="1">
      <c r="A52" s="356" t="s">
        <v>339</v>
      </c>
      <c r="B52" s="388">
        <f ca="1">B51*(F58+1)</f>
        <v>8.6528027950107056E-2</v>
      </c>
      <c r="C52" s="367">
        <f>D38*B40</f>
        <v>0.27617376377804065</v>
      </c>
      <c r="D52" s="393">
        <f t="shared" ca="1" si="2"/>
        <v>0.18964573582793359</v>
      </c>
    </row>
    <row r="53" spans="1:8" s="261" customFormat="1">
      <c r="A53" s="356" t="s">
        <v>340</v>
      </c>
      <c r="B53" s="388">
        <f ca="1">B52*(G58+1)</f>
        <v>8.7961061873905344E-2</v>
      </c>
      <c r="C53" s="367">
        <f>E38*B40</f>
        <v>0.27617376377804065</v>
      </c>
      <c r="D53" s="393">
        <f t="shared" ca="1" si="2"/>
        <v>0.1882127019041353</v>
      </c>
    </row>
    <row r="54" spans="1:8" s="261" customFormat="1">
      <c r="A54" s="357" t="s">
        <v>341</v>
      </c>
      <c r="B54" s="389">
        <f ca="1">B53*(H58+1)</f>
        <v>9.0098251990910622E-2</v>
      </c>
      <c r="C54" s="368">
        <f>F38*B40</f>
        <v>0.27617376377804065</v>
      </c>
      <c r="D54" s="394">
        <f t="shared" ca="1" si="2"/>
        <v>0.18607551178713003</v>
      </c>
    </row>
    <row r="55" spans="1:8" s="261" customFormat="1">
      <c r="A55" s="352" t="s">
        <v>382</v>
      </c>
      <c r="B55" s="365">
        <f ca="1">SUM(B50:B54)</f>
        <v>0.43307496053801675</v>
      </c>
      <c r="C55" s="390">
        <f>SUM(C50:C54)</f>
        <v>1.3808688188902032</v>
      </c>
      <c r="D55" s="391">
        <f ca="1">SUM(D50:D54)</f>
        <v>0.94779385835218655</v>
      </c>
    </row>
    <row r="56" spans="1:8" s="261" customFormat="1"/>
    <row r="57" spans="1:8" s="261" customFormat="1">
      <c r="A57" s="350" t="s">
        <v>383</v>
      </c>
      <c r="B57" s="350" t="s">
        <v>384</v>
      </c>
      <c r="C57" s="350" t="s">
        <v>349</v>
      </c>
      <c r="D57" s="350" t="s">
        <v>352</v>
      </c>
      <c r="E57" s="350" t="s">
        <v>354</v>
      </c>
      <c r="F57" s="350" t="s">
        <v>356</v>
      </c>
      <c r="G57" s="350" t="s">
        <v>358</v>
      </c>
      <c r="H57" s="350" t="s">
        <v>360</v>
      </c>
    </row>
    <row r="58" spans="1:8" s="261" customFormat="1">
      <c r="A58" s="345">
        <v>9.1516260174531183E-3</v>
      </c>
      <c r="B58" s="346">
        <v>1.110280811997133E-2</v>
      </c>
      <c r="C58" s="347">
        <v>1.2919631039795654E-2</v>
      </c>
      <c r="D58" s="348">
        <f ca="1">'Calc|Opex forecast'!$O$70</f>
        <v>2.0812035582562505E-2</v>
      </c>
      <c r="E58" s="348">
        <f ca="1">'Calc|Opex forecast'!$P$70</f>
        <v>1.5914375386187007E-2</v>
      </c>
      <c r="F58" s="348">
        <f ca="1">'Calc|Opex forecast'!$Q$70</f>
        <v>1.9069467010439878E-2</v>
      </c>
      <c r="G58" s="348">
        <f ca="1">'Calc|Opex forecast'!$R$70</f>
        <v>1.656149987174782E-2</v>
      </c>
      <c r="H58" s="348">
        <f ca="1">'Calc|Opex forecast'!$S$70</f>
        <v>2.429700223570519E-2</v>
      </c>
    </row>
    <row r="59" spans="1:8" s="261" customFormat="1"/>
    <row r="61" spans="1:8" s="274" customFormat="1" ht="17.5" thickBot="1">
      <c r="A61" s="274" t="s">
        <v>376</v>
      </c>
    </row>
    <row r="62" spans="1:8" ht="13.5" thickTop="1"/>
    <row r="63" spans="1:8">
      <c r="A63" s="329" t="s">
        <v>320</v>
      </c>
      <c r="B63" s="370">
        <v>0.141369180613727</v>
      </c>
    </row>
    <row r="64" spans="1:8">
      <c r="A64" s="357" t="s">
        <v>336</v>
      </c>
      <c r="B64" s="368">
        <f>B63*'Input|Rate of change'!O16</f>
        <v>0.17485856372057934</v>
      </c>
      <c r="C64" s="404" t="s">
        <v>324</v>
      </c>
      <c r="D64" s="375" t="s">
        <v>381</v>
      </c>
    </row>
    <row r="65" spans="1:7">
      <c r="A65" s="355" t="s">
        <v>337</v>
      </c>
      <c r="B65" s="366">
        <f ca="1">B64*(A73+1)</f>
        <v>0.17849772637064781</v>
      </c>
      <c r="C65" s="399">
        <f>0.12362410734337*B75</f>
        <v>0.15290980507530372</v>
      </c>
      <c r="D65" s="396">
        <f ca="1">C65-B65</f>
        <v>-2.5587921295344096E-2</v>
      </c>
    </row>
    <row r="66" spans="1:7">
      <c r="A66" s="356" t="s">
        <v>338</v>
      </c>
      <c r="B66" s="367">
        <f ca="1">B65*(B73+1)</f>
        <v>0.18133840619369118</v>
      </c>
      <c r="C66" s="400">
        <f>0.339686610515988*B75</f>
        <v>0.42015602390900481</v>
      </c>
      <c r="D66" s="397">
        <f t="shared" ref="D66:D69" ca="1" si="3">C66-B66</f>
        <v>0.23881761771531362</v>
      </c>
    </row>
    <row r="67" spans="1:7">
      <c r="A67" s="356" t="s">
        <v>339</v>
      </c>
      <c r="B67" s="367">
        <f ca="1">B66*(C73+1)</f>
        <v>0.18479643294832751</v>
      </c>
      <c r="C67" s="400">
        <f>0.0677656295687147*B75</f>
        <v>8.3818839470982204E-2</v>
      </c>
      <c r="D67" s="397">
        <f t="shared" ca="1" si="3"/>
        <v>-0.10097759347734531</v>
      </c>
    </row>
    <row r="68" spans="1:7">
      <c r="A68" s="356" t="s">
        <v>340</v>
      </c>
      <c r="B68" s="367">
        <f ca="1">B67*(D73+1)</f>
        <v>0.18785693904890069</v>
      </c>
      <c r="C68" s="400">
        <f>0.0677483537385115*B75</f>
        <v>8.3797471115847816E-2</v>
      </c>
      <c r="D68" s="397">
        <f t="shared" ca="1" si="3"/>
        <v>-0.10405946793305287</v>
      </c>
      <c r="G68" s="340"/>
    </row>
    <row r="69" spans="1:7">
      <c r="A69" s="357" t="s">
        <v>341</v>
      </c>
      <c r="B69" s="368">
        <f ca="1">B68*(E73+1)</f>
        <v>0.19242129951696457</v>
      </c>
      <c r="C69" s="401">
        <f>0.0677310823125218*B75</f>
        <v>8.3776108208254707E-2</v>
      </c>
      <c r="D69" s="398">
        <f t="shared" ca="1" si="3"/>
        <v>-0.10864519130870987</v>
      </c>
    </row>
    <row r="70" spans="1:7">
      <c r="A70" s="352" t="s">
        <v>382</v>
      </c>
      <c r="B70" s="370">
        <f ca="1">SUM(B65:B69)</f>
        <v>0.92491080407853166</v>
      </c>
      <c r="C70" s="365">
        <f t="shared" ref="C70:D70" si="4">SUM(C65:C69)</f>
        <v>0.82445824777939314</v>
      </c>
      <c r="D70" s="395">
        <f t="shared" ca="1" si="4"/>
        <v>-0.10045255629913852</v>
      </c>
    </row>
    <row r="72" spans="1:7">
      <c r="A72" s="350" t="s">
        <v>352</v>
      </c>
      <c r="B72" s="350" t="s">
        <v>354</v>
      </c>
      <c r="C72" s="350" t="s">
        <v>356</v>
      </c>
      <c r="D72" s="350" t="s">
        <v>358</v>
      </c>
      <c r="E72" s="350" t="s">
        <v>360</v>
      </c>
    </row>
    <row r="73" spans="1:7">
      <c r="A73" s="348">
        <f ca="1">'Calc|Opex forecast'!$O$70</f>
        <v>2.0812035582562505E-2</v>
      </c>
      <c r="B73" s="348">
        <f ca="1">'Calc|Opex forecast'!$P$70</f>
        <v>1.5914375386187007E-2</v>
      </c>
      <c r="C73" s="348">
        <f ca="1">'Calc|Opex forecast'!$Q$70</f>
        <v>1.9069467010439878E-2</v>
      </c>
      <c r="D73" s="348">
        <f ca="1">'Calc|Opex forecast'!$R$70</f>
        <v>1.656149987174782E-2</v>
      </c>
      <c r="E73" s="348">
        <f ca="1">'Calc|Opex forecast'!$S$70</f>
        <v>2.429700223570519E-2</v>
      </c>
    </row>
    <row r="75" spans="1:7" ht="26">
      <c r="A75" s="403" t="s">
        <v>395</v>
      </c>
      <c r="B75" s="337">
        <f>'Input|Rate of change'!O16</f>
        <v>1.2368930976430976</v>
      </c>
    </row>
  </sheetData>
  <mergeCells count="1">
    <mergeCell ref="C1:F1"/>
  </mergeCells>
  <pageMargins left="0.7" right="0.7" top="0.75" bottom="0.75" header="0.3" footer="0.3"/>
  <pageSetup paperSize="9" orientation="portrait" r:id="rId1"/>
  <headerFooter>
    <oddFooter>&amp;C_x000D_&amp;1#&amp;"Century Gothic"&amp;7&amp;K7F7F7F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workbookViewId="0">
      <selection activeCell="K9" sqref="K9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1.109375" style="16" customWidth="1"/>
    <col min="5" max="6" width="3.33203125" style="16" customWidth="1"/>
    <col min="7" max="7" width="16.109375" style="16" bestFit="1" customWidth="1"/>
    <col min="8" max="9" width="3.33203125" style="16" customWidth="1"/>
    <col min="10" max="23" width="10.77734375" style="8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7" t="s">
        <v>24</v>
      </c>
      <c r="V1" s="29" t="str">
        <f ca="1"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3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 ht="10.5">
      <c r="C7" s="8" t="s">
        <v>59</v>
      </c>
      <c r="D7" s="16" t="s">
        <v>63</v>
      </c>
      <c r="E7" s="8"/>
      <c r="F7" s="8"/>
      <c r="G7" s="39" t="s">
        <v>213</v>
      </c>
      <c r="H7" s="8"/>
      <c r="I7" s="8"/>
      <c r="S7" s="81" t="str">
        <f>IF(COUNTBLANK($G7),"Check","Ok")</f>
        <v>Ok</v>
      </c>
    </row>
    <row r="8" spans="1:30" ht="10.5">
      <c r="C8" s="8" t="s">
        <v>125</v>
      </c>
      <c r="D8" s="16" t="s">
        <v>64</v>
      </c>
      <c r="E8" s="8"/>
      <c r="F8" s="8"/>
      <c r="G8" s="39" t="s">
        <v>182</v>
      </c>
      <c r="H8" s="8"/>
      <c r="I8" s="8"/>
      <c r="S8" s="81" t="str">
        <f>IF(COUNTBLANK($G8),"Check","Ok")</f>
        <v>Ok</v>
      </c>
    </row>
    <row r="9" spans="1:30" ht="10.5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 ht="10.5">
      <c r="C10" s="8" t="s">
        <v>193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 ht="10.5">
      <c r="C11" s="8" t="s">
        <v>66</v>
      </c>
      <c r="D11" s="16" t="s">
        <v>63</v>
      </c>
      <c r="E11" s="8"/>
      <c r="F11" s="8"/>
      <c r="G11" s="93">
        <v>2023</v>
      </c>
      <c r="H11" s="8"/>
      <c r="I11" s="8"/>
      <c r="S11" s="81" t="str">
        <f t="shared" si="0"/>
        <v>Ok</v>
      </c>
    </row>
    <row r="12" spans="1:30" ht="10.5">
      <c r="C12" s="8" t="s">
        <v>194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 ht="10.5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 ht="10.5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 ht="10.5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 hidden="1">
      <c r="D16" s="8"/>
      <c r="E16" s="8"/>
      <c r="F16" s="8"/>
      <c r="G16" s="8"/>
      <c r="H16" s="8"/>
      <c r="I16" s="8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 link="1"/>
  <conditionalFormatting sqref="S1">
    <cfRule type="cellIs" dxfId="176" priority="1" operator="equal">
      <formula>"Check"</formula>
    </cfRule>
    <cfRule type="cellIs" dxfId="175" priority="2" operator="equal">
      <formula>"Ok"</formula>
    </cfRule>
  </conditionalFormatting>
  <conditionalFormatting sqref="S7:S15">
    <cfRule type="cellIs" dxfId="174" priority="5" operator="equal">
      <formula>"Check"</formula>
    </cfRule>
    <cfRule type="cellIs" dxfId="173" priority="6" operator="equal">
      <formula>"Ok"</formula>
    </cfRule>
  </conditionalFormatting>
  <conditionalFormatting sqref="V1">
    <cfRule type="cellIs" dxfId="172" priority="3" operator="equal">
      <formula>"Check"</formula>
    </cfRule>
    <cfRule type="cellIs" dxfId="171" priority="4" operator="equal">
      <formula>"Ok"</formula>
    </cfRule>
  </conditionalFormatting>
  <conditionalFormatting sqref="W14:W16">
    <cfRule type="cellIs" dxfId="170" priority="13" operator="equal">
      <formula>"Check"</formula>
    </cfRule>
    <cfRule type="cellIs" dxfId="169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topLeftCell="A19" workbookViewId="0">
      <selection activeCell="A82" sqref="A82:XFD82"/>
    </sheetView>
  </sheetViews>
  <sheetFormatPr defaultColWidth="0" defaultRowHeight="11.25" customHeight="1" zeroHeight="1"/>
  <cols>
    <col min="1" max="2" width="1.44140625" style="8" customWidth="1"/>
    <col min="3" max="3" width="11.6640625" style="8" bestFit="1" customWidth="1"/>
    <col min="4" max="4" width="21.44140625" style="16" bestFit="1" customWidth="1"/>
    <col min="5" max="5" width="21.44140625" style="16" customWidth="1"/>
    <col min="6" max="9" width="15" style="16" customWidth="1"/>
    <col min="10" max="12" width="3.33203125" style="16" customWidth="1"/>
    <col min="13" max="26" width="10.77734375" style="8" customWidth="1"/>
    <col min="27" max="41" width="10.44140625" style="8" hidden="1" customWidth="1"/>
    <col min="42" max="16384" width="10.44140625" style="8" hidden="1"/>
  </cols>
  <sheetData>
    <row r="1" spans="1:33" s="27" customFormat="1" ht="15.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6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7" t="s">
        <v>24</v>
      </c>
      <c r="Y1" s="29" t="str">
        <f ca="1"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3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0">
      <c r="D6" s="47" t="s">
        <v>92</v>
      </c>
      <c r="E6" s="47" t="s">
        <v>123</v>
      </c>
      <c r="F6" s="47" t="s">
        <v>92</v>
      </c>
      <c r="G6" s="47" t="s">
        <v>189</v>
      </c>
      <c r="H6" s="47" t="s">
        <v>190</v>
      </c>
      <c r="I6" s="47" t="s">
        <v>123</v>
      </c>
      <c r="J6" s="47"/>
      <c r="K6" s="8"/>
      <c r="L6" s="8"/>
    </row>
    <row r="7" spans="1:33" ht="10.5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188</v>
      </c>
      <c r="H7" s="50" t="s">
        <v>30</v>
      </c>
      <c r="I7" s="50" t="s">
        <v>30</v>
      </c>
      <c r="J7" s="50"/>
      <c r="K7" s="8"/>
      <c r="L7" s="8"/>
    </row>
    <row r="8" spans="1:33" ht="10.5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0.5">
      <c r="C9" s="49">
        <v>39172</v>
      </c>
      <c r="D9" s="48">
        <v>155.6</v>
      </c>
      <c r="E9" s="8"/>
      <c r="F9" s="192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0.5">
      <c r="C10" s="49">
        <v>39263</v>
      </c>
      <c r="D10" s="48">
        <v>157.5</v>
      </c>
      <c r="E10" s="8"/>
      <c r="F10" s="192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0.5">
      <c r="C11" s="49">
        <v>39355</v>
      </c>
      <c r="D11" s="48">
        <v>158.6</v>
      </c>
      <c r="E11" s="8"/>
      <c r="F11" s="192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0.5">
      <c r="C12" s="49">
        <v>39447</v>
      </c>
      <c r="D12" s="48">
        <v>160.1</v>
      </c>
      <c r="E12" s="8"/>
      <c r="F12" s="192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0.5">
      <c r="C13" s="49">
        <v>39538</v>
      </c>
      <c r="D13" s="48">
        <v>162.19999999999999</v>
      </c>
      <c r="E13" s="72">
        <f>D13/D9-1</f>
        <v>4.2416452442159303E-2</v>
      </c>
      <c r="F13" s="192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0.5">
      <c r="C14" s="49">
        <v>39629</v>
      </c>
      <c r="D14" s="48">
        <v>164.6</v>
      </c>
      <c r="E14" s="72">
        <f t="shared" ref="E14:E29" si="0">D14/D10-1</f>
        <v>4.5079365079365052E-2</v>
      </c>
      <c r="F14" s="192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0.5">
      <c r="C15" s="49">
        <v>39721</v>
      </c>
      <c r="D15" s="48">
        <v>166.5</v>
      </c>
      <c r="E15" s="72">
        <f t="shared" si="0"/>
        <v>4.9810844892812067E-2</v>
      </c>
      <c r="F15" s="192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0.5">
      <c r="C16" s="49">
        <v>39813</v>
      </c>
      <c r="D16" s="48">
        <v>166</v>
      </c>
      <c r="E16" s="72">
        <f t="shared" si="0"/>
        <v>3.6851967520299844E-2</v>
      </c>
      <c r="F16" s="192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0.5">
      <c r="C17" s="49">
        <v>39903</v>
      </c>
      <c r="D17" s="48">
        <v>166.2</v>
      </c>
      <c r="E17" s="72">
        <f t="shared" si="0"/>
        <v>2.4660912453760897E-2</v>
      </c>
      <c r="F17" s="192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0.5">
      <c r="C18" s="49">
        <v>39994</v>
      </c>
      <c r="D18" s="48">
        <v>167</v>
      </c>
      <c r="E18" s="72">
        <f t="shared" si="0"/>
        <v>1.4580801944106936E-2</v>
      </c>
      <c r="F18" s="192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0.5">
      <c r="C19" s="49">
        <v>40086</v>
      </c>
      <c r="D19" s="48">
        <v>168.6</v>
      </c>
      <c r="E19" s="72">
        <f t="shared" si="0"/>
        <v>1.2612612612612484E-2</v>
      </c>
      <c r="F19" s="192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0.5">
      <c r="C20" s="49">
        <v>40178</v>
      </c>
      <c r="D20" s="48">
        <v>169.5</v>
      </c>
      <c r="E20" s="72">
        <f t="shared" si="0"/>
        <v>2.108433734939763E-2</v>
      </c>
      <c r="F20" s="192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0.5">
      <c r="C21" s="49">
        <v>40268</v>
      </c>
      <c r="D21" s="48">
        <v>171</v>
      </c>
      <c r="E21" s="72">
        <f t="shared" si="0"/>
        <v>2.8880866425992746E-2</v>
      </c>
      <c r="F21" s="193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0.5">
      <c r="C22" s="49">
        <v>40359</v>
      </c>
      <c r="D22" s="48">
        <v>172.1</v>
      </c>
      <c r="E22" s="72">
        <f t="shared" si="0"/>
        <v>3.0538922155688653E-2</v>
      </c>
      <c r="F22" s="193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0.5">
      <c r="C23" s="49">
        <v>40451</v>
      </c>
      <c r="D23" s="48">
        <v>173.3</v>
      </c>
      <c r="E23" s="72">
        <f t="shared" si="0"/>
        <v>2.7876631079478242E-2</v>
      </c>
      <c r="F23" s="193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0.5">
      <c r="C24" s="49">
        <v>40543</v>
      </c>
      <c r="D24" s="48">
        <v>174</v>
      </c>
      <c r="E24" s="72">
        <f t="shared" si="0"/>
        <v>2.6548672566371723E-2</v>
      </c>
      <c r="F24" s="193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0.5">
      <c r="C25" s="49">
        <v>40633</v>
      </c>
      <c r="D25" s="48">
        <v>176.7</v>
      </c>
      <c r="E25" s="72">
        <f t="shared" si="0"/>
        <v>3.3333333333333215E-2</v>
      </c>
      <c r="F25" s="193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0.5">
      <c r="C26" s="49">
        <v>40724</v>
      </c>
      <c r="D26" s="48">
        <v>178.3</v>
      </c>
      <c r="E26" s="72">
        <f t="shared" si="0"/>
        <v>3.6025566531086683E-2</v>
      </c>
      <c r="F26" s="193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0.5">
      <c r="C27" s="49">
        <v>40816</v>
      </c>
      <c r="D27" s="48">
        <v>179.4</v>
      </c>
      <c r="E27" s="72">
        <f t="shared" si="0"/>
        <v>3.5199076745527913E-2</v>
      </c>
      <c r="F27" s="193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0.5">
      <c r="C28" s="49">
        <v>40908</v>
      </c>
      <c r="D28" s="48">
        <v>179.4</v>
      </c>
      <c r="E28" s="72">
        <f t="shared" si="0"/>
        <v>3.1034482758620641E-2</v>
      </c>
      <c r="F28" s="193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0.5">
      <c r="C29" s="49">
        <v>40999</v>
      </c>
      <c r="D29" s="48">
        <v>179.5</v>
      </c>
      <c r="E29" s="72">
        <f t="shared" si="0"/>
        <v>1.5846066779853007E-2</v>
      </c>
      <c r="F29" s="193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0.5">
      <c r="C30" s="49">
        <v>41090</v>
      </c>
      <c r="D30" s="8"/>
      <c r="E30" s="8"/>
      <c r="F30" s="193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0.5">
      <c r="C31" s="49">
        <v>41182</v>
      </c>
      <c r="D31" s="8"/>
      <c r="E31" s="8"/>
      <c r="F31" s="193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0.5">
      <c r="C32" s="49">
        <v>41274</v>
      </c>
      <c r="D32" s="8"/>
      <c r="E32" s="8"/>
      <c r="F32" s="193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0.5">
      <c r="C33" s="49">
        <v>41364</v>
      </c>
      <c r="D33" s="8"/>
      <c r="E33" s="8"/>
      <c r="F33" s="193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0.5">
      <c r="C34" s="49">
        <v>41455</v>
      </c>
      <c r="D34" s="8"/>
      <c r="E34" s="8"/>
      <c r="F34" s="193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0.5">
      <c r="C35" s="49">
        <v>41547</v>
      </c>
      <c r="D35" s="8"/>
      <c r="E35" s="8"/>
      <c r="F35" s="193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0.5">
      <c r="C36" s="49">
        <v>41639</v>
      </c>
      <c r="D36" s="8"/>
      <c r="E36" s="8"/>
      <c r="F36" s="193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0.5">
      <c r="C37" s="49">
        <v>41729</v>
      </c>
      <c r="D37" s="8"/>
      <c r="E37" s="8"/>
      <c r="F37" s="193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0.5">
      <c r="C38" s="49">
        <v>41820</v>
      </c>
      <c r="D38" s="8"/>
      <c r="E38" s="8"/>
      <c r="F38" s="193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0.5">
      <c r="C39" s="49">
        <v>41912</v>
      </c>
      <c r="D39" s="8"/>
      <c r="E39" s="8"/>
      <c r="F39" s="193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0.5">
      <c r="C40" s="49">
        <v>42004</v>
      </c>
      <c r="D40" s="8"/>
      <c r="E40" s="8"/>
      <c r="F40" s="193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0.5">
      <c r="C41" s="49">
        <v>42094</v>
      </c>
      <c r="D41" s="8"/>
      <c r="E41" s="8"/>
      <c r="F41" s="193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0.5">
      <c r="C42" s="49">
        <v>42185</v>
      </c>
      <c r="D42" s="8"/>
      <c r="E42" s="8"/>
      <c r="F42" s="193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0.5">
      <c r="C43" s="49">
        <v>42277</v>
      </c>
      <c r="D43" s="8"/>
      <c r="E43" s="8"/>
      <c r="F43" s="193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0.5">
      <c r="C44" s="49">
        <v>42369</v>
      </c>
      <c r="D44" s="8"/>
      <c r="E44" s="8"/>
      <c r="F44" s="193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0.5">
      <c r="C45" s="49">
        <v>42460</v>
      </c>
      <c r="D45" s="8"/>
      <c r="E45" s="8"/>
      <c r="F45" s="193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0.5">
      <c r="C46" s="49">
        <v>42551</v>
      </c>
      <c r="D46" s="8"/>
      <c r="E46" s="8"/>
      <c r="F46" s="193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0.5">
      <c r="C47" s="49">
        <v>42643</v>
      </c>
      <c r="D47" s="8"/>
      <c r="E47" s="8"/>
      <c r="F47" s="193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0.5">
      <c r="C48" s="49">
        <v>42735</v>
      </c>
      <c r="D48" s="8"/>
      <c r="E48" s="8"/>
      <c r="F48" s="193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0.5">
      <c r="C49" s="49">
        <v>42825</v>
      </c>
      <c r="D49" s="8"/>
      <c r="E49" s="8"/>
      <c r="F49" s="193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0.5">
      <c r="C50" s="49">
        <v>42916</v>
      </c>
      <c r="D50" s="8"/>
      <c r="E50" s="8"/>
      <c r="F50" s="193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0.5">
      <c r="C51" s="49">
        <v>43008</v>
      </c>
      <c r="D51" s="8"/>
      <c r="E51" s="8"/>
      <c r="F51" s="193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0.5">
      <c r="C52" s="49">
        <v>43100</v>
      </c>
      <c r="D52" s="8"/>
      <c r="E52" s="8"/>
      <c r="F52" s="193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0.5">
      <c r="C53" s="49">
        <v>43190</v>
      </c>
      <c r="D53" s="8"/>
      <c r="E53" s="8"/>
      <c r="F53" s="193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0.5">
      <c r="C54" s="49">
        <v>43281</v>
      </c>
      <c r="D54" s="8"/>
      <c r="E54" s="8"/>
      <c r="F54" s="193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0.5">
      <c r="C55" s="49">
        <v>43373</v>
      </c>
      <c r="D55" s="8"/>
      <c r="E55" s="8"/>
      <c r="F55" s="193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0.5">
      <c r="C56" s="49">
        <v>43465</v>
      </c>
      <c r="D56" s="8"/>
      <c r="E56" s="8"/>
      <c r="F56" s="193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0.5">
      <c r="C57" s="49">
        <v>43555</v>
      </c>
      <c r="D57" s="8"/>
      <c r="E57" s="8"/>
      <c r="F57" s="193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0.5">
      <c r="C58" s="49">
        <v>43646</v>
      </c>
      <c r="D58" s="8"/>
      <c r="E58" s="8"/>
      <c r="F58" s="193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0.5">
      <c r="C59" s="49">
        <v>43738</v>
      </c>
      <c r="D59" s="8"/>
      <c r="E59" s="8"/>
      <c r="F59" s="193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0.5">
      <c r="C60" s="49">
        <v>43830</v>
      </c>
      <c r="D60" s="8"/>
      <c r="E60" s="8"/>
      <c r="F60" s="193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0.5">
      <c r="C61" s="49">
        <v>43921</v>
      </c>
      <c r="D61" s="8"/>
      <c r="E61" s="8"/>
      <c r="F61" s="193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0.5">
      <c r="C62" s="49">
        <v>44012</v>
      </c>
      <c r="D62" s="8"/>
      <c r="E62" s="8"/>
      <c r="F62" s="193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0.5">
      <c r="C63" s="49">
        <v>44104</v>
      </c>
      <c r="D63" s="8"/>
      <c r="E63" s="8"/>
      <c r="F63" s="193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0.5">
      <c r="C64" s="49">
        <v>44196</v>
      </c>
      <c r="D64" s="8"/>
      <c r="E64" s="8"/>
      <c r="F64" s="193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0.5">
      <c r="C65" s="49">
        <v>44286</v>
      </c>
      <c r="D65" s="8"/>
      <c r="E65" s="8"/>
      <c r="F65" s="193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0.5">
      <c r="C66" s="49">
        <v>44377</v>
      </c>
      <c r="D66" s="8"/>
      <c r="E66" s="8"/>
      <c r="F66" s="193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0.5">
      <c r="C67" s="49">
        <v>44469</v>
      </c>
      <c r="D67" s="8"/>
      <c r="E67" s="8"/>
      <c r="F67" s="193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0.5">
      <c r="C68" s="49">
        <v>44561</v>
      </c>
      <c r="D68" s="8"/>
      <c r="E68" s="8"/>
      <c r="F68" s="193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0.5">
      <c r="C69" s="49">
        <v>44651</v>
      </c>
      <c r="D69" s="8"/>
      <c r="E69" s="8"/>
      <c r="F69" s="193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0.5">
      <c r="C70" s="49">
        <v>44742</v>
      </c>
      <c r="D70" s="8"/>
      <c r="E70" s="8"/>
      <c r="F70" s="193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0.5">
      <c r="C71" s="49">
        <v>44834</v>
      </c>
      <c r="D71" s="8"/>
      <c r="E71" s="8"/>
      <c r="F71" s="193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0.5">
      <c r="C72" s="49">
        <v>44926</v>
      </c>
      <c r="D72" s="8"/>
      <c r="E72" s="8"/>
      <c r="F72" s="193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0.5">
      <c r="C73" s="49">
        <v>45016</v>
      </c>
      <c r="D73" s="8"/>
      <c r="E73" s="8"/>
      <c r="F73" s="193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0.5">
      <c r="C74" s="49">
        <v>45107</v>
      </c>
      <c r="D74" s="8"/>
      <c r="E74" s="8"/>
      <c r="F74" s="193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4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0.5">
      <c r="C75" s="49">
        <v>45199</v>
      </c>
      <c r="D75" s="8"/>
      <c r="E75" s="8"/>
      <c r="F75" s="193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87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0.5">
      <c r="C76" s="49">
        <v>45291</v>
      </c>
      <c r="D76" s="8"/>
      <c r="E76" s="8"/>
      <c r="F76" s="193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89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0.5">
      <c r="C77" s="49">
        <v>45382</v>
      </c>
      <c r="D77" s="8"/>
      <c r="E77" s="8"/>
      <c r="F77" s="193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0.5">
      <c r="C78" s="49">
        <v>45473</v>
      </c>
      <c r="D78" s="8"/>
      <c r="E78" s="8"/>
      <c r="F78" s="193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89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0.5">
      <c r="C79" s="49">
        <v>45565</v>
      </c>
      <c r="D79" s="8"/>
      <c r="E79" s="8"/>
      <c r="F79" s="193">
        <v>139.1</v>
      </c>
      <c r="G79" s="110"/>
      <c r="H79" s="117">
        <f>IF(F79="",IF(COUNT(G79:G$88)=0,"",IF(ISBLANK(G79),AVERAGE(H78,H80),(1+G79)*H75)),F79)</f>
        <v>139.1</v>
      </c>
      <c r="I79" s="72">
        <f t="shared" si="2"/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0.5">
      <c r="C80" s="49">
        <v>45657</v>
      </c>
      <c r="D80" s="8"/>
      <c r="E80" s="8"/>
      <c r="F80" s="193">
        <v>139.4</v>
      </c>
      <c r="G80" s="110"/>
      <c r="H80" s="117">
        <f>IF(F80="",IF(COUNT(G80:G$88)=0,"",IF(ISBLANK(G80),AVERAGE(H79,H81),(1+G80)*H76)),F80)</f>
        <v>139.4</v>
      </c>
      <c r="I80" s="72">
        <f t="shared" si="2"/>
        <v>2.4246877296105973E-2</v>
      </c>
      <c r="J80" s="189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0.5">
      <c r="C81" s="49">
        <v>45747</v>
      </c>
      <c r="D81" s="8"/>
      <c r="E81" s="8"/>
      <c r="F81" s="193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2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0.5">
      <c r="C82" s="49">
        <v>45838</v>
      </c>
      <c r="D82" s="8"/>
      <c r="E82" s="8"/>
      <c r="F82" s="193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2"/>
        <v>2.0893371757924939E-2</v>
      </c>
      <c r="J82" s="189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0.5">
      <c r="C83" s="49">
        <v>45930</v>
      </c>
      <c r="D83" s="8"/>
      <c r="E83" s="8"/>
      <c r="F83" s="193">
        <v>143.6</v>
      </c>
      <c r="G83" s="110"/>
      <c r="H83" s="117">
        <f>IF(F83="",IF(COUNT(G83:G$88)=0,"",IF(ISBLANK(G83),AVERAGE(H82,H84),(1+G83)*H79)),F83)</f>
        <v>143.6</v>
      </c>
      <c r="I83" s="72">
        <f t="shared" si="2"/>
        <v>3.2350826743350103E-2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0.5">
      <c r="C84" s="49">
        <v>46022</v>
      </c>
      <c r="D84" s="8"/>
      <c r="E84" s="8"/>
      <c r="F84" s="193" t="s">
        <v>234</v>
      </c>
      <c r="G84" s="110">
        <v>3.3000000000000002E-2</v>
      </c>
      <c r="H84" s="117">
        <f>IF(F84="",IF(COUNT(G84:G$88)=0,"",IF(ISBLANK(G84),AVERAGE(H83,H85),(1+G84)*H80)),F84)</f>
        <v>144.00020000000001</v>
      </c>
      <c r="I84" s="72">
        <f>IF(H84="","",H84/H80-1)</f>
        <v>3.2999999999999918E-2</v>
      </c>
      <c r="J84" s="189"/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0.5">
      <c r="C85" s="49">
        <v>46112</v>
      </c>
      <c r="D85" s="8"/>
      <c r="E85" s="8"/>
      <c r="F85" s="193" t="s">
        <v>234</v>
      </c>
      <c r="G85" s="110"/>
      <c r="H85" s="117">
        <f>IF(F85="",IF(COUNT(G85:G$88)=0,"",IF(ISBLANK(G85),AVERAGE(H84,H86),(1+G85)*H81)),F85)</f>
        <v>145.47154999999998</v>
      </c>
      <c r="I85" s="72">
        <f t="shared" si="2"/>
        <v>3.3912935323383131E-2</v>
      </c>
      <c r="J85" s="189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0.5">
      <c r="C86" s="49">
        <v>46203</v>
      </c>
      <c r="D86" s="8"/>
      <c r="E86" s="8"/>
      <c r="F86" s="193" t="s">
        <v>234</v>
      </c>
      <c r="G86" s="110">
        <v>3.6999999999999998E-2</v>
      </c>
      <c r="H86" s="117">
        <f>IF(F86="",IF(COUNT(G86:G$88)=0,"",IF(ISBLANK(G86),AVERAGE(H85,H87),(1+G86)*H82)),F86)</f>
        <v>146.94289999999998</v>
      </c>
      <c r="I86" s="72">
        <f>IF(H86="","",H86/H82-1)</f>
        <v>3.6999999999999922E-2</v>
      </c>
      <c r="J86" s="196"/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0.5">
      <c r="C87" s="49">
        <v>46295</v>
      </c>
      <c r="D87" s="8"/>
      <c r="E87" s="8"/>
      <c r="F87" s="193" t="s">
        <v>234</v>
      </c>
      <c r="G87" s="110"/>
      <c r="H87" s="117">
        <f>IF(F87="",IF(COUNT(G87:G$88)=0,"",IF(ISBLANK(G87),AVERAGE(H86,H88),(1+G87)*H83)),F87)</f>
        <v>147.77555319999999</v>
      </c>
      <c r="I87" s="72">
        <f t="shared" si="2"/>
        <v>2.9077668523676881E-2</v>
      </c>
      <c r="J87" s="189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0.5">
      <c r="C88" s="49">
        <v>46387</v>
      </c>
      <c r="D88" s="8"/>
      <c r="E88" s="8"/>
      <c r="F88" s="193" t="s">
        <v>234</v>
      </c>
      <c r="G88" s="110">
        <v>3.2000000000000001E-2</v>
      </c>
      <c r="H88" s="117">
        <f>IF(F88="",IF(COUNT(G88:G$88)=0,"",IF(ISBLANK(G88),AVERAGE(H87,H89),(1+G88)*H84)),F88)</f>
        <v>148.6082064</v>
      </c>
      <c r="I88" s="72">
        <f>IF(H88="","",H88/H84-1)</f>
        <v>3.2000000000000028E-2</v>
      </c>
      <c r="J88" s="196"/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0.5" hidden="1">
      <c r="F89" s="8"/>
      <c r="G89" s="8"/>
      <c r="H89" s="8"/>
      <c r="I89" s="8"/>
      <c r="J89" s="8"/>
      <c r="K89" s="8"/>
      <c r="L89" s="8"/>
      <c r="V89" s="82"/>
    </row>
    <row r="90" spans="1:50" customFormat="1" ht="13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0" hidden="1">
      <c r="J91" s="20"/>
      <c r="K91" s="20"/>
    </row>
    <row r="92" spans="1:50" ht="10" hidden="1">
      <c r="J92" s="20"/>
      <c r="K92" s="20"/>
    </row>
    <row r="93" spans="1:50" s="16" customFormat="1" ht="10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0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0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0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0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0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0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0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68" priority="1">
      <formula>F21=""</formula>
    </cfRule>
  </conditionalFormatting>
  <conditionalFormatting sqref="V1">
    <cfRule type="cellIs" dxfId="167" priority="6" operator="equal">
      <formula>"Check"</formula>
    </cfRule>
    <cfRule type="cellIs" dxfId="166" priority="7" operator="equal">
      <formula>"Ok"</formula>
    </cfRule>
  </conditionalFormatting>
  <conditionalFormatting sqref="V9:V88">
    <cfRule type="cellIs" dxfId="165" priority="12" operator="equal">
      <formula>"Check"</formula>
    </cfRule>
    <cfRule type="cellIs" dxfId="164" priority="13" operator="equal">
      <formula>"Ok"</formula>
    </cfRule>
  </conditionalFormatting>
  <conditionalFormatting sqref="Y1">
    <cfRule type="cellIs" dxfId="163" priority="8" operator="equal">
      <formula>"Check"</formula>
    </cfRule>
    <cfRule type="cellIs" dxfId="162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zoomScaleNormal="100" workbookViewId="0">
      <selection activeCell="P14" sqref="P14"/>
    </sheetView>
  </sheetViews>
  <sheetFormatPr defaultColWidth="0" defaultRowHeight="10" zeroHeight="1"/>
  <cols>
    <col min="1" max="2" width="1.6640625" customWidth="1"/>
    <col min="3" max="3" width="49.77734375" bestFit="1" customWidth="1"/>
    <col min="4" max="6" width="13.33203125" customWidth="1"/>
    <col min="7" max="9" width="3.33203125" customWidth="1"/>
    <col min="10" max="20" width="10.77734375" customWidth="1"/>
    <col min="21" max="21" width="53.33203125" bestFit="1" customWidth="1"/>
    <col min="22" max="22" width="10.77734375" customWidth="1"/>
    <col min="23" max="24" width="0" hidden="1" customWidth="1"/>
    <col min="25" max="16384" width="9.33203125" hidden="1"/>
  </cols>
  <sheetData>
    <row r="1" spans="1:22" ht="15.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6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IF(COUNTA($V$8:$V$266)=COUNTIF($V$8:$V$266,"OK"),"OK","Check")</f>
        <v>OK</v>
      </c>
      <c r="T1" s="29"/>
      <c r="U1" s="187" t="s">
        <v>24</v>
      </c>
      <c r="V1" s="29" t="str">
        <f ca="1"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ht="10.5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3">
      <c r="A8" s="32"/>
      <c r="B8" s="38" t="s">
        <v>204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 ht="10.5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 ht="10.5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 ht="10.5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99">
        <v>267.17792874348316</v>
      </c>
      <c r="K13" s="199">
        <v>243.40406829574664</v>
      </c>
      <c r="L13" s="199">
        <v>272.84233487501456</v>
      </c>
      <c r="M13" s="199">
        <v>264.78212137502663</v>
      </c>
      <c r="N13" s="199">
        <f>259.259325636705+0.141369180613727</f>
        <v>259.40069481731871</v>
      </c>
      <c r="O13" s="129"/>
      <c r="P13" s="129"/>
      <c r="Q13" s="129"/>
      <c r="R13" s="129"/>
      <c r="S13" s="129"/>
      <c r="T13" s="129"/>
      <c r="U13" s="17" t="s">
        <v>375</v>
      </c>
      <c r="V13" s="64" t="str">
        <f>IF(COUNT(J13:T13)=COUNT($J$10:$T$10),"Ok","Check")</f>
        <v>Ok</v>
      </c>
    </row>
    <row r="14" spans="1:22" ht="10.5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 t="s">
        <v>388</v>
      </c>
      <c r="V14" s="8"/>
    </row>
    <row r="15" spans="1:22" ht="10.5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200">
        <f>J13</f>
        <v>267.17792874348316</v>
      </c>
      <c r="K15" s="200">
        <f t="shared" ref="K15:S15" si="1">K13</f>
        <v>243.40406829574664</v>
      </c>
      <c r="L15" s="200">
        <f t="shared" si="1"/>
        <v>272.84233487501456</v>
      </c>
      <c r="M15" s="200">
        <f t="shared" si="1"/>
        <v>264.78212137502663</v>
      </c>
      <c r="N15" s="200">
        <f t="shared" si="1"/>
        <v>259.40069481731871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 ht="10.5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 ht="10.5">
      <c r="A17" s="17"/>
      <c r="B17" s="17"/>
      <c r="C17" s="122" t="s">
        <v>205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 ht="10.5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39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99">
        <v>2.2142462152097226</v>
      </c>
      <c r="K19" s="199">
        <v>2.2449315556494076</v>
      </c>
      <c r="L19" s="199">
        <v>2.2853821071100904</v>
      </c>
      <c r="M19" s="199">
        <v>2.3002560327302484</v>
      </c>
      <c r="N19" s="199">
        <v>2.300015824969448</v>
      </c>
      <c r="O19" s="129"/>
      <c r="P19" s="129"/>
      <c r="Q19" s="129"/>
      <c r="R19" s="129"/>
      <c r="S19" s="129"/>
      <c r="T19" s="129"/>
      <c r="U19" s="17" t="s">
        <v>206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214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99">
        <v>9.4571084152270224</v>
      </c>
      <c r="K20" s="199">
        <v>9.3124077378556809</v>
      </c>
      <c r="L20" s="199">
        <v>9.1710630203785755</v>
      </c>
      <c r="M20" s="199">
        <v>9.0329964299409085</v>
      </c>
      <c r="N20" s="199">
        <v>8.8981319388206828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215</v>
      </c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99">
        <v>0.24036616306495823</v>
      </c>
      <c r="K21" s="199">
        <v>0.24036616306495823</v>
      </c>
      <c r="L21" s="199">
        <v>0.24036616306495823</v>
      </c>
      <c r="M21" s="199">
        <v>0.24036616306495823</v>
      </c>
      <c r="N21" s="199">
        <v>0.24036616306495823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 t="s">
        <v>218</v>
      </c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99">
        <v>0</v>
      </c>
      <c r="K22" s="199">
        <v>0</v>
      </c>
      <c r="L22" s="199">
        <v>16.755878192221939</v>
      </c>
      <c r="M22" s="199">
        <v>0</v>
      </c>
      <c r="N22" s="199">
        <v>0</v>
      </c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 t="s">
        <v>217</v>
      </c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99">
        <v>22.520634711521659</v>
      </c>
      <c r="K23" s="199">
        <v>0</v>
      </c>
      <c r="L23" s="199">
        <v>0</v>
      </c>
      <c r="M23" s="199">
        <v>0</v>
      </c>
      <c r="N23" s="199">
        <v>0</v>
      </c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 t="s">
        <v>232</v>
      </c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99">
        <v>0</v>
      </c>
      <c r="K24" s="199">
        <v>0</v>
      </c>
      <c r="L24" s="199">
        <v>0</v>
      </c>
      <c r="M24" s="199">
        <v>6.025066066784273</v>
      </c>
      <c r="N24" s="199">
        <v>0</v>
      </c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 ht="10.5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 ht="10.5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200">
        <f>SUM(J19:J27)</f>
        <v>34.432355505023367</v>
      </c>
      <c r="K29" s="200">
        <f t="shared" ref="K29:S29" si="5">SUM(K19:K27)</f>
        <v>11.797705456570046</v>
      </c>
      <c r="L29" s="200">
        <f t="shared" si="5"/>
        <v>28.452689482775561</v>
      </c>
      <c r="M29" s="200">
        <f t="shared" si="5"/>
        <v>17.598684692520386</v>
      </c>
      <c r="N29" s="200">
        <f t="shared" si="5"/>
        <v>11.438513926855089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98"/>
      <c r="K30" s="198"/>
      <c r="L30" s="198"/>
      <c r="M30" s="198"/>
      <c r="N30" s="198"/>
      <c r="O30" s="17"/>
      <c r="P30" s="17"/>
      <c r="Q30" s="17"/>
      <c r="R30" s="17"/>
      <c r="S30" s="17"/>
      <c r="T30" s="17"/>
      <c r="U30" s="17"/>
      <c r="V30" s="8"/>
    </row>
    <row r="31" spans="1:22" ht="13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23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 ht="10.5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99">
        <v>250.33996496661439</v>
      </c>
      <c r="K37" s="199">
        <v>223.62600123364601</v>
      </c>
      <c r="L37" s="199">
        <v>277.84185426099845</v>
      </c>
      <c r="M37" s="199">
        <v>309.49043117288898</v>
      </c>
      <c r="N37" s="199">
        <v>301.5</v>
      </c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 ht="10.5">
      <c r="A39" s="17"/>
      <c r="B39" s="17"/>
      <c r="C39" s="122" t="s">
        <v>159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 ht="10.5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95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155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99">
        <v>-19.156059054233204</v>
      </c>
      <c r="K41" s="199">
        <v>-16.149072123534506</v>
      </c>
      <c r="L41" s="199">
        <v>-2.4158049165679274</v>
      </c>
      <c r="M41" s="199">
        <v>1.2849978551000001</v>
      </c>
      <c r="N41" s="199">
        <v>0</v>
      </c>
      <c r="O41" s="129"/>
      <c r="P41" s="129"/>
      <c r="Q41" s="129"/>
      <c r="R41" s="129"/>
      <c r="S41" s="129"/>
      <c r="T41" s="129"/>
      <c r="U41" s="17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192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99">
        <v>0</v>
      </c>
      <c r="K42" s="199">
        <v>7.7024059999999991E-2</v>
      </c>
      <c r="L42" s="199">
        <v>3.4041689999999999E-2</v>
      </c>
      <c r="M42" s="199">
        <v>0</v>
      </c>
      <c r="N42" s="199">
        <v>0</v>
      </c>
      <c r="O42" s="129"/>
      <c r="P42" s="129"/>
      <c r="Q42" s="129"/>
      <c r="R42" s="129"/>
      <c r="S42" s="129"/>
      <c r="T42" s="129"/>
      <c r="U42" s="17"/>
      <c r="V42" s="64" t="str">
        <f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 t="s">
        <v>227</v>
      </c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99">
        <v>2.5632079034999995</v>
      </c>
      <c r="K43" s="199">
        <v>1.44162243</v>
      </c>
      <c r="L43" s="199">
        <v>1.5990176399999998</v>
      </c>
      <c r="M43" s="199">
        <v>4.8146467399999997</v>
      </c>
      <c r="N43" s="199">
        <v>0</v>
      </c>
      <c r="O43" s="129"/>
      <c r="P43" s="129"/>
      <c r="Q43" s="129"/>
      <c r="R43" s="129"/>
      <c r="S43" s="129"/>
      <c r="T43" s="129"/>
      <c r="U43" s="17"/>
      <c r="V43" s="64" t="str">
        <f>IF(ISBLANK(C43),IF(COUNT(J43:T43)=0,"Ok","Check"),IF(AND(COUNT(J43:T43)&gt;=COUNTIF($J$33:$T$33,"Actual"),COUNT(J43:T43)&lt;=COUNT($J$34:$T$34)),"Ok","Check"))</f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>IF(ISBLANK(C44),IF(COUNT(J44:T44)=0,"Ok","Check"),IF(AND(COUNT(J44:T44)&gt;=COUNTIF($J$33:$T$33,"Actual"),COUNT(J44:T44)&lt;=COUNT($J$34:$T$34)),"Ok","Check"))</f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>IF(ISBLANK(C45),IF(COUNT(J45:T45)=0,"Ok","Check"),IF(AND(COUNT(J45:T45)&gt;=COUNTIF($J$33:$T$33,"Actual"),COUNT(J45:T45)&lt;=COUNT($J$34:$T$34)),"Ok","Check"))</f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 ht="10.5">
      <c r="A47" s="17"/>
      <c r="B47" s="17"/>
      <c r="C47" s="130" t="s">
        <v>156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200">
        <f>J37-SUM(J41:J45)</f>
        <v>266.93281611734761</v>
      </c>
      <c r="K47" s="200">
        <f>K37-SUM(K41:K45)</f>
        <v>238.25642686718052</v>
      </c>
      <c r="L47" s="200">
        <f t="shared" ref="L47:S47" si="7">L37-SUM(L41:L45)</f>
        <v>278.6245998475664</v>
      </c>
      <c r="M47" s="200">
        <f t="shared" si="7"/>
        <v>303.39078657778896</v>
      </c>
      <c r="N47" s="200">
        <f t="shared" si="7"/>
        <v>301.5</v>
      </c>
      <c r="O47" s="133">
        <f t="shared" si="7"/>
        <v>0</v>
      </c>
      <c r="P47" s="133">
        <f t="shared" si="7"/>
        <v>0</v>
      </c>
      <c r="Q47" s="133">
        <f t="shared" si="7"/>
        <v>0</v>
      </c>
      <c r="R47" s="133">
        <f t="shared" si="7"/>
        <v>0</v>
      </c>
      <c r="S47" s="133">
        <f t="shared" si="7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 ht="10.5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256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99">
        <v>0</v>
      </c>
      <c r="K51" s="199">
        <v>0</v>
      </c>
      <c r="L51" s="199">
        <v>0</v>
      </c>
      <c r="M51" s="199">
        <v>6.9962400000000002</v>
      </c>
      <c r="N51" s="199">
        <v>0</v>
      </c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216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99">
        <v>13.608285000000002</v>
      </c>
      <c r="K52" s="199">
        <v>7.0749300000000002</v>
      </c>
      <c r="L52" s="199">
        <v>7.2848450000000007</v>
      </c>
      <c r="M52" s="199">
        <v>8.8649799999999992</v>
      </c>
      <c r="N52" s="199">
        <v>0</v>
      </c>
      <c r="O52" s="129"/>
      <c r="P52" s="129"/>
      <c r="Q52" s="129"/>
      <c r="R52" s="129"/>
      <c r="S52" s="129"/>
      <c r="T52" s="129"/>
      <c r="U52" s="17"/>
      <c r="V52" s="64" t="str">
        <f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 t="s">
        <v>219</v>
      </c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99">
        <v>22.5197</v>
      </c>
      <c r="K53" s="199">
        <v>0</v>
      </c>
      <c r="L53" s="199">
        <v>0</v>
      </c>
      <c r="M53" s="199">
        <v>0</v>
      </c>
      <c r="N53" s="199">
        <v>0</v>
      </c>
      <c r="O53" s="129"/>
      <c r="P53" s="129"/>
      <c r="Q53" s="129"/>
      <c r="R53" s="129"/>
      <c r="S53" s="129"/>
      <c r="T53" s="129"/>
      <c r="U53" s="17"/>
      <c r="V53" s="64" t="str">
        <f>IF(ISBLANK(C53),IF(COUNT(J53:T53)=0,"Ok","Check"),IF(AND(COUNT(J53:T53)&gt;=COUNTIF($J$33:$T$33,"Actual"),COUNT(J53:T53)&lt;=COUNT($J$34:$T$34)),"Ok","Check"))</f>
        <v>Ok</v>
      </c>
    </row>
    <row r="54" spans="1:22">
      <c r="A54" s="17"/>
      <c r="B54" s="17"/>
      <c r="C54" s="127" t="s">
        <v>220</v>
      </c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99">
        <v>0</v>
      </c>
      <c r="K54" s="199">
        <v>0</v>
      </c>
      <c r="L54" s="199">
        <v>20.337389999999999</v>
      </c>
      <c r="M54" s="199">
        <v>0</v>
      </c>
      <c r="N54" s="199">
        <v>0</v>
      </c>
      <c r="O54" s="129"/>
      <c r="Q54" s="129"/>
      <c r="R54" s="129"/>
      <c r="S54" s="129"/>
      <c r="T54" s="129"/>
      <c r="U54" s="17"/>
      <c r="V54" s="64" t="str">
        <f>IF(ISBLANK(C54),IF(COUNT(J54:T54)=0,"Ok","Check"),IF(AND(COUNT(J54:T54)&gt;=COUNTIF($J$33:$T$33,"Actual"),COUNT(J54:T54)&lt;=COUNT($J$34:$T$34)),"Ok","Check"))</f>
        <v>Ok</v>
      </c>
    </row>
    <row r="55" spans="1:22">
      <c r="A55" s="17"/>
      <c r="B55" s="17"/>
      <c r="C55" s="127" t="s">
        <v>221</v>
      </c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99">
        <v>0</v>
      </c>
      <c r="K55" s="199">
        <v>0</v>
      </c>
      <c r="L55" s="199">
        <v>0.25754960999999998</v>
      </c>
      <c r="M55" s="199">
        <v>0.55000000000000004</v>
      </c>
      <c r="N55" s="199">
        <v>0</v>
      </c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 ht="10.5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200">
        <f t="shared" ref="J57:S57" si="8">SUM(J51:J55)</f>
        <v>36.127985000000002</v>
      </c>
      <c r="K57" s="200">
        <f t="shared" si="8"/>
        <v>7.0749300000000002</v>
      </c>
      <c r="L57" s="200">
        <f t="shared" si="8"/>
        <v>27.879784610000002</v>
      </c>
      <c r="M57" s="200">
        <f t="shared" si="8"/>
        <v>16.41122</v>
      </c>
      <c r="N57" s="200">
        <f t="shared" si="8"/>
        <v>0</v>
      </c>
      <c r="O57" s="137">
        <f t="shared" si="8"/>
        <v>0</v>
      </c>
      <c r="P57" s="137">
        <f t="shared" si="8"/>
        <v>0</v>
      </c>
      <c r="Q57" s="137">
        <f t="shared" si="8"/>
        <v>0</v>
      </c>
      <c r="R57" s="137">
        <f t="shared" si="8"/>
        <v>0</v>
      </c>
      <c r="S57" s="137">
        <f t="shared" si="8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3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 ht="10.5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9">IF(YEAR(J$4)=PPLastYear,J$4,"")</f>
        <v/>
      </c>
      <c r="K61" s="123" t="str">
        <f t="shared" si="9"/>
        <v/>
      </c>
      <c r="L61" s="123" t="str">
        <f t="shared" si="9"/>
        <v/>
      </c>
      <c r="M61" s="123" t="str">
        <f t="shared" si="9"/>
        <v/>
      </c>
      <c r="N61" s="123">
        <f t="shared" si="9"/>
        <v>46174</v>
      </c>
      <c r="O61" s="123" t="str">
        <f t="shared" si="9"/>
        <v/>
      </c>
      <c r="P61" s="123" t="str">
        <f t="shared" si="9"/>
        <v/>
      </c>
      <c r="Q61" s="123" t="str">
        <f t="shared" si="9"/>
        <v/>
      </c>
      <c r="R61" s="123" t="str">
        <f t="shared" si="9"/>
        <v/>
      </c>
      <c r="S61" s="123" t="str">
        <f t="shared" si="9"/>
        <v/>
      </c>
      <c r="T61" s="123"/>
      <c r="U61" s="17"/>
      <c r="V61" s="8"/>
    </row>
    <row r="62" spans="1:22" ht="10.5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 t="s">
        <v>222</v>
      </c>
      <c r="D63" s="120" t="s">
        <v>34</v>
      </c>
      <c r="E63" s="120" t="str">
        <f>units</f>
        <v>$millions</v>
      </c>
      <c r="F63" s="139">
        <v>45809</v>
      </c>
      <c r="G63" s="121"/>
      <c r="H63" s="121"/>
      <c r="I63" s="121"/>
      <c r="J63" s="129"/>
      <c r="K63" s="129"/>
      <c r="L63" s="129"/>
      <c r="M63" s="129"/>
      <c r="N63" s="199">
        <v>5.7939273699999996</v>
      </c>
      <c r="O63" s="129"/>
      <c r="P63" s="129"/>
      <c r="Q63" s="129"/>
      <c r="R63" s="129"/>
      <c r="S63" s="129"/>
      <c r="T63" s="129"/>
      <c r="U63" s="17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 ht="10.5">
      <c r="A64" s="17"/>
      <c r="B64" s="17"/>
      <c r="C64" s="127" t="s">
        <v>223</v>
      </c>
      <c r="D64" s="120" t="s">
        <v>34</v>
      </c>
      <c r="E64" s="120" t="str">
        <f>units</f>
        <v>$millions</v>
      </c>
      <c r="F64" s="139">
        <v>45078</v>
      </c>
      <c r="G64" s="121"/>
      <c r="H64" s="121"/>
      <c r="I64" s="121"/>
      <c r="J64" s="129"/>
      <c r="K64" s="129"/>
      <c r="L64" s="129"/>
      <c r="M64" s="129"/>
      <c r="N64" s="199">
        <v>-0.45654357733016798</v>
      </c>
      <c r="O64" s="129"/>
      <c r="P64" s="129"/>
      <c r="Q64" s="129"/>
      <c r="R64" s="129"/>
      <c r="S64" s="129"/>
      <c r="T64" s="129"/>
      <c r="U64" s="122"/>
      <c r="V64" s="64" t="str">
        <f>IF(ISBLANK(C64),IF(COUNT(J64:T64)=0,"Ok","Check"),IF(AND(NOT(ISBLANK(INDEX(J64:T64,1,MATCH(SUM($J$61:$T$61),J62:T62,0)))),COUNT(J64:T64)=COUNT($J$61:$T$61)),"Ok","Check"))</f>
        <v>Ok</v>
      </c>
    </row>
    <row r="65" spans="1:22" ht="10.5">
      <c r="A65" s="17"/>
      <c r="B65" s="17"/>
      <c r="C65" s="127" t="s">
        <v>233</v>
      </c>
      <c r="D65" s="120" t="s">
        <v>34</v>
      </c>
      <c r="E65" s="120" t="str">
        <f>units</f>
        <v>$millions</v>
      </c>
      <c r="F65" s="139">
        <v>45078</v>
      </c>
      <c r="G65" s="121"/>
      <c r="H65" s="121"/>
      <c r="I65" s="121"/>
      <c r="J65" s="129"/>
      <c r="K65" s="129"/>
      <c r="L65" s="129"/>
      <c r="M65" s="129"/>
      <c r="N65" s="199">
        <v>-0.88433898000000022</v>
      </c>
      <c r="O65" s="129"/>
      <c r="P65" s="129"/>
      <c r="Q65" s="129"/>
      <c r="R65" s="129"/>
      <c r="S65" s="129"/>
      <c r="T65" s="129"/>
      <c r="U65" s="122"/>
      <c r="V65" s="64" t="str">
        <f>IF(ISBLANK(C65),IF(COUNT(J65:T65)=0,"Ok","Check"),IF(AND(NOT(ISBLANK(INDEX(J65:T65,1,MATCH(SUM($J$61:$T$61),J63:T63,0)))),COUNT(J65:T65)=COUNT($J$61:$T$61)),"Ok","Check"))</f>
        <v>Ok</v>
      </c>
    </row>
    <row r="66" spans="1:22" ht="10.5">
      <c r="A66" s="17"/>
      <c r="B66" s="17"/>
      <c r="C66" s="127" t="s">
        <v>254</v>
      </c>
      <c r="D66" s="120" t="s">
        <v>34</v>
      </c>
      <c r="E66" s="120" t="str">
        <f>units</f>
        <v>$millions</v>
      </c>
      <c r="F66" s="139">
        <v>45078</v>
      </c>
      <c r="G66" s="121"/>
      <c r="H66" s="121"/>
      <c r="I66" s="121"/>
      <c r="J66" s="129"/>
      <c r="K66" s="129"/>
      <c r="L66" s="129"/>
      <c r="M66" s="129"/>
      <c r="N66" s="199">
        <v>-3.5206916778495199</v>
      </c>
      <c r="O66" s="129"/>
      <c r="P66" s="129"/>
      <c r="Q66" s="129"/>
      <c r="R66" s="129"/>
      <c r="S66" s="129"/>
      <c r="T66" s="129"/>
      <c r="U66" s="122"/>
      <c r="V66" s="64" t="str">
        <f>IF(ISBLANK(C66),IF(COUNT(J66:T66)=0,"Ok","Check"),IF(AND(NOT(ISBLANK(INDEX(J66:T66,1,MATCH(SUM($J$61:$T$61),J64:T64,0)))),COUNT(J66:T66)=COUNT($J$61:$T$61)),"Ok","Check"))</f>
        <v>Ok</v>
      </c>
    </row>
    <row r="67" spans="1:22" ht="10.5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>IF(ISBLANK(C67),IF(COUNT(J67:T67)=0,"Ok","Check"),IF(AND(NOT(ISBLANK(INDEX(J67:T67,1,MATCH(SUM($J$61:$T$61),J65:T65,0)))),COUNT(J67:T67)=COUNT($J$61:$T$61)),"Ok","Check"))</f>
        <v>Ok</v>
      </c>
    </row>
    <row r="68" spans="1:22" ht="10.5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157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99">
        <v>0</v>
      </c>
      <c r="O69" s="129"/>
      <c r="P69" s="129"/>
      <c r="Q69" s="129"/>
      <c r="R69" s="129"/>
      <c r="S69" s="129"/>
      <c r="T69" s="129"/>
      <c r="U69" s="17" t="s">
        <v>202</v>
      </c>
      <c r="V69" s="64" t="str">
        <f>IF(AND(NOT(ISBLANK(INDEX(J69:T69,1,MATCH(SUM($J$61:$T$61),J67:T67,0)))),COUNT(J69:T69)=COUNT($J$61:$T$61)),"Ok","Check")</f>
        <v>Ok</v>
      </c>
    </row>
    <row r="70" spans="1:22" ht="10.5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201</v>
      </c>
      <c r="V71" s="64" t="str">
        <f>IF(AND(NOT(ISBLANK(INDEX(J71:T71,1,MATCH(SUM($J$61:$T$61),J69:T69,0)))),COUNT(J71:T71)=COUNT($J$61:$T$61)),"Ok","Check")</f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3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51:N55">
    <cfRule type="expression" dxfId="161" priority="25">
      <formula>J$34=J$4</formula>
    </cfRule>
  </conditionalFormatting>
  <conditionalFormatting sqref="J13:T13">
    <cfRule type="expression" dxfId="160" priority="34">
      <formula>J$10=J$4</formula>
    </cfRule>
  </conditionalFormatting>
  <conditionalFormatting sqref="J15:T15">
    <cfRule type="cellIs" dxfId="159" priority="37" operator="equal">
      <formula>0</formula>
    </cfRule>
  </conditionalFormatting>
  <conditionalFormatting sqref="J19:T27">
    <cfRule type="expression" dxfId="158" priority="29">
      <formula>J$10=J$4</formula>
    </cfRule>
  </conditionalFormatting>
  <conditionalFormatting sqref="J29:T29">
    <cfRule type="cellIs" dxfId="157" priority="3" operator="equal">
      <formula>0</formula>
    </cfRule>
  </conditionalFormatting>
  <conditionalFormatting sqref="J33:T33 N37:T37 O51:T51 P52:T53">
    <cfRule type="expression" dxfId="156" priority="35">
      <formula>J$34=J$4</formula>
    </cfRule>
  </conditionalFormatting>
  <conditionalFormatting sqref="J37:T37">
    <cfRule type="expression" dxfId="155" priority="33">
      <formula>J$10=J$4</formula>
    </cfRule>
  </conditionalFormatting>
  <conditionalFormatting sqref="J41:T45">
    <cfRule type="expression" dxfId="154" priority="27">
      <formula>J$34=J$4</formula>
    </cfRule>
  </conditionalFormatting>
  <conditionalFormatting sqref="J47:T47">
    <cfRule type="cellIs" dxfId="153" priority="2" operator="equal">
      <formula>0</formula>
    </cfRule>
  </conditionalFormatting>
  <conditionalFormatting sqref="J57:T57">
    <cfRule type="cellIs" dxfId="152" priority="1" operator="equal">
      <formula>0</formula>
    </cfRule>
  </conditionalFormatting>
  <conditionalFormatting sqref="J63:T67 J69:T69 J71:T71">
    <cfRule type="expression" dxfId="151" priority="66">
      <formula>J$61=J$4</formula>
    </cfRule>
  </conditionalFormatting>
  <conditionalFormatting sqref="O52:O54">
    <cfRule type="expression" dxfId="150" priority="28">
      <formula>O$34=O$4</formula>
    </cfRule>
  </conditionalFormatting>
  <conditionalFormatting sqref="Q54">
    <cfRule type="expression" dxfId="149" priority="187">
      <formula>P$34=P$4</formula>
    </cfRule>
  </conditionalFormatting>
  <conditionalFormatting sqref="R54:T54 O55:T55">
    <cfRule type="expression" dxfId="148" priority="75">
      <formula>O$34=O$4</formula>
    </cfRule>
  </conditionalFormatting>
  <conditionalFormatting sqref="S1:T1">
    <cfRule type="cellIs" dxfId="147" priority="55" operator="equal">
      <formula>"Ok"</formula>
    </cfRule>
    <cfRule type="cellIs" dxfId="146" priority="54" operator="equal">
      <formula>"Check"</formula>
    </cfRule>
  </conditionalFormatting>
  <conditionalFormatting sqref="V1">
    <cfRule type="cellIs" dxfId="145" priority="84" operator="equal">
      <formula>"Ok"</formula>
    </cfRule>
    <cfRule type="cellIs" dxfId="144" priority="83" operator="equal">
      <formula>"Check"</formula>
    </cfRule>
  </conditionalFormatting>
  <conditionalFormatting sqref="V13">
    <cfRule type="cellIs" dxfId="143" priority="23" operator="equal">
      <formula>"Ok"</formula>
    </cfRule>
    <cfRule type="cellIs" dxfId="142" priority="22" operator="equal">
      <formula>"Check"</formula>
    </cfRule>
  </conditionalFormatting>
  <conditionalFormatting sqref="V15">
    <cfRule type="cellIs" dxfId="141" priority="85" operator="equal">
      <formula>"Check"</formula>
    </cfRule>
    <cfRule type="cellIs" dxfId="140" priority="86" operator="equal">
      <formula>"Ok"</formula>
    </cfRule>
  </conditionalFormatting>
  <conditionalFormatting sqref="V19:V27">
    <cfRule type="cellIs" dxfId="139" priority="20" operator="equal">
      <formula>"Check"</formula>
    </cfRule>
    <cfRule type="cellIs" dxfId="138" priority="21" operator="equal">
      <formula>"Ok"</formula>
    </cfRule>
  </conditionalFormatting>
  <conditionalFormatting sqref="V29">
    <cfRule type="cellIs" dxfId="137" priority="62" operator="equal">
      <formula>"Check"</formula>
    </cfRule>
    <cfRule type="cellIs" dxfId="136" priority="63" operator="equal">
      <formula>"Ok"</formula>
    </cfRule>
  </conditionalFormatting>
  <conditionalFormatting sqref="V37">
    <cfRule type="cellIs" dxfId="135" priority="17" operator="equal">
      <formula>"Ok"</formula>
    </cfRule>
    <cfRule type="cellIs" dxfId="134" priority="16" operator="equal">
      <formula>"Check"</formula>
    </cfRule>
  </conditionalFormatting>
  <conditionalFormatting sqref="V41:V45">
    <cfRule type="cellIs" dxfId="133" priority="13" operator="equal">
      <formula>"Ok"</formula>
    </cfRule>
    <cfRule type="cellIs" dxfId="132" priority="12" operator="equal">
      <formula>"Check"</formula>
    </cfRule>
  </conditionalFormatting>
  <conditionalFormatting sqref="V47">
    <cfRule type="cellIs" dxfId="131" priority="69" operator="equal">
      <formula>"Check"</formula>
    </cfRule>
    <cfRule type="cellIs" dxfId="130" priority="70" operator="equal">
      <formula>"Ok"</formula>
    </cfRule>
  </conditionalFormatting>
  <conditionalFormatting sqref="V48:V50">
    <cfRule type="cellIs" dxfId="129" priority="78" operator="equal">
      <formula>"Ok"</formula>
    </cfRule>
    <cfRule type="cellIs" dxfId="128" priority="77" operator="equal">
      <formula>"Check"</formula>
    </cfRule>
  </conditionalFormatting>
  <conditionalFormatting sqref="V51:V55">
    <cfRule type="cellIs" dxfId="127" priority="10" operator="equal">
      <formula>"Check"</formula>
    </cfRule>
    <cfRule type="cellIs" dxfId="126" priority="11" operator="equal">
      <formula>"Ok"</formula>
    </cfRule>
  </conditionalFormatting>
  <conditionalFormatting sqref="V52:V55">
    <cfRule type="cellIs" dxfId="125" priority="89" operator="equal">
      <formula>"Check"</formula>
    </cfRule>
    <cfRule type="cellIs" dxfId="124" priority="90" operator="equal">
      <formula>"Ok"</formula>
    </cfRule>
  </conditionalFormatting>
  <conditionalFormatting sqref="V57">
    <cfRule type="cellIs" dxfId="123" priority="87" operator="equal">
      <formula>"Check"</formula>
    </cfRule>
    <cfRule type="cellIs" dxfId="122" priority="88" operator="equal">
      <formula>"Ok"</formula>
    </cfRule>
  </conditionalFormatting>
  <conditionalFormatting sqref="V63:V67">
    <cfRule type="cellIs" dxfId="121" priority="9" operator="equal">
      <formula>"Ok"</formula>
    </cfRule>
    <cfRule type="cellIs" dxfId="120" priority="8" operator="equal">
      <formula>"Check"</formula>
    </cfRule>
  </conditionalFormatting>
  <conditionalFormatting sqref="V69">
    <cfRule type="cellIs" dxfId="119" priority="7" operator="equal">
      <formula>"Ok"</formula>
    </cfRule>
    <cfRule type="cellIs" dxfId="118" priority="6" operator="equal">
      <formula>"Check"</formula>
    </cfRule>
  </conditionalFormatting>
  <conditionalFormatting sqref="V71">
    <cfRule type="cellIs" dxfId="117" priority="4" operator="equal">
      <formula>"Check"</formula>
    </cfRule>
    <cfRule type="cellIs" dxfId="116" priority="5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3 J55:T55 J54:O54 Q54:T54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topLeftCell="B1" zoomScaleNormal="100" workbookViewId="0">
      <selection activeCell="V71" sqref="V71"/>
    </sheetView>
  </sheetViews>
  <sheetFormatPr defaultColWidth="0" defaultRowHeight="10" zeroHeight="1" outlineLevelRow="1"/>
  <cols>
    <col min="1" max="2" width="1.44140625" style="8" customWidth="1"/>
    <col min="3" max="3" width="57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10" width="10.77734375" style="16" customWidth="1"/>
    <col min="11" max="24" width="10.77734375" style="8" customWidth="1"/>
    <col min="25" max="16384" width="10.44140625" style="8" hidden="1"/>
  </cols>
  <sheetData>
    <row r="1" spans="1:34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6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87" t="s">
        <v>24</v>
      </c>
      <c r="X1" s="29" t="str">
        <f ca="1"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 ht="10.5">
      <c r="D3" s="105"/>
      <c r="E3" s="105"/>
      <c r="F3" s="105"/>
      <c r="G3" s="105"/>
      <c r="H3" s="105"/>
      <c r="I3" s="105"/>
      <c r="J3" s="96" t="s">
        <v>109</v>
      </c>
      <c r="K3" s="408"/>
      <c r="L3" s="408"/>
      <c r="M3" s="408"/>
      <c r="N3" s="105"/>
      <c r="O3" s="408"/>
      <c r="P3" s="408"/>
      <c r="Q3" s="408"/>
      <c r="R3" s="408"/>
      <c r="S3" s="408"/>
      <c r="T3" s="408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3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IF(J10=J4,LOOKUP(EOMONTH(J4,0),'Input|Inflation'!$C$9:$C$84,'Input|Inflation'!$I$9:$I$84),"")</f>
        <v>3.8461538461538325E-2</v>
      </c>
      <c r="K12" s="148">
        <f>IF(K10=K4,LOOKUP(EOMONTH(K4,0),'Input|Inflation'!$C$9:$C$84,'Input|Inflation'!$I$9:$I$84),"")</f>
        <v>6.1447811447811418E-2</v>
      </c>
      <c r="L12" s="148">
        <f>IF(L10=L4,LOOKUP(EOMONTH(L4,0),'Input|Inflation'!$C$9:$C$84,'Input|Inflation'!$I$9:$I$84),"")</f>
        <v>6.0269627279936566E-2</v>
      </c>
      <c r="M12" s="148">
        <f>IF(M10=M4,LOOKUP(EOMONTH(M4,0),'Input|Inflation'!$C$9:$C$84,'Input|Inflation'!$I$9:$I$84),"")</f>
        <v>3.8145100972326373E-2</v>
      </c>
      <c r="N12" s="148">
        <f>IF(N10=N4,LOOKUP(EOMONTH(N4,0),'Input|Inflation'!$C$9:$C$84,'Input|Inflation'!$I$9:$I$84),"")</f>
        <v>2.0893371757924939E-2</v>
      </c>
      <c r="O12" s="148">
        <f>IF(O10=O4,LOOKUP(EOMONTH(O4,0),'Input|Inflation'!$C$9:$C$88,'Input|Inflation'!$I$9:$I$88),"")</f>
        <v>3.6999999999999922E-2</v>
      </c>
      <c r="P12" s="148" t="str">
        <f>IF(P10=P4,LOOKUP(EOMONTH(P4,0),'Input|Inflation'!$C$9:$C$84,'Input|Inflation'!$I$9:$I$84),"")</f>
        <v/>
      </c>
      <c r="Q12" s="148" t="str">
        <f>IF(Q10=Q4,LOOKUP(EOMONTH(Q4,0),'Input|Inflation'!$C$9:$C$84,'Input|Inflation'!$I$9:$I$84),"")</f>
        <v/>
      </c>
      <c r="R12" s="148" t="str">
        <f>IF(R10=R4,LOOKUP(EOMONTH(R4,0),'Input|Inflation'!$C$9:$C$84,'Input|Inflation'!$I$9:$I$84),"")</f>
        <v/>
      </c>
      <c r="S12" s="148" t="str">
        <f>IF(S10=S4,LOOKUP(EOMONTH(S4,0),'Input|Inflation'!$C$9:$C$84,'Input|Inflation'!$I$9:$I$84),"")</f>
        <v/>
      </c>
      <c r="T12" s="148" t="str">
        <f>IF(T10=T4,LOOKUP(EOMONTH(T4,0),'Input|Inflation'!$C$9:$C$84,'Input|Inflation'!$I$9:$I$84),"")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2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O22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1.1683501683501687</v>
      </c>
      <c r="N16" s="154">
        <f t="shared" si="3"/>
        <v>1.1927609427609429</v>
      </c>
      <c r="O16" s="154">
        <f t="shared" si="3"/>
        <v>1.2368930976430976</v>
      </c>
      <c r="P16" s="154">
        <f t="shared" ref="P16:P21" si="4">IF(AND($C16&gt;P$14,ISNONTEXT($C16)),Q16/(1+P$12),IF(AND($C16=P$14,P$14=P$4),1,IF(AND($C16&lt;P$14,P$14=P$4),O16*(1+P$12),0)))</f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si="3"/>
        <v>0.94210943695479776</v>
      </c>
      <c r="K17" s="154">
        <f t="shared" si="3"/>
        <v>1</v>
      </c>
      <c r="L17" s="154">
        <f t="shared" si="3"/>
        <v>1.0602696272799366</v>
      </c>
      <c r="M17" s="154">
        <f t="shared" si="3"/>
        <v>1.1007137192704206</v>
      </c>
      <c r="N17" s="154">
        <f t="shared" si="3"/>
        <v>1.1237113402061858</v>
      </c>
      <c r="O17" s="154">
        <f t="shared" si="3"/>
        <v>1.1652886597938146</v>
      </c>
      <c r="P17" s="154">
        <f t="shared" si="4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si="3"/>
        <v>0.88855646970830215</v>
      </c>
      <c r="K18" s="154">
        <f t="shared" si="3"/>
        <v>0.94315632011967088</v>
      </c>
      <c r="L18" s="154">
        <f t="shared" si="3"/>
        <v>1</v>
      </c>
      <c r="M18" s="154">
        <f t="shared" si="3"/>
        <v>1.0381451009723264</v>
      </c>
      <c r="N18" s="154">
        <f t="shared" si="3"/>
        <v>1.0598354525056097</v>
      </c>
      <c r="O18" s="154">
        <f t="shared" si="3"/>
        <v>1.0990493642483172</v>
      </c>
      <c r="P18" s="154">
        <f t="shared" si="4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si="3"/>
        <v>0.85590778097982689</v>
      </c>
      <c r="K19" s="154">
        <f t="shared" si="3"/>
        <v>0.90850144092218998</v>
      </c>
      <c r="L19" s="154">
        <f t="shared" si="3"/>
        <v>0.96325648414985565</v>
      </c>
      <c r="M19" s="154">
        <f t="shared" si="3"/>
        <v>1</v>
      </c>
      <c r="N19" s="154">
        <f t="shared" si="3"/>
        <v>1.0208933717579249</v>
      </c>
      <c r="O19" s="154">
        <f t="shared" si="3"/>
        <v>1.0586664265129682</v>
      </c>
      <c r="P19" s="154">
        <f t="shared" si="4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 t="shared" si="3"/>
        <v>0.83839096683133374</v>
      </c>
      <c r="K20" s="154">
        <f t="shared" si="3"/>
        <v>0.88990825688073383</v>
      </c>
      <c r="L20" s="154">
        <f t="shared" si="3"/>
        <v>0.9435426958362737</v>
      </c>
      <c r="M20" s="154">
        <f t="shared" si="3"/>
        <v>0.97953422724064942</v>
      </c>
      <c r="N20" s="154">
        <f t="shared" si="3"/>
        <v>1</v>
      </c>
      <c r="O20" s="154">
        <f t="shared" si="3"/>
        <v>1.0369999999999999</v>
      </c>
      <c r="P20" s="154">
        <f t="shared" si="4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 t="shared" si="2"/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 t="shared" si="3"/>
        <v>0.80847730649116079</v>
      </c>
      <c r="K21" s="154">
        <f t="shared" si="3"/>
        <v>0.85815646758026409</v>
      </c>
      <c r="L21" s="154">
        <f t="shared" si="3"/>
        <v>0.90987723802919362</v>
      </c>
      <c r="M21" s="154">
        <f t="shared" si="3"/>
        <v>0.94458459714623866</v>
      </c>
      <c r="N21" s="154">
        <f t="shared" si="3"/>
        <v>0.96432015429122475</v>
      </c>
      <c r="O21" s="154">
        <f t="shared" si="3"/>
        <v>1</v>
      </c>
      <c r="P21" s="154">
        <f t="shared" si="4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 t="shared" si="2"/>
        <v/>
      </c>
      <c r="E22" s="120" t="str">
        <f t="shared" si="5"/>
        <v/>
      </c>
      <c r="F22" s="120"/>
      <c r="G22" s="120"/>
      <c r="H22" s="120"/>
      <c r="I22" s="154"/>
      <c r="J22" s="154">
        <f t="shared" si="3"/>
        <v>0</v>
      </c>
      <c r="K22" s="154">
        <f t="shared" si="3"/>
        <v>0</v>
      </c>
      <c r="L22" s="154">
        <f t="shared" si="3"/>
        <v>0</v>
      </c>
      <c r="M22" s="154">
        <f t="shared" si="3"/>
        <v>0</v>
      </c>
      <c r="N22" s="154">
        <f t="shared" si="3"/>
        <v>0</v>
      </c>
      <c r="O22" s="154">
        <f t="shared" si="3"/>
        <v>0</v>
      </c>
      <c r="P22" s="154">
        <f>IF(AND($C22&gt;P$14,ISNONTEXT($C22)),Q22/(1+Q$12),IF(AND($C22=P$14,P$14=P$4),1,IF(AND($C22&lt;P$14,P$14=P$4),O22*(1+P$12),0)))</f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6">IF(YEAR(J$4)&lt;=PPLastYear,J$4,"")</f>
        <v>44348</v>
      </c>
      <c r="K24" s="123">
        <f t="shared" si="6"/>
        <v>44713</v>
      </c>
      <c r="L24" s="123">
        <f t="shared" si="6"/>
        <v>45078</v>
      </c>
      <c r="M24" s="123">
        <f t="shared" si="6"/>
        <v>45444</v>
      </c>
      <c r="N24" s="123">
        <f t="shared" si="6"/>
        <v>45809</v>
      </c>
      <c r="O24" s="123">
        <f t="shared" si="6"/>
        <v>46174</v>
      </c>
      <c r="P24" s="123" t="str">
        <f t="shared" si="6"/>
        <v/>
      </c>
      <c r="Q24" s="123" t="str">
        <f t="shared" si="6"/>
        <v/>
      </c>
      <c r="R24" s="123" t="str">
        <f t="shared" si="6"/>
        <v/>
      </c>
      <c r="S24" s="123" t="str">
        <f t="shared" si="6"/>
        <v/>
      </c>
      <c r="T24" s="123" t="str">
        <f t="shared" si="6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7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8">IF(AND(K$24=K$4,ISNONTEXT($C26)),1/K16*(1+K$12)^0.5,0)</f>
        <v>0.970623220902322</v>
      </c>
      <c r="L26" s="154">
        <f t="shared" si="8"/>
        <v>0.9149412196307648</v>
      </c>
      <c r="M26" s="154">
        <f t="shared" si="8"/>
        <v>0.87207935204504272</v>
      </c>
      <c r="N26" s="154">
        <f t="shared" si="8"/>
        <v>0.84710409750758409</v>
      </c>
      <c r="O26" s="154">
        <f t="shared" ref="O26" si="9">IF(AND(O$24=O$4,ISNONTEXT($C26)),1/O16*(1+O$12)^0.5,0)</f>
        <v>0.82329828777322067</v>
      </c>
      <c r="P26" s="154">
        <f t="shared" si="8"/>
        <v>0</v>
      </c>
      <c r="Q26" s="154">
        <f t="shared" si="8"/>
        <v>0</v>
      </c>
      <c r="R26" s="154">
        <f t="shared" si="8"/>
        <v>0</v>
      </c>
      <c r="S26" s="154">
        <f t="shared" si="8"/>
        <v>0</v>
      </c>
      <c r="T26" s="154">
        <f t="shared" si="8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7"/>
        <v>calculated</v>
      </c>
      <c r="E27" s="120" t="str">
        <f t="shared" ref="E27:E32" si="10">IF(ISNONTEXT($C27),"index","")</f>
        <v>index</v>
      </c>
      <c r="F27" s="120"/>
      <c r="G27" s="120"/>
      <c r="H27" s="120"/>
      <c r="I27" s="154"/>
      <c r="J27" s="154">
        <f t="shared" ref="J27:T27" si="11">IF(AND(J$24=J$4,ISNONTEXT($C27)),1/J17*(1+J$12)^0.5,0)</f>
        <v>1.0816676818608599</v>
      </c>
      <c r="K27" s="154">
        <f t="shared" si="11"/>
        <v>1.0302658935671953</v>
      </c>
      <c r="L27" s="154">
        <f t="shared" si="11"/>
        <v>0.97116235518046667</v>
      </c>
      <c r="M27" s="154">
        <f t="shared" si="11"/>
        <v>0.92566671963703617</v>
      </c>
      <c r="N27" s="154">
        <f t="shared" si="11"/>
        <v>0.89915679036789842</v>
      </c>
      <c r="O27" s="154">
        <f t="shared" ref="O27" si="12">IF(AND(O$24=O$4,ISNONTEXT($C27)),1/O17*(1+O$12)^0.5,0)</f>
        <v>0.87388816572561534</v>
      </c>
      <c r="P27" s="154">
        <f t="shared" si="11"/>
        <v>0</v>
      </c>
      <c r="Q27" s="154">
        <f t="shared" si="11"/>
        <v>0</v>
      </c>
      <c r="R27" s="154">
        <f t="shared" si="11"/>
        <v>0</v>
      </c>
      <c r="S27" s="154">
        <f t="shared" si="11"/>
        <v>0</v>
      </c>
      <c r="T27" s="154">
        <f t="shared" si="11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7"/>
        <v>calculated</v>
      </c>
      <c r="E28" s="120" t="str">
        <f t="shared" si="10"/>
        <v>index</v>
      </c>
      <c r="F28" s="120"/>
      <c r="G28" s="120"/>
      <c r="H28" s="120"/>
      <c r="I28" s="154"/>
      <c r="J28" s="154">
        <f t="shared" ref="J28:T28" si="13">IF(AND(J$24=J$4,ISNONTEXT($C28)),1/J18*(1+J$12)^0.5,0)</f>
        <v>1.1468593898873669</v>
      </c>
      <c r="K28" s="154">
        <f t="shared" si="13"/>
        <v>1.0923596349717211</v>
      </c>
      <c r="L28" s="154">
        <f t="shared" si="13"/>
        <v>1.0296939483554988</v>
      </c>
      <c r="M28" s="154">
        <f t="shared" si="13"/>
        <v>0.98145630781500182</v>
      </c>
      <c r="N28" s="154">
        <f t="shared" si="13"/>
        <v>0.95334863498959588</v>
      </c>
      <c r="O28" s="154">
        <f t="shared" ref="O28" si="14">IF(AND(O$24=O$4,ISNONTEXT($C28)),1/O18*(1+O$12)^0.5,0)</f>
        <v>0.92655707975824575</v>
      </c>
      <c r="P28" s="154">
        <f t="shared" si="13"/>
        <v>0</v>
      </c>
      <c r="Q28" s="154">
        <f t="shared" si="13"/>
        <v>0</v>
      </c>
      <c r="R28" s="154">
        <f t="shared" si="13"/>
        <v>0</v>
      </c>
      <c r="S28" s="154">
        <f t="shared" si="13"/>
        <v>0</v>
      </c>
      <c r="T28" s="154">
        <f t="shared" si="13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7"/>
        <v>calculated</v>
      </c>
      <c r="E29" s="120" t="str">
        <f t="shared" si="10"/>
        <v>index</v>
      </c>
      <c r="F29" s="120"/>
      <c r="G29" s="120"/>
      <c r="H29" s="120"/>
      <c r="I29" s="154"/>
      <c r="J29" s="154">
        <f t="shared" ref="J29:T29" si="15">IF(AND(J$24=J$4,ISNONTEXT($C29)),1/J19*(1+J$12)^0.5,0)</f>
        <v>1.1906064571156811</v>
      </c>
      <c r="K29" s="154">
        <f t="shared" si="15"/>
        <v>1.1340278035458109</v>
      </c>
      <c r="L29" s="154">
        <f t="shared" si="15"/>
        <v>1.0689717279861126</v>
      </c>
      <c r="M29" s="154">
        <f t="shared" si="15"/>
        <v>1.0188940577765317</v>
      </c>
      <c r="N29" s="154">
        <f t="shared" si="15"/>
        <v>0.98971421493310363</v>
      </c>
      <c r="O29" s="154">
        <f t="shared" ref="O29" si="16">IF(AND(O$24=O$4,ISNONTEXT($C29)),1/O19*(1+O$12)^0.5,0)</f>
        <v>0.9619006931222478</v>
      </c>
      <c r="P29" s="154">
        <f t="shared" si="15"/>
        <v>0</v>
      </c>
      <c r="Q29" s="154">
        <f t="shared" si="15"/>
        <v>0</v>
      </c>
      <c r="R29" s="154">
        <f t="shared" si="15"/>
        <v>0</v>
      </c>
      <c r="S29" s="154">
        <f t="shared" si="15"/>
        <v>0</v>
      </c>
      <c r="T29" s="154">
        <f t="shared" si="15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7"/>
        <v>calculated</v>
      </c>
      <c r="E30" s="120" t="str">
        <f t="shared" si="10"/>
        <v>index</v>
      </c>
      <c r="F30" s="120"/>
      <c r="G30" s="120"/>
      <c r="H30" s="120"/>
      <c r="I30" s="154"/>
      <c r="J30" s="154">
        <f t="shared" ref="J30:T30" si="17">IF(AND(J$24=J$4,ISNONTEXT($C30)),1/J20*(1+J$12)^0.5,0)</f>
        <v>1.215482240441585</v>
      </c>
      <c r="K30" s="154">
        <f t="shared" si="17"/>
        <v>1.1577214680291166</v>
      </c>
      <c r="L30" s="154">
        <f t="shared" si="17"/>
        <v>1.0913061516976379</v>
      </c>
      <c r="M30" s="154">
        <f t="shared" si="17"/>
        <v>1.0401821901075974</v>
      </c>
      <c r="N30" s="154">
        <f t="shared" si="17"/>
        <v>1.0103926819598037</v>
      </c>
      <c r="O30" s="154">
        <f t="shared" ref="O30" si="18">IF(AND(O$24=O$4,ISNONTEXT($C30)),1/O20*(1+O$12)^0.5,0)</f>
        <v>0.98199804189785667</v>
      </c>
      <c r="P30" s="154">
        <f t="shared" si="17"/>
        <v>0</v>
      </c>
      <c r="Q30" s="154">
        <f t="shared" si="17"/>
        <v>0</v>
      </c>
      <c r="R30" s="154">
        <f t="shared" si="17"/>
        <v>0</v>
      </c>
      <c r="S30" s="154">
        <f t="shared" si="17"/>
        <v>0</v>
      </c>
      <c r="T30" s="154">
        <f t="shared" si="1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7"/>
        <v>calculated</v>
      </c>
      <c r="E31" s="120" t="str">
        <f t="shared" si="10"/>
        <v>index</v>
      </c>
      <c r="F31" s="120"/>
      <c r="G31" s="120"/>
      <c r="H31" s="120"/>
      <c r="I31" s="154"/>
      <c r="J31" s="154">
        <f t="shared" ref="J31:T32" si="19">IF(AND(J$24=J$4,ISNONTEXT($C31)),1/J21*(1+J$12)^0.5,0)</f>
        <v>1.2604550833379238</v>
      </c>
      <c r="K31" s="154">
        <f t="shared" si="19"/>
        <v>1.2005571623461939</v>
      </c>
      <c r="L31" s="154">
        <f t="shared" si="19"/>
        <v>1.1316844793104506</v>
      </c>
      <c r="M31" s="154">
        <f t="shared" si="19"/>
        <v>1.0786689311415787</v>
      </c>
      <c r="N31" s="154">
        <f t="shared" si="19"/>
        <v>1.0477772111923163</v>
      </c>
      <c r="O31" s="154">
        <f t="shared" si="19"/>
        <v>1.0183319694480772</v>
      </c>
      <c r="P31" s="154">
        <f t="shared" si="19"/>
        <v>0</v>
      </c>
      <c r="Q31" s="154">
        <f t="shared" si="19"/>
        <v>0</v>
      </c>
      <c r="R31" s="154">
        <f t="shared" si="19"/>
        <v>0</v>
      </c>
      <c r="S31" s="154">
        <f t="shared" si="19"/>
        <v>0</v>
      </c>
      <c r="T31" s="154">
        <f t="shared" si="19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7"/>
        <v/>
      </c>
      <c r="E32" s="120" t="str">
        <f t="shared" si="10"/>
        <v/>
      </c>
      <c r="F32" s="120"/>
      <c r="G32" s="120"/>
      <c r="H32" s="120"/>
      <c r="I32" s="154"/>
      <c r="J32" s="154">
        <f t="shared" si="19"/>
        <v>0</v>
      </c>
      <c r="K32" s="154">
        <f t="shared" si="19"/>
        <v>0</v>
      </c>
      <c r="L32" s="154">
        <f t="shared" si="19"/>
        <v>0</v>
      </c>
      <c r="M32" s="154">
        <f t="shared" si="19"/>
        <v>0</v>
      </c>
      <c r="N32" s="154">
        <f t="shared" si="19"/>
        <v>0</v>
      </c>
      <c r="O32" s="154">
        <f t="shared" si="19"/>
        <v>0</v>
      </c>
      <c r="P32" s="154">
        <f t="shared" si="19"/>
        <v>0</v>
      </c>
      <c r="Q32" s="154">
        <f t="shared" si="19"/>
        <v>0</v>
      </c>
      <c r="R32" s="154">
        <f t="shared" si="19"/>
        <v>0</v>
      </c>
      <c r="S32" s="154">
        <f t="shared" si="19"/>
        <v>0</v>
      </c>
      <c r="T32" s="154">
        <f t="shared" si="19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3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0">IF(YEAR(J$4)&gt;=FPFirstYear,IF(YEAR(J$4)&lt;=FPLastYear,J$4,""),"")</f>
        <v/>
      </c>
      <c r="K36" s="138" t="str">
        <f t="shared" si="20"/>
        <v/>
      </c>
      <c r="L36" s="138" t="str">
        <f t="shared" si="20"/>
        <v/>
      </c>
      <c r="M36" s="138" t="str">
        <f t="shared" si="20"/>
        <v/>
      </c>
      <c r="N36" s="138" t="str">
        <f t="shared" si="20"/>
        <v/>
      </c>
      <c r="O36" s="138" t="str">
        <f t="shared" si="20"/>
        <v/>
      </c>
      <c r="P36" s="138">
        <f t="shared" si="20"/>
        <v>46539</v>
      </c>
      <c r="Q36" s="138">
        <f t="shared" si="20"/>
        <v>46905</v>
      </c>
      <c r="R36" s="138">
        <f t="shared" si="20"/>
        <v>47270</v>
      </c>
      <c r="S36" s="138">
        <f t="shared" si="20"/>
        <v>47635</v>
      </c>
      <c r="T36" s="138">
        <f t="shared" si="20"/>
        <v>48000</v>
      </c>
      <c r="U36" s="138" t="str">
        <f t="shared" si="20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224</v>
      </c>
      <c r="D38" s="120" t="s">
        <v>96</v>
      </c>
      <c r="E38" s="120" t="str">
        <f t="shared" ref="E38:E45" si="21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6.6742534384085497E-3</v>
      </c>
      <c r="Q38" s="159">
        <v>9.1898693689420607E-3</v>
      </c>
      <c r="R38" s="159">
        <v>1.08442370017208E-2</v>
      </c>
      <c r="S38" s="159">
        <v>1.0677567182329199E-2</v>
      </c>
      <c r="T38" s="159">
        <v>1.0220337553900701E-2</v>
      </c>
      <c r="U38" s="17"/>
      <c r="V38" s="17"/>
      <c r="W38" s="17"/>
    </row>
    <row r="39" spans="1:34" ht="11.25" customHeight="1" outlineLevel="1">
      <c r="A39" s="17"/>
      <c r="B39" s="17"/>
      <c r="C39" s="161" t="s">
        <v>225</v>
      </c>
      <c r="D39" s="120" t="s">
        <v>96</v>
      </c>
      <c r="E39" s="120" t="str">
        <f t="shared" si="21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9.5673827067392393E-3</v>
      </c>
      <c r="Q39" s="160">
        <v>9.9112949661780796E-3</v>
      </c>
      <c r="R39" s="160">
        <v>1.15544328065169E-2</v>
      </c>
      <c r="S39" s="160">
        <v>1.38711566540894E-2</v>
      </c>
      <c r="T39" s="160">
        <v>1.3830494751977399E-2</v>
      </c>
      <c r="U39" s="17"/>
      <c r="V39" s="17"/>
      <c r="W39" s="17"/>
    </row>
    <row r="40" spans="1:34" ht="11.25" customHeight="1" outlineLevel="1">
      <c r="A40" s="17"/>
      <c r="B40" s="17"/>
      <c r="C40" s="127" t="s">
        <v>173</v>
      </c>
      <c r="D40" s="120" t="s">
        <v>96</v>
      </c>
      <c r="E40" s="120" t="str">
        <f t="shared" si="21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8.1208180725738949E-3</v>
      </c>
      <c r="Q40" s="160">
        <f>AVERAGE(Q38:Q39)</f>
        <v>9.5505821675600702E-3</v>
      </c>
      <c r="R40" s="160">
        <f>AVERAGE(R38:R39)</f>
        <v>1.1199334904118851E-2</v>
      </c>
      <c r="S40" s="160">
        <f>AVERAGE(S38:S39)</f>
        <v>1.22743619182093E-2</v>
      </c>
      <c r="T40" s="160">
        <f>AVERAGE(T38:T39)</f>
        <v>1.2025416152939051E-2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21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 t="s">
        <v>226</v>
      </c>
      <c r="D42" s="120" t="s">
        <v>96</v>
      </c>
      <c r="E42" s="120" t="str">
        <f t="shared" si="21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>
        <f>P41+P40</f>
        <v>8.1208180725738949E-3</v>
      </c>
      <c r="Q42" s="160">
        <f>Q41+Q40</f>
        <v>9.5505821675600702E-3</v>
      </c>
      <c r="R42" s="160">
        <f>R41+R40</f>
        <v>1.1199334904118851E-2</v>
      </c>
      <c r="S42" s="160">
        <f>S41+S40</f>
        <v>1.22743619182093E-2</v>
      </c>
      <c r="T42" s="160">
        <f>T41+T40</f>
        <v>1.2025416152939051E-2</v>
      </c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21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21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21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0">
        <v>0</v>
      </c>
      <c r="Q45" s="160">
        <v>0</v>
      </c>
      <c r="R45" s="160">
        <v>0</v>
      </c>
      <c r="S45" s="160">
        <v>0</v>
      </c>
      <c r="T45" s="160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22">IF(J36=J4,IF(COUNTA($C38:$C45)=COUNT(J38:J45),"Ok","Check"),"")</f>
        <v/>
      </c>
      <c r="K47" s="165" t="str">
        <f t="shared" si="22"/>
        <v/>
      </c>
      <c r="L47" s="165" t="str">
        <f t="shared" si="22"/>
        <v/>
      </c>
      <c r="M47" s="165" t="str">
        <f t="shared" si="22"/>
        <v/>
      </c>
      <c r="N47" s="165" t="str">
        <f t="shared" si="22"/>
        <v/>
      </c>
      <c r="O47" s="165" t="str">
        <f t="shared" si="22"/>
        <v/>
      </c>
      <c r="P47" s="165" t="str">
        <f t="shared" si="22"/>
        <v>Ok</v>
      </c>
      <c r="Q47" s="165" t="str">
        <f t="shared" si="22"/>
        <v>Ok</v>
      </c>
      <c r="R47" s="165" t="str">
        <f t="shared" si="22"/>
        <v>Ok</v>
      </c>
      <c r="S47" s="165" t="str">
        <f t="shared" si="2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23">IF(YEAR(J$4)&gt;=FPFirstYear,IF(YEAR(J$4)&lt;=FPLastYear,J$4,""),"")</f>
        <v/>
      </c>
      <c r="K49" s="138" t="str">
        <f t="shared" si="23"/>
        <v/>
      </c>
      <c r="L49" s="138" t="str">
        <f t="shared" si="23"/>
        <v/>
      </c>
      <c r="M49" s="138" t="str">
        <f t="shared" si="23"/>
        <v/>
      </c>
      <c r="N49" s="138" t="str">
        <f t="shared" si="23"/>
        <v/>
      </c>
      <c r="O49" s="138" t="str">
        <f t="shared" si="23"/>
        <v/>
      </c>
      <c r="P49" s="138">
        <f t="shared" si="23"/>
        <v>46539</v>
      </c>
      <c r="Q49" s="138">
        <f t="shared" si="23"/>
        <v>46905</v>
      </c>
      <c r="R49" s="138">
        <f t="shared" si="23"/>
        <v>47270</v>
      </c>
      <c r="S49" s="138">
        <f t="shared" si="23"/>
        <v>47635</v>
      </c>
      <c r="T49" s="138">
        <f t="shared" si="23"/>
        <v>48000</v>
      </c>
      <c r="U49" s="138" t="str">
        <f t="shared" si="2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24">C38</f>
        <v>DAE forecast</v>
      </c>
      <c r="D51" s="120" t="s">
        <v>96</v>
      </c>
      <c r="E51" s="120" t="str">
        <f t="shared" ref="E51:E58" si="2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24"/>
        <v>Oxford economics</v>
      </c>
      <c r="D52" s="120" t="s">
        <v>96</v>
      </c>
      <c r="E52" s="120" t="str">
        <f t="shared" si="2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24"/>
        <v>WPI - average</v>
      </c>
      <c r="D53" s="120" t="s">
        <v>96</v>
      </c>
      <c r="E53" s="120" t="str">
        <f t="shared" si="2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/>
      <c r="Q53" s="143"/>
      <c r="R53" s="143"/>
      <c r="S53" s="143"/>
      <c r="T53" s="143"/>
      <c r="U53" s="168"/>
      <c r="V53" s="17"/>
      <c r="W53" s="17"/>
    </row>
    <row r="54" spans="1:34" ht="11.25" customHeight="1" outlineLevel="1">
      <c r="A54" s="17"/>
      <c r="B54" s="17"/>
      <c r="C54" s="167">
        <f t="shared" si="24"/>
        <v>0</v>
      </c>
      <c r="D54" s="120" t="s">
        <v>96</v>
      </c>
      <c r="E54" s="120" t="str">
        <f t="shared" si="2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 t="str">
        <f t="shared" si="24"/>
        <v xml:space="preserve">WPI - average </v>
      </c>
      <c r="D55" s="120" t="s">
        <v>96</v>
      </c>
      <c r="E55" s="120" t="str">
        <f t="shared" si="2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>
        <v>0.59199999999999997</v>
      </c>
      <c r="Q55" s="169">
        <v>0.59199999999999997</v>
      </c>
      <c r="R55" s="169">
        <v>0.59199999999999997</v>
      </c>
      <c r="S55" s="169">
        <v>0.59199999999999997</v>
      </c>
      <c r="T55" s="169">
        <v>0.59199999999999997</v>
      </c>
      <c r="U55" s="168"/>
      <c r="V55" s="17"/>
      <c r="W55" s="17"/>
    </row>
    <row r="56" spans="1:34" ht="11.25" customHeight="1" outlineLevel="1">
      <c r="A56" s="17"/>
      <c r="B56" s="17"/>
      <c r="C56" s="167">
        <f t="shared" si="24"/>
        <v>0</v>
      </c>
      <c r="D56" s="120" t="s">
        <v>96</v>
      </c>
      <c r="E56" s="120" t="str">
        <f t="shared" si="2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24"/>
        <v>0</v>
      </c>
      <c r="D57" s="120" t="s">
        <v>96</v>
      </c>
      <c r="E57" s="120" t="str">
        <f t="shared" si="2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24"/>
        <v>CPI</v>
      </c>
      <c r="D58" s="120" t="s">
        <v>96</v>
      </c>
      <c r="E58" s="120" t="str">
        <f t="shared" si="2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68">
        <v>0.40800000000000003</v>
      </c>
      <c r="Q58" s="168">
        <v>0.40800000000000003</v>
      </c>
      <c r="R58" s="168">
        <v>0.40800000000000003</v>
      </c>
      <c r="S58" s="168">
        <v>0.40800000000000003</v>
      </c>
      <c r="T58" s="168">
        <v>0.40800000000000003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ht="10.5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26">IF(J49=J$4,IF(SUM(J51:J58)=1,"Ok","Check"),"")</f>
        <v/>
      </c>
      <c r="K60" s="165" t="str">
        <f t="shared" si="26"/>
        <v/>
      </c>
      <c r="L60" s="165" t="str">
        <f t="shared" si="26"/>
        <v/>
      </c>
      <c r="M60" s="165" t="str">
        <f t="shared" si="26"/>
        <v/>
      </c>
      <c r="N60" s="165" t="str">
        <f t="shared" si="26"/>
        <v/>
      </c>
      <c r="O60" s="165" t="str">
        <f t="shared" si="26"/>
        <v/>
      </c>
      <c r="P60" s="165" t="str">
        <f t="shared" si="26"/>
        <v>Ok</v>
      </c>
      <c r="Q60" s="165" t="str">
        <f t="shared" si="26"/>
        <v>Ok</v>
      </c>
      <c r="R60" s="165" t="str">
        <f t="shared" si="26"/>
        <v>Ok</v>
      </c>
      <c r="S60" s="165" t="str">
        <f t="shared" si="2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3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ht="10.5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27">IF(YEAR(J$4)&gt;=PPLastYear,IF(YEAR(J$4)&lt;=FPLastYear,J$4,""),"")</f>
        <v/>
      </c>
      <c r="K64" s="138" t="str">
        <f t="shared" si="27"/>
        <v/>
      </c>
      <c r="L64" s="138" t="str">
        <f t="shared" si="27"/>
        <v/>
      </c>
      <c r="M64" s="138" t="str">
        <f t="shared" si="27"/>
        <v/>
      </c>
      <c r="N64" s="138" t="str">
        <f t="shared" si="27"/>
        <v/>
      </c>
      <c r="O64" s="138">
        <f t="shared" si="27"/>
        <v>46174</v>
      </c>
      <c r="P64" s="138">
        <f t="shared" si="27"/>
        <v>46539</v>
      </c>
      <c r="Q64" s="138">
        <f t="shared" si="27"/>
        <v>46905</v>
      </c>
      <c r="R64" s="138">
        <f t="shared" si="27"/>
        <v>47270</v>
      </c>
      <c r="S64" s="138">
        <f t="shared" si="27"/>
        <v>47635</v>
      </c>
      <c r="T64" s="138">
        <f t="shared" si="27"/>
        <v>48000</v>
      </c>
      <c r="U64" s="138" t="str">
        <f t="shared" si="27"/>
        <v/>
      </c>
      <c r="V64" s="17"/>
      <c r="W64" s="17"/>
    </row>
    <row r="65" spans="1:24" ht="10.5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174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141">
        <f>Output!A5</f>
        <v>842971</v>
      </c>
      <c r="P66" s="141">
        <f>Output!B5</f>
        <v>860058</v>
      </c>
      <c r="Q66" s="141">
        <f>Output!C5</f>
        <v>877208</v>
      </c>
      <c r="R66" s="141">
        <f>Output!D5</f>
        <v>894287</v>
      </c>
      <c r="S66" s="141">
        <f>Output!E5</f>
        <v>911384</v>
      </c>
      <c r="T66" s="141">
        <f>Output!F5</f>
        <v>928464</v>
      </c>
      <c r="U66" s="141"/>
      <c r="V66" s="17"/>
      <c r="W66" s="17"/>
    </row>
    <row r="67" spans="1:24" outlineLevel="1">
      <c r="A67" s="17"/>
      <c r="B67" s="17"/>
      <c r="C67" s="127" t="s">
        <v>175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41">
        <v>47228.678763455951</v>
      </c>
      <c r="P67" s="141">
        <v>47506.116692032381</v>
      </c>
      <c r="Q67" s="141">
        <v>47814.231158983624</v>
      </c>
      <c r="R67" s="141">
        <v>48127.569696874831</v>
      </c>
      <c r="S67" s="141">
        <v>48444.531794563729</v>
      </c>
      <c r="T67" s="141">
        <v>48753.222853125626</v>
      </c>
      <c r="U67" s="141"/>
      <c r="V67" s="17"/>
      <c r="W67" s="17"/>
    </row>
    <row r="68" spans="1:24" outlineLevel="1">
      <c r="A68" s="17"/>
      <c r="B68" s="17"/>
      <c r="C68" s="127" t="s">
        <v>176</v>
      </c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>
        <v>2191.0632441874718</v>
      </c>
      <c r="P68" s="141">
        <v>2256.3431975379804</v>
      </c>
      <c r="Q68" s="141">
        <v>2291.1560678019509</v>
      </c>
      <c r="R68" s="141">
        <v>2339.8054521998565</v>
      </c>
      <c r="S68" s="141">
        <v>2371.9388038755365</v>
      </c>
      <c r="T68" s="141">
        <v>2452.308998173834</v>
      </c>
      <c r="U68" s="141"/>
      <c r="V68" s="17"/>
      <c r="W68" s="17"/>
    </row>
    <row r="69" spans="1:24" outlineLevel="1">
      <c r="A69" s="17"/>
      <c r="B69" s="17"/>
      <c r="C69" s="127"/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ht="10.5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ht="10.5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28">IF(J64=J$4,IF(COUNTA($C66:$C71)=COUNT(J66:J71),"Ok","Check"),"")</f>
        <v/>
      </c>
      <c r="K73" s="165" t="str">
        <f t="shared" si="28"/>
        <v/>
      </c>
      <c r="L73" s="165" t="str">
        <f t="shared" si="28"/>
        <v/>
      </c>
      <c r="M73" s="165" t="str">
        <f t="shared" si="28"/>
        <v/>
      </c>
      <c r="N73" s="165" t="str">
        <f t="shared" si="28"/>
        <v/>
      </c>
      <c r="O73" s="165" t="str">
        <f t="shared" si="28"/>
        <v>Ok</v>
      </c>
      <c r="P73" s="165" t="str">
        <f t="shared" si="28"/>
        <v>Ok</v>
      </c>
      <c r="Q73" s="165" t="str">
        <f t="shared" si="28"/>
        <v>Ok</v>
      </c>
      <c r="R73" s="165" t="str">
        <f t="shared" si="28"/>
        <v>Ok</v>
      </c>
      <c r="S73" s="165" t="str">
        <f t="shared" si="2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ht="10.5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ht="10.5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29">IF(YEAR(J$4)&gt;=FPFirstYear,IF(YEAR(J$4)&lt;=FPLastYear,J$4,""),"")</f>
        <v/>
      </c>
      <c r="K75" s="138" t="str">
        <f t="shared" si="29"/>
        <v/>
      </c>
      <c r="L75" s="138" t="str">
        <f t="shared" si="29"/>
        <v/>
      </c>
      <c r="M75" s="138" t="str">
        <f t="shared" si="29"/>
        <v/>
      </c>
      <c r="N75" s="138" t="str">
        <f t="shared" si="29"/>
        <v/>
      </c>
      <c r="O75" s="138" t="str">
        <f t="shared" si="29"/>
        <v/>
      </c>
      <c r="P75" s="138">
        <f t="shared" si="29"/>
        <v>46539</v>
      </c>
      <c r="Q75" s="138">
        <f t="shared" si="29"/>
        <v>46905</v>
      </c>
      <c r="R75" s="138">
        <f t="shared" si="29"/>
        <v>47270</v>
      </c>
      <c r="S75" s="138">
        <f t="shared" si="29"/>
        <v>47635</v>
      </c>
      <c r="T75" s="138">
        <f t="shared" si="29"/>
        <v>48000</v>
      </c>
      <c r="U75" s="138" t="str">
        <f t="shared" si="2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ht="10.5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 t="shared" ref="C77:C82" si="30">C66</f>
        <v>Customer numbers (#)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1" t="str">
        <f>IF(ISBLANK(I66),"",IF(ISBLANK(J66),"",LN(J66)-LN(I66)))</f>
        <v/>
      </c>
      <c r="K77" s="171" t="str">
        <f>IF(ISBLANK(J66),"",IF(ISBLANK(K66),"",LN(K66)-LN(J66)))</f>
        <v/>
      </c>
      <c r="L77" s="171" t="str">
        <f>IF(ISBLANK(K66),"",IF(ISBLANK(L66),"",LN(L66)-LN(K66)))</f>
        <v/>
      </c>
      <c r="M77" s="171" t="str">
        <f>IF(ISBLANK(L66),"",IF(ISBLANK(M66),"",LN(M66)-LN(L66)))</f>
        <v/>
      </c>
      <c r="N77" s="171" t="str">
        <f>IF(ISBLANK(M66),"",IF(ISBLANK(N66),"",LN(N66)-LN(M66)))</f>
        <v/>
      </c>
      <c r="O77" s="171" t="str">
        <f t="shared" ref="O77:U77" si="31">IF(ISBLANK(N66),"",IF(ISBLANK(O66),"",LN(O66)-LN(N66)))</f>
        <v/>
      </c>
      <c r="P77" s="171">
        <f>IF(ISBLANK(O66),"",IF(ISBLANK(P66),"",LN(P66)-LN(O66)))</f>
        <v>2.0067272372781275E-2</v>
      </c>
      <c r="Q77" s="171">
        <f t="shared" si="31"/>
        <v>1.9744307595267685E-2</v>
      </c>
      <c r="R77" s="171">
        <f t="shared" si="31"/>
        <v>1.9282616308291978E-2</v>
      </c>
      <c r="S77" s="171">
        <f t="shared" si="31"/>
        <v>1.8937570528944292E-2</v>
      </c>
      <c r="T77" s="171">
        <f t="shared" si="31"/>
        <v>1.8567284561429531E-2</v>
      </c>
      <c r="U77" s="171" t="str">
        <f t="shared" si="31"/>
        <v/>
      </c>
      <c r="V77" s="17"/>
      <c r="W77" s="17"/>
    </row>
    <row r="78" spans="1:24" outlineLevel="1">
      <c r="A78" s="17"/>
      <c r="B78" s="17"/>
      <c r="C78" s="167" t="str">
        <f t="shared" si="30"/>
        <v>Circuit Length (km)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32">IF(ISBLANK(I67),"",IF(ISBLANK(J67),"",LN(J67)-LN(I67)))</f>
        <v/>
      </c>
      <c r="K78" s="171" t="str">
        <f t="shared" si="32"/>
        <v/>
      </c>
      <c r="L78" s="171" t="str">
        <f t="shared" si="32"/>
        <v/>
      </c>
      <c r="M78" s="171" t="str">
        <f t="shared" si="32"/>
        <v/>
      </c>
      <c r="N78" s="171" t="str">
        <f t="shared" si="32"/>
        <v/>
      </c>
      <c r="O78" s="171" t="str">
        <f t="shared" si="32"/>
        <v/>
      </c>
      <c r="P78" s="171">
        <f t="shared" si="32"/>
        <v>5.857166216488352E-3</v>
      </c>
      <c r="Q78" s="171">
        <f t="shared" si="32"/>
        <v>6.4648429640303817E-3</v>
      </c>
      <c r="R78" s="171">
        <f t="shared" si="32"/>
        <v>6.5318693031102271E-3</v>
      </c>
      <c r="S78" s="171">
        <f t="shared" si="32"/>
        <v>6.5642816288686845E-3</v>
      </c>
      <c r="T78" s="171">
        <f t="shared" si="32"/>
        <v>6.3518359564209703E-3</v>
      </c>
      <c r="U78" s="171" t="str">
        <f t="shared" si="32"/>
        <v/>
      </c>
      <c r="V78" s="17"/>
      <c r="W78" s="17"/>
    </row>
    <row r="79" spans="1:24" outlineLevel="1">
      <c r="A79" s="17"/>
      <c r="B79" s="17"/>
      <c r="C79" s="167" t="str">
        <f t="shared" si="30"/>
        <v xml:space="preserve">Ratcheted maximum demand 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33">IF(ISBLANK(I68),"",IF(ISBLANK(J68),"",LN(J68)-LN(I68)))</f>
        <v/>
      </c>
      <c r="K79" s="171" t="str">
        <f t="shared" si="33"/>
        <v/>
      </c>
      <c r="L79" s="171" t="str">
        <f t="shared" si="33"/>
        <v/>
      </c>
      <c r="M79" s="171" t="str">
        <f t="shared" si="33"/>
        <v/>
      </c>
      <c r="N79" s="171" t="str">
        <f t="shared" si="33"/>
        <v/>
      </c>
      <c r="O79" s="171" t="str">
        <f t="shared" si="33"/>
        <v/>
      </c>
      <c r="P79" s="171">
        <f t="shared" si="33"/>
        <v>2.9358522993414127E-2</v>
      </c>
      <c r="Q79" s="171">
        <f t="shared" si="33"/>
        <v>1.5311074648084677E-2</v>
      </c>
      <c r="R79" s="171">
        <f t="shared" si="33"/>
        <v>2.1011262545672871E-2</v>
      </c>
      <c r="S79" s="171">
        <f t="shared" si="33"/>
        <v>1.3639895596983642E-2</v>
      </c>
      <c r="T79" s="171">
        <f t="shared" si="33"/>
        <v>3.3322347540615915E-2</v>
      </c>
      <c r="U79" s="171" t="str">
        <f t="shared" si="33"/>
        <v/>
      </c>
      <c r="V79" s="17"/>
      <c r="W79" s="17"/>
    </row>
    <row r="80" spans="1:24" outlineLevel="1">
      <c r="A80" s="17"/>
      <c r="B80" s="17"/>
      <c r="C80" s="167">
        <f t="shared" si="30"/>
        <v>0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34">IF(ISBLANK(I69),"",IF(ISBLANK(J69),"",LN(J69)-LN(I69)))</f>
        <v/>
      </c>
      <c r="K80" s="171" t="str">
        <f t="shared" si="34"/>
        <v/>
      </c>
      <c r="L80" s="171" t="str">
        <f t="shared" si="34"/>
        <v/>
      </c>
      <c r="M80" s="171" t="str">
        <f t="shared" si="34"/>
        <v/>
      </c>
      <c r="N80" s="171" t="str">
        <f t="shared" si="34"/>
        <v/>
      </c>
      <c r="O80" s="171" t="str">
        <f t="shared" si="34"/>
        <v/>
      </c>
      <c r="P80" s="171" t="str">
        <f t="shared" si="34"/>
        <v/>
      </c>
      <c r="Q80" s="171" t="str">
        <f t="shared" si="34"/>
        <v/>
      </c>
      <c r="R80" s="171" t="str">
        <f t="shared" si="34"/>
        <v/>
      </c>
      <c r="S80" s="171" t="str">
        <f t="shared" si="34"/>
        <v/>
      </c>
      <c r="T80" s="171" t="str">
        <f t="shared" si="34"/>
        <v/>
      </c>
      <c r="U80" s="171" t="str">
        <f t="shared" si="34"/>
        <v/>
      </c>
      <c r="V80" s="17"/>
      <c r="W80" s="17"/>
    </row>
    <row r="81" spans="1:24" outlineLevel="1">
      <c r="A81" s="17"/>
      <c r="B81" s="17"/>
      <c r="C81" s="167">
        <f t="shared" si="30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35">IF(ISBLANK(I70),"",IF(ISBLANK(J70),"",LN(J70)-LN(I70)))</f>
        <v/>
      </c>
      <c r="K81" s="171" t="str">
        <f t="shared" si="35"/>
        <v/>
      </c>
      <c r="L81" s="171" t="str">
        <f t="shared" si="35"/>
        <v/>
      </c>
      <c r="M81" s="171" t="str">
        <f t="shared" si="35"/>
        <v/>
      </c>
      <c r="N81" s="171" t="str">
        <f t="shared" si="35"/>
        <v/>
      </c>
      <c r="O81" s="171" t="str">
        <f t="shared" si="35"/>
        <v/>
      </c>
      <c r="P81" s="171" t="str">
        <f t="shared" si="35"/>
        <v/>
      </c>
      <c r="Q81" s="171" t="str">
        <f t="shared" si="35"/>
        <v/>
      </c>
      <c r="R81" s="171" t="str">
        <f t="shared" si="35"/>
        <v/>
      </c>
      <c r="S81" s="171" t="str">
        <f t="shared" si="35"/>
        <v/>
      </c>
      <c r="T81" s="171" t="str">
        <f t="shared" si="35"/>
        <v/>
      </c>
      <c r="U81" s="171"/>
      <c r="V81" s="17"/>
      <c r="W81" s="17"/>
    </row>
    <row r="82" spans="1:24" outlineLevel="1">
      <c r="A82" s="17"/>
      <c r="B82" s="17"/>
      <c r="C82" s="167">
        <f t="shared" si="30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36">IF(ISBLANK(I71),"",IF(ISBLANK(J71),"",LN(J71)-LN(I71)))</f>
        <v/>
      </c>
      <c r="K82" s="171" t="str">
        <f t="shared" si="36"/>
        <v/>
      </c>
      <c r="L82" s="171" t="str">
        <f t="shared" si="36"/>
        <v/>
      </c>
      <c r="M82" s="171" t="str">
        <f t="shared" si="36"/>
        <v/>
      </c>
      <c r="N82" s="171" t="str">
        <f t="shared" si="36"/>
        <v/>
      </c>
      <c r="O82" s="171" t="str">
        <f t="shared" si="36"/>
        <v/>
      </c>
      <c r="P82" s="171" t="str">
        <f t="shared" si="36"/>
        <v/>
      </c>
      <c r="Q82" s="171" t="str">
        <f t="shared" si="36"/>
        <v/>
      </c>
      <c r="R82" s="171" t="str">
        <f t="shared" si="36"/>
        <v/>
      </c>
      <c r="S82" s="171" t="str">
        <f t="shared" si="36"/>
        <v/>
      </c>
      <c r="T82" s="171" t="str">
        <f t="shared" si="36"/>
        <v/>
      </c>
      <c r="U82" s="171"/>
      <c r="V82" s="17"/>
      <c r="W82" s="17"/>
    </row>
    <row r="83" spans="1:24" ht="10.5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ht="10.5" outlineLevel="1">
      <c r="A84" s="17"/>
      <c r="B84" s="17"/>
      <c r="C84" s="122" t="s">
        <v>191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184</v>
      </c>
      <c r="K84" s="172" t="s">
        <v>185</v>
      </c>
      <c r="L84" s="172" t="s">
        <v>186</v>
      </c>
      <c r="M84" s="172" t="s">
        <v>187</v>
      </c>
      <c r="N84" s="126"/>
      <c r="O84" s="194" t="s">
        <v>212</v>
      </c>
      <c r="P84" s="17"/>
      <c r="Q84" s="17"/>
      <c r="R84" s="17"/>
      <c r="S84" s="17"/>
      <c r="T84" s="17"/>
      <c r="U84" s="17"/>
      <c r="V84" s="17"/>
      <c r="W84" s="17"/>
    </row>
    <row r="85" spans="1:24" ht="10.5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26"/>
      <c r="P85" s="17"/>
      <c r="Q85" s="17"/>
      <c r="R85" s="17"/>
      <c r="S85" s="17"/>
      <c r="T85" s="17"/>
      <c r="U85" s="17"/>
      <c r="V85" s="17"/>
      <c r="W85" s="17"/>
    </row>
    <row r="86" spans="1:24" ht="10.5" outlineLevel="1">
      <c r="A86" s="17"/>
      <c r="B86" s="17"/>
      <c r="C86" s="167" t="str">
        <f t="shared" ref="C86:C91" si="37">C66</f>
        <v>Customer numbers (#)</v>
      </c>
      <c r="D86" s="120" t="s">
        <v>96</v>
      </c>
      <c r="E86" s="120" t="s">
        <v>18</v>
      </c>
      <c r="F86" s="120" t="s">
        <v>36</v>
      </c>
      <c r="G86" s="121"/>
      <c r="H86" s="121"/>
      <c r="I86" s="120"/>
      <c r="J86" s="173">
        <v>0.28000000000000003</v>
      </c>
      <c r="K86" s="173">
        <v>0.53600000000000003</v>
      </c>
      <c r="L86" s="173">
        <v>0.35699999999999998</v>
      </c>
      <c r="M86" s="173">
        <v>0.31840429999999997</v>
      </c>
      <c r="N86" s="126"/>
      <c r="O86" s="126"/>
      <c r="P86" s="17"/>
      <c r="Q86" s="17"/>
      <c r="R86" s="17"/>
      <c r="S86" s="17"/>
      <c r="T86" s="17"/>
      <c r="U86" s="17"/>
      <c r="V86" s="17"/>
      <c r="W86" s="17"/>
    </row>
    <row r="87" spans="1:24" ht="10.5" outlineLevel="1">
      <c r="A87" s="17"/>
      <c r="B87" s="17"/>
      <c r="C87" s="167" t="str">
        <f t="shared" si="37"/>
        <v>Circuit Length (km)</v>
      </c>
      <c r="D87" s="120" t="s">
        <v>96</v>
      </c>
      <c r="E87" s="120" t="s">
        <v>18</v>
      </c>
      <c r="F87" s="120" t="s">
        <v>36</v>
      </c>
      <c r="G87" s="121"/>
      <c r="H87" s="121"/>
      <c r="I87" s="120"/>
      <c r="J87" s="173">
        <v>0.129</v>
      </c>
      <c r="K87" s="173">
        <v>0.22800000000000001</v>
      </c>
      <c r="L87" s="173">
        <v>0.23799999999999999</v>
      </c>
      <c r="M87" s="173">
        <v>0.16565669999999999</v>
      </c>
      <c r="N87" s="126"/>
      <c r="O87" s="126"/>
      <c r="P87" s="17"/>
      <c r="Q87" s="17"/>
      <c r="R87" s="17"/>
      <c r="S87" s="17"/>
      <c r="T87" s="17"/>
      <c r="U87" s="17"/>
      <c r="V87" s="17"/>
      <c r="W87" s="17"/>
    </row>
    <row r="88" spans="1:24" ht="10.5" outlineLevel="1">
      <c r="A88" s="17"/>
      <c r="B88" s="17"/>
      <c r="C88" s="167" t="str">
        <f t="shared" si="37"/>
        <v xml:space="preserve">Ratcheted maximum demand </v>
      </c>
      <c r="D88" s="120" t="s">
        <v>96</v>
      </c>
      <c r="E88" s="120" t="s">
        <v>18</v>
      </c>
      <c r="F88" s="120" t="s">
        <v>36</v>
      </c>
      <c r="G88" s="121"/>
      <c r="H88" s="121"/>
      <c r="I88" s="120"/>
      <c r="J88" s="173">
        <v>0.55300000000000005</v>
      </c>
      <c r="K88" s="173">
        <v>0.19900000000000001</v>
      </c>
      <c r="L88" s="173">
        <v>0.36099999999999999</v>
      </c>
      <c r="M88" s="173">
        <v>0.4430868</v>
      </c>
      <c r="N88" s="126"/>
      <c r="O88" s="126"/>
      <c r="P88" s="17"/>
      <c r="Q88" s="17"/>
      <c r="R88" s="17"/>
      <c r="S88" s="17"/>
      <c r="T88" s="17"/>
      <c r="U88" s="17"/>
      <c r="V88" s="17"/>
      <c r="W88" s="17"/>
    </row>
    <row r="89" spans="1:24" ht="10.5" outlineLevel="1">
      <c r="A89" s="17"/>
      <c r="B89" s="17"/>
      <c r="C89" s="167">
        <f t="shared" si="37"/>
        <v>0</v>
      </c>
      <c r="D89" s="120" t="s">
        <v>96</v>
      </c>
      <c r="E89" s="120" t="s">
        <v>18</v>
      </c>
      <c r="F89" s="120" t="s">
        <v>36</v>
      </c>
      <c r="G89" s="121"/>
      <c r="H89" s="121"/>
      <c r="I89" s="120"/>
      <c r="J89" s="173"/>
      <c r="K89" s="174"/>
      <c r="L89" s="174"/>
      <c r="M89" s="173"/>
      <c r="N89" s="126"/>
      <c r="O89" s="126"/>
      <c r="P89" s="17"/>
      <c r="Q89" s="17"/>
      <c r="R89" s="17"/>
      <c r="S89" s="17"/>
      <c r="T89" s="17"/>
      <c r="U89" s="17"/>
      <c r="V89" s="17"/>
      <c r="W89" s="17"/>
    </row>
    <row r="90" spans="1:24" ht="10.5" outlineLevel="1">
      <c r="A90" s="17"/>
      <c r="B90" s="17"/>
      <c r="C90" s="167">
        <f t="shared" si="37"/>
        <v>0</v>
      </c>
      <c r="D90" s="120" t="s">
        <v>96</v>
      </c>
      <c r="E90" s="120" t="s">
        <v>18</v>
      </c>
      <c r="F90" s="120" t="s">
        <v>36</v>
      </c>
      <c r="G90" s="121"/>
      <c r="H90" s="121"/>
      <c r="I90" s="120"/>
      <c r="J90" s="174"/>
      <c r="K90" s="174"/>
      <c r="L90" s="174"/>
      <c r="M90" s="174"/>
      <c r="N90" s="126"/>
      <c r="O90" s="126"/>
      <c r="P90" s="17"/>
      <c r="Q90" s="17"/>
      <c r="R90" s="17"/>
      <c r="S90" s="17"/>
      <c r="T90" s="17"/>
      <c r="U90" s="17"/>
      <c r="V90" s="17"/>
      <c r="W90" s="17"/>
    </row>
    <row r="91" spans="1:24" ht="10.5" outlineLevel="1">
      <c r="A91" s="17"/>
      <c r="B91" s="17"/>
      <c r="C91" s="167">
        <f t="shared" si="37"/>
        <v>0</v>
      </c>
      <c r="D91" s="120" t="s">
        <v>96</v>
      </c>
      <c r="E91" s="120" t="s">
        <v>18</v>
      </c>
      <c r="F91" s="120" t="s">
        <v>36</v>
      </c>
      <c r="G91" s="121"/>
      <c r="H91" s="121"/>
      <c r="I91" s="120"/>
      <c r="J91" s="174"/>
      <c r="K91" s="174"/>
      <c r="L91" s="174"/>
      <c r="M91" s="174"/>
      <c r="N91" s="126"/>
      <c r="O91" s="126"/>
      <c r="P91" s="17"/>
      <c r="Q91" s="17"/>
      <c r="R91" s="17"/>
      <c r="S91" s="17"/>
      <c r="T91" s="17"/>
      <c r="U91" s="17"/>
      <c r="V91" s="17"/>
      <c r="W91" s="17"/>
    </row>
    <row r="92" spans="1:24" ht="10.5" outlineLevel="1">
      <c r="A92" s="17"/>
      <c r="B92" s="17"/>
      <c r="C92" s="125"/>
      <c r="D92" s="120"/>
      <c r="E92" s="120"/>
      <c r="F92" s="120"/>
      <c r="G92" s="121"/>
      <c r="H92" s="121"/>
      <c r="I92" s="120"/>
      <c r="J92" s="120"/>
      <c r="K92" s="126"/>
      <c r="L92" s="126"/>
      <c r="M92" s="126"/>
      <c r="N92" s="126"/>
      <c r="O92" s="126"/>
      <c r="P92" s="17"/>
      <c r="Q92" s="17"/>
      <c r="R92" s="17"/>
      <c r="S92" s="17"/>
      <c r="T92" s="17"/>
      <c r="U92" s="17"/>
      <c r="V92" s="17"/>
      <c r="W92" s="17"/>
    </row>
    <row r="93" spans="1:24" ht="10.5" outlineLevel="1">
      <c r="A93" s="17"/>
      <c r="B93" s="17"/>
      <c r="C93" s="17" t="s">
        <v>40</v>
      </c>
      <c r="D93" s="120" t="s">
        <v>93</v>
      </c>
      <c r="E93" s="120" t="s">
        <v>28</v>
      </c>
      <c r="F93" s="120" t="s">
        <v>36</v>
      </c>
      <c r="G93" s="120"/>
      <c r="H93" s="120"/>
      <c r="I93" s="120"/>
      <c r="J93" s="165" t="str">
        <f>IF(AND(ISBLANK(J84),COUNT(J86:J91)=0),"Ok",IF(AND(COUNTA($C66:$C71)=COUNT(J86:J91),COUNTA(J84)=1),"Ok","Check"))</f>
        <v>Ok</v>
      </c>
      <c r="K93" s="165" t="str">
        <f>IF(AND(ISBLANK(K84),COUNT(K86:K91)=0),"Ok",IF(AND(COUNTA($C66:$C71)=COUNT(K86:K91),COUNTA(K84)=1),"Ok","Check"))</f>
        <v>Ok</v>
      </c>
      <c r="L93" s="165" t="str">
        <f>IF(AND(ISBLANK(L84),COUNT(L86:L91)=0),"Ok",IF(AND(COUNTA($C66:$C71)=COUNT(L86:L91),COUNTA(L84)=1),"Ok","Check"))</f>
        <v>Ok</v>
      </c>
      <c r="M93" s="165" t="str">
        <f>IF(AND(ISBLANK(M84),COUNT(M86:M91)=0),"Ok",IF(AND(COUNTA($C66:$C71)=COUNT(M86:M91),COUNTA(M84)=1),"Ok","Check"))</f>
        <v>Ok</v>
      </c>
      <c r="N93" s="165"/>
      <c r="O93" s="165"/>
      <c r="P93" s="165"/>
      <c r="Q93" s="165"/>
      <c r="R93" s="165"/>
      <c r="S93" s="165"/>
      <c r="T93" s="165"/>
      <c r="U93" s="165"/>
      <c r="V93" s="166"/>
      <c r="W93" s="17"/>
      <c r="X93" s="81" t="str">
        <f>IF(COUNTIF(J93:T93,"Check")=0,"Ok","Check")</f>
        <v>Ok</v>
      </c>
    </row>
    <row r="94" spans="1:24" ht="10.5" outlineLevel="1">
      <c r="A94" s="17"/>
      <c r="B94" s="17"/>
      <c r="C94" s="125"/>
      <c r="D94" s="120"/>
      <c r="E94" s="120"/>
      <c r="F94" s="120"/>
      <c r="G94" s="121"/>
      <c r="H94" s="121"/>
      <c r="I94" s="120"/>
      <c r="J94" s="120"/>
      <c r="K94" s="126"/>
      <c r="L94" s="126"/>
      <c r="M94" s="126"/>
      <c r="N94" s="126"/>
      <c r="O94" s="126"/>
      <c r="P94" s="17"/>
      <c r="Q94" s="17"/>
      <c r="R94" s="17"/>
      <c r="S94" s="17"/>
      <c r="T94" s="17"/>
      <c r="U94" s="17"/>
      <c r="V94" s="17"/>
      <c r="W94" s="17"/>
    </row>
    <row r="95" spans="1:24" ht="10.5" outlineLevel="1">
      <c r="A95" s="17"/>
      <c r="B95" s="17"/>
      <c r="C95" s="122" t="s">
        <v>152</v>
      </c>
      <c r="D95" s="121" t="s">
        <v>7</v>
      </c>
      <c r="E95" s="121" t="s">
        <v>8</v>
      </c>
      <c r="F95" s="121" t="s">
        <v>22</v>
      </c>
      <c r="G95" s="121"/>
      <c r="H95" s="121"/>
      <c r="I95" s="120"/>
      <c r="J95" s="190" t="str">
        <f>J84</f>
        <v>SFA CD</v>
      </c>
      <c r="K95" s="190" t="str">
        <f>K84</f>
        <v>LSE CD</v>
      </c>
      <c r="L95" s="190" t="str">
        <f>L84</f>
        <v>LSE TLG</v>
      </c>
      <c r="M95" s="190" t="str">
        <f>M84</f>
        <v>SFA TLG</v>
      </c>
      <c r="N95" s="138"/>
      <c r="O95" s="138"/>
      <c r="P95" s="138"/>
      <c r="Q95" s="138"/>
      <c r="R95" s="138"/>
      <c r="S95" s="138"/>
      <c r="T95" s="138"/>
      <c r="U95" s="138"/>
      <c r="V95" s="17"/>
      <c r="W95" s="17"/>
    </row>
    <row r="96" spans="1:24" ht="10.5" outlineLevel="1">
      <c r="A96" s="17"/>
      <c r="B96" s="17"/>
      <c r="C96" s="125"/>
      <c r="D96" s="120"/>
      <c r="E96" s="120"/>
      <c r="F96" s="120"/>
      <c r="G96" s="121"/>
      <c r="H96" s="121"/>
      <c r="I96" s="120"/>
      <c r="J96" s="120"/>
      <c r="K96" s="126"/>
      <c r="L96" s="126"/>
      <c r="M96" s="126"/>
      <c r="N96" s="126"/>
      <c r="O96" s="175"/>
      <c r="P96" s="175"/>
      <c r="Q96" s="175"/>
      <c r="R96" s="175"/>
      <c r="S96" s="175"/>
      <c r="T96" s="175"/>
      <c r="U96" s="175"/>
      <c r="V96" s="17"/>
      <c r="W96" s="17"/>
    </row>
    <row r="97" spans="1:34" outlineLevel="1">
      <c r="A97" s="17"/>
      <c r="B97" s="17"/>
      <c r="C97" s="167" t="str">
        <f t="shared" ref="C97:C102" si="38">C66</f>
        <v>Customer numbers (#)</v>
      </c>
      <c r="D97" s="120" t="s">
        <v>93</v>
      </c>
      <c r="E97" s="120" t="str">
        <f t="shared" ref="E97:E102" si="39">percent</f>
        <v>Per cent</v>
      </c>
      <c r="F97" s="120" t="s">
        <v>36</v>
      </c>
      <c r="G97" s="121"/>
      <c r="H97" s="121"/>
      <c r="I97" s="120"/>
      <c r="J97" s="191">
        <f t="shared" ref="J97:M102" si="40">J86/SUM(J$86:J$91)</f>
        <v>0.29106029106029108</v>
      </c>
      <c r="K97" s="191">
        <f t="shared" si="40"/>
        <v>0.55659397715472481</v>
      </c>
      <c r="L97" s="191">
        <f t="shared" si="40"/>
        <v>0.37343096234309625</v>
      </c>
      <c r="M97" s="191">
        <f t="shared" si="40"/>
        <v>0.34342345416771736</v>
      </c>
      <c r="N97" s="176"/>
      <c r="O97" s="176"/>
      <c r="P97" s="176"/>
      <c r="Q97" s="176"/>
      <c r="R97" s="176"/>
      <c r="S97" s="176"/>
      <c r="T97" s="176"/>
      <c r="U97" s="176"/>
      <c r="V97" s="17"/>
      <c r="W97" s="17"/>
    </row>
    <row r="98" spans="1:34" outlineLevel="1">
      <c r="A98" s="17"/>
      <c r="B98" s="17"/>
      <c r="C98" s="167" t="str">
        <f t="shared" si="38"/>
        <v>Circuit Length (km)</v>
      </c>
      <c r="D98" s="120" t="s">
        <v>93</v>
      </c>
      <c r="E98" s="120" t="str">
        <f t="shared" si="39"/>
        <v>Per cent</v>
      </c>
      <c r="F98" s="120" t="s">
        <v>36</v>
      </c>
      <c r="G98" s="121"/>
      <c r="H98" s="121"/>
      <c r="I98" s="120"/>
      <c r="J98" s="191">
        <f t="shared" si="40"/>
        <v>0.13409563409563408</v>
      </c>
      <c r="K98" s="191">
        <f t="shared" si="40"/>
        <v>0.2367601246105919</v>
      </c>
      <c r="L98" s="191">
        <f t="shared" si="40"/>
        <v>0.2489539748953975</v>
      </c>
      <c r="M98" s="191">
        <f t="shared" si="40"/>
        <v>0.17867345422164621</v>
      </c>
      <c r="N98" s="176"/>
      <c r="O98" s="176"/>
      <c r="P98" s="176"/>
      <c r="Q98" s="176"/>
      <c r="R98" s="176"/>
      <c r="S98" s="176"/>
      <c r="T98" s="176"/>
      <c r="U98" s="176"/>
      <c r="V98" s="17"/>
      <c r="W98" s="17"/>
    </row>
    <row r="99" spans="1:34" outlineLevel="1">
      <c r="A99" s="17"/>
      <c r="B99" s="17"/>
      <c r="C99" s="167" t="str">
        <f t="shared" si="38"/>
        <v xml:space="preserve">Ratcheted maximum demand </v>
      </c>
      <c r="D99" s="120" t="s">
        <v>93</v>
      </c>
      <c r="E99" s="120" t="str">
        <f t="shared" si="39"/>
        <v>Per cent</v>
      </c>
      <c r="F99" s="120" t="s">
        <v>36</v>
      </c>
      <c r="G99" s="121"/>
      <c r="H99" s="121"/>
      <c r="I99" s="120"/>
      <c r="J99" s="191">
        <f t="shared" si="40"/>
        <v>0.57484407484407485</v>
      </c>
      <c r="K99" s="191">
        <f t="shared" si="40"/>
        <v>0.20664589823468327</v>
      </c>
      <c r="L99" s="191">
        <f t="shared" si="40"/>
        <v>0.3776150627615063</v>
      </c>
      <c r="M99" s="191">
        <f t="shared" si="40"/>
        <v>0.47790309161063643</v>
      </c>
      <c r="N99" s="176"/>
      <c r="O99" s="176"/>
      <c r="P99" s="176"/>
      <c r="Q99" s="176"/>
      <c r="R99" s="176"/>
      <c r="S99" s="176"/>
      <c r="T99" s="176"/>
      <c r="U99" s="176"/>
      <c r="V99" s="17"/>
      <c r="W99" s="17"/>
    </row>
    <row r="100" spans="1:34" outlineLevel="1">
      <c r="A100" s="17"/>
      <c r="B100" s="17"/>
      <c r="C100" s="167">
        <f t="shared" si="38"/>
        <v>0</v>
      </c>
      <c r="D100" s="120" t="s">
        <v>93</v>
      </c>
      <c r="E100" s="120" t="str">
        <f t="shared" si="39"/>
        <v>Per cent</v>
      </c>
      <c r="F100" s="120" t="s">
        <v>36</v>
      </c>
      <c r="G100" s="121"/>
      <c r="H100" s="121"/>
      <c r="I100" s="120"/>
      <c r="J100" s="191">
        <f t="shared" si="40"/>
        <v>0</v>
      </c>
      <c r="K100" s="191">
        <f t="shared" si="40"/>
        <v>0</v>
      </c>
      <c r="L100" s="191">
        <f t="shared" si="40"/>
        <v>0</v>
      </c>
      <c r="M100" s="191">
        <f t="shared" si="40"/>
        <v>0</v>
      </c>
      <c r="N100" s="176"/>
      <c r="O100" s="176"/>
      <c r="P100" s="176"/>
      <c r="Q100" s="176"/>
      <c r="R100" s="176"/>
      <c r="S100" s="176"/>
      <c r="T100" s="176"/>
      <c r="U100" s="176"/>
      <c r="V100" s="17"/>
      <c r="W100" s="17"/>
    </row>
    <row r="101" spans="1:34" outlineLevel="1">
      <c r="A101" s="17"/>
      <c r="B101" s="17"/>
      <c r="C101" s="167">
        <f t="shared" si="38"/>
        <v>0</v>
      </c>
      <c r="D101" s="120" t="s">
        <v>93</v>
      </c>
      <c r="E101" s="120" t="str">
        <f t="shared" si="39"/>
        <v>Per cent</v>
      </c>
      <c r="F101" s="120" t="s">
        <v>36</v>
      </c>
      <c r="G101" s="121"/>
      <c r="H101" s="121"/>
      <c r="I101" s="120"/>
      <c r="J101" s="191">
        <f t="shared" si="40"/>
        <v>0</v>
      </c>
      <c r="K101" s="191">
        <f t="shared" si="40"/>
        <v>0</v>
      </c>
      <c r="L101" s="191">
        <f t="shared" si="40"/>
        <v>0</v>
      </c>
      <c r="M101" s="191">
        <f t="shared" si="40"/>
        <v>0</v>
      </c>
      <c r="N101" s="176"/>
      <c r="O101" s="176"/>
      <c r="P101" s="176"/>
      <c r="Q101" s="176"/>
      <c r="R101" s="176"/>
      <c r="S101" s="176"/>
      <c r="T101" s="176"/>
      <c r="U101" s="176"/>
      <c r="V101" s="17"/>
      <c r="W101" s="17"/>
    </row>
    <row r="102" spans="1:34" outlineLevel="1">
      <c r="A102" s="17"/>
      <c r="B102" s="17"/>
      <c r="C102" s="167">
        <f t="shared" si="38"/>
        <v>0</v>
      </c>
      <c r="D102" s="120" t="s">
        <v>93</v>
      </c>
      <c r="E102" s="120" t="str">
        <f t="shared" si="39"/>
        <v>Per cent</v>
      </c>
      <c r="F102" s="120" t="s">
        <v>36</v>
      </c>
      <c r="G102" s="121"/>
      <c r="H102" s="121"/>
      <c r="I102" s="120"/>
      <c r="J102" s="191">
        <f t="shared" si="40"/>
        <v>0</v>
      </c>
      <c r="K102" s="191">
        <f t="shared" si="40"/>
        <v>0</v>
      </c>
      <c r="L102" s="191">
        <f t="shared" si="40"/>
        <v>0</v>
      </c>
      <c r="M102" s="191">
        <f t="shared" si="40"/>
        <v>0</v>
      </c>
      <c r="N102" s="176"/>
      <c r="O102" s="176"/>
      <c r="P102" s="176"/>
      <c r="Q102" s="176"/>
      <c r="R102" s="176"/>
      <c r="S102" s="176"/>
      <c r="T102" s="176"/>
      <c r="U102" s="176"/>
      <c r="V102" s="17"/>
      <c r="W102" s="17"/>
    </row>
    <row r="103" spans="1:34" ht="10.5" outlineLevel="1">
      <c r="A103" s="17"/>
      <c r="B103" s="17"/>
      <c r="C103" s="17"/>
      <c r="D103" s="120"/>
      <c r="E103" s="120"/>
      <c r="F103" s="120"/>
      <c r="G103" s="121"/>
      <c r="H103" s="121"/>
      <c r="I103" s="120"/>
      <c r="J103" s="17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ht="10.5" outlineLevel="1">
      <c r="A104" s="17"/>
      <c r="B104" s="17"/>
      <c r="C104" s="122" t="s">
        <v>153</v>
      </c>
      <c r="D104" s="121" t="s">
        <v>7</v>
      </c>
      <c r="E104" s="121" t="s">
        <v>8</v>
      </c>
      <c r="F104" s="121" t="s">
        <v>22</v>
      </c>
      <c r="G104" s="120"/>
      <c r="H104" s="120"/>
      <c r="I104" s="120"/>
      <c r="J104" s="138" t="str">
        <f t="shared" ref="J104:U104" si="41">IF(YEAR(J$4)&gt;=FPFirstYear,IF(YEAR(J$4)&lt;=FPLastYear,J$4,""),"")</f>
        <v/>
      </c>
      <c r="K104" s="138" t="str">
        <f t="shared" si="41"/>
        <v/>
      </c>
      <c r="L104" s="138" t="str">
        <f t="shared" si="41"/>
        <v/>
      </c>
      <c r="M104" s="138" t="str">
        <f t="shared" si="41"/>
        <v/>
      </c>
      <c r="N104" s="138" t="str">
        <f t="shared" si="41"/>
        <v/>
      </c>
      <c r="O104" s="138" t="str">
        <f t="shared" si="41"/>
        <v/>
      </c>
      <c r="P104" s="138">
        <f t="shared" si="41"/>
        <v>46539</v>
      </c>
      <c r="Q104" s="138">
        <f t="shared" si="41"/>
        <v>46905</v>
      </c>
      <c r="R104" s="138">
        <f t="shared" si="41"/>
        <v>47270</v>
      </c>
      <c r="S104" s="138">
        <f t="shared" si="41"/>
        <v>47635</v>
      </c>
      <c r="T104" s="138">
        <f t="shared" si="41"/>
        <v>48000</v>
      </c>
      <c r="U104" s="138" t="str">
        <f t="shared" si="41"/>
        <v/>
      </c>
      <c r="V104" s="166"/>
      <c r="W104" s="17"/>
      <c r="X104" s="82"/>
    </row>
    <row r="105" spans="1:34" ht="10.5" outlineLevel="1">
      <c r="A105" s="17"/>
      <c r="B105" s="17"/>
      <c r="C105" s="17"/>
      <c r="D105" s="120"/>
      <c r="E105" s="120"/>
      <c r="F105" s="120"/>
      <c r="G105" s="120"/>
      <c r="H105" s="120"/>
      <c r="I105" s="120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6"/>
      <c r="W105" s="17"/>
      <c r="X105" s="82"/>
    </row>
    <row r="106" spans="1:34" ht="10.5" outlineLevel="1">
      <c r="A106" s="17"/>
      <c r="B106" s="17"/>
      <c r="C106" s="167" t="str">
        <f t="array" ref="C106:C109">TRANSPOSE(J95:M95)</f>
        <v>SFA CD</v>
      </c>
      <c r="D106" s="120" t="s">
        <v>93</v>
      </c>
      <c r="E106" s="120" t="s">
        <v>18</v>
      </c>
      <c r="F106" s="120" t="s">
        <v>36</v>
      </c>
      <c r="G106" s="120"/>
      <c r="H106" s="120"/>
      <c r="I106" s="120"/>
      <c r="J106" s="171" t="str">
        <f t="shared" ref="J106:U106" si="42">IF(J$104=J$4,SUMPRODUCT(J$77:J$82,$J$97:$J$102),"")</f>
        <v/>
      </c>
      <c r="K106" s="171" t="str">
        <f t="shared" si="42"/>
        <v/>
      </c>
      <c r="L106" s="171" t="str">
        <f t="shared" si="42"/>
        <v/>
      </c>
      <c r="M106" s="171" t="str">
        <f t="shared" si="42"/>
        <v/>
      </c>
      <c r="N106" s="171" t="str">
        <f t="shared" si="42"/>
        <v/>
      </c>
      <c r="O106" s="171" t="str">
        <f t="shared" si="42"/>
        <v/>
      </c>
      <c r="P106" s="171">
        <f t="shared" si="42"/>
        <v>2.3502779544349033E-2</v>
      </c>
      <c r="Q106" s="171">
        <f t="shared" si="42"/>
        <v>1.5415171672999686E-2</v>
      </c>
      <c r="R106" s="171">
        <f t="shared" si="42"/>
        <v>1.8566498850499033E-2</v>
      </c>
      <c r="S106" s="171">
        <f t="shared" si="42"/>
        <v>1.4233029462952617E-2</v>
      </c>
      <c r="T106" s="171">
        <f t="shared" si="42"/>
        <v>2.5411106762514735E-2</v>
      </c>
      <c r="U106" s="171" t="str">
        <f t="shared" si="42"/>
        <v/>
      </c>
      <c r="V106" s="166"/>
      <c r="W106" s="17"/>
      <c r="X106" s="82"/>
    </row>
    <row r="107" spans="1:34" ht="10.5" outlineLevel="1">
      <c r="A107" s="17"/>
      <c r="B107" s="17"/>
      <c r="C107" s="167" t="str">
        <v>LSE CD</v>
      </c>
      <c r="D107" s="120" t="s">
        <v>93</v>
      </c>
      <c r="E107" s="120" t="s">
        <v>18</v>
      </c>
      <c r="F107" s="120" t="s">
        <v>36</v>
      </c>
      <c r="G107" s="120"/>
      <c r="H107" s="120"/>
      <c r="I107" s="120"/>
      <c r="J107" s="171" t="str">
        <f t="shared" ref="J107:U107" si="43">IF(J$104=J$4,SUMPRODUCT(J$77:J$82,$K$97:$K$102),"")</f>
        <v/>
      </c>
      <c r="K107" s="171" t="str">
        <f t="shared" si="43"/>
        <v/>
      </c>
      <c r="L107" s="171" t="str">
        <f t="shared" si="43"/>
        <v/>
      </c>
      <c r="M107" s="171" t="str">
        <f t="shared" si="43"/>
        <v/>
      </c>
      <c r="N107" s="171" t="str">
        <f t="shared" si="43"/>
        <v/>
      </c>
      <c r="O107" s="171" t="str">
        <f t="shared" si="43"/>
        <v/>
      </c>
      <c r="P107" s="171">
        <f t="shared" si="43"/>
        <v>1.8622884698711858E-2</v>
      </c>
      <c r="Q107" s="171">
        <f t="shared" si="43"/>
        <v>1.5684150489959768E-2</v>
      </c>
      <c r="R107" s="171">
        <f t="shared" si="43"/>
        <v>1.6620965512920596E-2</v>
      </c>
      <c r="S107" s="171">
        <f t="shared" si="43"/>
        <v>1.4913326312249165E-2</v>
      </c>
      <c r="T107" s="171">
        <f t="shared" si="43"/>
        <v>1.8724226670376713E-2</v>
      </c>
      <c r="U107" s="171" t="str">
        <f t="shared" si="43"/>
        <v/>
      </c>
      <c r="V107" s="166"/>
      <c r="W107" s="17"/>
      <c r="X107" s="82"/>
    </row>
    <row r="108" spans="1:34" ht="10.5" outlineLevel="1">
      <c r="A108" s="17"/>
      <c r="B108" s="17"/>
      <c r="C108" s="167" t="str">
        <v>LSE TLG</v>
      </c>
      <c r="D108" s="120" t="s">
        <v>93</v>
      </c>
      <c r="E108" s="120" t="s">
        <v>18</v>
      </c>
      <c r="F108" s="120" t="s">
        <v>36</v>
      </c>
      <c r="G108" s="120"/>
      <c r="H108" s="120"/>
      <c r="I108" s="120"/>
      <c r="J108" s="171" t="str">
        <f t="shared" ref="J108:U108" si="44">IF(J$104=J$4,SUMPRODUCT(J$77:J$82,$L$97:$L$102),"")</f>
        <v/>
      </c>
      <c r="K108" s="171" t="str">
        <f t="shared" si="44"/>
        <v/>
      </c>
      <c r="L108" s="171" t="str">
        <f t="shared" si="44"/>
        <v/>
      </c>
      <c r="M108" s="171" t="str">
        <f t="shared" si="44"/>
        <v/>
      </c>
      <c r="N108" s="171" t="str">
        <f t="shared" si="44"/>
        <v/>
      </c>
      <c r="O108" s="171" t="str">
        <f t="shared" si="44"/>
        <v/>
      </c>
      <c r="P108" s="171">
        <f t="shared" si="44"/>
        <v>2.0038126147729755E-2</v>
      </c>
      <c r="Q108" s="171">
        <f t="shared" si="44"/>
        <v>1.4764276553251427E-2</v>
      </c>
      <c r="R108" s="171">
        <f t="shared" si="44"/>
        <v>1.6761030015887423E-2</v>
      </c>
      <c r="S108" s="171">
        <f t="shared" si="44"/>
        <v>1.3856709222818989E-2</v>
      </c>
      <c r="T108" s="171">
        <f t="shared" si="44"/>
        <v>2.1097934109017658E-2</v>
      </c>
      <c r="U108" s="171" t="str">
        <f t="shared" si="44"/>
        <v/>
      </c>
      <c r="V108" s="166"/>
      <c r="W108" s="17"/>
      <c r="X108" s="82"/>
    </row>
    <row r="109" spans="1:34" ht="10.5" outlineLevel="1">
      <c r="A109" s="17"/>
      <c r="B109" s="17"/>
      <c r="C109" s="167" t="str">
        <v>SFA TLG</v>
      </c>
      <c r="D109" s="120" t="s">
        <v>93</v>
      </c>
      <c r="E109" s="120" t="s">
        <v>18</v>
      </c>
      <c r="F109" s="120" t="s">
        <v>36</v>
      </c>
      <c r="G109" s="120"/>
      <c r="H109" s="120"/>
      <c r="I109" s="120"/>
      <c r="J109" s="171" t="str">
        <f t="shared" ref="J109:U109" si="45">IF(J$104=J$4,SUMPRODUCT(J$77:J$82,$M$97:$M$102),"")</f>
        <v/>
      </c>
      <c r="K109" s="171" t="str">
        <f t="shared" si="45"/>
        <v/>
      </c>
      <c r="L109" s="171" t="str">
        <f t="shared" si="45"/>
        <v/>
      </c>
      <c r="M109" s="171" t="str">
        <f t="shared" si="45"/>
        <v/>
      </c>
      <c r="N109" s="171" t="str">
        <f t="shared" si="45"/>
        <v/>
      </c>
      <c r="O109" s="171" t="str">
        <f t="shared" si="45"/>
        <v/>
      </c>
      <c r="P109" s="171">
        <f t="shared" si="45"/>
        <v>2.1968621017509821E-2</v>
      </c>
      <c r="Q109" s="171">
        <f t="shared" si="45"/>
        <v>1.5252964048101444E-2</v>
      </c>
      <c r="R109" s="171">
        <f t="shared" si="45"/>
        <v>1.7830521678115267E-2</v>
      </c>
      <c r="S109" s="171">
        <f t="shared" si="45"/>
        <v>1.4195017032753266E-2</v>
      </c>
      <c r="T109" s="171">
        <f t="shared" si="45"/>
        <v>2.343619837896848E-2</v>
      </c>
      <c r="U109" s="171" t="str">
        <f t="shared" si="45"/>
        <v/>
      </c>
      <c r="V109" s="166"/>
      <c r="W109" s="17"/>
      <c r="X109" s="82"/>
    </row>
    <row r="110" spans="1:34" ht="10.5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3">
      <c r="A111" s="32"/>
      <c r="B111" s="38" t="s">
        <v>73</v>
      </c>
      <c r="C111" s="32"/>
      <c r="D111" s="32"/>
      <c r="E111" s="32"/>
      <c r="F111" s="118"/>
      <c r="G111" s="118"/>
      <c r="H111" s="118"/>
      <c r="I111" s="118"/>
      <c r="J111" s="118"/>
      <c r="K111" s="34"/>
      <c r="L111" s="119"/>
      <c r="M111" s="34"/>
      <c r="N111" s="119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20"/>
      <c r="E112" s="120"/>
      <c r="F112" s="120"/>
      <c r="G112" s="121"/>
      <c r="H112" s="121"/>
      <c r="I112" s="120"/>
      <c r="J112" s="120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ht="10.5" outlineLevel="1">
      <c r="A113" s="17"/>
      <c r="B113" s="17"/>
      <c r="C113" s="122" t="s">
        <v>47</v>
      </c>
      <c r="D113" s="121" t="s">
        <v>7</v>
      </c>
      <c r="E113" s="121" t="s">
        <v>8</v>
      </c>
      <c r="F113" s="121" t="s">
        <v>22</v>
      </c>
      <c r="G113" s="121"/>
      <c r="H113" s="121"/>
      <c r="I113" s="120"/>
      <c r="J113" s="138" t="str">
        <f t="shared" ref="J113:U113" si="46">IF(YEAR(J$4)&gt;=FPFirstYear,IF(YEAR(J$4)&lt;=FPLastYear,J$4,""),"")</f>
        <v/>
      </c>
      <c r="K113" s="138" t="str">
        <f t="shared" si="46"/>
        <v/>
      </c>
      <c r="L113" s="138" t="str">
        <f t="shared" si="46"/>
        <v/>
      </c>
      <c r="M113" s="138" t="str">
        <f t="shared" si="46"/>
        <v/>
      </c>
      <c r="N113" s="138" t="str">
        <f t="shared" si="46"/>
        <v/>
      </c>
      <c r="O113" s="138" t="str">
        <f t="shared" si="46"/>
        <v/>
      </c>
      <c r="P113" s="138">
        <f t="shared" si="46"/>
        <v>46539</v>
      </c>
      <c r="Q113" s="138">
        <f t="shared" si="46"/>
        <v>46905</v>
      </c>
      <c r="R113" s="138">
        <f t="shared" si="46"/>
        <v>47270</v>
      </c>
      <c r="S113" s="138">
        <f t="shared" si="46"/>
        <v>47635</v>
      </c>
      <c r="T113" s="138">
        <f t="shared" si="46"/>
        <v>48000</v>
      </c>
      <c r="U113" s="138" t="str">
        <f t="shared" si="46"/>
        <v/>
      </c>
      <c r="V113" s="17"/>
      <c r="W113" s="17"/>
    </row>
    <row r="114" spans="1:34" ht="10.5" outlineLevel="1">
      <c r="A114" s="17"/>
      <c r="B114" s="17"/>
      <c r="C114" s="125"/>
      <c r="D114" s="120"/>
      <c r="E114" s="120"/>
      <c r="F114" s="120"/>
      <c r="G114" s="121"/>
      <c r="H114" s="121"/>
      <c r="I114" s="120"/>
      <c r="J114" s="120"/>
      <c r="K114" s="126"/>
      <c r="L114" s="126"/>
      <c r="M114" s="126"/>
      <c r="N114" s="126"/>
      <c r="O114" s="126"/>
      <c r="P114" s="17"/>
      <c r="Q114" s="17"/>
      <c r="R114" s="17"/>
      <c r="S114" s="17"/>
      <c r="T114" s="17"/>
      <c r="U114" s="17"/>
      <c r="V114" s="17"/>
      <c r="W114" s="17"/>
    </row>
    <row r="115" spans="1:34" ht="10.5" outlineLevel="1">
      <c r="A115" s="17"/>
      <c r="B115" s="17"/>
      <c r="C115" s="125" t="s">
        <v>47</v>
      </c>
      <c r="D115" s="120" t="s">
        <v>96</v>
      </c>
      <c r="E115" s="120" t="str">
        <f>percent</f>
        <v>Per cent</v>
      </c>
      <c r="F115" s="120" t="s">
        <v>36</v>
      </c>
      <c r="G115" s="121"/>
      <c r="H115" s="121"/>
      <c r="I115" s="120"/>
      <c r="J115" s="157"/>
      <c r="K115" s="178"/>
      <c r="L115" s="178"/>
      <c r="M115" s="178"/>
      <c r="N115" s="178"/>
      <c r="O115" s="168"/>
      <c r="P115" s="168">
        <v>5.0000000000000001E-3</v>
      </c>
      <c r="Q115" s="168">
        <f>$P$115</f>
        <v>5.0000000000000001E-3</v>
      </c>
      <c r="R115" s="168">
        <f>$P$115</f>
        <v>5.0000000000000001E-3</v>
      </c>
      <c r="S115" s="168">
        <f>$P$115</f>
        <v>5.0000000000000001E-3</v>
      </c>
      <c r="T115" s="168">
        <f>$P$115</f>
        <v>5.0000000000000001E-3</v>
      </c>
      <c r="U115" s="168"/>
      <c r="V115" s="17"/>
      <c r="W115" s="17"/>
    </row>
    <row r="116" spans="1:34" ht="10.5" outlineLevel="1">
      <c r="A116" s="17"/>
      <c r="B116" s="17"/>
      <c r="C116" s="125"/>
      <c r="D116" s="120"/>
      <c r="E116" s="120"/>
      <c r="F116" s="120"/>
      <c r="G116" s="121"/>
      <c r="H116" s="121"/>
      <c r="I116" s="120"/>
      <c r="J116" s="120"/>
      <c r="K116" s="126"/>
      <c r="L116" s="126"/>
      <c r="M116" s="126"/>
      <c r="N116" s="126"/>
      <c r="O116" s="126"/>
      <c r="P116" s="179"/>
      <c r="Q116" s="179"/>
      <c r="R116" s="179"/>
      <c r="S116" s="179"/>
      <c r="T116" s="179"/>
      <c r="U116" s="179"/>
      <c r="V116" s="17"/>
      <c r="W116" s="17"/>
    </row>
    <row r="117" spans="1:34" ht="10.5" outlineLevel="1">
      <c r="A117" s="17"/>
      <c r="B117" s="17"/>
      <c r="C117" s="17" t="s">
        <v>40</v>
      </c>
      <c r="D117" s="120" t="s">
        <v>93</v>
      </c>
      <c r="E117" s="120" t="s">
        <v>28</v>
      </c>
      <c r="F117" s="120" t="s">
        <v>36</v>
      </c>
      <c r="G117" s="120"/>
      <c r="H117" s="120"/>
      <c r="I117" s="120"/>
      <c r="J117" s="165" t="str">
        <f t="shared" ref="J117:S117" si="47">IF(J113=J$4,IF(ISBLANK(J115),"Check","Ok"),"")</f>
        <v/>
      </c>
      <c r="K117" s="165" t="str">
        <f t="shared" si="47"/>
        <v/>
      </c>
      <c r="L117" s="165" t="str">
        <f t="shared" si="47"/>
        <v/>
      </c>
      <c r="M117" s="165" t="str">
        <f t="shared" si="47"/>
        <v/>
      </c>
      <c r="N117" s="165" t="str">
        <f t="shared" si="47"/>
        <v/>
      </c>
      <c r="O117" s="165" t="str">
        <f t="shared" si="47"/>
        <v/>
      </c>
      <c r="P117" s="165" t="str">
        <f t="shared" si="47"/>
        <v>Ok</v>
      </c>
      <c r="Q117" s="165" t="str">
        <f t="shared" si="47"/>
        <v>Ok</v>
      </c>
      <c r="R117" s="165" t="str">
        <f t="shared" si="47"/>
        <v>Ok</v>
      </c>
      <c r="S117" s="165" t="str">
        <f t="shared" si="47"/>
        <v>Ok</v>
      </c>
      <c r="T117" s="165" t="str">
        <f>IF(T113=T$4,IF(ISBLANK(T115),"Check","Ok"),"")</f>
        <v>Ok</v>
      </c>
      <c r="U117" s="165" t="str">
        <f>IF(U113=U$4,IF(ISBLANK(U115),"Check","Ok"),"")</f>
        <v/>
      </c>
      <c r="V117" s="166"/>
      <c r="W117" s="17"/>
      <c r="X117" s="81" t="str">
        <f>IF(COUNTIF(J117:T117,"Check")=0,"Ok","Check")</f>
        <v>Ok</v>
      </c>
    </row>
    <row r="118" spans="1:34" ht="10.5" outlineLevel="1">
      <c r="A118" s="17"/>
      <c r="B118" s="17"/>
      <c r="C118" s="125"/>
      <c r="D118" s="120"/>
      <c r="E118" s="120"/>
      <c r="F118" s="120"/>
      <c r="G118" s="121"/>
      <c r="H118" s="121"/>
      <c r="I118" s="120"/>
      <c r="J118" s="120"/>
      <c r="K118" s="126"/>
      <c r="L118" s="126"/>
      <c r="M118" s="126"/>
      <c r="N118" s="126"/>
      <c r="O118" s="126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3">
      <c r="A119" s="32"/>
      <c r="B119" s="38" t="s">
        <v>21</v>
      </c>
      <c r="C119" s="32"/>
      <c r="D119" s="32"/>
      <c r="E119" s="32"/>
      <c r="F119" s="118"/>
      <c r="G119" s="118"/>
      <c r="H119" s="118"/>
      <c r="I119" s="118"/>
      <c r="J119" s="118"/>
      <c r="K119" s="34"/>
      <c r="L119" s="119"/>
      <c r="M119" s="34"/>
      <c r="N119" s="119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15" priority="56">
      <formula>J$36=J$4</formula>
    </cfRule>
  </conditionalFormatting>
  <conditionalFormatting sqref="J16:U22">
    <cfRule type="cellIs" dxfId="114" priority="23" operator="equal">
      <formula>0</formula>
    </cfRule>
  </conditionalFormatting>
  <conditionalFormatting sqref="J26:U32">
    <cfRule type="cellIs" dxfId="113" priority="24" operator="equal">
      <formula>0</formula>
    </cfRule>
  </conditionalFormatting>
  <conditionalFormatting sqref="J36:U36">
    <cfRule type="expression" dxfId="112" priority="58">
      <formula>J$36=J$4</formula>
    </cfRule>
  </conditionalFormatting>
  <conditionalFormatting sqref="J47:U47">
    <cfRule type="cellIs" dxfId="111" priority="44" operator="equal">
      <formula>"Ok"</formula>
    </cfRule>
    <cfRule type="cellIs" dxfId="110" priority="43" operator="equal">
      <formula>"Check"</formula>
    </cfRule>
  </conditionalFormatting>
  <conditionalFormatting sqref="J49:U49">
    <cfRule type="expression" dxfId="109" priority="28">
      <formula>J$36=J$4</formula>
    </cfRule>
  </conditionalFormatting>
  <conditionalFormatting sqref="J51:U58">
    <cfRule type="expression" dxfId="108" priority="9">
      <formula>J$49=J$4</formula>
    </cfRule>
  </conditionalFormatting>
  <conditionalFormatting sqref="J60:U60">
    <cfRule type="cellIs" dxfId="107" priority="68" operator="equal">
      <formula>"Ok"</formula>
    </cfRule>
    <cfRule type="cellIs" dxfId="106" priority="67" operator="equal">
      <formula>"Check"</formula>
    </cfRule>
  </conditionalFormatting>
  <conditionalFormatting sqref="J64:U64">
    <cfRule type="expression" dxfId="105" priority="33">
      <formula>J$64=J$4</formula>
    </cfRule>
  </conditionalFormatting>
  <conditionalFormatting sqref="J66:U71">
    <cfRule type="expression" dxfId="104" priority="31">
      <formula>J$64=J$4</formula>
    </cfRule>
  </conditionalFormatting>
  <conditionalFormatting sqref="J73:U73">
    <cfRule type="cellIs" dxfId="103" priority="39" operator="equal">
      <formula>"Check"</formula>
    </cfRule>
    <cfRule type="cellIs" dxfId="102" priority="40" operator="equal">
      <formula>"Ok"</formula>
    </cfRule>
  </conditionalFormatting>
  <conditionalFormatting sqref="J75:U75">
    <cfRule type="expression" dxfId="101" priority="27">
      <formula>J$36=J$4</formula>
    </cfRule>
  </conditionalFormatting>
  <conditionalFormatting sqref="J93:U93">
    <cfRule type="cellIs" dxfId="100" priority="4" operator="equal">
      <formula>"Ok"</formula>
    </cfRule>
    <cfRule type="cellIs" dxfId="99" priority="3" operator="equal">
      <formula>"Check"</formula>
    </cfRule>
  </conditionalFormatting>
  <conditionalFormatting sqref="J104:U104">
    <cfRule type="expression" dxfId="98" priority="178">
      <formula>J$104=J$4</formula>
    </cfRule>
  </conditionalFormatting>
  <conditionalFormatting sqref="J105:U105">
    <cfRule type="cellIs" dxfId="97" priority="16" operator="equal">
      <formula>"Check"</formula>
    </cfRule>
    <cfRule type="cellIs" dxfId="96" priority="17" operator="equal">
      <formula>"Ok"</formula>
    </cfRule>
  </conditionalFormatting>
  <conditionalFormatting sqref="J113:U113">
    <cfRule type="expression" dxfId="95" priority="26">
      <formula>J$36=J$4</formula>
    </cfRule>
  </conditionalFormatting>
  <conditionalFormatting sqref="J115:U115">
    <cfRule type="expression" dxfId="94" priority="179">
      <formula>J$113=J$4</formula>
    </cfRule>
  </conditionalFormatting>
  <conditionalFormatting sqref="J117:U117">
    <cfRule type="cellIs" dxfId="93" priority="47" operator="equal">
      <formula>"Check"</formula>
    </cfRule>
    <cfRule type="cellIs" dxfId="92" priority="48" operator="equal">
      <formula>"Ok"</formula>
    </cfRule>
  </conditionalFormatting>
  <conditionalFormatting sqref="K89:M91">
    <cfRule type="expression" dxfId="91" priority="175">
      <formula>K$95=K$4</formula>
    </cfRule>
  </conditionalFormatting>
  <conditionalFormatting sqref="P38:T45">
    <cfRule type="expression" dxfId="90" priority="11">
      <formula>P$36=P$4</formula>
    </cfRule>
  </conditionalFormatting>
  <conditionalFormatting sqref="T1:U1">
    <cfRule type="cellIs" dxfId="89" priority="87" operator="equal">
      <formula>"Check"</formula>
    </cfRule>
    <cfRule type="cellIs" dxfId="88" priority="88" operator="equal">
      <formula>"Ok"</formula>
    </cfRule>
  </conditionalFormatting>
  <conditionalFormatting sqref="X1 X104:X109">
    <cfRule type="cellIs" dxfId="87" priority="123" operator="equal">
      <formula>"Check"</formula>
    </cfRule>
    <cfRule type="cellIs" dxfId="86" priority="124" operator="equal">
      <formula>"Ok"</formula>
    </cfRule>
  </conditionalFormatting>
  <conditionalFormatting sqref="X47">
    <cfRule type="cellIs" dxfId="85" priority="45" operator="equal">
      <formula>"Check"</formula>
    </cfRule>
    <cfRule type="cellIs" dxfId="84" priority="46" operator="equal">
      <formula>"Ok"</formula>
    </cfRule>
  </conditionalFormatting>
  <conditionalFormatting sqref="X60">
    <cfRule type="cellIs" dxfId="83" priority="75" operator="equal">
      <formula>"Check"</formula>
    </cfRule>
    <cfRule type="cellIs" dxfId="82" priority="76" operator="equal">
      <formula>"Ok"</formula>
    </cfRule>
  </conditionalFormatting>
  <conditionalFormatting sqref="X73">
    <cfRule type="cellIs" dxfId="81" priority="42" operator="equal">
      <formula>"Ok"</formula>
    </cfRule>
    <cfRule type="cellIs" dxfId="80" priority="41" operator="equal">
      <formula>"Check"</formula>
    </cfRule>
  </conditionalFormatting>
  <conditionalFormatting sqref="X93">
    <cfRule type="cellIs" dxfId="79" priority="5" operator="equal">
      <formula>"Check"</formula>
    </cfRule>
    <cfRule type="cellIs" dxfId="78" priority="6" operator="equal">
      <formula>"Ok"</formula>
    </cfRule>
  </conditionalFormatting>
  <conditionalFormatting sqref="X117">
    <cfRule type="cellIs" dxfId="77" priority="49" operator="equal">
      <formula>"Check"</formula>
    </cfRule>
    <cfRule type="cellIs" dxfId="76" priority="50" operator="equal">
      <formula>"Ok"</formula>
    </cfRule>
  </conditionalFormatting>
  <dataValidations disablePrompts="1"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7"/>
  <sheetViews>
    <sheetView zoomScaleNormal="100" workbookViewId="0">
      <selection activeCell="S44" sqref="S44"/>
    </sheetView>
  </sheetViews>
  <sheetFormatPr defaultColWidth="0" defaultRowHeight="10" zeroHeight="1" outlineLevelRow="1"/>
  <cols>
    <col min="1" max="2" width="1.44140625" style="8" customWidth="1"/>
    <col min="3" max="3" width="48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3" width="10.77734375" style="8" customWidth="1"/>
    <col min="24" max="47" width="10.44140625" style="8" hidden="1" customWidth="1"/>
    <col min="48" max="16384" width="0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 ca="1">IF(COUNTA($W$8:$W$240)=COUNTIF($W$8:$W$240,"OK"),"OK","Check")</f>
        <v>OK</v>
      </c>
      <c r="U1" s="187" t="s">
        <v>24</v>
      </c>
      <c r="V1" s="29" t="str">
        <f ca="1"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 ht="10.5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408"/>
      <c r="O3" s="408"/>
      <c r="P3" s="408"/>
      <c r="Q3" s="408"/>
      <c r="R3" s="408"/>
      <c r="S3" s="408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0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3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ht="10.5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ht="10.5" outlineLevel="1">
      <c r="A12" s="17"/>
      <c r="B12" s="17"/>
      <c r="C12" s="127" t="s">
        <v>228</v>
      </c>
      <c r="D12" s="120" t="s">
        <v>64</v>
      </c>
      <c r="E12" s="120" t="str">
        <f t="shared" ref="E12:E23" si="1">units</f>
        <v>$millions</v>
      </c>
      <c r="F12" s="197">
        <v>45444</v>
      </c>
      <c r="G12" s="121"/>
      <c r="H12" s="121"/>
      <c r="I12" s="120"/>
      <c r="J12" s="158"/>
      <c r="K12" s="158"/>
      <c r="L12" s="158"/>
      <c r="M12" s="158"/>
      <c r="N12" s="158"/>
      <c r="O12" s="181">
        <v>0.11887479999999999</v>
      </c>
      <c r="P12" s="181">
        <v>0.22826973744849563</v>
      </c>
      <c r="Q12" s="181">
        <v>0.24609361401449242</v>
      </c>
      <c r="R12" s="181">
        <v>0.50880426586757399</v>
      </c>
      <c r="S12" s="181">
        <v>0.64911634787267947</v>
      </c>
      <c r="T12" s="181"/>
      <c r="U12" s="17"/>
      <c r="V12" s="17"/>
      <c r="W12" s="81" t="str">
        <f>IF(ISBLANK(C12),IF(COUNT(J12:T12)=0,"Ok","Check"),IF(COUNT(J12:T12)=COUNT(J$10:T$10),"Ok","Check"))</f>
        <v>Ok</v>
      </c>
    </row>
    <row r="13" spans="1:30" ht="10.5" outlineLevel="1">
      <c r="A13" s="17"/>
      <c r="B13" s="17"/>
      <c r="C13" s="127" t="s">
        <v>229</v>
      </c>
      <c r="D13" s="120" t="s">
        <v>64</v>
      </c>
      <c r="E13" s="120" t="str">
        <f t="shared" si="1"/>
        <v>$millions</v>
      </c>
      <c r="F13" s="197">
        <v>45078</v>
      </c>
      <c r="G13" s="121"/>
      <c r="H13" s="121"/>
      <c r="I13" s="120"/>
      <c r="J13" s="158"/>
      <c r="K13" s="158"/>
      <c r="L13" s="158"/>
      <c r="M13" s="158"/>
      <c r="N13" s="158"/>
      <c r="O13" s="181">
        <v>1.1279999999999999</v>
      </c>
      <c r="P13" s="181">
        <v>1.1279999999999999</v>
      </c>
      <c r="Q13" s="181">
        <v>1.1279999999999999</v>
      </c>
      <c r="R13" s="181">
        <v>1.1279999999999999</v>
      </c>
      <c r="S13" s="181">
        <v>1.1279999999999999</v>
      </c>
      <c r="T13" s="181"/>
      <c r="U13" s="17"/>
      <c r="V13" s="17"/>
      <c r="W13" s="81" t="str">
        <f t="shared" ref="W13:W14" si="2">IF(ISBLANK(C13),IF(COUNT(J13:T13)=0,"Ok","Check"),IF(COUNT(J13:T13)=COUNT(J$10:T$10),"Ok","Check"))</f>
        <v>Ok</v>
      </c>
    </row>
    <row r="14" spans="1:30" ht="10.5" outlineLevel="1">
      <c r="A14" s="17"/>
      <c r="B14" s="17"/>
      <c r="C14" s="127" t="s">
        <v>332</v>
      </c>
      <c r="D14" s="120" t="s">
        <v>64</v>
      </c>
      <c r="E14" s="120" t="str">
        <f t="shared" si="1"/>
        <v>$millions</v>
      </c>
      <c r="F14" s="197">
        <v>46174</v>
      </c>
      <c r="G14" s="121"/>
      <c r="H14" s="121"/>
      <c r="I14" s="120"/>
      <c r="J14" s="158"/>
      <c r="K14" s="158"/>
      <c r="L14" s="158"/>
      <c r="M14" s="158"/>
      <c r="N14" s="158"/>
      <c r="O14" s="181">
        <v>0</v>
      </c>
      <c r="P14" s="181">
        <v>0</v>
      </c>
      <c r="Q14" s="181">
        <v>0</v>
      </c>
      <c r="R14" s="181">
        <v>0</v>
      </c>
      <c r="S14" s="181">
        <v>0</v>
      </c>
      <c r="T14" s="181"/>
      <c r="U14" s="17"/>
      <c r="V14" s="17"/>
      <c r="W14" s="81" t="str">
        <f t="shared" si="2"/>
        <v>Ok</v>
      </c>
    </row>
    <row r="15" spans="1:30" ht="10.5" outlineLevel="1">
      <c r="A15" s="17"/>
      <c r="B15" s="17"/>
      <c r="C15" s="127" t="s">
        <v>370</v>
      </c>
      <c r="D15" s="120" t="s">
        <v>64</v>
      </c>
      <c r="E15" s="120" t="str">
        <f t="shared" si="1"/>
        <v>$millions</v>
      </c>
      <c r="F15" s="197">
        <v>45444</v>
      </c>
      <c r="G15" s="121"/>
      <c r="H15" s="121"/>
      <c r="I15" s="120"/>
      <c r="J15" s="158"/>
      <c r="K15" s="158"/>
      <c r="L15" s="158"/>
      <c r="M15" s="158"/>
      <c r="N15" s="158"/>
      <c r="O15" s="181">
        <v>1.8233104272727301</v>
      </c>
      <c r="P15" s="181">
        <v>2.9554118993552301</v>
      </c>
      <c r="Q15" s="181">
        <v>4.3257184625000002</v>
      </c>
      <c r="R15" s="181">
        <v>4.0990823499999998</v>
      </c>
      <c r="S15" s="181">
        <v>6.5462339624999997</v>
      </c>
      <c r="T15" s="181"/>
      <c r="U15" s="17"/>
      <c r="V15" s="17"/>
      <c r="W15" s="81" t="str">
        <f t="shared" ref="W15:W23" si="3">IF(ISBLANK(C15),IF(COUNT(J15:T15)=0,"Ok","Check"),IF(COUNT(J15:T15)=COUNT(J$10:T$10),"Ok","Check"))</f>
        <v>Ok</v>
      </c>
    </row>
    <row r="16" spans="1:30" ht="10.5" outlineLevel="1">
      <c r="A16" s="17"/>
      <c r="B16" s="17"/>
      <c r="C16" s="127" t="s">
        <v>333</v>
      </c>
      <c r="D16" s="120" t="s">
        <v>64</v>
      </c>
      <c r="E16" s="120" t="str">
        <f t="shared" si="1"/>
        <v>$millions</v>
      </c>
      <c r="F16" s="197">
        <v>46174</v>
      </c>
      <c r="G16" s="121"/>
      <c r="H16" s="121"/>
      <c r="I16" s="120"/>
      <c r="J16" s="158"/>
      <c r="K16" s="158"/>
      <c r="L16" s="158"/>
      <c r="M16" s="158"/>
      <c r="N16" s="158"/>
      <c r="O16" s="181">
        <f ca="1">Step!D50</f>
        <v>0.19259500627708448</v>
      </c>
      <c r="P16" s="181">
        <f ca="1">Step!D51</f>
        <v>0.19126490255590317</v>
      </c>
      <c r="Q16" s="181">
        <f ca="1">Step!D52</f>
        <v>0.18964573582793359</v>
      </c>
      <c r="R16" s="181">
        <f ca="1">Step!D53</f>
        <v>0.1882127019041353</v>
      </c>
      <c r="S16" s="181">
        <f ca="1">Step!D54</f>
        <v>0.18607551178713003</v>
      </c>
      <c r="T16" s="181"/>
      <c r="U16" s="17"/>
      <c r="V16" s="17"/>
      <c r="W16" s="81" t="str">
        <f t="shared" ca="1" si="3"/>
        <v>Ok</v>
      </c>
    </row>
    <row r="17" spans="1:30" ht="10.5" outlineLevel="1">
      <c r="A17" s="17"/>
      <c r="B17" s="17"/>
      <c r="C17" s="127" t="s">
        <v>376</v>
      </c>
      <c r="D17" s="120" t="s">
        <v>64</v>
      </c>
      <c r="E17" s="120" t="str">
        <f t="shared" si="1"/>
        <v>$millions</v>
      </c>
      <c r="F17" s="197">
        <v>46174</v>
      </c>
      <c r="G17" s="121"/>
      <c r="H17" s="121"/>
      <c r="I17" s="120"/>
      <c r="J17" s="158"/>
      <c r="K17" s="158"/>
      <c r="L17" s="158"/>
      <c r="M17" s="158"/>
      <c r="N17" s="158"/>
      <c r="O17" s="181">
        <f ca="1">Step!D65</f>
        <v>-2.5587921295344096E-2</v>
      </c>
      <c r="P17" s="181">
        <f ca="1">Step!D66</f>
        <v>0.23881761771531362</v>
      </c>
      <c r="Q17" s="181">
        <f ca="1">Step!D67</f>
        <v>-0.10097759347734531</v>
      </c>
      <c r="R17" s="181">
        <f ca="1">Step!D68</f>
        <v>-0.10405946793305287</v>
      </c>
      <c r="S17" s="181">
        <f ca="1">Step!D69</f>
        <v>-0.10864519130870987</v>
      </c>
      <c r="T17" s="181"/>
      <c r="U17" s="17"/>
      <c r="V17" s="17"/>
      <c r="W17" s="81" t="str">
        <f t="shared" ca="1" si="3"/>
        <v>Ok</v>
      </c>
    </row>
    <row r="18" spans="1:30" ht="10.5" outlineLevel="1">
      <c r="A18" s="17"/>
      <c r="B18" s="17"/>
      <c r="C18" s="127" t="s">
        <v>331</v>
      </c>
      <c r="D18" s="120" t="s">
        <v>64</v>
      </c>
      <c r="E18" s="120" t="str">
        <f t="shared" si="1"/>
        <v>$millions</v>
      </c>
      <c r="F18" s="197">
        <v>46174</v>
      </c>
      <c r="G18" s="121"/>
      <c r="H18" s="121"/>
      <c r="I18" s="120"/>
      <c r="J18" s="158"/>
      <c r="K18" s="158"/>
      <c r="L18" s="158"/>
      <c r="M18" s="158"/>
      <c r="N18" s="158"/>
      <c r="O18" s="181">
        <f ca="1">Step!E23</f>
        <v>1.8145673270347662</v>
      </c>
      <c r="P18" s="181">
        <f ca="1">Step!E24</f>
        <v>1.8772901937536051</v>
      </c>
      <c r="Q18" s="181">
        <f ca="1">Step!E25</f>
        <v>1.8450033512260231</v>
      </c>
      <c r="R18" s="181">
        <f ca="1">Step!E26</f>
        <v>1.8133280879121463</v>
      </c>
      <c r="S18" s="181">
        <f ca="1">Step!E27</f>
        <v>1.8063058918134147</v>
      </c>
      <c r="T18" s="181"/>
      <c r="U18" s="17"/>
      <c r="V18" s="17"/>
      <c r="W18" s="81" t="str">
        <f t="shared" ca="1" si="3"/>
        <v>Ok</v>
      </c>
    </row>
    <row r="19" spans="1:30" ht="10.5" outlineLevel="1">
      <c r="A19" s="17"/>
      <c r="B19" s="17"/>
      <c r="C19" s="127" t="s">
        <v>371</v>
      </c>
      <c r="D19" s="120" t="s">
        <v>64</v>
      </c>
      <c r="E19" s="120" t="str">
        <f t="shared" si="1"/>
        <v>$millions</v>
      </c>
      <c r="F19" s="197">
        <v>45809</v>
      </c>
      <c r="G19" s="121"/>
      <c r="H19" s="121"/>
      <c r="I19" s="120"/>
      <c r="J19" s="158"/>
      <c r="K19" s="158"/>
      <c r="L19" s="158"/>
      <c r="M19" s="158"/>
      <c r="N19" s="158"/>
      <c r="O19" s="181">
        <v>1.2023421999999999</v>
      </c>
      <c r="P19" s="181">
        <v>1.2023421999999999</v>
      </c>
      <c r="Q19" s="181">
        <v>1.2023421999999999</v>
      </c>
      <c r="R19" s="181">
        <v>1.2023421999999999</v>
      </c>
      <c r="S19" s="181">
        <v>1.2023421999999999</v>
      </c>
      <c r="T19" s="181"/>
      <c r="U19" s="17"/>
      <c r="V19" s="17"/>
      <c r="W19" s="81" t="str">
        <f t="shared" si="3"/>
        <v>Ok</v>
      </c>
    </row>
    <row r="20" spans="1:30" ht="10.5" outlineLevel="1">
      <c r="A20" s="17"/>
      <c r="B20" s="17"/>
      <c r="C20" s="127" t="s">
        <v>334</v>
      </c>
      <c r="D20" s="120" t="s">
        <v>64</v>
      </c>
      <c r="E20" s="120" t="str">
        <f t="shared" si="1"/>
        <v>$millions</v>
      </c>
      <c r="F20" s="197">
        <v>46174</v>
      </c>
      <c r="G20" s="121"/>
      <c r="H20" s="121"/>
      <c r="I20" s="120"/>
      <c r="J20" s="158"/>
      <c r="K20" s="158"/>
      <c r="L20" s="158"/>
      <c r="M20" s="158"/>
      <c r="N20" s="158"/>
      <c r="O20" s="181">
        <v>0</v>
      </c>
      <c r="P20" s="181">
        <v>0</v>
      </c>
      <c r="Q20" s="181">
        <v>0</v>
      </c>
      <c r="R20" s="181">
        <v>0</v>
      </c>
      <c r="S20" s="181">
        <v>0</v>
      </c>
      <c r="T20" s="181"/>
      <c r="U20" s="17"/>
      <c r="V20" s="17"/>
      <c r="W20" s="81" t="str">
        <f t="shared" si="3"/>
        <v>Ok</v>
      </c>
    </row>
    <row r="21" spans="1:30" ht="10.5" outlineLevel="1">
      <c r="A21" s="17"/>
      <c r="B21" s="17"/>
      <c r="C21" s="127" t="s">
        <v>230</v>
      </c>
      <c r="D21" s="120" t="s">
        <v>64</v>
      </c>
      <c r="E21" s="120" t="str">
        <f t="shared" si="1"/>
        <v>$millions</v>
      </c>
      <c r="F21" s="197">
        <v>44348</v>
      </c>
      <c r="G21" s="121"/>
      <c r="H21" s="121"/>
      <c r="I21" s="120"/>
      <c r="J21" s="158"/>
      <c r="K21" s="158"/>
      <c r="L21" s="158"/>
      <c r="M21" s="158"/>
      <c r="N21" s="158"/>
      <c r="O21" s="181">
        <v>0</v>
      </c>
      <c r="P21" s="181">
        <v>0</v>
      </c>
      <c r="Q21" s="181">
        <v>0.8681333673438506</v>
      </c>
      <c r="R21" s="181">
        <v>1.7022918621190566</v>
      </c>
      <c r="S21" s="181">
        <v>1.7873664359427757</v>
      </c>
      <c r="T21" s="181"/>
      <c r="U21" s="17"/>
      <c r="V21" s="17"/>
      <c r="W21" s="81" t="str">
        <f t="shared" si="3"/>
        <v>Ok</v>
      </c>
    </row>
    <row r="22" spans="1:30" ht="10.5" outlineLevel="1">
      <c r="A22" s="17"/>
      <c r="B22" s="17"/>
      <c r="C22" s="127" t="s">
        <v>396</v>
      </c>
      <c r="D22" s="120" t="s">
        <v>64</v>
      </c>
      <c r="E22" s="120" t="str">
        <f t="shared" si="1"/>
        <v>$millions</v>
      </c>
      <c r="F22" s="197">
        <v>46174</v>
      </c>
      <c r="G22" s="121"/>
      <c r="H22" s="121"/>
      <c r="I22" s="120"/>
      <c r="J22" s="158"/>
      <c r="K22" s="158"/>
      <c r="L22" s="158"/>
      <c r="M22" s="158"/>
      <c r="N22" s="158"/>
      <c r="O22" s="181">
        <v>0.3</v>
      </c>
      <c r="P22" s="181">
        <v>0.93</v>
      </c>
      <c r="Q22" s="181">
        <v>0.93</v>
      </c>
      <c r="R22" s="181">
        <v>0.93</v>
      </c>
      <c r="S22" s="181">
        <v>0.93</v>
      </c>
      <c r="T22" s="181"/>
      <c r="U22" s="17"/>
      <c r="V22" s="17"/>
      <c r="W22" s="81" t="str">
        <f t="shared" ref="W22" si="4">IF(ISBLANK(C22),IF(COUNT(J22:T22)=0,"Ok","Check"),IF(COUNT(J22:T22)=COUNT(J$10:T$10),"Ok","Check"))</f>
        <v>Ok</v>
      </c>
    </row>
    <row r="23" spans="1:30" ht="10.5" outlineLevel="1">
      <c r="A23" s="17"/>
      <c r="B23" s="17"/>
      <c r="C23" s="127" t="s">
        <v>257</v>
      </c>
      <c r="D23" s="120" t="s">
        <v>64</v>
      </c>
      <c r="E23" s="120" t="str">
        <f t="shared" si="1"/>
        <v>$millions</v>
      </c>
      <c r="F23" s="197">
        <v>46174</v>
      </c>
      <c r="G23" s="121"/>
      <c r="H23" s="121"/>
      <c r="I23" s="120"/>
      <c r="J23" s="158"/>
      <c r="K23" s="158"/>
      <c r="L23" s="158"/>
      <c r="M23" s="158"/>
      <c r="N23" s="158"/>
      <c r="O23" s="181">
        <v>0.33665</v>
      </c>
      <c r="P23" s="181">
        <v>0.53228375000000006</v>
      </c>
      <c r="Q23" s="181">
        <v>0.46675226250000001</v>
      </c>
      <c r="R23" s="181">
        <v>0.50230483037499996</v>
      </c>
      <c r="S23" s="181">
        <v>0.51847647528624996</v>
      </c>
      <c r="T23" s="181"/>
      <c r="U23" s="17"/>
      <c r="V23" s="17"/>
      <c r="W23" s="81" t="str">
        <f t="shared" si="3"/>
        <v>Ok</v>
      </c>
    </row>
    <row r="24" spans="1:30" outlineLevel="1">
      <c r="A24" s="17"/>
      <c r="B24" s="17"/>
      <c r="C24" s="17"/>
      <c r="D24" s="120"/>
      <c r="E24" s="120"/>
      <c r="F24" s="120"/>
      <c r="G24" s="121"/>
      <c r="H24" s="121"/>
      <c r="I24" s="120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</row>
    <row r="25" spans="1:30" ht="10.5" outlineLevel="1">
      <c r="A25" s="17"/>
      <c r="B25" s="17"/>
      <c r="C25" s="17" t="s">
        <v>40</v>
      </c>
      <c r="D25" s="120" t="s">
        <v>93</v>
      </c>
      <c r="E25" s="120" t="s">
        <v>28</v>
      </c>
      <c r="F25" s="120" t="s">
        <v>36</v>
      </c>
      <c r="G25" s="120"/>
      <c r="H25" s="120"/>
      <c r="I25" s="120"/>
      <c r="J25" s="165" t="str">
        <f t="shared" ref="J25:T25" si="5">IF(J10=J4,IF(COUNTA($C12:$C23)=COUNT(J12:J23),"Ok","Check"),"")</f>
        <v/>
      </c>
      <c r="K25" s="165" t="str">
        <f t="shared" si="5"/>
        <v/>
      </c>
      <c r="L25" s="165" t="str">
        <f t="shared" si="5"/>
        <v/>
      </c>
      <c r="M25" s="165" t="str">
        <f t="shared" si="5"/>
        <v/>
      </c>
      <c r="N25" s="165" t="str">
        <f t="shared" si="5"/>
        <v/>
      </c>
      <c r="O25" s="165" t="str">
        <f t="shared" ca="1" si="5"/>
        <v>Ok</v>
      </c>
      <c r="P25" s="165" t="str">
        <f t="shared" ca="1" si="5"/>
        <v>Ok</v>
      </c>
      <c r="Q25" s="165" t="str">
        <f t="shared" ca="1" si="5"/>
        <v>Ok</v>
      </c>
      <c r="R25" s="165" t="str">
        <f t="shared" ca="1" si="5"/>
        <v>Ok</v>
      </c>
      <c r="S25" s="165" t="str">
        <f t="shared" ca="1" si="5"/>
        <v>Ok</v>
      </c>
      <c r="T25" s="165" t="str">
        <f t="shared" si="5"/>
        <v/>
      </c>
      <c r="U25" s="166"/>
      <c r="V25" s="17"/>
      <c r="W25" s="81" t="str">
        <f ca="1">IF(COUNTIF(J25:T25,"Check")=0,"Ok","Check")</f>
        <v>Ok</v>
      </c>
    </row>
    <row r="26" spans="1:30">
      <c r="A26" s="17"/>
      <c r="B26" s="17"/>
      <c r="C26" s="17"/>
      <c r="D26" s="120"/>
      <c r="E26" s="120"/>
      <c r="F26" s="120"/>
      <c r="G26" s="121"/>
      <c r="H26" s="121"/>
      <c r="I26" s="120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</row>
    <row r="27" spans="1:30" customFormat="1" ht="13">
      <c r="A27" s="32"/>
      <c r="B27" s="38" t="s">
        <v>106</v>
      </c>
      <c r="C27" s="32"/>
      <c r="D27" s="32"/>
      <c r="E27" s="32"/>
      <c r="F27" s="118"/>
      <c r="G27" s="118"/>
      <c r="H27" s="118"/>
      <c r="I27" s="118"/>
      <c r="J27" s="34"/>
      <c r="K27" s="119"/>
      <c r="L27" s="34"/>
      <c r="M27" s="119"/>
      <c r="N27" s="34"/>
      <c r="O27" s="34"/>
      <c r="P27" s="34"/>
      <c r="Q27" s="34"/>
      <c r="R27" s="34"/>
      <c r="S27" s="34"/>
      <c r="T27" s="34"/>
      <c r="U27" s="34"/>
      <c r="V27" s="119"/>
      <c r="W27" s="35"/>
      <c r="X27" s="36"/>
      <c r="Y27" s="36"/>
      <c r="Z27" s="36"/>
      <c r="AA27" s="36"/>
      <c r="AB27" s="36"/>
      <c r="AC27" s="37"/>
      <c r="AD27" s="37"/>
    </row>
    <row r="28" spans="1:30" outlineLevel="1">
      <c r="A28" s="17"/>
      <c r="B28" s="17"/>
      <c r="C28" s="17"/>
      <c r="D28" s="120"/>
      <c r="E28" s="120"/>
      <c r="F28" s="120"/>
      <c r="G28" s="121"/>
      <c r="H28" s="121"/>
      <c r="I28" s="120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</row>
    <row r="29" spans="1:30" ht="10.5" outlineLevel="1">
      <c r="A29" s="17"/>
      <c r="B29" s="17"/>
      <c r="C29" s="122" t="s">
        <v>102</v>
      </c>
      <c r="D29" s="121" t="s">
        <v>7</v>
      </c>
      <c r="E29" s="121" t="s">
        <v>8</v>
      </c>
      <c r="F29" s="121" t="s">
        <v>22</v>
      </c>
      <c r="G29" s="121"/>
      <c r="H29" s="121"/>
      <c r="I29" s="120"/>
      <c r="J29" s="138" t="str">
        <f t="shared" ref="J29:T29" si="6">IF(YEAR(J$4)&gt;=FPFirstYear,IF(YEAR(J$4)&lt;=FPLastYear,J$4,""),"")</f>
        <v/>
      </c>
      <c r="K29" s="138" t="str">
        <f t="shared" si="6"/>
        <v/>
      </c>
      <c r="L29" s="138" t="str">
        <f t="shared" si="6"/>
        <v/>
      </c>
      <c r="M29" s="138" t="str">
        <f t="shared" si="6"/>
        <v/>
      </c>
      <c r="N29" s="138" t="str">
        <f t="shared" si="6"/>
        <v/>
      </c>
      <c r="O29" s="138">
        <f t="shared" si="6"/>
        <v>46539</v>
      </c>
      <c r="P29" s="138">
        <f t="shared" si="6"/>
        <v>46905</v>
      </c>
      <c r="Q29" s="138">
        <f t="shared" si="6"/>
        <v>47270</v>
      </c>
      <c r="R29" s="138">
        <f t="shared" si="6"/>
        <v>47635</v>
      </c>
      <c r="S29" s="138">
        <f t="shared" si="6"/>
        <v>48000</v>
      </c>
      <c r="T29" s="138" t="str">
        <f t="shared" si="6"/>
        <v/>
      </c>
      <c r="U29" s="17"/>
      <c r="V29" s="17"/>
    </row>
    <row r="30" spans="1:30" outlineLevel="1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</row>
    <row r="31" spans="1:30" ht="10.5" outlineLevel="1">
      <c r="A31" s="17"/>
      <c r="B31" s="17"/>
      <c r="C31" s="182" t="s">
        <v>214</v>
      </c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1"/>
      <c r="O31" s="181">
        <f>GSL!AF36</f>
        <v>9.0497368421052631</v>
      </c>
      <c r="P31" s="181">
        <f>GSL!AG36</f>
        <v>8.8119941260369234</v>
      </c>
      <c r="Q31" s="181">
        <f>GSL!AH36</f>
        <v>8.5781276167075244</v>
      </c>
      <c r="R31" s="181">
        <f>GSL!AI36</f>
        <v>8.324735014394987</v>
      </c>
      <c r="S31" s="181">
        <f>GSL!AJ36</f>
        <v>8.1017727487144491</v>
      </c>
      <c r="T31" s="181"/>
      <c r="U31" s="17"/>
      <c r="V31" s="17"/>
      <c r="W31" s="81" t="str">
        <f>IF(ISBLANK(C31),IF(COUNT(J31:T31)=0,"Ok","Check"),IF(COUNT(J31:T31)=COUNT(J$10:T$10),"Ok","Check"))</f>
        <v>Ok</v>
      </c>
    </row>
    <row r="32" spans="1:30" ht="10.5" outlineLevel="1">
      <c r="A32" s="17"/>
      <c r="B32" s="17"/>
      <c r="C32" s="182" t="s">
        <v>231</v>
      </c>
      <c r="D32" s="120" t="s">
        <v>64</v>
      </c>
      <c r="E32" s="120" t="str">
        <f>units</f>
        <v>$millions</v>
      </c>
      <c r="F32" s="139">
        <v>45444</v>
      </c>
      <c r="G32" s="121"/>
      <c r="H32" s="121"/>
      <c r="I32" s="120"/>
      <c r="J32" s="158"/>
      <c r="K32" s="158"/>
      <c r="L32" s="158"/>
      <c r="M32" s="158"/>
      <c r="N32" s="181"/>
      <c r="O32" s="181">
        <v>0</v>
      </c>
      <c r="P32" s="181">
        <v>0.15</v>
      </c>
      <c r="Q32" s="181">
        <v>0.45</v>
      </c>
      <c r="R32" s="181">
        <v>0.69</v>
      </c>
      <c r="S32" s="181">
        <v>1.01</v>
      </c>
      <c r="T32" s="181"/>
      <c r="U32" s="17"/>
      <c r="V32" s="17"/>
      <c r="W32" s="81" t="str">
        <f>IF(ISBLANK(C32),IF(COUNT(O32:T32)=0,"Ok","Check"),IF(COUNT(O32:T32)=COUNT(J$10:T$10),"Ok","Check"))</f>
        <v>Ok</v>
      </c>
    </row>
    <row r="33" spans="1:30" ht="10.5" outlineLevel="1">
      <c r="A33" s="17"/>
      <c r="B33" s="17"/>
      <c r="C33" s="182" t="s">
        <v>372</v>
      </c>
      <c r="D33" s="120" t="s">
        <v>64</v>
      </c>
      <c r="E33" s="120" t="str">
        <f>units</f>
        <v>$millions</v>
      </c>
      <c r="F33" s="139">
        <v>46174</v>
      </c>
      <c r="O33" s="181">
        <v>1.95239076536626</v>
      </c>
      <c r="P33" s="181">
        <v>1.95239076536626</v>
      </c>
      <c r="Q33" s="181">
        <v>1.95239076536626</v>
      </c>
      <c r="R33" s="181">
        <v>1.95239076536626</v>
      </c>
      <c r="S33" s="181">
        <v>1.95239076536626</v>
      </c>
      <c r="T33" s="181"/>
      <c r="U33" s="17"/>
      <c r="V33" s="17"/>
      <c r="W33" s="81" t="str">
        <f>IF(ISBLANK(C33),IF(COUNT(J33:T33)=0,"Ok","Check"),IF(COUNT(J33:T33)=COUNT(J$10:T$10),"Ok","Check"))</f>
        <v>Ok</v>
      </c>
    </row>
    <row r="34" spans="1:30" ht="10.5" outlineLevel="1">
      <c r="A34" s="17"/>
      <c r="B34" s="17"/>
      <c r="C34" s="183"/>
      <c r="D34" s="120" t="s">
        <v>64</v>
      </c>
      <c r="E34" s="120" t="str">
        <f>units</f>
        <v>$millions</v>
      </c>
      <c r="F34" s="139">
        <f>DATE(PPLastYear,MONTH(month),1)</f>
        <v>46174</v>
      </c>
      <c r="G34" s="121"/>
      <c r="H34" s="121"/>
      <c r="I34" s="120"/>
      <c r="J34" s="158"/>
      <c r="K34" s="158"/>
      <c r="L34" s="158"/>
      <c r="M34" s="158"/>
      <c r="N34" s="181"/>
      <c r="O34" s="181"/>
      <c r="P34" s="181"/>
      <c r="Q34" s="181"/>
      <c r="R34" s="181"/>
      <c r="S34" s="181"/>
      <c r="T34" s="181"/>
      <c r="U34" s="17"/>
      <c r="V34" s="17"/>
      <c r="W34" s="81" t="str">
        <f>IF(ISBLANK(C34),IF(COUNT(J34:T34)=0,"Ok","Check"),IF(COUNT(J34:T34)=COUNT(J$10:T$10),"Ok","Check"))</f>
        <v>Ok</v>
      </c>
    </row>
    <row r="35" spans="1:30" ht="10.5" outlineLevel="1">
      <c r="A35" s="17"/>
      <c r="B35" s="17"/>
      <c r="C35" s="127"/>
      <c r="D35" s="120" t="s">
        <v>64</v>
      </c>
      <c r="E35" s="120" t="str">
        <f>units</f>
        <v>$millions</v>
      </c>
      <c r="F35" s="139">
        <f>DATE(PPLastYear,MONTH(month),1)</f>
        <v>46174</v>
      </c>
      <c r="G35" s="121"/>
      <c r="H35" s="121"/>
      <c r="I35" s="120"/>
      <c r="J35" s="158"/>
      <c r="K35" s="158"/>
      <c r="L35" s="158"/>
      <c r="M35" s="158"/>
      <c r="N35" s="181"/>
      <c r="O35" s="181"/>
      <c r="P35" s="181"/>
      <c r="Q35" s="181"/>
      <c r="R35" s="181"/>
      <c r="S35" s="181"/>
      <c r="T35" s="181"/>
      <c r="U35" s="17"/>
      <c r="V35" s="17"/>
      <c r="W35" s="81" t="str">
        <f>IF(ISBLANK(C35),IF(COUNT(J35:T35)=0,"Ok","Check"),IF(COUNT(J35:T35)=COUNT(J$10:T$10),"Ok","Check"))</f>
        <v>Ok</v>
      </c>
    </row>
    <row r="36" spans="1:30" outlineLevel="1">
      <c r="A36" s="17"/>
      <c r="B36" s="17"/>
      <c r="C36" s="17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</row>
    <row r="37" spans="1:30" ht="10.5" outlineLevel="1">
      <c r="A37" s="17"/>
      <c r="B37" s="17"/>
      <c r="C37" s="17" t="s">
        <v>40</v>
      </c>
      <c r="D37" s="120" t="s">
        <v>93</v>
      </c>
      <c r="E37" s="120" t="s">
        <v>28</v>
      </c>
      <c r="F37" s="120" t="s">
        <v>36</v>
      </c>
      <c r="G37" s="120"/>
      <c r="H37" s="120"/>
      <c r="I37" s="120"/>
      <c r="J37" s="165" t="str">
        <f t="shared" ref="J37:T37" si="7">IF(J29=J4,IF(COUNTA($C31:$C35)=COUNT(J31:J35),"Ok","Check"),"")</f>
        <v/>
      </c>
      <c r="K37" s="165" t="str">
        <f t="shared" si="7"/>
        <v/>
      </c>
      <c r="L37" s="165" t="str">
        <f t="shared" si="7"/>
        <v/>
      </c>
      <c r="M37" s="165" t="str">
        <f t="shared" si="7"/>
        <v/>
      </c>
      <c r="N37" s="165" t="str">
        <f t="shared" si="7"/>
        <v/>
      </c>
      <c r="O37" s="165" t="str">
        <f t="shared" si="7"/>
        <v>Ok</v>
      </c>
      <c r="P37" s="165" t="str">
        <f t="shared" si="7"/>
        <v>Ok</v>
      </c>
      <c r="Q37" s="165" t="str">
        <f t="shared" si="7"/>
        <v>Ok</v>
      </c>
      <c r="R37" s="165" t="str">
        <f t="shared" si="7"/>
        <v>Ok</v>
      </c>
      <c r="S37" s="165" t="str">
        <f t="shared" si="7"/>
        <v>Ok</v>
      </c>
      <c r="T37" s="165" t="str">
        <f t="shared" si="7"/>
        <v/>
      </c>
      <c r="U37" s="166"/>
      <c r="V37" s="17"/>
      <c r="W37" s="81" t="str">
        <f>IF(COUNTIF(J37:T37,"Check")=0,"Ok","Check")</f>
        <v>Ok</v>
      </c>
    </row>
    <row r="38" spans="1:30">
      <c r="A38" s="17"/>
      <c r="B38" s="17"/>
      <c r="C38" s="17"/>
      <c r="D38" s="120"/>
      <c r="E38" s="120"/>
      <c r="F38" s="120"/>
      <c r="G38" s="121"/>
      <c r="H38" s="121"/>
      <c r="I38" s="120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</row>
    <row r="39" spans="1:30" customFormat="1" ht="13">
      <c r="A39" s="32"/>
      <c r="B39" s="38" t="s">
        <v>44</v>
      </c>
      <c r="C39" s="32"/>
      <c r="D39" s="32"/>
      <c r="E39" s="32"/>
      <c r="F39" s="118"/>
      <c r="G39" s="118"/>
      <c r="H39" s="118"/>
      <c r="I39" s="118"/>
      <c r="J39" s="34"/>
      <c r="K39" s="119"/>
      <c r="L39" s="34"/>
      <c r="M39" s="119"/>
      <c r="N39" s="34"/>
      <c r="O39" s="34"/>
      <c r="P39" s="34"/>
      <c r="Q39" s="34"/>
      <c r="R39" s="34"/>
      <c r="S39" s="34"/>
      <c r="T39" s="34"/>
      <c r="U39" s="34"/>
      <c r="V39" s="119"/>
      <c r="W39" s="35"/>
      <c r="X39" s="36"/>
      <c r="Y39" s="36"/>
      <c r="Z39" s="36"/>
      <c r="AA39" s="36"/>
      <c r="AB39" s="36"/>
      <c r="AC39" s="37"/>
      <c r="AD39" s="37"/>
    </row>
    <row r="40" spans="1:30" outlineLevel="1">
      <c r="A40" s="17"/>
      <c r="B40" s="17"/>
      <c r="C40" s="17"/>
      <c r="D40" s="120"/>
      <c r="E40" s="120"/>
      <c r="F40" s="120"/>
      <c r="G40" s="121"/>
      <c r="H40" s="121"/>
      <c r="I40" s="120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</row>
    <row r="41" spans="1:30" ht="10.5" outlineLevel="1">
      <c r="A41" s="17"/>
      <c r="B41" s="17"/>
      <c r="C41" s="122" t="s">
        <v>32</v>
      </c>
      <c r="D41" s="121" t="s">
        <v>7</v>
      </c>
      <c r="E41" s="121" t="s">
        <v>8</v>
      </c>
      <c r="F41" s="121" t="s">
        <v>22</v>
      </c>
      <c r="G41" s="121"/>
      <c r="H41" s="121"/>
      <c r="I41" s="120"/>
      <c r="J41" s="138" t="str">
        <f t="shared" ref="J41:T41" si="8">IF(YEAR(J$4)&gt;=FPFirstYear,IF(YEAR(J$4)&lt;=FPLastYear,J$4,""),"")</f>
        <v/>
      </c>
      <c r="K41" s="138" t="str">
        <f t="shared" si="8"/>
        <v/>
      </c>
      <c r="L41" s="138" t="str">
        <f t="shared" si="8"/>
        <v/>
      </c>
      <c r="M41" s="138" t="str">
        <f t="shared" si="8"/>
        <v/>
      </c>
      <c r="N41" s="138" t="str">
        <f t="shared" si="8"/>
        <v/>
      </c>
      <c r="O41" s="138">
        <f t="shared" si="8"/>
        <v>46539</v>
      </c>
      <c r="P41" s="138">
        <f t="shared" si="8"/>
        <v>46905</v>
      </c>
      <c r="Q41" s="138">
        <f t="shared" si="8"/>
        <v>47270</v>
      </c>
      <c r="R41" s="138">
        <f t="shared" si="8"/>
        <v>47635</v>
      </c>
      <c r="S41" s="138">
        <f t="shared" si="8"/>
        <v>48000</v>
      </c>
      <c r="T41" s="138" t="str">
        <f t="shared" si="8"/>
        <v/>
      </c>
      <c r="U41" s="17"/>
      <c r="V41" s="17"/>
    </row>
    <row r="42" spans="1:30" outlineLevel="1">
      <c r="A42" s="17"/>
      <c r="B42" s="17"/>
      <c r="C42" s="17"/>
      <c r="D42" s="120"/>
      <c r="E42" s="120"/>
      <c r="F42" s="120"/>
      <c r="G42" s="121"/>
      <c r="H42" s="121"/>
      <c r="I42" s="120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</row>
    <row r="43" spans="1:30" outlineLevel="1">
      <c r="A43" s="17"/>
      <c r="B43" s="17"/>
      <c r="C43" s="125" t="s">
        <v>39</v>
      </c>
      <c r="D43" s="120" t="s">
        <v>67</v>
      </c>
      <c r="E43" s="120" t="s">
        <v>15</v>
      </c>
      <c r="F43" s="139">
        <f>DATE(PPLastYear,MONTH(month),1)</f>
        <v>46174</v>
      </c>
      <c r="G43" s="121"/>
      <c r="H43" s="121"/>
      <c r="I43" s="121"/>
      <c r="J43" s="181"/>
      <c r="K43" s="181"/>
      <c r="L43" s="181"/>
      <c r="M43" s="181"/>
      <c r="N43" s="181"/>
      <c r="O43" s="181">
        <f>'[1]PTRM input'!$G$340</f>
        <v>3.1731337735500649</v>
      </c>
      <c r="P43" s="181">
        <f>'[1]PTRM input'!$H$340</f>
        <v>3.3660834971602656</v>
      </c>
      <c r="Q43" s="181">
        <f>'[1]PTRM input'!$I$340</f>
        <v>3.5602017756769029</v>
      </c>
      <c r="R43" s="181">
        <f>'[1]PTRM input'!$J$340</f>
        <v>3.7505128203358189</v>
      </c>
      <c r="S43" s="181">
        <f>'[1]PTRM input'!$K$340</f>
        <v>3.8759192682044192</v>
      </c>
      <c r="T43" s="181"/>
      <c r="U43" s="17"/>
      <c r="V43" s="17"/>
    </row>
    <row r="44" spans="1:30" outlineLevel="1">
      <c r="A44" s="17"/>
      <c r="B44" s="17"/>
      <c r="C44" s="17"/>
      <c r="D44" s="120"/>
      <c r="E44" s="120"/>
      <c r="F44" s="120"/>
      <c r="G44" s="121"/>
      <c r="H44" s="121"/>
      <c r="I44" s="120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</row>
    <row r="45" spans="1:30" ht="10.5" outlineLevel="1">
      <c r="A45" s="17"/>
      <c r="B45" s="17"/>
      <c r="C45" s="17" t="s">
        <v>40</v>
      </c>
      <c r="D45" s="120" t="s">
        <v>93</v>
      </c>
      <c r="E45" s="120" t="s">
        <v>28</v>
      </c>
      <c r="F45" s="120" t="s">
        <v>36</v>
      </c>
      <c r="G45" s="120"/>
      <c r="H45" s="120"/>
      <c r="I45" s="120"/>
      <c r="J45" s="165" t="str">
        <f t="shared" ref="J45:T45" si="9">IF(J41=J4,IF(ISBLANK(J43),"Check","Ok"),"")</f>
        <v/>
      </c>
      <c r="K45" s="165" t="str">
        <f t="shared" si="9"/>
        <v/>
      </c>
      <c r="L45" s="165" t="str">
        <f t="shared" si="9"/>
        <v/>
      </c>
      <c r="M45" s="165" t="str">
        <f t="shared" si="9"/>
        <v/>
      </c>
      <c r="N45" s="165" t="str">
        <f t="shared" si="9"/>
        <v/>
      </c>
      <c r="O45" s="165" t="str">
        <f t="shared" si="9"/>
        <v>Ok</v>
      </c>
      <c r="P45" s="165" t="str">
        <f t="shared" si="9"/>
        <v>Ok</v>
      </c>
      <c r="Q45" s="165" t="str">
        <f t="shared" si="9"/>
        <v>Ok</v>
      </c>
      <c r="R45" s="165" t="str">
        <f t="shared" si="9"/>
        <v>Ok</v>
      </c>
      <c r="S45" s="165" t="str">
        <f t="shared" si="9"/>
        <v>Ok</v>
      </c>
      <c r="T45" s="165" t="str">
        <f t="shared" si="9"/>
        <v/>
      </c>
      <c r="U45" s="166"/>
      <c r="V45" s="17"/>
      <c r="W45" s="81" t="str">
        <f>IF(COUNTIF(J45:T45,"Check")=0,"Ok","Check")</f>
        <v>Ok</v>
      </c>
    </row>
    <row r="46" spans="1:30">
      <c r="A46" s="17"/>
      <c r="B46" s="17"/>
      <c r="C46" s="17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</row>
    <row r="47" spans="1:30" customFormat="1" ht="13">
      <c r="A47" s="32"/>
      <c r="B47" s="38" t="s">
        <v>21</v>
      </c>
      <c r="C47" s="32"/>
      <c r="D47" s="32"/>
      <c r="E47" s="32"/>
      <c r="F47" s="118"/>
      <c r="G47" s="118"/>
      <c r="H47" s="118"/>
      <c r="I47" s="118"/>
      <c r="J47" s="34"/>
      <c r="K47" s="119"/>
      <c r="L47" s="34"/>
      <c r="M47" s="119"/>
      <c r="N47" s="34"/>
      <c r="O47" s="34"/>
      <c r="P47" s="34"/>
      <c r="Q47" s="34"/>
      <c r="R47" s="34"/>
      <c r="S47" s="34"/>
      <c r="T47" s="34"/>
      <c r="U47" s="34"/>
      <c r="V47" s="119"/>
      <c r="W47" s="35"/>
      <c r="X47" s="36"/>
      <c r="Y47" s="36"/>
      <c r="Z47" s="36"/>
      <c r="AA47" s="36"/>
      <c r="AB47" s="36"/>
      <c r="AC47" s="37"/>
      <c r="AD47" s="37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  <row r="55" spans="7:8" hidden="1">
      <c r="G55" s="20"/>
      <c r="H55" s="20"/>
    </row>
    <row r="56" spans="7:8" hidden="1">
      <c r="G56" s="20"/>
      <c r="H56" s="20"/>
    </row>
    <row r="57" spans="7:8" hidden="1">
      <c r="G57" s="20"/>
      <c r="H57" s="20"/>
    </row>
  </sheetData>
  <mergeCells count="1">
    <mergeCell ref="N3:S3"/>
  </mergeCells>
  <conditionalFormatting sqref="J31:M32 J34:M35 O34:O35">
    <cfRule type="expression" dxfId="75" priority="25">
      <formula>J$29=J$4</formula>
    </cfRule>
  </conditionalFormatting>
  <conditionalFormatting sqref="J10:T10">
    <cfRule type="expression" dxfId="74" priority="37">
      <formula>J$10=J$4</formula>
    </cfRule>
  </conditionalFormatting>
  <conditionalFormatting sqref="J12:T23">
    <cfRule type="expression" dxfId="73" priority="13">
      <formula>J$10=J$4</formula>
    </cfRule>
  </conditionalFormatting>
  <conditionalFormatting sqref="J25:T25">
    <cfRule type="cellIs" dxfId="72" priority="30" operator="equal">
      <formula>"Check"</formula>
    </cfRule>
    <cfRule type="cellIs" dxfId="71" priority="31" operator="equal">
      <formula>"Ok"</formula>
    </cfRule>
  </conditionalFormatting>
  <conditionalFormatting sqref="J29:T29">
    <cfRule type="expression" dxfId="70" priority="15">
      <formula>J$10=J$4</formula>
    </cfRule>
  </conditionalFormatting>
  <conditionalFormatting sqref="J37:T37">
    <cfRule type="cellIs" dxfId="69" priority="26" operator="equal">
      <formula>"Check"</formula>
    </cfRule>
    <cfRule type="cellIs" dxfId="68" priority="27" operator="equal">
      <formula>"Ok"</formula>
    </cfRule>
  </conditionalFormatting>
  <conditionalFormatting sqref="J41:T41">
    <cfRule type="expression" dxfId="67" priority="14">
      <formula>J$10=J$4</formula>
    </cfRule>
  </conditionalFormatting>
  <conditionalFormatting sqref="J43:T43">
    <cfRule type="expression" dxfId="66" priority="16">
      <formula>J$41=J$4</formula>
    </cfRule>
  </conditionalFormatting>
  <conditionalFormatting sqref="J45:T45">
    <cfRule type="cellIs" dxfId="65" priority="21" operator="equal">
      <formula>"Check"</formula>
    </cfRule>
    <cfRule type="cellIs" dxfId="64" priority="22" operator="equal">
      <formula>"Ok"</formula>
    </cfRule>
  </conditionalFormatting>
  <conditionalFormatting sqref="N31:N32 N34:N35">
    <cfRule type="expression" dxfId="63" priority="36">
      <formula>N$10=N$4</formula>
    </cfRule>
  </conditionalFormatting>
  <conditionalFormatting sqref="O31:T33 P34:T35">
    <cfRule type="expression" dxfId="62" priority="20">
      <formula>O$10=O$4</formula>
    </cfRule>
  </conditionalFormatting>
  <conditionalFormatting sqref="S1">
    <cfRule type="cellIs" dxfId="61" priority="39" operator="equal">
      <formula>"Check"</formula>
    </cfRule>
    <cfRule type="cellIs" dxfId="60" priority="40" operator="equal">
      <formula>"Ok"</formula>
    </cfRule>
  </conditionalFormatting>
  <conditionalFormatting sqref="V1">
    <cfRule type="cellIs" dxfId="59" priority="41" operator="equal">
      <formula>"Check"</formula>
    </cfRule>
    <cfRule type="cellIs" dxfId="58" priority="42" operator="equal">
      <formula>"Ok"</formula>
    </cfRule>
  </conditionalFormatting>
  <conditionalFormatting sqref="W12:W23">
    <cfRule type="cellIs" dxfId="57" priority="11" operator="equal">
      <formula>"Check"</formula>
    </cfRule>
    <cfRule type="cellIs" dxfId="56" priority="12" operator="equal">
      <formula>"Ok"</formula>
    </cfRule>
  </conditionalFormatting>
  <conditionalFormatting sqref="W25">
    <cfRule type="cellIs" dxfId="55" priority="32" operator="equal">
      <formula>"Check"</formula>
    </cfRule>
    <cfRule type="cellIs" dxfId="54" priority="33" operator="equal">
      <formula>"Ok"</formula>
    </cfRule>
  </conditionalFormatting>
  <conditionalFormatting sqref="W31:W35">
    <cfRule type="cellIs" dxfId="53" priority="1" operator="equal">
      <formula>"Check"</formula>
    </cfRule>
    <cfRule type="cellIs" dxfId="52" priority="2" operator="equal">
      <formula>"Ok"</formula>
    </cfRule>
  </conditionalFormatting>
  <conditionalFormatting sqref="W37">
    <cfRule type="cellIs" dxfId="51" priority="28" operator="equal">
      <formula>"Check"</formula>
    </cfRule>
    <cfRule type="cellIs" dxfId="50" priority="29" operator="equal">
      <formula>"Ok"</formula>
    </cfRule>
  </conditionalFormatting>
  <conditionalFormatting sqref="W45">
    <cfRule type="cellIs" dxfId="49" priority="23" operator="equal">
      <formula>"Check"</formula>
    </cfRule>
    <cfRule type="cellIs" dxfId="48" priority="24" operator="equal">
      <formula>"Ok"</formula>
    </cfRule>
  </conditionalFormatting>
  <dataValidations count="4">
    <dataValidation type="list" allowBlank="1" showInputMessage="1" showErrorMessage="1" sqref="F26 F36 F38 F46" xr:uid="{00000000-0002-0000-0600-000000000000}">
      <formula1>"Real 2010,Real 2011,Real 2012,Real 2013,Real 2014,Real 2015,Nominal"</formula1>
    </dataValidation>
    <dataValidation type="list" allowBlank="1" showInputMessage="1" showErrorMessage="1" sqref="U31:U36 I46 U26 I26 U46 U38 I38 I34:I36 I31:I32 U12:U24" xr:uid="{00000000-0002-0000-0600-000001000000}">
      <formula1>#REF!</formula1>
    </dataValidation>
    <dataValidation type="decimal" operator="greaterThanOrEqual" allowBlank="1" showInputMessage="1" showErrorMessage="1" sqref="J43:T43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E43 E24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7"/>
  <sheetViews>
    <sheetView tabSelected="1" topLeftCell="B1" workbookViewId="0">
      <selection activeCell="V39" sqref="V39"/>
    </sheetView>
  </sheetViews>
  <sheetFormatPr defaultColWidth="0" defaultRowHeight="10" zeroHeight="1" outlineLevelRow="1"/>
  <cols>
    <col min="1" max="2" width="1.44140625" style="8" customWidth="1"/>
    <col min="3" max="3" width="76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44140625" style="16" customWidth="1"/>
    <col min="10" max="24" width="10.77734375" style="8" customWidth="1"/>
    <col min="25" max="39" width="10.44140625" style="8" hidden="1" customWidth="1"/>
    <col min="40" max="16384" width="10.44140625" style="8" hidden="1"/>
  </cols>
  <sheetData>
    <row r="1" spans="1:31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7" t="s">
        <v>24</v>
      </c>
      <c r="W1" s="29" t="str">
        <f ca="1"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408"/>
      <c r="O3" s="408"/>
      <c r="P3" s="408"/>
      <c r="Q3" s="408"/>
      <c r="R3" s="408"/>
      <c r="S3" s="408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3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ht="10.5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238.25642686718052</v>
      </c>
      <c r="L12" s="66">
        <f>IF(YEAR(L$4)=BaseYear,'Input|Reported opex'!L47,0)</f>
        <v>0</v>
      </c>
      <c r="M12" s="66">
        <f>IF(YEAR(M$4)=BaseYear,'Input|Reported opex'!M47,0)</f>
        <v>0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269.63110038155361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207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243.40406829574664</v>
      </c>
      <c r="L14" s="66">
        <f>IF(YEAR(L$4)=BaseYear,'Input|Reported opex'!L15,0)</f>
        <v>0</v>
      </c>
      <c r="M14" s="66">
        <f>IF(YEAR(M$4)=BaseYear,'Input|Reported opex'!M15,0)</f>
        <v>0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207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301.06481201325818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208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259.40069481731871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208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320.85092894336515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7.0749300000000002</v>
      </c>
      <c r="L19" s="66">
        <f>IF(YEAR(L$4)=BaseYear,'Input|Reported opex'!L57,0)</f>
        <v>0</v>
      </c>
      <c r="M19" s="66">
        <f>IF(YEAR(M$4)=BaseYear,'Input|Reported opex'!M57,0)</f>
        <v>0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8.006588473207886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209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11.797705456570046</v>
      </c>
      <c r="L21" s="66">
        <f>IF(YEAR(L$4)=BaseYear,'Input|Reported opex'!L29,0)</f>
        <v>0</v>
      </c>
      <c r="M21" s="66">
        <f>IF(YEAR(M$4)=BaseYear,'Input|Reported opex'!M29,0)</f>
        <v>0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209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14.5925004472578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210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11.438513926855089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210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14.148218923421505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ht="10.5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ca="1">K13</f>
        <v>269.63110038155361</v>
      </c>
      <c r="L26" s="70">
        <f t="shared" ref="L26:S26" ca="1" si="1">L13</f>
        <v>0</v>
      </c>
      <c r="M26" s="70">
        <f t="shared" ca="1" si="1"/>
        <v>0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ht="10.5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ht="10.5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ht="10.5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ht="10.5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ht="10.5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>IF(YEAR(N$4)=PPLastYear,-SUM($J15:$S15)+SUM($J17:$S17),0)</f>
        <v>19.786116930106971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ht="10.5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ht="10.5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289.41721731166058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ht="10.5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ht="10.5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>IF(YEAR(N$4)=PPLastYear,-(SUM($J20:$S20)-SUM($J22:$S22)+SUM($J24:$S24)),0)</f>
        <v>-7.5623069493715906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ht="10.5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ht="10.5" outlineLevel="1">
      <c r="C37" s="77" t="str">
        <f>'Input|Reported opex'!$C$63</f>
        <v>Adjustment - Corporate Overheads</v>
      </c>
      <c r="D37" s="65" t="s">
        <v>87</v>
      </c>
      <c r="E37" s="16" t="str">
        <f>'Input|Reported opex'!E63</f>
        <v>$millions</v>
      </c>
      <c r="F37" s="98">
        <f>'Input|Reported opex'!F63</f>
        <v>45809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5.7939273699999996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ht="10.5" outlineLevel="1">
      <c r="C38" s="77" t="str">
        <f>C37</f>
        <v>Adjustment - Corporate Overheads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6.0083026826899992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ht="10.5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ht="10.5" outlineLevel="1">
      <c r="C40" s="77" t="str">
        <f>'Input|Reported opex'!$C$64</f>
        <v xml:space="preserve">Adjustment - Property </v>
      </c>
      <c r="D40" s="65" t="s">
        <v>87</v>
      </c>
      <c r="E40" s="16" t="str">
        <f>'Input|Reported opex'!$E$64</f>
        <v>$millions</v>
      </c>
      <c r="F40" s="98">
        <f>'Input|Reported opex'!$F$64</f>
        <v>45078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-0.45654357733016798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ht="10.5" outlineLevel="1">
      <c r="C41" s="77" t="str">
        <f>C40</f>
        <v xml:space="preserve">Adjustment - Property 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-0.50176392841637363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ht="10.5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ht="10.5" outlineLevel="1">
      <c r="C43" s="77" t="str">
        <f>'Input|Reported opex'!$C$65</f>
        <v>License fees</v>
      </c>
      <c r="D43" s="65" t="s">
        <v>87</v>
      </c>
      <c r="E43" s="16" t="str">
        <f>'Input|Reported opex'!$E$65</f>
        <v>$millions</v>
      </c>
      <c r="F43" s="98">
        <f>'Input|Reported opex'!$F$65</f>
        <v>45078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-0.88433898000000022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ht="10.5" outlineLevel="1">
      <c r="C44" s="77" t="str">
        <f>C43</f>
        <v>License fees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-0.97193219374900552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ht="10.5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ht="10.5" outlineLevel="1">
      <c r="C46" s="77" t="str">
        <f>'Input|Reported opex'!$C$66</f>
        <v>ESV levy</v>
      </c>
      <c r="D46" s="65" t="s">
        <v>87</v>
      </c>
      <c r="E46" s="16" t="str">
        <f>'Input|Reported opex'!$E$66</f>
        <v>$millions</v>
      </c>
      <c r="F46" s="98">
        <f>'Input|Reported opex'!$F$66</f>
        <v>45078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-3.5206916778495199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ht="10.5" outlineLevel="1">
      <c r="C47" s="77" t="str">
        <f>C46</f>
        <v>ESV levy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-3.8694139502548555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ht="10.5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ht="10.5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ht="10.5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ht="10.5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ht="10.5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ht="10.5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ht="10.5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282.52010297255873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3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ht="10.5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ht="10.5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ht="10.5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2.1033102852075117E-2</v>
      </c>
      <c r="P61" s="72">
        <f ca="1">IF(P58=P4,AVERAGE(OFFSET('Input|Rate of change'!Q106,0,0,COUNTA('Input|Rate of change'!$J$84:$M$84),1)),0)</f>
        <v>1.527914069107808E-2</v>
      </c>
      <c r="Q61" s="72">
        <f ca="1">IF(Q58=Q4,AVERAGE(OFFSET('Input|Rate of change'!R106,0,0,COUNTA('Input|Rate of change'!$J$84:$M$84),1)),0)</f>
        <v>1.7444754014355579E-2</v>
      </c>
      <c r="R61" s="72">
        <f ca="1">IF(R58=R4,AVERAGE(OFFSET('Input|Rate of change'!S106,0,0,COUNTA('Input|Rate of change'!$J$84:$M$84),1)),0)</f>
        <v>1.4299520507693508E-2</v>
      </c>
      <c r="S61" s="72">
        <f ca="1">IF(S58=S4,AVERAGE(OFFSET('Input|Rate of change'!T106,0,0,COUNTA('Input|Rate of change'!$J$84:$M$84),1)),0)</f>
        <v>2.2167366480219393E-2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2.1033102852075158E-2</v>
      </c>
      <c r="P62" s="72">
        <f t="array" aca="1" ref="P62" ca="1">IF(P$58=P$4,PRODUCT(1+$J61:P61)-1,0)</f>
        <v>3.6633611280800116E-2</v>
      </c>
      <c r="Q62" s="72">
        <f t="array" aca="1" ref="Q62" ca="1">IF(Q$58=Q$4,PRODUCT(1+$J61:Q61)-1,0)</f>
        <v>5.4717429632606729E-2</v>
      </c>
      <c r="R62" s="72">
        <f t="array" aca="1" ref="R62" ca="1">IF(R$58=R$4,PRODUCT(1+$J61:R61)-1,0)</f>
        <v>6.9799383147459926E-2</v>
      </c>
      <c r="S62" s="72">
        <f t="array" aca="1" ref="S62" ca="1">IF(S$58=S$4,PRODUCT(1+$J61:S61)-1,0)</f>
        <v>9.3514018134002175E-2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4.8075242989637458E-3</v>
      </c>
      <c r="P64" s="72">
        <f>SUMPRODUCT('Input|Rate of change'!Q38:Q45,'Input|Rate of change'!Q51:Q58)</f>
        <v>5.6539446431955612E-3</v>
      </c>
      <c r="Q64" s="72">
        <f>SUMPRODUCT('Input|Rate of change'!R38:R45,'Input|Rate of change'!R51:R58)</f>
        <v>6.6300062632383598E-3</v>
      </c>
      <c r="R64" s="72">
        <f>SUMPRODUCT('Input|Rate of change'!S38:S45,'Input|Rate of change'!S51:S58)</f>
        <v>7.2664222555799051E-3</v>
      </c>
      <c r="S64" s="72">
        <f>SUMPRODUCT('Input|Rate of change'!T38:T45,'Input|Rate of change'!T51:T58)</f>
        <v>7.1190463625399178E-3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4.8075242989638056E-3</v>
      </c>
      <c r="P65" s="72">
        <f t="array" ref="P65">IF(P$58=P$4,PRODUCT(1+$J64:P64)-1,0)</f>
        <v>1.0488650418416512E-2</v>
      </c>
      <c r="Q65" s="72">
        <f t="array" ref="Q65">IF(Q$58=Q$4,PRODUCT(1+$J64:Q64)-1,0)</f>
        <v>1.7188196499621888E-2</v>
      </c>
      <c r="R65" s="72">
        <f t="array" ref="R65">IF(R$58=R$4,PRODUCT(1+$J64:R64)-1,0)</f>
        <v>2.4579515448779787E-2</v>
      </c>
      <c r="S65" s="72">
        <f t="array" ref="S65">IF(S$58=S$4,PRODUCT(1+$J64:S64)-1,0)</f>
        <v>3.1873544521368258E-2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/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ht="10.5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2.0812035582562505E-2</v>
      </c>
      <c r="P70" s="88">
        <f t="shared" ca="1" si="6"/>
        <v>1.5914375386187007E-2</v>
      </c>
      <c r="Q70" s="88">
        <f t="shared" ca="1" si="6"/>
        <v>1.9069467010439878E-2</v>
      </c>
      <c r="R70" s="88">
        <f t="shared" ca="1" si="6"/>
        <v>1.656149987174782E-2</v>
      </c>
      <c r="S70" s="88">
        <f t="shared" ca="1" si="6"/>
        <v>2.429700223570519E-2</v>
      </c>
      <c r="T70" s="88">
        <f ca="1">(1+T61)*(1+T64)*(1-T67)-1</f>
        <v>0</v>
      </c>
    </row>
    <row r="71" spans="1:31" ht="10.5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2.0812035582562505E-2</v>
      </c>
      <c r="P71" s="72">
        <f t="array" aca="1" ref="P71" ca="1">IF(P$58=P$4,PRODUCT(1+$J70:P70)-1,"")</f>
        <v>3.7057621515561134E-2</v>
      </c>
      <c r="Q71" s="72">
        <f t="array" aca="1" ref="Q71" ca="1">IF(Q$58=Q$4,PRODUCT(1+$J70:Q70)-1,"")</f>
        <v>5.6833757616977287E-2</v>
      </c>
      <c r="R71" s="72">
        <f t="array" aca="1" ref="R71" ca="1">IF(R$58=R$4,PRODUCT(1+$J70:R70)-1,"")</f>
        <v>7.4336509758209601E-2</v>
      </c>
      <c r="S71" s="72">
        <f t="array" aca="1" ref="S71" ca="1">IF(S$58=S$4,PRODUCT(1+$J70:S70)-1,"")</f>
        <v>0.10043966633770451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3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ht="10.5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ht="10.5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Flexible services and non-network solutions</v>
      </c>
      <c r="D77" s="16" t="s">
        <v>30</v>
      </c>
      <c r="E77" s="16" t="str">
        <f t="shared" ref="E77:E100" si="7">$E$8</f>
        <v>$millions</v>
      </c>
      <c r="F77" s="98">
        <f t="shared" ref="F77:F90" si="8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0.12584875971844378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0.24166150722565236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0.2605310469363844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0.53865399394057878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0.68719768439351825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 xml:space="preserve">ESV more frequent pole inspections </v>
      </c>
      <c r="D78" s="16" t="s">
        <v>30</v>
      </c>
      <c r="E78" s="16" t="str">
        <f t="shared" si="7"/>
        <v>$millions</v>
      </c>
      <c r="F78" s="98">
        <f t="shared" si="8"/>
        <v>46174</v>
      </c>
      <c r="J78" s="79">
        <f>'Input|Step changes'!J12*INDEX('Input|Rate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K78" s="79">
        <f>'Input|Step changes'!K12*INDEX('Input|Rate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L78" s="79">
        <f>'Input|Step changes'!L12*INDEX('Input|Rate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M78" s="79">
        <f>'Input|Step changes'!M12*INDEX('Input|Rate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N78" s="79">
        <f>'Input|Step changes'!N12*INDEX('Input|Rate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O78" s="79">
        <f>'Input|Step changes'!O13*INDEX('Input|Rate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1.1941757291066279</v>
      </c>
      <c r="P78" s="79">
        <f>'Input|Step changes'!P13*INDEX('Input|Rate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1.1941757291066279</v>
      </c>
      <c r="Q78" s="79">
        <f>'Input|Step changes'!Q13*INDEX('Input|Rate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1.1941757291066279</v>
      </c>
      <c r="R78" s="79">
        <f>'Input|Step changes'!R13*INDEX('Input|Rate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1.1941757291066279</v>
      </c>
      <c r="S78" s="79">
        <f>'Input|Step changes'!S13*INDEX('Input|Rate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1.1941757291066279</v>
      </c>
      <c r="T78" s="79">
        <f>'Input|Step changes'!T12*INDEX('Input|Rate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</row>
    <row r="79" spans="1:31" outlineLevel="1">
      <c r="C79" s="75" t="str">
        <f>'Input|Step changes'!C14</f>
        <v>Fleet electrification</v>
      </c>
      <c r="D79" s="16" t="s">
        <v>30</v>
      </c>
      <c r="E79" s="16" t="str">
        <f t="shared" si="7"/>
        <v>$millions</v>
      </c>
      <c r="F79" s="98">
        <f t="shared" si="8"/>
        <v>46174</v>
      </c>
      <c r="J79" s="79">
        <f>'Input|Step changes'!J13*INDEX('Input|Rate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K79" s="79">
        <f>'Input|Step changes'!K13*INDEX('Input|Rate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L79" s="79">
        <f>'Input|Step changes'!L13*INDEX('Input|Rate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M79" s="79">
        <f>'Input|Step changes'!M13*INDEX('Input|Rate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N79" s="79">
        <f>'Input|Step changes'!N13*INDEX('Input|Rate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O79" s="79">
        <f>'Input|Step changes'!O14*INDEX('Input|Rate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P79" s="79">
        <f>'Input|Step changes'!P14*INDEX('Input|Rate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Q79" s="79">
        <f>'Input|Step changes'!Q14*INDEX('Input|Rate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R79" s="79">
        <f>'Input|Step changes'!R14*INDEX('Input|Rate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S79" s="79">
        <f>'Input|Step changes'!S14*INDEX('Input|Rate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T79" s="79">
        <f>'Input|Step changes'!T13*INDEX('Input|Rate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</row>
    <row r="80" spans="1:31" outlineLevel="1">
      <c r="C80" s="75" t="str">
        <f>'Input|Step changes'!C15</f>
        <v xml:space="preserve">Digital </v>
      </c>
      <c r="D80" s="16" t="s">
        <v>30</v>
      </c>
      <c r="E80" s="16" t="str">
        <f t="shared" si="7"/>
        <v>$millions</v>
      </c>
      <c r="F80" s="98">
        <f t="shared" si="8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1.9302775344646543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3.1287953543643052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4.5794929067960464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4.3395608634568799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6.9302781161977025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Early Fault Detection rollout</v>
      </c>
      <c r="D81" s="16" t="s">
        <v>30</v>
      </c>
      <c r="E81" s="16" t="str">
        <f t="shared" si="7"/>
        <v>$millions</v>
      </c>
      <c r="F81" s="98">
        <f t="shared" si="8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 ca="1"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0.19259500627708448</v>
      </c>
      <c r="P81" s="79">
        <f ca="1"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0.19126490255590317</v>
      </c>
      <c r="Q81" s="79">
        <f ca="1"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0.18964573582793359</v>
      </c>
      <c r="R81" s="79">
        <f ca="1"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0.18821270190413528</v>
      </c>
      <c r="S81" s="79">
        <f ca="1"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0.18607551178713003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Flexible trading arrangement</v>
      </c>
      <c r="D82" s="16" t="s">
        <v>30</v>
      </c>
      <c r="E82" s="16" t="str">
        <f t="shared" si="7"/>
        <v>$millions</v>
      </c>
      <c r="F82" s="98">
        <f t="shared" si="8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 ca="1"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-2.5587921295344096E-2</v>
      </c>
      <c r="P82" s="79">
        <f ca="1"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0.23881761771531362</v>
      </c>
      <c r="Q82" s="79">
        <f ca="1"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-0.10097759347734531</v>
      </c>
      <c r="R82" s="79">
        <f ca="1"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-0.10405946793305287</v>
      </c>
      <c r="S82" s="79">
        <f ca="1"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-0.10864519130870987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 xml:space="preserve">Emergency preparedness and response </v>
      </c>
      <c r="D83" s="16" t="s">
        <v>30</v>
      </c>
      <c r="E83" s="16" t="str">
        <f t="shared" si="7"/>
        <v>$millions</v>
      </c>
      <c r="F83" s="98">
        <f t="shared" si="8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 ca="1"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1.8145673270347662</v>
      </c>
      <c r="P83" s="79">
        <f ca="1"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1.8772901937536051</v>
      </c>
      <c r="Q83" s="79">
        <f ca="1"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1.8450033512260231</v>
      </c>
      <c r="R83" s="79">
        <f ca="1"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1.8133280879121463</v>
      </c>
      <c r="S83" s="79">
        <f ca="1"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1.8063058918134147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Hazard tree program</v>
      </c>
      <c r="D84" s="16" t="s">
        <v>30</v>
      </c>
      <c r="E84" s="16" t="str">
        <f t="shared" si="7"/>
        <v>$millions</v>
      </c>
      <c r="F84" s="98">
        <f t="shared" si="8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1.2468288613999998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1.2468288613999998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1.2468288613999998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1.2468288613999998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1.2468288613999998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 t="str">
        <f>'Input|Step changes'!C20</f>
        <v>Insurance</v>
      </c>
      <c r="D85" s="16" t="s">
        <v>30</v>
      </c>
      <c r="E85" s="16" t="str">
        <f t="shared" si="7"/>
        <v>$millions</v>
      </c>
      <c r="F85" s="98">
        <f t="shared" si="8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 t="str">
        <f>'Input|Step changes'!C21</f>
        <v>Emergency Backstop Mechanism</v>
      </c>
      <c r="D86" s="16" t="s">
        <v>30</v>
      </c>
      <c r="E86" s="16" t="str">
        <f t="shared" si="7"/>
        <v>$millions</v>
      </c>
      <c r="F86" s="98">
        <f t="shared" si="8"/>
        <v>46174</v>
      </c>
      <c r="J86" s="79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79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79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79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79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79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79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79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1.0737881699012686</v>
      </c>
      <c r="R86" s="79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2.1055530544290768</v>
      </c>
      <c r="S86" s="79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2.2107812075765629</v>
      </c>
      <c r="T86" s="79">
        <f>'Input|Step changes'!T21*INDEX('Input|Rate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1" outlineLevel="1">
      <c r="C87" s="75" t="str">
        <f>'Input|Step changes'!C22</f>
        <v>Integrated distribution system planning rule change</v>
      </c>
      <c r="D87" s="16" t="s">
        <v>30</v>
      </c>
      <c r="E87" s="16" t="str">
        <f t="shared" si="7"/>
        <v>$millions</v>
      </c>
      <c r="F87" s="98">
        <f t="shared" si="8"/>
        <v>46174</v>
      </c>
      <c r="J87" s="79">
        <f>'Input|Step changes'!J21*INDEX('Input|Rate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K87" s="79">
        <f>'Input|Step changes'!K21*INDEX('Input|Rate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L87" s="79">
        <f>'Input|Step changes'!L21*INDEX('Input|Rate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M87" s="79">
        <f>'Input|Step changes'!M21*INDEX('Input|Rate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N87" s="79">
        <f>'Input|Step changes'!N21*INDEX('Input|Rate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O87" s="79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0.3</v>
      </c>
      <c r="P87" s="79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0.93</v>
      </c>
      <c r="Q87" s="79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0.93</v>
      </c>
      <c r="R87" s="79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0.93</v>
      </c>
      <c r="S87" s="79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0.93</v>
      </c>
      <c r="T87" s="79">
        <f>'Input|Step changes'!T21*INDEX('Input|Rate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</row>
    <row r="88" spans="1:31" outlineLevel="1">
      <c r="C88" s="75" t="str">
        <f>'Input|Step changes'!C23</f>
        <v>Sustainability reporting</v>
      </c>
      <c r="D88" s="16" t="s">
        <v>30</v>
      </c>
      <c r="E88" s="16" t="str">
        <f t="shared" si="7"/>
        <v>$millions</v>
      </c>
      <c r="F88" s="98">
        <f t="shared" si="8"/>
        <v>46174</v>
      </c>
      <c r="J88" s="79">
        <f>'Input|Step changes'!J23*INDEX('Input|Rate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K88" s="79">
        <f>'Input|Step changes'!K23*INDEX('Input|Rate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L88" s="79">
        <f>'Input|Step changes'!L23*INDEX('Input|Rate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M88" s="79">
        <f>'Input|Step changes'!M23*INDEX('Input|Rate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N88" s="79">
        <f>'Input|Step changes'!N23*INDEX('Input|Rate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O88" s="79">
        <f>'Input|Step changes'!O23*INDEX('Input|Rate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0.33665</v>
      </c>
      <c r="P88" s="79">
        <f>'Input|Step changes'!P23*INDEX('Input|Rate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0.53228375000000006</v>
      </c>
      <c r="Q88" s="79">
        <f>'Input|Step changes'!Q23*INDEX('Input|Rate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0.46675226250000001</v>
      </c>
      <c r="R88" s="79">
        <f>'Input|Step changes'!R23*INDEX('Input|Rate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0.50230483037499996</v>
      </c>
      <c r="S88" s="79">
        <f>'Input|Step changes'!S23*INDEX('Input|Rate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0.51847647528624996</v>
      </c>
      <c r="T88" s="79">
        <f>'Input|Step changes'!T23*INDEX('Input|Rate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</row>
    <row r="89" spans="1:31" outlineLevel="1">
      <c r="C89" s="75"/>
      <c r="F89" s="67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</row>
    <row r="90" spans="1:31" ht="10.5" outlineLevel="1">
      <c r="C90" s="68" t="s">
        <v>48</v>
      </c>
      <c r="D90" s="76" t="s">
        <v>30</v>
      </c>
      <c r="E90" s="76" t="str">
        <f>$E$8</f>
        <v>$millions</v>
      </c>
      <c r="F90" s="101">
        <f t="shared" si="8"/>
        <v>46174</v>
      </c>
      <c r="G90" s="20"/>
      <c r="H90" s="20"/>
      <c r="I90" s="20"/>
      <c r="J90" s="80">
        <f>SUM(J76:J89)</f>
        <v>0</v>
      </c>
      <c r="K90" s="80">
        <f t="shared" ref="K90:S90" si="9">SUM(K76:K89)</f>
        <v>0</v>
      </c>
      <c r="L90" s="80">
        <f t="shared" si="9"/>
        <v>0</v>
      </c>
      <c r="M90" s="80">
        <f t="shared" si="9"/>
        <v>0</v>
      </c>
      <c r="N90" s="80">
        <f t="shared" si="9"/>
        <v>0</v>
      </c>
      <c r="O90" s="80">
        <f ca="1">SUM(O76:O89)</f>
        <v>7.1153552967062321</v>
      </c>
      <c r="P90" s="80">
        <f t="shared" ca="1" si="9"/>
        <v>9.5811179161214053</v>
      </c>
      <c r="Q90" s="80">
        <f t="shared" ca="1" si="9"/>
        <v>11.685240470216938</v>
      </c>
      <c r="R90" s="80">
        <f t="shared" ca="1" si="9"/>
        <v>12.75455865459139</v>
      </c>
      <c r="S90" s="80">
        <f t="shared" ca="1" si="9"/>
        <v>15.601474286252493</v>
      </c>
      <c r="T90" s="80">
        <f>SUM(T76:T89)</f>
        <v>0</v>
      </c>
    </row>
    <row r="91" spans="1:31" ht="10.5">
      <c r="C91" s="77"/>
      <c r="J91" s="64"/>
      <c r="K91" s="64"/>
      <c r="L91" s="64"/>
      <c r="M91" s="64"/>
      <c r="N91" s="22"/>
      <c r="O91" s="22"/>
      <c r="P91" s="22"/>
      <c r="Q91" s="22"/>
      <c r="R91" s="22"/>
      <c r="S91" s="22"/>
      <c r="T91" s="22"/>
    </row>
    <row r="92" spans="1:31" customFormat="1" ht="13">
      <c r="A92" s="32"/>
      <c r="B92" s="38" t="s">
        <v>107</v>
      </c>
      <c r="C92" s="32"/>
      <c r="D92" s="32"/>
      <c r="E92" s="32"/>
      <c r="F92" s="33"/>
      <c r="G92" s="33"/>
      <c r="H92" s="33"/>
      <c r="I92" s="33"/>
      <c r="J92" s="34"/>
      <c r="K92" s="35"/>
      <c r="L92" s="34"/>
      <c r="M92" s="35"/>
      <c r="N92" s="34"/>
      <c r="O92" s="34"/>
      <c r="P92" s="34"/>
      <c r="Q92" s="34"/>
      <c r="R92" s="34"/>
      <c r="S92" s="34"/>
      <c r="T92" s="34"/>
      <c r="U92" s="34"/>
      <c r="V92" s="34"/>
      <c r="W92" s="35"/>
      <c r="X92" s="35"/>
      <c r="Y92" s="36"/>
      <c r="Z92" s="36"/>
      <c r="AA92" s="36"/>
      <c r="AB92" s="36"/>
      <c r="AC92" s="36"/>
      <c r="AD92" s="37"/>
      <c r="AE92" s="37"/>
    </row>
    <row r="93" spans="1:31" outlineLevel="1">
      <c r="C93" s="15"/>
      <c r="J93" s="64"/>
      <c r="K93" s="64"/>
      <c r="L93" s="64"/>
    </row>
    <row r="94" spans="1:31" ht="10.5" outlineLevel="1">
      <c r="C94" s="9" t="s">
        <v>102</v>
      </c>
      <c r="D94" s="20" t="s">
        <v>7</v>
      </c>
      <c r="E94" s="20" t="s">
        <v>8</v>
      </c>
      <c r="F94" s="20" t="s">
        <v>22</v>
      </c>
      <c r="J94" s="99"/>
      <c r="K94" s="99"/>
      <c r="L94" s="99"/>
      <c r="M94" s="99"/>
      <c r="N94" s="99"/>
      <c r="O94" s="99">
        <f>IF(YEAR(O$4)&gt;='Input|General'!$G$13,IF(YEAR(O$4)&lt;='Input|General'!$G$14,O$4,""),"")</f>
        <v>46539</v>
      </c>
      <c r="P94" s="99">
        <f>IF(YEAR(P$4)&gt;='Input|General'!$G$13,IF(YEAR(P$4)&lt;='Input|General'!$G$14,P$4,""),"")</f>
        <v>46905</v>
      </c>
      <c r="Q94" s="99">
        <f>IF(YEAR(Q$4)&gt;='Input|General'!$G$13,IF(YEAR(Q$4)&lt;='Input|General'!$G$14,Q$4,""),"")</f>
        <v>47270</v>
      </c>
      <c r="R94" s="99">
        <f>IF(YEAR(R$4)&gt;='Input|General'!$G$13,IF(YEAR(R$4)&lt;='Input|General'!$G$14,R$4,""),"")</f>
        <v>47635</v>
      </c>
      <c r="S94" s="99">
        <f>IF(YEAR(S$4)&gt;='Input|General'!$G$13,IF(YEAR(S$4)&lt;='Input|General'!$G$14,S$4,""),"")</f>
        <v>48000</v>
      </c>
      <c r="T94" s="99" t="str">
        <f>IF(YEAR(T$4)&gt;='Input|General'!$G$13,IF(YEAR(T$4)&lt;='Input|General'!$G$14,T$4,""),"")</f>
        <v/>
      </c>
    </row>
    <row r="95" spans="1:31" ht="10.5" outlineLevel="1">
      <c r="C95" s="9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</row>
    <row r="96" spans="1:31" outlineLevel="1">
      <c r="C96" s="75" t="str">
        <f>'Input|Step changes'!C31</f>
        <v>GSL payments</v>
      </c>
      <c r="D96" s="16" t="s">
        <v>30</v>
      </c>
      <c r="E96" s="16" t="str">
        <f t="shared" si="7"/>
        <v>$millions</v>
      </c>
      <c r="F96" s="98">
        <f>$F$8</f>
        <v>46174</v>
      </c>
      <c r="J96" s="79"/>
      <c r="K96" s="79"/>
      <c r="L96" s="79"/>
      <c r="M96" s="79"/>
      <c r="N96" s="79"/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9.0497368421052631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8.8119941260369234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8.5781276167075244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8.324735014394987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8.1017727487144491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 t="str">
        <f>'Input|Step changes'!C32</f>
        <v>Innovation fund</v>
      </c>
      <c r="D97" s="16" t="s">
        <v>30</v>
      </c>
      <c r="E97" s="16" t="str">
        <f t="shared" si="7"/>
        <v>$millions</v>
      </c>
      <c r="F97" s="98">
        <f>$F$8</f>
        <v>46174</v>
      </c>
      <c r="J97" s="79"/>
      <c r="K97" s="79"/>
      <c r="L97" s="79"/>
      <c r="M97" s="79"/>
      <c r="N97" s="79"/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0.15879996397694521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0.47639989193083571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0.73047983429394803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1.0692530907780979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39" outlineLevel="1">
      <c r="C98" s="75" t="str">
        <f>'Input|Step changes'!C33</f>
        <v>Customer engagement and communications program</v>
      </c>
      <c r="D98" s="16" t="s">
        <v>30</v>
      </c>
      <c r="E98" s="16" t="str">
        <f t="shared" si="7"/>
        <v>$millions</v>
      </c>
      <c r="F98" s="98">
        <f>$F$8</f>
        <v>46174</v>
      </c>
      <c r="J98" s="79"/>
      <c r="K98" s="79"/>
      <c r="L98" s="79"/>
      <c r="M98" s="79"/>
      <c r="N98" s="79"/>
      <c r="O98" s="79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1.95239076536626</v>
      </c>
      <c r="P98" s="79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1.95239076536626</v>
      </c>
      <c r="Q98" s="79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1.95239076536626</v>
      </c>
      <c r="R98" s="79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1.95239076536626</v>
      </c>
      <c r="S98" s="79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1.95239076536626</v>
      </c>
      <c r="T98" s="79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</row>
    <row r="99" spans="1:39" outlineLevel="1">
      <c r="C99" s="75">
        <f>'Input|Step changes'!C34</f>
        <v>0</v>
      </c>
      <c r="D99" s="16" t="s">
        <v>30</v>
      </c>
      <c r="E99" s="16" t="str">
        <f t="shared" si="7"/>
        <v>$millions</v>
      </c>
      <c r="F99" s="98">
        <f>$F$8</f>
        <v>46174</v>
      </c>
      <c r="J99" s="79"/>
      <c r="K99" s="79"/>
      <c r="L99" s="79"/>
      <c r="M99" s="79"/>
      <c r="N99" s="79"/>
      <c r="O99" s="79">
        <f>'Input|Step changes'!O34*INDEX('Input|Rate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P99" s="79">
        <f>'Input|Step changes'!P34*INDEX('Input|Rate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Q99" s="79">
        <f>'Input|Step changes'!Q34*INDEX('Input|Rate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R99" s="79">
        <f>'Input|Step changes'!R34*INDEX('Input|Rate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S99" s="79">
        <f>'Input|Step changes'!S34*INDEX('Input|Rate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T99" s="79">
        <f>'Input|Step changes'!T34*INDEX('Input|Rate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</row>
    <row r="100" spans="1:39" outlineLevel="1">
      <c r="C100" s="75">
        <f>'Input|Step changes'!C35</f>
        <v>0</v>
      </c>
      <c r="D100" s="16" t="s">
        <v>30</v>
      </c>
      <c r="E100" s="16" t="str">
        <f t="shared" si="7"/>
        <v>$millions</v>
      </c>
      <c r="F100" s="98">
        <f>$F$8</f>
        <v>46174</v>
      </c>
      <c r="J100" s="79"/>
      <c r="K100" s="79"/>
      <c r="L100" s="79"/>
      <c r="M100" s="79"/>
      <c r="N100" s="79"/>
      <c r="O100" s="79">
        <f>'Input|Step changes'!O35*INDEX('Input|Rate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P100" s="79">
        <f>'Input|Step changes'!P35*INDEX('Input|Rate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Q100" s="79">
        <f>'Input|Step changes'!Q35*INDEX('Input|Rate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R100" s="79">
        <f>'Input|Step changes'!R35*INDEX('Input|Rate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S100" s="79">
        <f>'Input|Step changes'!S35*INDEX('Input|Rate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T100" s="79">
        <f>'Input|Step changes'!T35*INDEX('Input|Rate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</row>
    <row r="101" spans="1:39" outlineLevel="1">
      <c r="C101" s="75"/>
      <c r="F101" s="67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</row>
    <row r="102" spans="1:39" ht="10.5" outlineLevel="1">
      <c r="C102" s="68" t="s">
        <v>108</v>
      </c>
      <c r="D102" s="76" t="s">
        <v>30</v>
      </c>
      <c r="E102" s="76" t="str">
        <f>$E$8</f>
        <v>$millions</v>
      </c>
      <c r="F102" s="101">
        <f>$F$8</f>
        <v>46174</v>
      </c>
      <c r="G102" s="20"/>
      <c r="H102" s="20"/>
      <c r="I102" s="20"/>
      <c r="J102" s="80"/>
      <c r="K102" s="80"/>
      <c r="L102" s="80"/>
      <c r="M102" s="80"/>
      <c r="N102" s="80"/>
      <c r="O102" s="80">
        <f t="shared" ref="O102:T102" si="10">SUM(O95:O100)</f>
        <v>11.002127607471524</v>
      </c>
      <c r="P102" s="80">
        <f t="shared" si="10"/>
        <v>10.923184855380129</v>
      </c>
      <c r="Q102" s="80">
        <f t="shared" si="10"/>
        <v>11.006918274004621</v>
      </c>
      <c r="R102" s="80">
        <f t="shared" si="10"/>
        <v>11.007605614055196</v>
      </c>
      <c r="S102" s="80">
        <f t="shared" si="10"/>
        <v>11.123416604858807</v>
      </c>
      <c r="T102" s="80">
        <f t="shared" si="10"/>
        <v>0</v>
      </c>
    </row>
    <row r="103" spans="1:39" ht="10.5">
      <c r="C103" s="77"/>
      <c r="J103" s="64"/>
      <c r="K103" s="64"/>
      <c r="L103" s="64"/>
      <c r="M103" s="64"/>
      <c r="N103" s="22"/>
      <c r="O103" s="22"/>
      <c r="P103" s="22"/>
      <c r="Q103" s="22"/>
      <c r="R103" s="22"/>
      <c r="S103" s="22"/>
      <c r="T103" s="22"/>
    </row>
    <row r="104" spans="1:39" customFormat="1" ht="13">
      <c r="A104" s="32"/>
      <c r="B104" s="38" t="s">
        <v>86</v>
      </c>
      <c r="C104" s="32"/>
      <c r="D104" s="32"/>
      <c r="E104" s="32"/>
      <c r="F104" s="33"/>
      <c r="G104" s="33"/>
      <c r="H104" s="33"/>
      <c r="I104" s="33"/>
      <c r="J104" s="34"/>
      <c r="K104" s="35"/>
      <c r="L104" s="34"/>
      <c r="M104" s="35"/>
      <c r="N104" s="34"/>
      <c r="O104" s="34"/>
      <c r="P104" s="34"/>
      <c r="Q104" s="34"/>
      <c r="R104" s="34"/>
      <c r="S104" s="34"/>
      <c r="T104" s="34"/>
      <c r="U104" s="34"/>
      <c r="V104" s="34"/>
      <c r="W104" s="35"/>
      <c r="X104" s="35"/>
      <c r="Y104" s="36"/>
      <c r="Z104" s="36"/>
      <c r="AA104" s="36"/>
      <c r="AB104" s="36"/>
      <c r="AC104" s="36"/>
      <c r="AD104" s="37"/>
      <c r="AE104" s="37"/>
    </row>
    <row r="105" spans="1:39" outlineLevel="1">
      <c r="C105" s="15"/>
      <c r="J105" s="64"/>
      <c r="K105" s="64"/>
      <c r="L105" s="64"/>
    </row>
    <row r="106" spans="1:39" ht="10.5" outlineLevel="1">
      <c r="C106" s="9"/>
      <c r="J106" s="99" t="str">
        <f>IF(YEAR(J$4)&gt;='Input|General'!$G$13,IF(YEAR(J$4)&lt;='Input|General'!$G$14,J$4,""),"")</f>
        <v/>
      </c>
      <c r="K106" s="99" t="str">
        <f>IF(YEAR(K$4)&gt;='Input|General'!$G$13,IF(YEAR(K$4)&lt;='Input|General'!$G$14,K$4,""),"")</f>
        <v/>
      </c>
      <c r="L106" s="99" t="str">
        <f>IF(YEAR(L$4)&gt;='Input|General'!$G$13,IF(YEAR(L$4)&lt;='Input|General'!$G$14,L$4,""),"")</f>
        <v/>
      </c>
      <c r="M106" s="99" t="str">
        <f>IF(YEAR(M$4)&gt;='Input|General'!$G$13,IF(YEAR(M$4)&lt;='Input|General'!$G$14,M$4,""),"")</f>
        <v/>
      </c>
      <c r="N106" s="99" t="str">
        <f>IF(YEAR(N$4)&gt;='Input|General'!$G$13,IF(YEAR(N$4)&lt;='Input|General'!$G$14,N$4,""),"")</f>
        <v/>
      </c>
      <c r="O106" s="99">
        <f>IF(YEAR(O$4)&gt;='Input|General'!$G$13,IF(YEAR(O$4)&lt;='Input|General'!$G$14,O$4,""),"")</f>
        <v>46539</v>
      </c>
      <c r="P106" s="99">
        <f>IF(YEAR(P$4)&gt;='Input|General'!$G$13,IF(YEAR(P$4)&lt;='Input|General'!$G$14,P$4,""),"")</f>
        <v>46905</v>
      </c>
      <c r="Q106" s="99">
        <f>IF(YEAR(Q$4)&gt;='Input|General'!$G$13,IF(YEAR(Q$4)&lt;='Input|General'!$G$14,Q$4,""),"")</f>
        <v>47270</v>
      </c>
      <c r="R106" s="99">
        <f>IF(YEAR(R$4)&gt;='Input|General'!$G$13,IF(YEAR(R$4)&lt;='Input|General'!$G$14,R$4,""),"")</f>
        <v>47635</v>
      </c>
      <c r="S106" s="99">
        <f>IF(YEAR(S$4)&gt;='Input|General'!$G$13,IF(YEAR(S$4)&lt;='Input|General'!$G$14,S$4,""),"")</f>
        <v>48000</v>
      </c>
      <c r="T106" s="99" t="str">
        <f>IF(YEAR(T$4)&gt;='Input|General'!$G$13,IF(YEAR(T$4)&lt;='Input|General'!$G$14,T$4,""),"")</f>
        <v/>
      </c>
    </row>
    <row r="107" spans="1:39" ht="10.5" outlineLevel="1">
      <c r="C107" s="9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</row>
    <row r="108" spans="1:39" ht="10.5" outlineLevel="1">
      <c r="C108" s="77" t="s">
        <v>124</v>
      </c>
      <c r="D108" s="20" t="s">
        <v>30</v>
      </c>
      <c r="E108" s="20" t="str">
        <f>$E$8</f>
        <v>$millions</v>
      </c>
      <c r="F108" s="101">
        <f>$F$8</f>
        <v>46174</v>
      </c>
      <c r="J108" s="90" t="str">
        <f t="shared" ref="J108:T108" si="11">IF(YEAR(J$4)&gt;=FPFirstYear,IF(YEAR(J$4)&lt;=FPLastYear,IF(ISBLANK(J106),"",(1+J71)*SUM($J54:$S54)+J90),""),"")</f>
        <v/>
      </c>
      <c r="K108" s="90" t="str">
        <f t="shared" si="11"/>
        <v/>
      </c>
      <c r="L108" s="90" t="str">
        <f t="shared" si="11"/>
        <v/>
      </c>
      <c r="M108" s="90" t="str">
        <f t="shared" si="11"/>
        <v/>
      </c>
      <c r="N108" s="90" t="str">
        <f t="shared" si="11"/>
        <v/>
      </c>
      <c r="O108" s="90">
        <f ca="1">IF(YEAR(O$4)&gt;=FPFirstYear,IF(YEAR(O$4)&lt;=FPLastYear,IF(ISBLANK(O106),"",(1+O71)*SUM($J54:$S54)+O90),""),"")</f>
        <v>295.51527670511911</v>
      </c>
      <c r="P108" s="90">
        <f t="shared" ca="1" si="11"/>
        <v>302.57074393517456</v>
      </c>
      <c r="Q108" s="90">
        <f t="shared" ca="1" si="11"/>
        <v>310.26202249704153</v>
      </c>
      <c r="R108" s="90">
        <f t="shared" ca="1" si="11"/>
        <v>316.27622001866013</v>
      </c>
      <c r="S108" s="90">
        <f t="shared" ca="1" si="11"/>
        <v>326.49780213506892</v>
      </c>
      <c r="T108" s="90" t="str">
        <f t="shared" si="11"/>
        <v/>
      </c>
    </row>
    <row r="109" spans="1:39" ht="10.5" outlineLevel="1">
      <c r="C109" s="77" t="s">
        <v>100</v>
      </c>
      <c r="D109" s="20" t="s">
        <v>30</v>
      </c>
      <c r="E109" s="20" t="str">
        <f>$E$8</f>
        <v>$millions</v>
      </c>
      <c r="F109" s="101">
        <f>$F$8</f>
        <v>46174</v>
      </c>
      <c r="J109" s="90" t="str">
        <f t="shared" ref="J109:T109" si="12">IF(YEAR(J$4)&gt;=FPFirstYear,IF(YEAR(J$4)&lt;=FPLastYear,IF(ISBLANK(J106),"",(1+J71)*SUM($J54:$S54)+J90+J102),""),"")</f>
        <v/>
      </c>
      <c r="K109" s="90" t="str">
        <f t="shared" si="12"/>
        <v/>
      </c>
      <c r="L109" s="90" t="str">
        <f t="shared" si="12"/>
        <v/>
      </c>
      <c r="M109" s="90" t="str">
        <f t="shared" si="12"/>
        <v/>
      </c>
      <c r="N109" s="90" t="str">
        <f t="shared" si="12"/>
        <v/>
      </c>
      <c r="O109" s="90">
        <f t="shared" ca="1" si="12"/>
        <v>306.51740431259066</v>
      </c>
      <c r="P109" s="90">
        <f t="shared" ca="1" si="12"/>
        <v>313.49392879055472</v>
      </c>
      <c r="Q109" s="90">
        <f t="shared" ca="1" si="12"/>
        <v>321.26894077104618</v>
      </c>
      <c r="R109" s="90">
        <f t="shared" ca="1" si="12"/>
        <v>327.28382563271532</v>
      </c>
      <c r="S109" s="90">
        <f t="shared" ca="1" si="12"/>
        <v>337.62121873992771</v>
      </c>
      <c r="T109" s="90" t="str">
        <f t="shared" si="12"/>
        <v/>
      </c>
    </row>
    <row r="110" spans="1:39" ht="10.5" outlineLevel="1">
      <c r="C110" s="77" t="s">
        <v>101</v>
      </c>
      <c r="D110" s="20" t="s">
        <v>30</v>
      </c>
      <c r="E110" s="20" t="str">
        <f>$E$8</f>
        <v>$millions</v>
      </c>
      <c r="F110" s="101">
        <f>$F$8</f>
        <v>46174</v>
      </c>
      <c r="J110" s="90" t="str">
        <f>IF(YEAR(J$4)&gt;=FPFirstYear,IF(YEAR(J$4)&lt;=FPLastYear,J109+'Input|Step changes'!J43,""),"")</f>
        <v/>
      </c>
      <c r="K110" s="90" t="str">
        <f>IF(YEAR(K$4)&gt;=FPFirstYear,IF(YEAR(K$4)&lt;=FPLastYear,K109+'Input|Step changes'!K43,""),"")</f>
        <v/>
      </c>
      <c r="L110" s="90" t="str">
        <f>IF(YEAR(L$4)&gt;=FPFirstYear,IF(YEAR(L$4)&lt;=FPLastYear,L109+'Input|Step changes'!L43,""),"")</f>
        <v/>
      </c>
      <c r="M110" s="90" t="str">
        <f>IF(YEAR(M$4)&gt;=FPFirstYear,IF(YEAR(M$4)&lt;=FPLastYear,M109+'Input|Step changes'!M43,""),"")</f>
        <v/>
      </c>
      <c r="N110" s="90" t="str">
        <f>IF(YEAR(N$4)&gt;=FPFirstYear,IF(YEAR(N$4)&lt;=FPLastYear,N109+'Input|Step changes'!N43,""),"")</f>
        <v/>
      </c>
      <c r="O110" s="90">
        <f ca="1">IF(YEAR(O$4)&gt;=FPFirstYear,IF(YEAR(O$4)&lt;=FPLastYear,O109+'Input|Step changes'!O43,""),"")</f>
        <v>309.69053808614075</v>
      </c>
      <c r="P110" s="90">
        <f ca="1">IF(YEAR(P$4)&gt;=FPFirstYear,IF(YEAR(P$4)&lt;=FPLastYear,P109+'Input|Step changes'!P43,""),"")</f>
        <v>316.86001228771499</v>
      </c>
      <c r="Q110" s="90">
        <f ca="1">IF(YEAR(Q$4)&gt;=FPFirstYear,IF(YEAR(Q$4)&lt;=FPLastYear,Q109+'Input|Step changes'!Q43,""),"")</f>
        <v>324.82914254672306</v>
      </c>
      <c r="R110" s="90">
        <f ca="1">IF(YEAR(R$4)&gt;=FPFirstYear,IF(YEAR(R$4)&lt;=FPLastYear,R109+'Input|Step changes'!R43,""),"")</f>
        <v>331.03433845305113</v>
      </c>
      <c r="S110" s="90">
        <f ca="1">IF(YEAR(S$4)&gt;=FPFirstYear,IF(YEAR(S$4)&lt;=FPLastYear,S109+'Input|Step changes'!S43,""),"")</f>
        <v>341.49713800813214</v>
      </c>
      <c r="T110" s="90" t="str">
        <f>IF(YEAR(T$4)&gt;=FPFirstYear,IF(YEAR(T$4)&lt;=FPLastYear,T109+'Input|Step changes'!T43,""),"")</f>
        <v/>
      </c>
    </row>
    <row r="111" spans="1:39" ht="10.5">
      <c r="C111" s="77"/>
      <c r="J111" s="64"/>
      <c r="K111" s="64"/>
      <c r="L111" s="64"/>
      <c r="M111" s="64"/>
      <c r="N111" s="22"/>
      <c r="O111" s="22"/>
      <c r="P111" s="22"/>
      <c r="Q111" s="22"/>
      <c r="R111" s="22"/>
      <c r="S111" s="22"/>
      <c r="T111" s="22"/>
    </row>
    <row r="112" spans="1:39" customFormat="1" ht="13">
      <c r="A112" s="32"/>
      <c r="B112" s="38" t="s">
        <v>21</v>
      </c>
      <c r="C112" s="32"/>
      <c r="D112" s="32"/>
      <c r="E112" s="32"/>
      <c r="F112" s="33"/>
      <c r="G112" s="33"/>
      <c r="H112" s="33"/>
      <c r="I112" s="33"/>
      <c r="J112" s="34"/>
      <c r="K112" s="35"/>
      <c r="L112" s="34"/>
      <c r="M112" s="35"/>
      <c r="N112" s="34"/>
      <c r="O112" s="34"/>
      <c r="P112" s="34"/>
      <c r="Q112" s="34"/>
      <c r="R112" s="34"/>
      <c r="S112" s="34"/>
      <c r="T112" s="34"/>
      <c r="U112" s="34"/>
      <c r="V112" s="34"/>
      <c r="W112" s="35"/>
      <c r="X112" s="35"/>
      <c r="Y112" s="36"/>
      <c r="Z112" s="36"/>
      <c r="AA112" s="36"/>
      <c r="AB112" s="36"/>
      <c r="AC112" s="36"/>
      <c r="AD112" s="37"/>
      <c r="AE112" s="37"/>
    </row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  <row r="195" s="8" customFormat="1" hidden="1"/>
    <row r="196" s="8" customFormat="1" hidden="1"/>
    <row r="197" s="8" customFormat="1" hidden="1"/>
  </sheetData>
  <mergeCells count="1">
    <mergeCell ref="N3:S3"/>
  </mergeCells>
  <conditionalFormatting sqref="J10:T10">
    <cfRule type="expression" dxfId="47" priority="28">
      <formula>J$10=J$4</formula>
    </cfRule>
  </conditionalFormatting>
  <conditionalFormatting sqref="J12:T24">
    <cfRule type="cellIs" dxfId="46" priority="9" operator="equal">
      <formula>0</formula>
    </cfRule>
  </conditionalFormatting>
  <conditionalFormatting sqref="J25:T25">
    <cfRule type="expression" dxfId="45" priority="27">
      <formula>J$10=J$4</formula>
    </cfRule>
  </conditionalFormatting>
  <conditionalFormatting sqref="J26:T54">
    <cfRule type="cellIs" dxfId="44" priority="1" operator="equal">
      <formula>0</formula>
    </cfRule>
  </conditionalFormatting>
  <conditionalFormatting sqref="J54:T54">
    <cfRule type="expression" dxfId="43" priority="26">
      <formula>J$10=J$4</formula>
    </cfRule>
  </conditionalFormatting>
  <conditionalFormatting sqref="J58:T58 J75:T75 J94:T94">
    <cfRule type="expression" dxfId="42" priority="118">
      <formula>J$58=J$4</formula>
    </cfRule>
  </conditionalFormatting>
  <conditionalFormatting sqref="J61:T68">
    <cfRule type="cellIs" dxfId="41" priority="100" operator="equal">
      <formula>0</formula>
    </cfRule>
  </conditionalFormatting>
  <conditionalFormatting sqref="J70:T70">
    <cfRule type="expression" dxfId="40" priority="112">
      <formula>J$58=J$4</formula>
    </cfRule>
  </conditionalFormatting>
  <conditionalFormatting sqref="J70:T71">
    <cfRule type="cellIs" dxfId="39" priority="19" operator="equal">
      <formula>0</formula>
    </cfRule>
  </conditionalFormatting>
  <conditionalFormatting sqref="J77:T88 J96:T102">
    <cfRule type="cellIs" dxfId="38" priority="98" operator="equal">
      <formula>0</formula>
    </cfRule>
  </conditionalFormatting>
  <conditionalFormatting sqref="J90:T90">
    <cfRule type="expression" dxfId="37" priority="116">
      <formula>J$75=J$4</formula>
    </cfRule>
    <cfRule type="cellIs" dxfId="36" priority="117" operator="equal">
      <formula>0</formula>
    </cfRule>
  </conditionalFormatting>
  <conditionalFormatting sqref="J102:T102">
    <cfRule type="expression" dxfId="35" priority="114">
      <formula>J$94=J$4</formula>
    </cfRule>
  </conditionalFormatting>
  <conditionalFormatting sqref="J106:T106">
    <cfRule type="expression" dxfId="34" priority="121">
      <formula>J$106=J$4</formula>
    </cfRule>
  </conditionalFormatting>
  <conditionalFormatting sqref="J108:T110">
    <cfRule type="cellIs" dxfId="33" priority="29" operator="equal">
      <formula>0</formula>
    </cfRule>
  </conditionalFormatting>
  <conditionalFormatting sqref="S1:T1">
    <cfRule type="cellIs" dxfId="32" priority="107" operator="equal">
      <formula>"Check"</formula>
    </cfRule>
    <cfRule type="cellIs" dxfId="31" priority="108" operator="equal">
      <formula>"Ok"</formula>
    </cfRule>
  </conditionalFormatting>
  <conditionalFormatting sqref="W1">
    <cfRule type="cellIs" dxfId="30" priority="109" operator="equal">
      <formula>"Check"</formula>
    </cfRule>
    <cfRule type="cellIs" dxfId="29" priority="110" operator="equal">
      <formula>"Ok"</formula>
    </cfRule>
  </conditionalFormatting>
  <dataValidations disablePrompts="1" count="3">
    <dataValidation type="list" allowBlank="1" showInputMessage="1" showErrorMessage="1" sqref="F103 F91 F111" xr:uid="{00000000-0002-0000-0700-000000000000}">
      <formula1>"Real 2010,Real 2011,Real 2012,Real 2013,Real 2014,Real 2015,Nominal"</formula1>
    </dataValidation>
    <dataValidation type="list" allowBlank="1" showInputMessage="1" showErrorMessage="1" sqref="F89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topLeftCell="D1" workbookViewId="0">
      <selection activeCell="V16" sqref="V16"/>
    </sheetView>
  </sheetViews>
  <sheetFormatPr defaultColWidth="0" defaultRowHeight="10" zeroHeight="1"/>
  <cols>
    <col min="1" max="2" width="1.44140625" style="8" customWidth="1"/>
    <col min="3" max="3" width="59.66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4" width="10.77734375" style="8" customWidth="1"/>
    <col min="25" max="48" width="0" style="8" hidden="1" customWidth="1"/>
    <col min="49" max="16384" width="10.44140625" style="8" hidden="1"/>
  </cols>
  <sheetData>
    <row r="1" spans="1:27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6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7" t="s">
        <v>24</v>
      </c>
      <c r="W1" s="29" t="str">
        <f ca="1"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408"/>
      <c r="O3" s="408"/>
      <c r="P3" s="408"/>
      <c r="Q3" s="408"/>
      <c r="R3" s="408"/>
      <c r="S3" s="408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3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 ht="10.5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 ht="10.5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forecast'!C108</f>
        <v>Total forecast opex, excluding category specific forecasts</v>
      </c>
      <c r="D13" s="24" t="s">
        <v>98</v>
      </c>
      <c r="E13" s="16" t="str">
        <f t="shared" ref="E13:E18" si="0">$E$8</f>
        <v>$millions</v>
      </c>
      <c r="F13" s="98">
        <f t="shared" ref="F13:F18" si="1">$F$8</f>
        <v>46174</v>
      </c>
      <c r="H13" s="20"/>
      <c r="I13" s="20"/>
      <c r="J13" s="104">
        <f>IF(J11="",0,'Calc|Opex forecast'!J108*INDEX('Input|Rate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K13" s="104">
        <f>IF(K11="",0,'Calc|Opex forecast'!K108*INDEX('Input|Rate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L13" s="104">
        <f>IF(L11="",0,'Calc|Opex forecast'!L108*INDEX('Input|Rate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M13" s="104">
        <f>IF(M11="",0,'Calc|Opex forecast'!M108*INDEX('Input|Rate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N13" s="104">
        <f>IF(N11="",0,'Calc|Opex forecast'!N108*INDEX('Input|Rate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O13" s="104">
        <f ca="1">IF(O11="",0,'Calc|Opex forecast'!O108*INDEX('Input|Rate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295.51527670511911</v>
      </c>
      <c r="P13" s="104">
        <f ca="1">IF(P11="",0,'Calc|Opex forecast'!P108*INDEX('Input|Rate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302.57074393517456</v>
      </c>
      <c r="Q13" s="104">
        <f ca="1">IF(Q11="",0,'Calc|Opex forecast'!Q108*INDEX('Input|Rate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310.26202249704153</v>
      </c>
      <c r="R13" s="104">
        <f ca="1">IF(R11="",0,'Calc|Opex forecast'!R108*INDEX('Input|Rate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316.27622001866013</v>
      </c>
      <c r="S13" s="104">
        <f ca="1">IF(S11="",0,'Calc|Opex forecast'!S108*INDEX('Input|Rate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326.49780213506887</v>
      </c>
      <c r="T13" s="104">
        <f>IF(T11="",0,'Calc|Opex forecast'!T108*INDEX('Input|Rate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U13" s="15"/>
      <c r="V13" s="91"/>
    </row>
    <row r="14" spans="1:27">
      <c r="C14" s="15" t="str">
        <f>'Input|Step changes'!C31</f>
        <v>GSL payments</v>
      </c>
      <c r="D14" s="24" t="s">
        <v>98</v>
      </c>
      <c r="E14" s="16" t="str">
        <f t="shared" si="0"/>
        <v>$millions</v>
      </c>
      <c r="F14" s="98">
        <f t="shared" si="1"/>
        <v>46174</v>
      </c>
      <c r="H14" s="20"/>
      <c r="I14" s="20"/>
      <c r="J14" s="104">
        <f>IF(J$11="",0,'Calc|Opex forecast'!J96*INDEX('Input|Rate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K14" s="104">
        <f>IF(K$11="",0,'Calc|Opex forecast'!K96*INDEX('Input|Rate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L14" s="104">
        <f>IF(L$11="",0,'Calc|Opex forecast'!L96*INDEX('Input|Rate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M14" s="104">
        <f>IF(M$11="",0,'Calc|Opex forecast'!M96*INDEX('Input|Rate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N14" s="104">
        <f>IF(N$11="",0,'Calc|Opex forecast'!N96*INDEX('Input|Rate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O14" s="104">
        <f>IF(O$11="",0,'Calc|Opex forecast'!O96*INDEX('Input|Rate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9.0497368421052631</v>
      </c>
      <c r="P14" s="104">
        <f>IF(P$11="",0,'Calc|Opex forecast'!P96*INDEX('Input|Rate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8.8119941260369234</v>
      </c>
      <c r="Q14" s="104">
        <f>IF(Q$11="",0,'Calc|Opex forecast'!Q96*INDEX('Input|Rate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8.5781276167075244</v>
      </c>
      <c r="R14" s="104">
        <f>IF(R$11="",0,'Calc|Opex forecast'!R96*INDEX('Input|Rate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8.324735014394987</v>
      </c>
      <c r="S14" s="104">
        <f>IF(S$11="",0,'Calc|Opex forecast'!S96*INDEX('Input|Rate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8.1017727487144491</v>
      </c>
      <c r="T14" s="104">
        <f>IF(T$11="",0,'Calc|Opex forecast'!T96*INDEX('Input|Rate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U14" s="15"/>
      <c r="V14" s="91"/>
    </row>
    <row r="15" spans="1:27">
      <c r="C15" s="15" t="str">
        <f>'Input|Step changes'!C32</f>
        <v>Innovation fund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K15" s="104">
        <f>IF(K$11="",0,'Calc|Opex forecast'!K97*INDEX('Input|Rate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L15" s="104">
        <f>IF(L$11="",0,'Calc|Opex forecast'!L97*INDEX('Input|Rate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M15" s="104">
        <f>IF(M$11="",0,'Calc|Opex forecast'!M97*INDEX('Input|Rate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N15" s="104">
        <f>IF(N$11="",0,'Calc|Opex forecast'!N97*INDEX('Input|Rate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O15" s="104">
        <f>IF(O$11="",0,'Calc|Opex forecast'!O97*INDEX('Input|Rate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P15" s="104">
        <f>IF(P$11="",0,'Calc|Opex forecast'!P97*INDEX('Input|Rate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0.15879996397694521</v>
      </c>
      <c r="Q15" s="104">
        <f>IF(Q$11="",0,'Calc|Opex forecast'!Q97*INDEX('Input|Rate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0.47639989193083571</v>
      </c>
      <c r="R15" s="104">
        <f>IF(R$11="",0,'Calc|Opex forecast'!R97*INDEX('Input|Rate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0.73047983429394803</v>
      </c>
      <c r="S15" s="104">
        <f>IF(S$11="",0,'Calc|Opex forecast'!S97*INDEX('Input|Rate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1.0692530907780979</v>
      </c>
      <c r="T15" s="104">
        <f>IF(T$11="",0,'Calc|Opex forecast'!T97*INDEX('Input|Rate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U15" s="15"/>
      <c r="V15" s="91"/>
    </row>
    <row r="16" spans="1:27">
      <c r="C16" s="15" t="str">
        <f>'Input|Step changes'!C33</f>
        <v>Customer engagement and communications program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K16" s="104">
        <f>IF(K$11="",0,'Calc|Opex forecast'!K98*INDEX('Input|Rate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L16" s="104">
        <f>IF(L$11="",0,'Calc|Opex forecast'!L98*INDEX('Input|Rate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M16" s="104">
        <f>IF(M$11="",0,'Calc|Opex forecast'!M98*INDEX('Input|Rate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N16" s="104">
        <f>IF(N$11="",0,'Calc|Opex forecast'!N98*INDEX('Input|Rate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O16" s="104">
        <f>IF(O$11="",0,'Calc|Opex forecast'!O98*INDEX('Input|Rate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1.95239076536626</v>
      </c>
      <c r="P16" s="104">
        <f>IF(P$11="",0,'Calc|Opex forecast'!P98*INDEX('Input|Rate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1.95239076536626</v>
      </c>
      <c r="Q16" s="104">
        <f>IF(Q$11="",0,'Calc|Opex forecast'!Q98*INDEX('Input|Rate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1.95239076536626</v>
      </c>
      <c r="R16" s="104">
        <f>IF(R$11="",0,'Calc|Opex forecast'!R98*INDEX('Input|Rate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1.95239076536626</v>
      </c>
      <c r="S16" s="104">
        <f>IF(S$11="",0,'Calc|Opex forecast'!S98*INDEX('Input|Rate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1.95239076536626</v>
      </c>
      <c r="T16" s="104">
        <f>IF(T$11="",0,'Calc|Opex forecast'!T98*INDEX('Input|Rate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U16" s="15"/>
      <c r="V16" s="91"/>
    </row>
    <row r="17" spans="1:24">
      <c r="C17" s="15">
        <f>'Input|Step changes'!C34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K17" s="104">
        <f>IF(K$11="",0,'Calc|Opex forecast'!K99*INDEX('Input|Rate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L17" s="104">
        <f>IF(L$11="",0,'Calc|Opex forecast'!L99*INDEX('Input|Rate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M17" s="104">
        <f>IF(M$11="",0,'Calc|Opex forecast'!M99*INDEX('Input|Rate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N17" s="104">
        <f>IF(N$11="",0,'Calc|Opex forecast'!N99*INDEX('Input|Rate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O17" s="104">
        <f>IF(O$11="",0,'Calc|Opex forecast'!O99*INDEX('Input|Rate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P17" s="104">
        <f>IF(P$11="",0,'Calc|Opex forecast'!P99*INDEX('Input|Rate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Q17" s="104">
        <f>IF(Q$11="",0,'Calc|Opex forecast'!Q99*INDEX('Input|Rate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R17" s="104">
        <f>IF(R$11="",0,'Calc|Opex forecast'!R99*INDEX('Input|Rate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S17" s="104">
        <f>IF(S$11="",0,'Calc|Opex forecast'!S99*INDEX('Input|Rate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T17" s="104">
        <f>IF(T$11="",0,'Calc|Opex forecast'!T99*INDEX('Input|Rate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U17" s="15"/>
      <c r="V17" s="112"/>
    </row>
    <row r="18" spans="1:24">
      <c r="C18" s="15">
        <f>'Input|Step changes'!C35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K18" s="104">
        <f>IF(K$11="",0,'Calc|Opex forecast'!K100*INDEX('Input|Rate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L18" s="104">
        <f>IF(L$11="",0,'Calc|Opex forecast'!L100*INDEX('Input|Rate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M18" s="104">
        <f>IF(M$11="",0,'Calc|Opex forecast'!M100*INDEX('Input|Rate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N18" s="104">
        <f>IF(N$11="",0,'Calc|Opex forecast'!N100*INDEX('Input|Rate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O18" s="104">
        <f>IF(O$11="",0,'Calc|Opex forecast'!O100*INDEX('Input|Rate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P18" s="104">
        <f>IF(P$11="",0,'Calc|Opex forecast'!P100*INDEX('Input|Rate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Q18" s="104">
        <f>IF(Q$11="",0,'Calc|Opex forecast'!Q100*INDEX('Input|Rate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R18" s="104">
        <f>IF(R$11="",0,'Calc|Opex forecast'!R100*INDEX('Input|Rate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S18" s="104">
        <f>IF(S$11="",0,'Calc|Opex forecast'!S100*INDEX('Input|Rate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T18" s="104">
        <f>IF(T$11="",0,'Calc|Opex forecast'!T100*INDEX('Input|Rate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U18" s="15"/>
      <c r="V18" s="112"/>
    </row>
    <row r="19" spans="1:24" ht="10.5">
      <c r="D19" s="24"/>
      <c r="H19" s="20"/>
      <c r="I19" s="20"/>
      <c r="S19" s="22"/>
      <c r="T19" s="22"/>
    </row>
    <row r="20" spans="1:24" customFormat="1" ht="13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28" priority="7">
      <formula>J$11=J$4</formula>
    </cfRule>
  </conditionalFormatting>
  <conditionalFormatting sqref="J13:T18">
    <cfRule type="expression" dxfId="27" priority="3">
      <formula>AND($C13=0,J$11=J$4)</formula>
    </cfRule>
    <cfRule type="expression" dxfId="26" priority="4">
      <formula>NOT(J$11=J$4)</formula>
    </cfRule>
    <cfRule type="expression" dxfId="25" priority="5">
      <formula>J$11=J$4</formula>
    </cfRule>
  </conditionalFormatting>
  <conditionalFormatting sqref="S1:T1">
    <cfRule type="cellIs" dxfId="24" priority="1" operator="equal">
      <formula>"Check"</formula>
    </cfRule>
    <cfRule type="cellIs" dxfId="23" priority="2" operator="equal">
      <formula>"Ok"</formula>
    </cfRule>
  </conditionalFormatting>
  <conditionalFormatting sqref="W1">
    <cfRule type="cellIs" dxfId="22" priority="13" operator="equal">
      <formula>"Check"</formula>
    </cfRule>
    <cfRule type="cellIs" dxfId="21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6F8D-12DF-4579-BCB0-0DA8568FD2E6}">
  <sheetPr codeName="Sheet15">
    <tabColor theme="3" tint="0.59999389629810485"/>
  </sheetPr>
  <dimension ref="A1:BG31"/>
  <sheetViews>
    <sheetView workbookViewId="0">
      <selection activeCell="T27" sqref="T27"/>
    </sheetView>
  </sheetViews>
  <sheetFormatPr defaultColWidth="0" defaultRowHeight="11.25" customHeight="1" zeroHeight="1"/>
  <cols>
    <col min="1" max="1" width="1.44140625" customWidth="1"/>
    <col min="2" max="2" width="45" bestFit="1" customWidth="1"/>
    <col min="3" max="3" width="22.44140625" bestFit="1" customWidth="1"/>
    <col min="4" max="4" width="10" bestFit="1" customWidth="1"/>
    <col min="5" max="5" width="9" bestFit="1" customWidth="1"/>
    <col min="6" max="8" width="3.44140625" customWidth="1"/>
    <col min="9" max="13" width="11" hidden="1" customWidth="1"/>
    <col min="14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" thickBot="1">
      <c r="A1" s="27"/>
      <c r="B1" s="25" t="str">
        <f>Index!$B$1</f>
        <v>AER opex model v2.4</v>
      </c>
      <c r="C1" s="25"/>
      <c r="D1" s="25"/>
      <c r="E1" s="25"/>
      <c r="F1" s="26"/>
      <c r="G1" s="26"/>
      <c r="H1" s="26"/>
      <c r="I1" s="186" t="s">
        <v>2</v>
      </c>
      <c r="J1" s="27"/>
      <c r="K1" s="28" t="s">
        <v>3</v>
      </c>
      <c r="L1" s="46" t="s">
        <v>4</v>
      </c>
      <c r="M1" s="11" t="s">
        <v>5</v>
      </c>
      <c r="N1" s="12" t="s">
        <v>6</v>
      </c>
      <c r="O1" s="27"/>
      <c r="P1" s="27"/>
      <c r="Q1" s="27"/>
      <c r="R1" s="27"/>
      <c r="S1" s="27"/>
      <c r="T1" s="27"/>
      <c r="U1" s="28" t="s">
        <v>77</v>
      </c>
      <c r="V1" s="29" t="s">
        <v>36</v>
      </c>
      <c r="W1" s="27"/>
      <c r="X1" s="187" t="s">
        <v>24</v>
      </c>
      <c r="Y1" s="29" t="str">
        <f ca="1">'Check|List'!$S$1</f>
        <v>Ok</v>
      </c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</row>
    <row r="2" spans="1:39" ht="13">
      <c r="A2" s="27"/>
      <c r="B2" s="41" t="s">
        <v>236</v>
      </c>
      <c r="C2" s="41"/>
      <c r="D2" s="41"/>
      <c r="E2" s="41"/>
      <c r="F2" s="105"/>
      <c r="G2" s="105"/>
      <c r="H2" s="105"/>
      <c r="I2" s="100" t="s">
        <v>109</v>
      </c>
      <c r="J2" s="100"/>
      <c r="K2" s="100"/>
      <c r="L2" s="105"/>
      <c r="M2" s="408"/>
      <c r="N2" s="408"/>
      <c r="O2" s="408"/>
      <c r="P2" s="408"/>
      <c r="Q2" s="408"/>
      <c r="R2" s="408"/>
      <c r="S2" s="105"/>
      <c r="T2" s="54"/>
      <c r="U2" s="54"/>
      <c r="V2" s="54"/>
      <c r="W2" s="54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</row>
    <row r="3" spans="1:39" ht="13">
      <c r="A3" s="32"/>
      <c r="B3" s="38"/>
      <c r="C3" s="56" t="s">
        <v>7</v>
      </c>
      <c r="D3" s="56" t="s">
        <v>8</v>
      </c>
      <c r="E3" s="57" t="s">
        <v>22</v>
      </c>
      <c r="F3" s="58"/>
      <c r="G3" s="58"/>
      <c r="H3" s="58"/>
      <c r="I3" s="94">
        <v>44713</v>
      </c>
      <c r="J3" s="94">
        <v>45078</v>
      </c>
      <c r="K3" s="94">
        <v>45444</v>
      </c>
      <c r="L3" s="94">
        <v>45809</v>
      </c>
      <c r="M3" s="94">
        <v>46174</v>
      </c>
      <c r="N3" s="94">
        <v>46539</v>
      </c>
      <c r="O3" s="94">
        <v>46905</v>
      </c>
      <c r="P3" s="94">
        <v>47270</v>
      </c>
      <c r="Q3" s="94">
        <v>47635</v>
      </c>
      <c r="R3" s="94">
        <v>48000</v>
      </c>
      <c r="S3" s="94">
        <v>48366</v>
      </c>
      <c r="T3" s="59"/>
      <c r="U3" s="59"/>
      <c r="V3" s="60"/>
      <c r="W3" s="60"/>
      <c r="X3" s="34"/>
      <c r="Y3" s="35"/>
      <c r="Z3" s="34"/>
      <c r="AA3" s="34"/>
      <c r="AB3" s="34"/>
      <c r="AC3" s="34"/>
      <c r="AD3" s="34"/>
      <c r="AE3" s="34"/>
      <c r="AF3" s="34"/>
      <c r="AG3" s="34"/>
      <c r="AH3" s="35"/>
      <c r="AI3" s="35"/>
      <c r="AJ3" s="35"/>
      <c r="AK3" s="35"/>
      <c r="AL3" s="35"/>
      <c r="AM3" s="35"/>
    </row>
    <row r="4" spans="1:39" ht="3" customHeight="1">
      <c r="A4" s="6"/>
      <c r="B4" s="6"/>
      <c r="C4" s="6"/>
      <c r="D4" s="6"/>
      <c r="E4" s="6"/>
      <c r="F4" s="21"/>
      <c r="G4" s="21"/>
      <c r="H4" s="21"/>
      <c r="I4" s="6"/>
      <c r="J4" s="6"/>
      <c r="K4" s="6"/>
      <c r="L4" s="6"/>
      <c r="M4" s="6"/>
      <c r="N4" s="6"/>
      <c r="O4" s="21"/>
      <c r="P4" s="21"/>
      <c r="Q4" s="21"/>
      <c r="R4" s="21"/>
      <c r="S4" s="21"/>
      <c r="T4" s="21"/>
      <c r="U4" s="21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1"/>
      <c r="G5" s="21"/>
      <c r="H5" s="21"/>
      <c r="I5" s="6"/>
      <c r="J5" s="6"/>
      <c r="K5" s="6"/>
      <c r="L5" s="6"/>
      <c r="M5" s="6"/>
      <c r="N5" s="6"/>
      <c r="O5" s="21"/>
      <c r="P5" s="21"/>
      <c r="Q5" s="21"/>
      <c r="R5" s="21"/>
      <c r="S5" s="21"/>
      <c r="T5" s="21"/>
      <c r="U5" s="21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1"/>
      <c r="G6" s="21"/>
      <c r="H6" s="21"/>
      <c r="I6" s="6"/>
      <c r="J6" s="6"/>
      <c r="K6" s="6"/>
      <c r="L6" s="6"/>
      <c r="M6" s="6"/>
      <c r="N6" s="6"/>
      <c r="O6" s="21"/>
      <c r="P6" s="21"/>
      <c r="Q6" s="21"/>
      <c r="R6" s="21"/>
      <c r="S6" s="21"/>
      <c r="T6" s="21"/>
      <c r="U6" s="21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3">
      <c r="A7" s="32"/>
      <c r="B7" s="38" t="s">
        <v>237</v>
      </c>
      <c r="C7" s="38"/>
      <c r="D7" s="38"/>
      <c r="E7" s="38"/>
      <c r="F7" s="33"/>
      <c r="G7" s="33"/>
      <c r="H7" s="33"/>
      <c r="I7" s="38"/>
      <c r="J7" s="38"/>
      <c r="K7" s="38"/>
      <c r="L7" s="38"/>
      <c r="M7" s="38"/>
      <c r="N7" s="32"/>
      <c r="O7" s="32"/>
      <c r="P7" s="32"/>
      <c r="Q7" s="33"/>
      <c r="R7" s="33"/>
      <c r="S7" s="33"/>
      <c r="T7" s="33"/>
      <c r="U7" s="33"/>
      <c r="V7" s="34"/>
      <c r="W7" s="35"/>
      <c r="X7" s="34"/>
      <c r="Y7" s="35"/>
      <c r="Z7" s="34"/>
      <c r="AA7" s="34"/>
      <c r="AB7" s="34"/>
      <c r="AC7" s="34"/>
      <c r="AD7" s="34"/>
      <c r="AE7" s="34"/>
      <c r="AF7" s="34"/>
      <c r="AG7" s="34"/>
      <c r="AH7" s="35"/>
      <c r="AI7" s="35"/>
      <c r="AJ7" s="35"/>
      <c r="AK7" s="35"/>
      <c r="AL7" s="35"/>
      <c r="AM7" s="35"/>
    </row>
    <row r="8" spans="1:39" ht="14.5">
      <c r="A8" s="201"/>
      <c r="B8" s="201"/>
      <c r="C8" s="201"/>
      <c r="D8" s="201"/>
      <c r="E8" s="201"/>
      <c r="F8" s="16"/>
      <c r="G8" s="16"/>
      <c r="H8" s="16"/>
      <c r="I8" s="202"/>
      <c r="J8" s="201"/>
      <c r="K8" s="201"/>
      <c r="L8" s="201"/>
      <c r="M8" s="201"/>
      <c r="N8" s="202"/>
      <c r="O8" s="201"/>
      <c r="P8" s="201"/>
      <c r="Q8" s="201"/>
      <c r="R8" s="201"/>
      <c r="S8" s="201"/>
      <c r="T8" s="201"/>
      <c r="U8" s="201"/>
      <c r="V8" s="201"/>
      <c r="W8" s="201"/>
      <c r="X8" s="202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</row>
    <row r="9" spans="1:39" ht="14.5">
      <c r="A9" s="201"/>
      <c r="B9" s="201"/>
      <c r="C9" s="20" t="s">
        <v>7</v>
      </c>
      <c r="D9" s="20" t="s">
        <v>8</v>
      </c>
      <c r="E9" s="20" t="s">
        <v>22</v>
      </c>
      <c r="F9" s="16"/>
      <c r="G9" s="16"/>
      <c r="H9" s="16"/>
      <c r="I9" s="99" t="str">
        <f>'Calc|Opex forecast'!J106</f>
        <v/>
      </c>
      <c r="J9" s="99" t="str">
        <f>'Calc|Opex forecast'!K106</f>
        <v/>
      </c>
      <c r="K9" s="99" t="str">
        <f>'Calc|Opex forecast'!L106</f>
        <v/>
      </c>
      <c r="L9" s="99" t="str">
        <f>'Calc|Opex forecast'!M106</f>
        <v/>
      </c>
      <c r="M9" s="99" t="str">
        <f>'Calc|Opex forecast'!N106</f>
        <v/>
      </c>
      <c r="N9" s="99">
        <f>'Calc|Opex forecast'!O106</f>
        <v>46539</v>
      </c>
      <c r="O9" s="99">
        <f>'Calc|Opex forecast'!P106</f>
        <v>46905</v>
      </c>
      <c r="P9" s="99">
        <f>'Calc|Opex forecast'!Q106</f>
        <v>47270</v>
      </c>
      <c r="Q9" s="99">
        <f>'Calc|Opex forecast'!R106</f>
        <v>47635</v>
      </c>
      <c r="R9" s="99">
        <f>'Calc|Opex forecast'!S106</f>
        <v>48000</v>
      </c>
      <c r="S9" s="99" t="str">
        <f>'Calc|Opex forecast'!T106</f>
        <v/>
      </c>
      <c r="T9" s="203"/>
      <c r="U9" s="99" t="s">
        <v>238</v>
      </c>
      <c r="V9" s="201"/>
      <c r="W9" s="201"/>
      <c r="X9" s="204" t="s">
        <v>239</v>
      </c>
      <c r="Y9" s="204" t="s">
        <v>240</v>
      </c>
      <c r="Z9" s="204" t="s">
        <v>241</v>
      </c>
      <c r="AA9" s="204" t="s">
        <v>242</v>
      </c>
      <c r="AB9" s="203"/>
      <c r="AC9" s="203"/>
      <c r="AD9" s="203"/>
      <c r="AE9" s="201"/>
      <c r="AF9" s="201"/>
      <c r="AG9" s="201"/>
      <c r="AH9" s="201"/>
      <c r="AI9" s="201"/>
      <c r="AJ9" s="201"/>
      <c r="AK9" s="201"/>
      <c r="AL9" s="201"/>
      <c r="AM9" s="201"/>
    </row>
    <row r="10" spans="1:39" ht="14.5">
      <c r="A10" s="201"/>
      <c r="B10" s="201"/>
      <c r="C10" s="16"/>
      <c r="D10" s="16"/>
      <c r="E10" s="16"/>
      <c r="F10" s="16"/>
      <c r="G10" s="16"/>
      <c r="H10" s="16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  <c r="AK10" s="201"/>
      <c r="AL10" s="201"/>
      <c r="AM10" s="201"/>
    </row>
    <row r="11" spans="1:39" ht="14.5">
      <c r="A11" s="201"/>
      <c r="B11" s="15" t="s">
        <v>252</v>
      </c>
      <c r="C11" s="65" t="s">
        <v>243</v>
      </c>
      <c r="D11" s="16" t="str">
        <f>'Calc|Opex forecast'!$E$8</f>
        <v>$millions</v>
      </c>
      <c r="E11" s="98">
        <f>'Calc|Opex forecast'!$F$8</f>
        <v>46174</v>
      </c>
      <c r="F11" s="16"/>
      <c r="G11" s="16"/>
      <c r="H11" s="16"/>
      <c r="I11" s="66" t="str">
        <f>IF('Calc|Opex forecast'!J106='Calc|Opex forecast'!J4,SUM('Calc|Opex forecast'!$J$26:$S$26),"")</f>
        <v/>
      </c>
      <c r="J11" s="66" t="str">
        <f>IF('Calc|Opex forecast'!K106='Calc|Opex forecast'!K4,SUM('Calc|Opex forecast'!$J$26:$S$26),"")</f>
        <v/>
      </c>
      <c r="K11" s="66" t="str">
        <f>IF('Calc|Opex forecast'!L106='Calc|Opex forecast'!L4,SUM('Calc|Opex forecast'!$J$26:$S$26),"")</f>
        <v/>
      </c>
      <c r="L11" s="66" t="str">
        <f>IF('Calc|Opex forecast'!M106='Calc|Opex forecast'!M4,SUM('Calc|Opex forecast'!$J$26:$S$26),"")</f>
        <v/>
      </c>
      <c r="M11" s="66" t="str">
        <f>IF('Calc|Opex forecast'!N106='Calc|Opex forecast'!N4,SUM('Calc|Opex forecast'!$J$26:$S$26),"")</f>
        <v/>
      </c>
      <c r="N11" s="66">
        <f ca="1">IF('Calc|Opex forecast'!O106='Calc|Opex forecast'!O4,SUM('Calc|Opex forecast'!$J$26:$S$26),"")</f>
        <v>269.63110038155361</v>
      </c>
      <c r="O11" s="66">
        <f ca="1">IF('Calc|Opex forecast'!P106='Calc|Opex forecast'!P4,SUM('Calc|Opex forecast'!$J$26:$S$26),"")</f>
        <v>269.63110038155361</v>
      </c>
      <c r="P11" s="66">
        <f ca="1">IF('Calc|Opex forecast'!Q106='Calc|Opex forecast'!Q4,SUM('Calc|Opex forecast'!$J$26:$S$26),"")</f>
        <v>269.63110038155361</v>
      </c>
      <c r="Q11" s="66">
        <f ca="1">IF('Calc|Opex forecast'!R106='Calc|Opex forecast'!R4,SUM('Calc|Opex forecast'!$J$26:$S$26),"")</f>
        <v>269.63110038155361</v>
      </c>
      <c r="R11" s="66">
        <f ca="1">IF('Calc|Opex forecast'!S106='Calc|Opex forecast'!S4,SUM('Calc|Opex forecast'!$J$26:$S$26),"")</f>
        <v>269.63110038155361</v>
      </c>
      <c r="S11" s="66" t="str">
        <f>IF('Calc|Opex forecast'!T106='Calc|Opex forecast'!T4,SUM('Calc|Opex forecast'!$J$26:$S$26),"")</f>
        <v/>
      </c>
      <c r="T11" s="66"/>
      <c r="U11" s="70">
        <f ca="1">SUM(I11:S11)</f>
        <v>1348.155501907768</v>
      </c>
      <c r="V11" s="205"/>
      <c r="W11" s="201"/>
      <c r="X11" s="66"/>
      <c r="Y11" s="66">
        <f ca="1">U11</f>
        <v>1348.155501907768</v>
      </c>
      <c r="Z11" s="66"/>
      <c r="AA11" s="66"/>
      <c r="AB11" s="203"/>
      <c r="AC11" s="203"/>
      <c r="AD11" s="203"/>
      <c r="AE11" s="203"/>
      <c r="AF11" s="203"/>
      <c r="AG11" s="201"/>
      <c r="AH11" s="201"/>
      <c r="AI11" s="201"/>
      <c r="AJ11" s="201"/>
      <c r="AK11" s="201"/>
      <c r="AL11" s="201"/>
      <c r="AM11" s="201"/>
    </row>
    <row r="12" spans="1:39" ht="14.5">
      <c r="A12" s="201"/>
      <c r="B12" s="15" t="s">
        <v>84</v>
      </c>
      <c r="C12" s="65" t="s">
        <v>243</v>
      </c>
      <c r="D12" s="16" t="str">
        <f>'Calc|Opex forecast'!$E$8</f>
        <v>$millions</v>
      </c>
      <c r="E12" s="98">
        <f>'Calc|Opex forecast'!$F$8</f>
        <v>46174</v>
      </c>
      <c r="F12" s="16"/>
      <c r="G12" s="16"/>
      <c r="H12" s="16"/>
      <c r="I12" s="66" t="str">
        <f>IF('Calc|Opex forecast'!J106='Calc|Opex forecast'!J4,SUM('Calc|Opex forecast'!$J$52:$S$52),"")</f>
        <v/>
      </c>
      <c r="J12" s="66" t="str">
        <f>IF('Calc|Opex forecast'!K106='Calc|Opex forecast'!K4,SUM('Calc|Opex forecast'!$J$52:$S$52),"")</f>
        <v/>
      </c>
      <c r="K12" s="66" t="str">
        <f>IF('Calc|Opex forecast'!L106='Calc|Opex forecast'!L4,SUM('Calc|Opex forecast'!$J$52:$S$52),"")</f>
        <v/>
      </c>
      <c r="L12" s="66" t="str">
        <f>IF('Calc|Opex forecast'!M106='Calc|Opex forecast'!M4,SUM('Calc|Opex forecast'!$J$52:$S$52),"")</f>
        <v/>
      </c>
      <c r="M12" s="66" t="str">
        <f>IF('Calc|Opex forecast'!N106='Calc|Opex forecast'!N4,SUM('Calc|Opex forecast'!$J$52:$S$52),"")</f>
        <v/>
      </c>
      <c r="N12" s="66">
        <f ca="1">IF('Calc|Opex forecast'!O106='Calc|Opex forecast'!O4,SUM('Calc|Opex forecast'!$J$52:$S$52),"")</f>
        <v>0</v>
      </c>
      <c r="O12" s="66">
        <f ca="1">IF('Calc|Opex forecast'!P106='Calc|Opex forecast'!P4,SUM('Calc|Opex forecast'!$J$52:$S$52),"")</f>
        <v>0</v>
      </c>
      <c r="P12" s="66">
        <f ca="1">IF('Calc|Opex forecast'!Q106='Calc|Opex forecast'!Q4,SUM('Calc|Opex forecast'!$J$52:$S$52),"")</f>
        <v>0</v>
      </c>
      <c r="Q12" s="66">
        <f ca="1">IF('Calc|Opex forecast'!R106='Calc|Opex forecast'!R4,SUM('Calc|Opex forecast'!$J$52:$S$52),"")</f>
        <v>0</v>
      </c>
      <c r="R12" s="66">
        <f ca="1">IF('Calc|Opex forecast'!S106='Calc|Opex forecast'!S4,SUM('Calc|Opex forecast'!$J$52:$S$52),"")</f>
        <v>0</v>
      </c>
      <c r="S12" s="66" t="str">
        <f>IF('Calc|Opex forecast'!T106='Calc|Opex forecast'!T4,SUM('Calc|Opex forecast'!$J$52:$S$52),"")</f>
        <v/>
      </c>
      <c r="T12" s="66"/>
      <c r="U12" s="70">
        <f ca="1">SUM(I12:S12)</f>
        <v>0</v>
      </c>
      <c r="V12" s="205">
        <f t="shared" ref="V12:V22" ca="1" si="0">U12/($U$23-U12)</f>
        <v>0</v>
      </c>
      <c r="W12" s="201"/>
      <c r="X12" s="66">
        <f ca="1">SUM($U$11:$U11)-AA12</f>
        <v>1348.155501907768</v>
      </c>
      <c r="Y12" s="66"/>
      <c r="Z12" s="66">
        <f ca="1">IF(U12&gt;0,U12,0)</f>
        <v>0</v>
      </c>
      <c r="AA12" s="66">
        <f ca="1">IF(U12&lt;0,-U12,0)</f>
        <v>0</v>
      </c>
      <c r="AB12" s="203"/>
      <c r="AC12" s="203"/>
      <c r="AD12" s="203"/>
      <c r="AE12" s="203"/>
      <c r="AF12" s="203"/>
      <c r="AG12" s="201"/>
      <c r="AH12" s="201"/>
      <c r="AI12" s="201"/>
      <c r="AJ12" s="201"/>
      <c r="AK12" s="201"/>
      <c r="AL12" s="201"/>
      <c r="AM12" s="201"/>
    </row>
    <row r="13" spans="1:39" ht="14.5">
      <c r="A13" s="201"/>
      <c r="B13" s="15" t="s">
        <v>244</v>
      </c>
      <c r="C13" s="65" t="s">
        <v>243</v>
      </c>
      <c r="D13" s="16" t="str">
        <f>'Calc|Opex forecast'!$E$8</f>
        <v>$millions</v>
      </c>
      <c r="E13" s="98">
        <f>'Calc|Opex forecast'!$F$8</f>
        <v>46174</v>
      </c>
      <c r="F13" s="16"/>
      <c r="G13" s="16"/>
      <c r="H13" s="16"/>
      <c r="I13" s="66" t="str">
        <f>IF('Calc|Opex forecast'!J106='Calc|Opex forecast'!J4,SUM('Calc|Opex forecast'!$J$29:$S$29),"")</f>
        <v/>
      </c>
      <c r="J13" s="66" t="str">
        <f>IF('Calc|Opex forecast'!K106='Calc|Opex forecast'!K4,SUM('Calc|Opex forecast'!$J$29:$S$29),"")</f>
        <v/>
      </c>
      <c r="K13" s="66" t="str">
        <f>IF('Calc|Opex forecast'!L106='Calc|Opex forecast'!L4,SUM('Calc|Opex forecast'!$J$29:$S$29),"")</f>
        <v/>
      </c>
      <c r="L13" s="66" t="str">
        <f>IF('Calc|Opex forecast'!M106='Calc|Opex forecast'!M4,SUM('Calc|Opex forecast'!$J$29:$S$29),"")</f>
        <v/>
      </c>
      <c r="M13" s="66" t="str">
        <f>IF('Calc|Opex forecast'!N106='Calc|Opex forecast'!N4,SUM('Calc|Opex forecast'!$J$29:$S$29),"")</f>
        <v/>
      </c>
      <c r="N13" s="66">
        <f>IF('Calc|Opex forecast'!O106='Calc|Opex forecast'!O4,SUM('Calc|Opex forecast'!$J$29:$S$29),"")</f>
        <v>0</v>
      </c>
      <c r="O13" s="66">
        <f>IF('Calc|Opex forecast'!P106='Calc|Opex forecast'!P4,SUM('Calc|Opex forecast'!$J$29:$S$29),"")</f>
        <v>0</v>
      </c>
      <c r="P13" s="66">
        <f>IF('Calc|Opex forecast'!Q106='Calc|Opex forecast'!Q4,SUM('Calc|Opex forecast'!$J$29:$S$29),"")</f>
        <v>0</v>
      </c>
      <c r="Q13" s="66">
        <f>IF('Calc|Opex forecast'!R106='Calc|Opex forecast'!R4,SUM('Calc|Opex forecast'!$J$29:$S$29),"")</f>
        <v>0</v>
      </c>
      <c r="R13" s="66">
        <f>IF('Calc|Opex forecast'!S106='Calc|Opex forecast'!S4,SUM('Calc|Opex forecast'!$J$29:$S$29),"")</f>
        <v>0</v>
      </c>
      <c r="S13" s="66" t="str">
        <f>IF('Calc|Opex forecast'!T106='Calc|Opex forecast'!T4,SUM('Calc|Opex forecast'!$J$29:$S$29),"")</f>
        <v/>
      </c>
      <c r="T13" s="66"/>
      <c r="U13" s="70">
        <f>SUM(I13:S13)</f>
        <v>0</v>
      </c>
      <c r="V13" s="205">
        <f t="shared" ca="1" si="0"/>
        <v>0</v>
      </c>
      <c r="W13" s="201"/>
      <c r="X13" s="66">
        <f ca="1">SUM($U$11:$U12)-AA13</f>
        <v>1348.155501907768</v>
      </c>
      <c r="Y13" s="66"/>
      <c r="Z13" s="66">
        <f t="shared" ref="Z13:Z22" si="1">IF(U13&gt;0,U13,0)</f>
        <v>0</v>
      </c>
      <c r="AA13" s="66">
        <f t="shared" ref="AA13:AA22" si="2">IF(U13&lt;0,-U13,0)</f>
        <v>0</v>
      </c>
      <c r="AB13" s="203"/>
      <c r="AC13" s="203"/>
      <c r="AD13" s="203"/>
      <c r="AE13" s="203"/>
      <c r="AF13" s="203"/>
      <c r="AG13" s="201"/>
      <c r="AH13" s="201"/>
      <c r="AI13" s="201"/>
      <c r="AJ13" s="201"/>
      <c r="AK13" s="201"/>
      <c r="AL13" s="201"/>
      <c r="AM13" s="201"/>
    </row>
    <row r="14" spans="1:39" ht="14.5">
      <c r="A14" s="201"/>
      <c r="B14" s="15" t="s">
        <v>245</v>
      </c>
      <c r="C14" s="65" t="s">
        <v>243</v>
      </c>
      <c r="D14" s="16" t="str">
        <f>'Calc|Opex forecast'!$E$8</f>
        <v>$millions</v>
      </c>
      <c r="E14" s="98">
        <f>'Calc|Opex forecast'!$F$8</f>
        <v>46174</v>
      </c>
      <c r="F14" s="16"/>
      <c r="G14" s="16"/>
      <c r="H14" s="16"/>
      <c r="I14" s="66" t="str">
        <f>IF('Calc|Opex forecast'!J106='Calc|Opex forecast'!J4,SUM('Calc|Opex forecast'!$J$38:$S$38,'Calc|Opex forecast'!$J$41:$S$41,'Calc|Opex forecast'!$J$44:$S$44,'Calc|Opex forecast'!$J$47:$S$47,'Calc|Opex forecast'!$J$50:$S$50),"")</f>
        <v/>
      </c>
      <c r="J14" s="66" t="str">
        <f>IF('Calc|Opex forecast'!K106='Calc|Opex forecast'!K4,SUM('Calc|Opex forecast'!$J$38:$S$38,'Calc|Opex forecast'!$J$41:$S$41,'Calc|Opex forecast'!$J$44:$S$44,'Calc|Opex forecast'!$J$47:$S$47,'Calc|Opex forecast'!$J$50:$S$50),"")</f>
        <v/>
      </c>
      <c r="K14" s="66" t="str">
        <f>IF('Calc|Opex forecast'!L106='Calc|Opex forecast'!L4,SUM('Calc|Opex forecast'!$J$38:$S$38,'Calc|Opex forecast'!$J$41:$S$41,'Calc|Opex forecast'!$J$44:$S$44,'Calc|Opex forecast'!$J$47:$S$47,'Calc|Opex forecast'!$J$50:$S$50),"")</f>
        <v/>
      </c>
      <c r="L14" s="66" t="str">
        <f>IF('Calc|Opex forecast'!M106='Calc|Opex forecast'!M4,SUM('Calc|Opex forecast'!$J$38:$S$38,'Calc|Opex forecast'!$J$41:$S$41,'Calc|Opex forecast'!$J$44:$S$44,'Calc|Opex forecast'!$J$47:$S$47,'Calc|Opex forecast'!$J$50:$S$50),"")</f>
        <v/>
      </c>
      <c r="M14" s="66" t="str">
        <f>IF('Calc|Opex forecast'!N106='Calc|Opex forecast'!N4,SUM('Calc|Opex forecast'!$J$38:$S$38,'Calc|Opex forecast'!$J$41:$S$41,'Calc|Opex forecast'!$J$44:$S$44,'Calc|Opex forecast'!$J$47:$S$47,'Calc|Opex forecast'!$J$50:$S$50),"")</f>
        <v/>
      </c>
      <c r="N14" s="66">
        <f>IF('Calc|Opex forecast'!O106='Calc|Opex forecast'!O4,SUM('Calc|Opex forecast'!$J$38:$S$38,'Calc|Opex forecast'!$J$41:$S$41,'Calc|Opex forecast'!$J$44:$S$44,'Calc|Opex forecast'!$J$47:$S$47,'Calc|Opex forecast'!$J$50:$S$50),"")</f>
        <v>0.66519261026976517</v>
      </c>
      <c r="O14" s="66">
        <f>IF('Calc|Opex forecast'!P106='Calc|Opex forecast'!P4,SUM('Calc|Opex forecast'!$J$38:$S$38,'Calc|Opex forecast'!$J$41:$S$41,'Calc|Opex forecast'!$J$44:$S$44,'Calc|Opex forecast'!$J$47:$S$47,'Calc|Opex forecast'!$J$50:$S$50),"")</f>
        <v>0.66519261026976517</v>
      </c>
      <c r="P14" s="66">
        <f>IF('Calc|Opex forecast'!Q106='Calc|Opex forecast'!Q4,SUM('Calc|Opex forecast'!$J$38:$S$38,'Calc|Opex forecast'!$J$41:$S$41,'Calc|Opex forecast'!$J$44:$S$44,'Calc|Opex forecast'!$J$47:$S$47,'Calc|Opex forecast'!$J$50:$S$50),"")</f>
        <v>0.66519261026976517</v>
      </c>
      <c r="Q14" s="66">
        <f>IF('Calc|Opex forecast'!R106='Calc|Opex forecast'!R4,SUM('Calc|Opex forecast'!$J$38:$S$38,'Calc|Opex forecast'!$J$41:$S$41,'Calc|Opex forecast'!$J$44:$S$44,'Calc|Opex forecast'!$J$47:$S$47,'Calc|Opex forecast'!$J$50:$S$50),"")</f>
        <v>0.66519261026976517</v>
      </c>
      <c r="R14" s="66">
        <f>IF('Calc|Opex forecast'!S106='Calc|Opex forecast'!S4,SUM('Calc|Opex forecast'!$J$38:$S$38,'Calc|Opex forecast'!$J$41:$S$41,'Calc|Opex forecast'!$J$44:$S$44,'Calc|Opex forecast'!$J$47:$S$47,'Calc|Opex forecast'!$J$50:$S$50),"")</f>
        <v>0.66519261026976517</v>
      </c>
      <c r="S14" s="66" t="str">
        <f>IF('Calc|Opex forecast'!T106='Calc|Opex forecast'!T4,SUM('Calc|Opex forecast'!$J$38:$S$38,'Calc|Opex forecast'!$J$41:$S$41,'Calc|Opex forecast'!$J$44:$S$44,'Calc|Opex forecast'!$J$47:$S$47,'Calc|Opex forecast'!$J$50:$S$50),"")</f>
        <v/>
      </c>
      <c r="T14" s="66"/>
      <c r="U14" s="70">
        <f>SUM(I14:S14)</f>
        <v>3.3259630513488259</v>
      </c>
      <c r="V14" s="205">
        <f t="shared" ca="1" si="0"/>
        <v>2.052322234188476E-3</v>
      </c>
      <c r="W14" s="201"/>
      <c r="X14" s="66">
        <f ca="1">SUM($U$11:$U13)-AA14</f>
        <v>1348.155501907768</v>
      </c>
      <c r="Y14" s="66"/>
      <c r="Z14" s="66">
        <f t="shared" si="1"/>
        <v>3.3259630513488259</v>
      </c>
      <c r="AA14" s="66">
        <f t="shared" si="2"/>
        <v>0</v>
      </c>
      <c r="AB14" s="203"/>
      <c r="AC14" s="203"/>
      <c r="AD14" s="203"/>
      <c r="AE14" s="203"/>
      <c r="AF14" s="203"/>
      <c r="AG14" s="201"/>
      <c r="AH14" s="201"/>
      <c r="AI14" s="201"/>
      <c r="AJ14" s="201"/>
      <c r="AK14" s="201"/>
      <c r="AL14" s="201"/>
      <c r="AM14" s="201"/>
    </row>
    <row r="15" spans="1:39" ht="14.5">
      <c r="A15" s="201"/>
      <c r="B15" s="15" t="s">
        <v>253</v>
      </c>
      <c r="C15" s="65" t="s">
        <v>243</v>
      </c>
      <c r="D15" s="16" t="str">
        <f>'Calc|Opex forecast'!$E$8</f>
        <v>$millions</v>
      </c>
      <c r="E15" s="98">
        <f>'Calc|Opex forecast'!$F$8</f>
        <v>46174</v>
      </c>
      <c r="F15" s="16"/>
      <c r="G15" s="16"/>
      <c r="H15" s="16"/>
      <c r="I15" s="66" t="str">
        <f>IF('Calc|Opex forecast'!J106='Calc|Opex forecast'!J4,SUM('Calc|Opex forecast'!$J$31:$S$31),"")</f>
        <v/>
      </c>
      <c r="J15" s="66" t="str">
        <f>IF('Calc|Opex forecast'!K106='Calc|Opex forecast'!K4,SUM('Calc|Opex forecast'!$J$31:$S$31),"")</f>
        <v/>
      </c>
      <c r="K15" s="66" t="str">
        <f>IF('Calc|Opex forecast'!L106='Calc|Opex forecast'!L4,SUM('Calc|Opex forecast'!$J$31:$S$31),"")</f>
        <v/>
      </c>
      <c r="L15" s="66" t="str">
        <f>IF('Calc|Opex forecast'!M106='Calc|Opex forecast'!M4,SUM('Calc|Opex forecast'!$J$31:$S$31),"")</f>
        <v/>
      </c>
      <c r="M15" s="66" t="str">
        <f>IF('Calc|Opex forecast'!N106='Calc|Opex forecast'!N4,SUM('Calc|Opex forecast'!$J$31:$S$31),"")</f>
        <v/>
      </c>
      <c r="N15" s="66">
        <f>IF('Calc|Opex forecast'!O106='Calc|Opex forecast'!O4,SUM('Calc|Opex forecast'!$J$31:$S$31),"")</f>
        <v>19.786116930106971</v>
      </c>
      <c r="O15" s="66">
        <f>IF('Calc|Opex forecast'!P106='Calc|Opex forecast'!P4,SUM('Calc|Opex forecast'!$J$31:$S$31),"")</f>
        <v>19.786116930106971</v>
      </c>
      <c r="P15" s="66">
        <f>IF('Calc|Opex forecast'!Q106='Calc|Opex forecast'!Q4,SUM('Calc|Opex forecast'!$J$31:$S$31),"")</f>
        <v>19.786116930106971</v>
      </c>
      <c r="Q15" s="66">
        <f>IF('Calc|Opex forecast'!R106='Calc|Opex forecast'!R4,SUM('Calc|Opex forecast'!$J$31:$S$31),"")</f>
        <v>19.786116930106971</v>
      </c>
      <c r="R15" s="66">
        <f>IF('Calc|Opex forecast'!S106='Calc|Opex forecast'!S4,SUM('Calc|Opex forecast'!$J$31:$S$31),"")</f>
        <v>19.786116930106971</v>
      </c>
      <c r="S15" s="66" t="str">
        <f>IF('Calc|Opex forecast'!T106='Calc|Opex forecast'!T4,SUM('Calc|Opex forecast'!$J$31:$S$31),"")</f>
        <v/>
      </c>
      <c r="T15" s="66"/>
      <c r="U15" s="70">
        <f>SUM(I15:S15)</f>
        <v>98.930584650534854</v>
      </c>
      <c r="V15" s="205">
        <f t="shared" ca="1" si="0"/>
        <v>6.4873340448443187E-2</v>
      </c>
      <c r="W15" s="201"/>
      <c r="X15" s="66">
        <f ca="1">SUM($U$11:$U14)-AA15</f>
        <v>1351.4814649591169</v>
      </c>
      <c r="Y15" s="66"/>
      <c r="Z15" s="66">
        <f t="shared" si="1"/>
        <v>98.930584650534854</v>
      </c>
      <c r="AA15" s="66">
        <f t="shared" si="2"/>
        <v>0</v>
      </c>
      <c r="AB15" s="203"/>
      <c r="AC15" s="203"/>
      <c r="AD15" s="203"/>
      <c r="AE15" s="203"/>
      <c r="AF15" s="203"/>
      <c r="AG15" s="201"/>
      <c r="AH15" s="201"/>
      <c r="AI15" s="201"/>
      <c r="AJ15" s="201"/>
      <c r="AK15" s="201"/>
      <c r="AL15" s="201"/>
      <c r="AM15" s="201"/>
    </row>
    <row r="16" spans="1:39" ht="14.5">
      <c r="A16" s="201"/>
      <c r="B16" s="15" t="s">
        <v>246</v>
      </c>
      <c r="C16" s="65" t="s">
        <v>243</v>
      </c>
      <c r="D16" s="16" t="str">
        <f>'Calc|Opex forecast'!$E$8</f>
        <v>$millions</v>
      </c>
      <c r="E16" s="98">
        <f>'Calc|Opex forecast'!$F$8</f>
        <v>46174</v>
      </c>
      <c r="F16" s="16"/>
      <c r="G16" s="16"/>
      <c r="H16" s="16"/>
      <c r="I16" s="66" t="str">
        <f>IF('Calc|Opex forecast'!J106='Calc|Opex forecast'!J4,SUM('Calc|Opex forecast'!$J$35:$T$35),"")</f>
        <v/>
      </c>
      <c r="J16" s="66" t="str">
        <f>IF('Calc|Opex forecast'!K106='Calc|Opex forecast'!K4,SUM('Calc|Opex forecast'!$J$35:$T$35),"")</f>
        <v/>
      </c>
      <c r="K16" s="66" t="str">
        <f>IF('Calc|Opex forecast'!L106='Calc|Opex forecast'!L4,SUM('Calc|Opex forecast'!$J$35:$T$35),"")</f>
        <v/>
      </c>
      <c r="L16" s="66" t="str">
        <f>IF('Calc|Opex forecast'!M106='Calc|Opex forecast'!M4,SUM('Calc|Opex forecast'!$J$35:$T$35),"")</f>
        <v/>
      </c>
      <c r="M16" s="66" t="str">
        <f>IF('Calc|Opex forecast'!N106='Calc|Opex forecast'!N4,SUM('Calc|Opex forecast'!$J$35:$T$35),"")</f>
        <v/>
      </c>
      <c r="N16" s="66">
        <f>IF('Calc|Opex forecast'!O106='Calc|Opex forecast'!O4,SUM('Calc|Opex forecast'!$J$35:$T$35),"")</f>
        <v>-7.5623069493715906</v>
      </c>
      <c r="O16" s="66">
        <f>IF('Calc|Opex forecast'!P106='Calc|Opex forecast'!P4,SUM('Calc|Opex forecast'!$J$35:$T$35),"")</f>
        <v>-7.5623069493715906</v>
      </c>
      <c r="P16" s="66">
        <f>IF('Calc|Opex forecast'!Q106='Calc|Opex forecast'!Q4,SUM('Calc|Opex forecast'!$J$35:$T$35),"")</f>
        <v>-7.5623069493715906</v>
      </c>
      <c r="Q16" s="66">
        <f>IF('Calc|Opex forecast'!R106='Calc|Opex forecast'!R4,SUM('Calc|Opex forecast'!$J$35:$T$35),"")</f>
        <v>-7.5623069493715906</v>
      </c>
      <c r="R16" s="66">
        <f>IF('Calc|Opex forecast'!S106='Calc|Opex forecast'!S4,SUM('Calc|Opex forecast'!$J$35:$T$35),"")</f>
        <v>-7.5623069493715906</v>
      </c>
      <c r="S16" s="66" t="str">
        <f>IF('Calc|Opex forecast'!T106='Calc|Opex forecast'!T4,SUM('Calc|Opex forecast'!$J$35:$T$35),"")</f>
        <v/>
      </c>
      <c r="T16" s="66"/>
      <c r="U16" s="70">
        <f t="shared" ref="U16:U22" si="3">SUM(I16:S16)</f>
        <v>-37.811534746857951</v>
      </c>
      <c r="V16" s="205">
        <f t="shared" ca="1" si="0"/>
        <v>-2.2754419045315808E-2</v>
      </c>
      <c r="W16" s="201"/>
      <c r="X16" s="66">
        <f ca="1">SUM($U$11:$U15)-AA16</f>
        <v>1412.6005148627939</v>
      </c>
      <c r="Y16" s="66"/>
      <c r="Z16" s="66">
        <f t="shared" si="1"/>
        <v>0</v>
      </c>
      <c r="AA16" s="66">
        <f t="shared" si="2"/>
        <v>37.811534746857951</v>
      </c>
      <c r="AB16" s="203"/>
      <c r="AC16" s="203"/>
      <c r="AD16" s="203"/>
      <c r="AE16" s="203"/>
      <c r="AF16" s="203"/>
      <c r="AG16" s="201"/>
      <c r="AH16" s="201"/>
      <c r="AI16" s="201"/>
      <c r="AJ16" s="201"/>
      <c r="AK16" s="201"/>
      <c r="AL16" s="201"/>
      <c r="AM16" s="201"/>
    </row>
    <row r="17" spans="1:39" ht="14.5">
      <c r="A17" s="201"/>
      <c r="B17" s="15" t="s">
        <v>247</v>
      </c>
      <c r="C17" s="16" t="s">
        <v>30</v>
      </c>
      <c r="D17" s="16" t="str">
        <f>'Calc|Opex forecast'!$E$8</f>
        <v>$millions</v>
      </c>
      <c r="E17" s="98">
        <f>'Calc|Opex forecast'!$F$8</f>
        <v>46174</v>
      </c>
      <c r="F17" s="16"/>
      <c r="G17" s="16"/>
      <c r="H17" s="16"/>
      <c r="I17" s="66" t="str">
        <f>IF('Calc|Opex forecast'!J106='Calc|Opex forecast'!J4,'Calc|Opex forecast'!J62/('Calc|Opex forecast'!J$62+'Calc|Opex forecast'!J$65-'Calc|Opex forecast'!J$68)*'Calc|Opex forecast'!J$71*SUM('Calc|Opex forecast'!$J$54:$T$54),"")</f>
        <v/>
      </c>
      <c r="J17" s="66" t="str">
        <f>IF('Calc|Opex forecast'!K106='Calc|Opex forecast'!K4,'Calc|Opex forecast'!K62/('Calc|Opex forecast'!K$62+'Calc|Opex forecast'!K$65-'Calc|Opex forecast'!K$68)*'Calc|Opex forecast'!K$71*SUM('Calc|Opex forecast'!$J$54:$T$54),"")</f>
        <v/>
      </c>
      <c r="K17" s="66" t="str">
        <f>IF('Calc|Opex forecast'!L106='Calc|Opex forecast'!L4,'Calc|Opex forecast'!L62/('Calc|Opex forecast'!L$62+'Calc|Opex forecast'!L$65-'Calc|Opex forecast'!L$68)*'Calc|Opex forecast'!L$71*SUM('Calc|Opex forecast'!$J$54:$T$54),"")</f>
        <v/>
      </c>
      <c r="L17" s="66" t="str">
        <f>IF('Calc|Opex forecast'!M106='Calc|Opex forecast'!M4,'Calc|Opex forecast'!M62/('Calc|Opex forecast'!M$62+'Calc|Opex forecast'!M$65-'Calc|Opex forecast'!M$68)*'Calc|Opex forecast'!M$71*SUM('Calc|Opex forecast'!$J$54:$T$54),"")</f>
        <v/>
      </c>
      <c r="M17" s="66" t="str">
        <f>IF('Calc|Opex forecast'!N106='Calc|Opex forecast'!N4,'Calc|Opex forecast'!N62/('Calc|Opex forecast'!N$62+'Calc|Opex forecast'!N$65-'Calc|Opex forecast'!N$68)*'Calc|Opex forecast'!N$71*SUM('Calc|Opex forecast'!$J$54:$T$54),"")</f>
        <v/>
      </c>
      <c r="N17" s="66">
        <f ca="1">IF('Calc|Opex forecast'!O106='Calc|Opex forecast'!O4,'Calc|Opex forecast'!O62/('Calc|Opex forecast'!O$62+'Calc|Opex forecast'!O$65-'Calc|Opex forecast'!O$68)*'Calc|Opex forecast'!O$71*SUM('Calc|Opex forecast'!$J$54:$T$54),"")</f>
        <v>5.9341220883883672</v>
      </c>
      <c r="O17" s="66">
        <f ca="1">IF('Calc|Opex forecast'!P106='Calc|Opex forecast'!P4,'Calc|Opex forecast'!P62/('Calc|Opex forecast'!P$62+'Calc|Opex forecast'!P$65-'Calc|Opex forecast'!P$68)*'Calc|Opex forecast'!P$71*SUM('Calc|Opex forecast'!$J$54:$T$54),"")</f>
        <v>10.338672452170552</v>
      </c>
      <c r="P17" s="66">
        <f ca="1">IF('Calc|Opex forecast'!Q106='Calc|Opex forecast'!Q4,'Calc|Opex forecast'!Q62/('Calc|Opex forecast'!Q$62+'Calc|Opex forecast'!Q$65-'Calc|Opex forecast'!Q$68)*'Calc|Opex forecast'!Q$71*SUM('Calc|Opex forecast'!$J$54:$T$54),"")</f>
        <v>15.459659668334226</v>
      </c>
      <c r="Q17" s="66">
        <f ca="1">IF('Calc|Opex forecast'!R106='Calc|Opex forecast'!R4,'Calc|Opex forecast'!R62/('Calc|Opex forecast'!R$62+'Calc|Opex forecast'!R$65-'Calc|Opex forecast'!R$68)*'Calc|Opex forecast'!R$71*SUM('Calc|Opex forecast'!$J$54:$T$54),"")</f>
        <v>19.748450201373345</v>
      </c>
      <c r="R17" s="66">
        <f ca="1">IF('Calc|Opex forecast'!S106='Calc|Opex forecast'!S4,'Calc|Opex forecast'!S62/('Calc|Opex forecast'!S$62+'Calc|Opex forecast'!S$65-'Calc|Opex forecast'!S$68)*'Calc|Opex forecast'!S$71*SUM('Calc|Opex forecast'!$J$54:$T$54),"")</f>
        <v>26.499626560841829</v>
      </c>
      <c r="S17" s="66" t="str">
        <f t="array" ref="S17">IF('Calc|Opex forecast'!T106='Calc|Opex forecast'!T4,(PRODUCT(1+'Calc|Opex forecast'!$J61:T61)-1)*PRODUCT(1+'Calc|Opex forecast'!$J64:T64)*PRODUCT(1-'Calc|Opex forecast'!$J67:T67)*SUM('Calc|Opex forecast'!$J$54:$S$54),"")</f>
        <v/>
      </c>
      <c r="T17" s="66"/>
      <c r="U17" s="206">
        <f t="shared" ca="1" si="3"/>
        <v>77.980530971108323</v>
      </c>
      <c r="V17" s="205">
        <f t="shared" ca="1" si="0"/>
        <v>5.0442451319341754E-2</v>
      </c>
      <c r="W17" s="201"/>
      <c r="X17" s="66">
        <f ca="1">SUM($U$11:$U16)-AA17</f>
        <v>1412.6005148627939</v>
      </c>
      <c r="Y17" s="66"/>
      <c r="Z17" s="66">
        <f t="shared" ca="1" si="1"/>
        <v>77.980530971108323</v>
      </c>
      <c r="AA17" s="66">
        <f t="shared" ca="1" si="2"/>
        <v>0</v>
      </c>
      <c r="AB17" s="203"/>
      <c r="AC17" s="203"/>
      <c r="AD17" s="203"/>
      <c r="AE17" s="203"/>
      <c r="AF17" s="207"/>
      <c r="AG17" s="201"/>
      <c r="AH17" s="201"/>
      <c r="AI17" s="201"/>
      <c r="AJ17" s="201"/>
      <c r="AK17" s="201"/>
      <c r="AL17" s="201"/>
      <c r="AM17" s="201"/>
    </row>
    <row r="18" spans="1:39" ht="14.5">
      <c r="A18" s="201"/>
      <c r="B18" s="15" t="s">
        <v>248</v>
      </c>
      <c r="C18" s="16" t="s">
        <v>30</v>
      </c>
      <c r="D18" s="16" t="str">
        <f>'Calc|Opex forecast'!$E$8</f>
        <v>$millions</v>
      </c>
      <c r="E18" s="98">
        <f>'Calc|Opex forecast'!$F$8</f>
        <v>46174</v>
      </c>
      <c r="F18" s="16"/>
      <c r="G18" s="16"/>
      <c r="H18" s="16"/>
      <c r="I18" s="66" t="str">
        <f>IF('Calc|Opex forecast'!J106='Calc|Opex forecast'!J4,'Calc|Opex forecast'!J65/('Calc|Opex forecast'!J$62+'Calc|Opex forecast'!J$65-'Calc|Opex forecast'!J$68)*'Calc|Opex forecast'!J$71*SUM('Calc|Opex forecast'!$J$54:$T$54),"")</f>
        <v/>
      </c>
      <c r="J18" s="66" t="str">
        <f>IF('Calc|Opex forecast'!K106='Calc|Opex forecast'!K4,'Calc|Opex forecast'!K65/('Calc|Opex forecast'!K$62+'Calc|Opex forecast'!K$65-'Calc|Opex forecast'!K$68)*'Calc|Opex forecast'!K$71*SUM('Calc|Opex forecast'!$J$54:$T$54),"")</f>
        <v/>
      </c>
      <c r="K18" s="66" t="str">
        <f>IF('Calc|Opex forecast'!L106='Calc|Opex forecast'!L4,'Calc|Opex forecast'!L65/('Calc|Opex forecast'!L$62+'Calc|Opex forecast'!L$65-'Calc|Opex forecast'!L$68)*'Calc|Opex forecast'!L$71*SUM('Calc|Opex forecast'!$J$54:$T$54),"")</f>
        <v/>
      </c>
      <c r="L18" s="66" t="str">
        <f>IF('Calc|Opex forecast'!M106='Calc|Opex forecast'!M4,'Calc|Opex forecast'!M65/('Calc|Opex forecast'!M$62+'Calc|Opex forecast'!M$65-'Calc|Opex forecast'!M$68)*'Calc|Opex forecast'!M$71*SUM('Calc|Opex forecast'!$J$54:$T$54),"")</f>
        <v/>
      </c>
      <c r="M18" s="66" t="str">
        <f>IF('Calc|Opex forecast'!N106='Calc|Opex forecast'!N4,'Calc|Opex forecast'!N65/('Calc|Opex forecast'!N$62+'Calc|Opex forecast'!N$65-'Calc|Opex forecast'!N$68)*'Calc|Opex forecast'!N$71*SUM('Calc|Opex forecast'!$J$54:$T$54),"")</f>
        <v/>
      </c>
      <c r="N18" s="66">
        <f ca="1">IF('Calc|Opex forecast'!O106='Calc|Opex forecast'!O4,'Calc|Opex forecast'!O65/('Calc|Opex forecast'!O$62+'Calc|Opex forecast'!O$65-'Calc|Opex forecast'!O$68)*'Calc|Opex forecast'!O$71*SUM('Calc|Opex forecast'!$J$54:$T$54),"")</f>
        <v>1.356358894528501</v>
      </c>
      <c r="O18" s="66">
        <f ca="1">IF('Calc|Opex forecast'!P106='Calc|Opex forecast'!P4,'Calc|Opex forecast'!P65/('Calc|Opex forecast'!P$62+'Calc|Opex forecast'!P$65-'Calc|Opex forecast'!P$68)*'Calc|Opex forecast'!P$71*SUM('Calc|Opex forecast'!$J$54:$T$54),"")</f>
        <v>2.9600882181703798</v>
      </c>
      <c r="P18" s="66">
        <f ca="1">IF('Calc|Opex forecast'!Q106='Calc|Opex forecast'!Q4,'Calc|Opex forecast'!Q65/('Calc|Opex forecast'!Q$62+'Calc|Opex forecast'!Q$65-'Calc|Opex forecast'!Q$68)*'Calc|Opex forecast'!Q$71*SUM('Calc|Opex forecast'!$J$54:$T$54),"")</f>
        <v>4.8562893027098681</v>
      </c>
      <c r="Q18" s="66">
        <f ca="1">IF('Calc|Opex forecast'!R106='Calc|Opex forecast'!R4,'Calc|Opex forecast'!R65/('Calc|Opex forecast'!R$62+'Calc|Opex forecast'!R$65-'Calc|Opex forecast'!R$68)*'Calc|Opex forecast'!R$71*SUM('Calc|Opex forecast'!$J$54:$T$54),"")</f>
        <v>6.9543212980640634</v>
      </c>
      <c r="R18" s="66">
        <f ca="1">IF('Calc|Opex forecast'!S106='Calc|Opex forecast'!S4,'Calc|Opex forecast'!S65/('Calc|Opex forecast'!S$62+'Calc|Opex forecast'!S$65-'Calc|Opex forecast'!S$68)*'Calc|Opex forecast'!S$71*SUM('Calc|Opex forecast'!$J$54:$T$54),"")</f>
        <v>9.0321969244898739</v>
      </c>
      <c r="S18" s="66" t="str">
        <f t="array" ref="S18">IF('Calc|Opex forecast'!T106='Calc|Opex forecast'!T4,(PRODUCT(1+'Calc|Opex forecast'!$J64:T64)-1)*PRODUCT(1-'Calc|Opex forecast'!$J67:T67)*SUM('Calc|Opex forecast'!$J$54:$S$54),"")</f>
        <v/>
      </c>
      <c r="T18" s="66"/>
      <c r="U18" s="206">
        <f t="shared" ca="1" si="3"/>
        <v>25.159254637962686</v>
      </c>
      <c r="V18" s="205">
        <f t="shared" ca="1" si="0"/>
        <v>1.5736809698829644E-2</v>
      </c>
      <c r="W18" s="201"/>
      <c r="X18" s="66">
        <f ca="1">SUM($U$11:$U17)-AA18</f>
        <v>1490.5810458339022</v>
      </c>
      <c r="Y18" s="66"/>
      <c r="Z18" s="66">
        <f t="shared" ca="1" si="1"/>
        <v>25.159254637962686</v>
      </c>
      <c r="AA18" s="66">
        <f t="shared" ca="1" si="2"/>
        <v>0</v>
      </c>
      <c r="AB18" s="203"/>
      <c r="AC18" s="203"/>
      <c r="AD18" s="203"/>
      <c r="AE18" s="203"/>
      <c r="AF18" s="203"/>
      <c r="AG18" s="201"/>
      <c r="AH18" s="201"/>
      <c r="AI18" s="201"/>
      <c r="AJ18" s="201"/>
      <c r="AK18" s="201"/>
      <c r="AL18" s="201"/>
      <c r="AM18" s="201"/>
    </row>
    <row r="19" spans="1:39" ht="14.5">
      <c r="A19" s="201"/>
      <c r="B19" s="15" t="s">
        <v>249</v>
      </c>
      <c r="C19" s="16" t="s">
        <v>30</v>
      </c>
      <c r="D19" s="16" t="str">
        <f>'Calc|Opex forecast'!$E$8</f>
        <v>$millions</v>
      </c>
      <c r="E19" s="98">
        <f>'Calc|Opex forecast'!$F$8</f>
        <v>46174</v>
      </c>
      <c r="F19" s="16"/>
      <c r="G19" s="16"/>
      <c r="H19" s="16"/>
      <c r="I19" s="66" t="str">
        <f>IF('Calc|Opex forecast'!J106='Calc|Opex forecast'!J4,-'Calc|Opex forecast'!J68/('Calc|Opex forecast'!J$62+'Calc|Opex forecast'!J$65-'Calc|Opex forecast'!J$68)*'Calc|Opex forecast'!J$71*SUM('Calc|Opex forecast'!$J$54:$T$54),"")</f>
        <v/>
      </c>
      <c r="J19" s="66" t="str">
        <f>IF('Calc|Opex forecast'!K106='Calc|Opex forecast'!K4,-'Calc|Opex forecast'!K68/('Calc|Opex forecast'!K$62+'Calc|Opex forecast'!K$65-'Calc|Opex forecast'!K$68)*'Calc|Opex forecast'!K$71*SUM('Calc|Opex forecast'!$J$54:$T$54),"")</f>
        <v/>
      </c>
      <c r="K19" s="66" t="str">
        <f>IF('Calc|Opex forecast'!L106='Calc|Opex forecast'!L4,-'Calc|Opex forecast'!L68/('Calc|Opex forecast'!L$62+'Calc|Opex forecast'!L$65-'Calc|Opex forecast'!L$68)*'Calc|Opex forecast'!L$71*SUM('Calc|Opex forecast'!$J$54:$T$54),"")</f>
        <v/>
      </c>
      <c r="L19" s="66" t="str">
        <f>IF('Calc|Opex forecast'!M106='Calc|Opex forecast'!M4,-'Calc|Opex forecast'!M68/('Calc|Opex forecast'!M$62+'Calc|Opex forecast'!M$65-'Calc|Opex forecast'!M$68)*'Calc|Opex forecast'!M$71*SUM('Calc|Opex forecast'!$J$54:$T$54),"")</f>
        <v/>
      </c>
      <c r="M19" s="66" t="str">
        <f>IF('Calc|Opex forecast'!N106='Calc|Opex forecast'!N4,-'Calc|Opex forecast'!N68/('Calc|Opex forecast'!N$62+'Calc|Opex forecast'!N$65-'Calc|Opex forecast'!N$68)*'Calc|Opex forecast'!N$71*SUM('Calc|Opex forecast'!$J$54:$T$54),"")</f>
        <v/>
      </c>
      <c r="N19" s="66">
        <f ca="1">IF('Calc|Opex forecast'!O106='Calc|Opex forecast'!O4,-'Calc|Opex forecast'!O68/('Calc|Opex forecast'!O$62+'Calc|Opex forecast'!O$65-'Calc|Opex forecast'!O$68)*'Calc|Opex forecast'!O$71*SUM('Calc|Opex forecast'!$J$54:$T$54),"")</f>
        <v>-1.4106625470627534</v>
      </c>
      <c r="O19" s="66">
        <f ca="1">IF('Calc|Opex forecast'!P106='Calc|Opex forecast'!P4,-'Calc|Opex forecast'!P68/('Calc|Opex forecast'!P$62+'Calc|Opex forecast'!P$65-'Calc|Opex forecast'!P$68)*'Calc|Opex forecast'!P$71*SUM('Calc|Opex forecast'!$J$54:$T$54),"")</f>
        <v>-2.8292376238464927</v>
      </c>
      <c r="P19" s="66">
        <f ca="1">IF('Calc|Opex forecast'!Q106='Calc|Opex forecast'!Q4,-'Calc|Opex forecast'!Q68/('Calc|Opex forecast'!Q$62+'Calc|Opex forecast'!Q$65-'Calc|Opex forecast'!Q$68)*'Calc|Opex forecast'!Q$71*SUM('Calc|Opex forecast'!$J$54:$T$54),"")</f>
        <v>-4.2592699167782264</v>
      </c>
      <c r="Q19" s="66">
        <f ca="1">IF('Calc|Opex forecast'!R106='Calc|Opex forecast'!R4,-'Calc|Opex forecast'!R68/('Calc|Opex forecast'!R$62+'Calc|Opex forecast'!R$65-'Calc|Opex forecast'!R$68)*'Calc|Opex forecast'!R$71*SUM('Calc|Opex forecast'!$J$54:$T$54),"")</f>
        <v>-5.7012131079274146</v>
      </c>
      <c r="R19" s="66">
        <f ca="1">IF('Calc|Opex forecast'!S106='Calc|Opex forecast'!S4,-'Calc|Opex forecast'!S68/('Calc|Opex forecast'!S$62+'Calc|Opex forecast'!S$65-'Calc|Opex forecast'!S$68)*'Calc|Opex forecast'!S$71*SUM('Calc|Opex forecast'!$J$54:$T$54),"")</f>
        <v>-7.1555986090739809</v>
      </c>
      <c r="S19" s="66" t="str">
        <f t="array" ref="S19">IF('Calc|Opex forecast'!T106='Calc|Opex forecast'!T4,(PRODUCT(1-'Calc|Opex forecast'!$J67:T67)-1)*SUM('Calc|Opex forecast'!$J$54:$S$54),"")</f>
        <v/>
      </c>
      <c r="T19" s="66"/>
      <c r="U19" s="206">
        <f t="shared" ca="1" si="3"/>
        <v>-21.355981804688867</v>
      </c>
      <c r="V19" s="205">
        <f t="shared" ca="1" si="0"/>
        <v>-1.298025174166301E-2</v>
      </c>
      <c r="W19" s="208"/>
      <c r="X19" s="66">
        <f ca="1">SUM($U$11:$U18)-AA19</f>
        <v>1494.3843186671761</v>
      </c>
      <c r="Y19" s="66"/>
      <c r="Z19" s="66">
        <f t="shared" ca="1" si="1"/>
        <v>0</v>
      </c>
      <c r="AA19" s="66">
        <f t="shared" ca="1" si="2"/>
        <v>21.355981804688867</v>
      </c>
      <c r="AB19" s="203"/>
      <c r="AC19" s="203"/>
      <c r="AD19" s="203"/>
      <c r="AE19" s="203"/>
      <c r="AF19" s="203"/>
      <c r="AG19" s="201"/>
      <c r="AH19" s="201"/>
      <c r="AI19" s="201"/>
      <c r="AJ19" s="201"/>
      <c r="AK19" s="201"/>
      <c r="AL19" s="201"/>
      <c r="AM19" s="201"/>
    </row>
    <row r="20" spans="1:39" ht="14.5">
      <c r="A20" s="201"/>
      <c r="B20" s="15" t="s">
        <v>97</v>
      </c>
      <c r="C20" s="65" t="s">
        <v>243</v>
      </c>
      <c r="D20" s="16" t="str">
        <f>'Calc|Opex forecast'!$E$8</f>
        <v>$millions</v>
      </c>
      <c r="E20" s="98">
        <f>'Calc|Opex forecast'!$F$8</f>
        <v>46174</v>
      </c>
      <c r="F20" s="16"/>
      <c r="G20" s="16"/>
      <c r="H20" s="16"/>
      <c r="I20" s="66" t="str">
        <f>IF('Calc|Opex forecast'!J106='Calc|Opex forecast'!J4,'Calc|Opex forecast'!J90,"")</f>
        <v/>
      </c>
      <c r="J20" s="66" t="str">
        <f>IF('Calc|Opex forecast'!K106='Calc|Opex forecast'!K4,'Calc|Opex forecast'!K90,"")</f>
        <v/>
      </c>
      <c r="K20" s="66" t="str">
        <f>IF('Calc|Opex forecast'!L106='Calc|Opex forecast'!L4,'Calc|Opex forecast'!L90,"")</f>
        <v/>
      </c>
      <c r="L20" s="66" t="str">
        <f>IF('Calc|Opex forecast'!M106='Calc|Opex forecast'!M4,'Calc|Opex forecast'!M90,"")</f>
        <v/>
      </c>
      <c r="M20" s="66" t="str">
        <f>IF('Calc|Opex forecast'!N106='Calc|Opex forecast'!N4,'Calc|Opex forecast'!N90,"")</f>
        <v/>
      </c>
      <c r="N20" s="66">
        <f ca="1">IF('Calc|Opex forecast'!O106='Calc|Opex forecast'!O4,'Calc|Opex forecast'!O90,"")</f>
        <v>7.1153552967062321</v>
      </c>
      <c r="O20" s="66">
        <f ca="1">IF('Calc|Opex forecast'!P106='Calc|Opex forecast'!P4,'Calc|Opex forecast'!P90,"")</f>
        <v>9.5811179161214053</v>
      </c>
      <c r="P20" s="66">
        <f ca="1">IF('Calc|Opex forecast'!Q106='Calc|Opex forecast'!Q4,'Calc|Opex forecast'!Q90,"")</f>
        <v>11.685240470216938</v>
      </c>
      <c r="Q20" s="66">
        <f ca="1">IF('Calc|Opex forecast'!R106='Calc|Opex forecast'!R4,'Calc|Opex forecast'!R90,"")</f>
        <v>12.75455865459139</v>
      </c>
      <c r="R20" s="66">
        <f ca="1">IF('Calc|Opex forecast'!S106='Calc|Opex forecast'!S4,'Calc|Opex forecast'!S90,"")</f>
        <v>15.601474286252493</v>
      </c>
      <c r="S20" s="66" t="str">
        <f>IF('Calc|Opex forecast'!T106='Calc|Opex forecast'!T4,'Calc|Opex forecast'!T90,"")</f>
        <v/>
      </c>
      <c r="T20" s="66"/>
      <c r="U20" s="70">
        <f t="shared" ca="1" si="3"/>
        <v>56.737746623888455</v>
      </c>
      <c r="V20" s="205">
        <f t="shared" ca="1" si="0"/>
        <v>3.6203872398526737E-2</v>
      </c>
      <c r="W20" s="209"/>
      <c r="X20" s="66">
        <f ca="1">SUM($U$11:$U19)-AA20</f>
        <v>1494.3843186671761</v>
      </c>
      <c r="Y20" s="66"/>
      <c r="Z20" s="66">
        <f t="shared" ca="1" si="1"/>
        <v>56.737746623888455</v>
      </c>
      <c r="AA20" s="66">
        <f t="shared" ca="1" si="2"/>
        <v>0</v>
      </c>
      <c r="AB20" s="203"/>
      <c r="AC20" s="203"/>
      <c r="AD20" s="203"/>
      <c r="AE20" s="203"/>
      <c r="AF20" s="203"/>
      <c r="AG20" s="201"/>
      <c r="AH20" s="201"/>
      <c r="AI20" s="201"/>
      <c r="AJ20" s="201"/>
      <c r="AK20" s="201"/>
      <c r="AL20" s="201"/>
      <c r="AM20" s="201"/>
    </row>
    <row r="21" spans="1:39" ht="14.5">
      <c r="A21" s="201"/>
      <c r="B21" s="15" t="s">
        <v>102</v>
      </c>
      <c r="C21" s="65" t="s">
        <v>243</v>
      </c>
      <c r="D21" s="16" t="str">
        <f>'Calc|Opex forecast'!$E$8</f>
        <v>$millions</v>
      </c>
      <c r="E21" s="98">
        <f>'Calc|Opex forecast'!$F$8</f>
        <v>46174</v>
      </c>
      <c r="F21" s="16"/>
      <c r="G21" s="16"/>
      <c r="H21" s="16"/>
      <c r="I21" s="66" t="str">
        <f>IF('Calc|Opex forecast'!J106='Calc|Opex forecast'!J4,'Calc|Opex forecast'!J102,"")</f>
        <v/>
      </c>
      <c r="J21" s="66" t="str">
        <f>IF('Calc|Opex forecast'!K106='Calc|Opex forecast'!K4,'Calc|Opex forecast'!K102,"")</f>
        <v/>
      </c>
      <c r="K21" s="66" t="str">
        <f>IF('Calc|Opex forecast'!L106='Calc|Opex forecast'!L4,'Calc|Opex forecast'!L102,"")</f>
        <v/>
      </c>
      <c r="L21" s="66" t="str">
        <f>IF('Calc|Opex forecast'!M106='Calc|Opex forecast'!M4,'Calc|Opex forecast'!M102,"")</f>
        <v/>
      </c>
      <c r="M21" s="66" t="str">
        <f>IF('Calc|Opex forecast'!N106='Calc|Opex forecast'!N4,'Calc|Opex forecast'!N102,"")</f>
        <v/>
      </c>
      <c r="N21" s="66">
        <f>IF('Calc|Opex forecast'!O106='Calc|Opex forecast'!O4,'Calc|Opex forecast'!O102,"")</f>
        <v>11.002127607471524</v>
      </c>
      <c r="O21" s="66">
        <f>IF('Calc|Opex forecast'!P106='Calc|Opex forecast'!P4,'Calc|Opex forecast'!P102,"")</f>
        <v>10.923184855380129</v>
      </c>
      <c r="P21" s="66">
        <f>IF('Calc|Opex forecast'!Q106='Calc|Opex forecast'!Q4,'Calc|Opex forecast'!Q102,"")</f>
        <v>11.006918274004621</v>
      </c>
      <c r="Q21" s="66">
        <f>IF('Calc|Opex forecast'!R106='Calc|Opex forecast'!R4,'Calc|Opex forecast'!R102,"")</f>
        <v>11.007605614055196</v>
      </c>
      <c r="R21" s="66">
        <f>IF('Calc|Opex forecast'!S106='Calc|Opex forecast'!S4,'Calc|Opex forecast'!S102,"")</f>
        <v>11.123416604858807</v>
      </c>
      <c r="S21" s="66" t="str">
        <f>IF('Calc|Opex forecast'!T106='Calc|Opex forecast'!T4,'Calc|Opex forecast'!T102,"")</f>
        <v/>
      </c>
      <c r="T21" s="66"/>
      <c r="U21" s="70">
        <f t="shared" si="3"/>
        <v>55.063252955770267</v>
      </c>
      <c r="V21" s="205">
        <f t="shared" ca="1" si="0"/>
        <v>3.5097890865808341E-2</v>
      </c>
      <c r="W21" s="209"/>
      <c r="X21" s="66">
        <f ca="1">SUM($U$11:$U20)-AA21</f>
        <v>1551.1220652910645</v>
      </c>
      <c r="Y21" s="66"/>
      <c r="Z21" s="66">
        <f t="shared" si="1"/>
        <v>55.063252955770267</v>
      </c>
      <c r="AA21" s="66">
        <f t="shared" si="2"/>
        <v>0</v>
      </c>
      <c r="AB21" s="203"/>
      <c r="AC21" s="203"/>
      <c r="AD21" s="203"/>
      <c r="AE21" s="203"/>
      <c r="AF21" s="203"/>
      <c r="AG21" s="201"/>
      <c r="AH21" s="201"/>
      <c r="AI21" s="201"/>
      <c r="AJ21" s="201"/>
      <c r="AK21" s="201"/>
      <c r="AL21" s="201"/>
      <c r="AM21" s="201"/>
    </row>
    <row r="22" spans="1:39" ht="14.5">
      <c r="A22" s="201"/>
      <c r="B22" s="15" t="s">
        <v>39</v>
      </c>
      <c r="C22" s="65" t="s">
        <v>243</v>
      </c>
      <c r="D22" s="16" t="str">
        <f>'Calc|Opex forecast'!$E$8</f>
        <v>$millions</v>
      </c>
      <c r="E22" s="98">
        <f>'Calc|Opex forecast'!$F$8</f>
        <v>46174</v>
      </c>
      <c r="F22" s="16"/>
      <c r="G22" s="16"/>
      <c r="H22" s="16"/>
      <c r="I22" s="66" t="str">
        <f>IF('Calc|Opex forecast'!J106='Calc|Opex forecast'!J4,'Input|Step changes'!J43,"")</f>
        <v/>
      </c>
      <c r="J22" s="66" t="str">
        <f>IF('Calc|Opex forecast'!K106='Calc|Opex forecast'!K4,'Input|Step changes'!K43,"")</f>
        <v/>
      </c>
      <c r="K22" s="66" t="str">
        <f>IF('Calc|Opex forecast'!L106='Calc|Opex forecast'!L4,'Input|Step changes'!L43,"")</f>
        <v/>
      </c>
      <c r="L22" s="66" t="str">
        <f>IF('Calc|Opex forecast'!M106='Calc|Opex forecast'!M4,'Input|Step changes'!M43,"")</f>
        <v/>
      </c>
      <c r="M22" s="66" t="str">
        <f>IF('Calc|Opex forecast'!N106='Calc|Opex forecast'!N4,'Input|Step changes'!N43,"")</f>
        <v/>
      </c>
      <c r="N22" s="66">
        <f>IF('Calc|Opex forecast'!O106='Calc|Opex forecast'!O4,'Input|Step changes'!O43,"")</f>
        <v>3.1731337735500649</v>
      </c>
      <c r="O22" s="66">
        <f>IF('Calc|Opex forecast'!P106='Calc|Opex forecast'!P4,'Input|Step changes'!P43,"")</f>
        <v>3.3660834971602656</v>
      </c>
      <c r="P22" s="66">
        <f>IF('Calc|Opex forecast'!Q106='Calc|Opex forecast'!Q4,'Input|Step changes'!Q43,"")</f>
        <v>3.5602017756769029</v>
      </c>
      <c r="Q22" s="66">
        <f>IF('Calc|Opex forecast'!R106='Calc|Opex forecast'!R4,'Input|Step changes'!R43,"")</f>
        <v>3.7505128203358189</v>
      </c>
      <c r="R22" s="66">
        <f>IF('Calc|Opex forecast'!S106='Calc|Opex forecast'!S4,'Input|Step changes'!S43,"")</f>
        <v>3.8759192682044192</v>
      </c>
      <c r="S22" s="66" t="str">
        <f>IF('Calc|Opex forecast'!T106='Calc|Opex forecast'!T4,'Input|Step changes'!T43,"")</f>
        <v/>
      </c>
      <c r="T22" s="66"/>
      <c r="U22" s="70">
        <f t="shared" si="3"/>
        <v>17.725851134927471</v>
      </c>
      <c r="V22" s="205">
        <f t="shared" ca="1" si="0"/>
        <v>1.1035993750880126E-2</v>
      </c>
      <c r="W22" s="201"/>
      <c r="X22" s="66">
        <f ca="1">SUM($U$11:$U21)-AA22</f>
        <v>1606.1853182468346</v>
      </c>
      <c r="Y22" s="66"/>
      <c r="Z22" s="66">
        <f t="shared" si="1"/>
        <v>17.725851134927471</v>
      </c>
      <c r="AA22" s="66">
        <f t="shared" si="2"/>
        <v>0</v>
      </c>
      <c r="AB22" s="203"/>
      <c r="AC22" s="203"/>
      <c r="AD22" s="203"/>
      <c r="AE22" s="203"/>
      <c r="AF22" s="203"/>
      <c r="AG22" s="201"/>
      <c r="AH22" s="201"/>
      <c r="AI22" s="201"/>
      <c r="AJ22" s="201"/>
      <c r="AK22" s="201"/>
      <c r="AL22" s="201"/>
      <c r="AM22" s="201"/>
    </row>
    <row r="23" spans="1:39" ht="14.5">
      <c r="A23" s="201"/>
      <c r="B23" s="15" t="s">
        <v>255</v>
      </c>
      <c r="C23" s="65" t="s">
        <v>243</v>
      </c>
      <c r="D23" s="16" t="str">
        <f>'Calc|Opex forecast'!$E$8</f>
        <v>$millions</v>
      </c>
      <c r="E23" s="98">
        <f>'Calc|Opex forecast'!$F$8</f>
        <v>46174</v>
      </c>
      <c r="F23" s="16"/>
      <c r="G23" s="16"/>
      <c r="H23" s="16"/>
      <c r="I23" s="66"/>
      <c r="J23" s="66"/>
      <c r="K23" s="66"/>
      <c r="L23" s="66"/>
      <c r="M23" s="66"/>
      <c r="N23" s="66">
        <f ca="1">'Calc|Opex forecast'!O110</f>
        <v>309.69053808614075</v>
      </c>
      <c r="O23" s="66">
        <f ca="1">'Calc|Opex forecast'!P110</f>
        <v>316.86001228771499</v>
      </c>
      <c r="P23" s="66">
        <f ca="1">'Calc|Opex forecast'!Q110</f>
        <v>324.82914254672306</v>
      </c>
      <c r="Q23" s="66">
        <f ca="1">'Calc|Opex forecast'!R110</f>
        <v>331.03433845305113</v>
      </c>
      <c r="R23" s="66">
        <f ca="1">'Calc|Opex forecast'!S110</f>
        <v>341.49713800813214</v>
      </c>
      <c r="S23" s="66" t="str">
        <f>'Calc|Opex forecast'!T110</f>
        <v/>
      </c>
      <c r="T23" s="66"/>
      <c r="U23" s="70">
        <f ca="1">SUM(I23:S23)</f>
        <v>1623.911169381762</v>
      </c>
      <c r="V23" s="81" t="str">
        <f ca="1">IF(ROUND(U23,6)=ROUND(SUM(U11:U22),6),"OK","Check")</f>
        <v>OK</v>
      </c>
      <c r="W23" s="201"/>
      <c r="X23" s="66"/>
      <c r="Y23" s="66">
        <f ca="1">U23</f>
        <v>1623.911169381762</v>
      </c>
      <c r="Z23" s="66"/>
      <c r="AA23" s="66"/>
      <c r="AB23" s="203"/>
      <c r="AC23" s="201"/>
      <c r="AD23" s="210"/>
      <c r="AE23" s="201"/>
      <c r="AF23" s="203"/>
      <c r="AG23" s="201"/>
      <c r="AH23" s="201"/>
      <c r="AI23" s="201"/>
      <c r="AJ23" s="201"/>
      <c r="AK23" s="201"/>
      <c r="AL23" s="201"/>
      <c r="AM23" s="201"/>
    </row>
    <row r="24" spans="1:39" ht="14.5">
      <c r="A24" s="201"/>
      <c r="B24" s="15"/>
      <c r="C24" s="15"/>
      <c r="D24" s="15"/>
      <c r="E24" s="15"/>
      <c r="F24" s="16"/>
      <c r="G24" s="16"/>
      <c r="H24" s="1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70"/>
      <c r="V24" s="205"/>
      <c r="W24" s="201"/>
      <c r="X24" s="203"/>
      <c r="Y24" s="203"/>
      <c r="Z24" s="203"/>
      <c r="AA24" s="203"/>
      <c r="AB24" s="203"/>
      <c r="AC24" s="203"/>
      <c r="AD24" s="203"/>
      <c r="AE24" s="203"/>
      <c r="AF24" s="203"/>
      <c r="AG24" s="201"/>
      <c r="AH24" s="201"/>
      <c r="AI24" s="201"/>
      <c r="AJ24" s="201"/>
      <c r="AK24" s="201"/>
      <c r="AL24" s="201"/>
      <c r="AM24" s="201"/>
    </row>
    <row r="25" spans="1:39" ht="14.5">
      <c r="A25" s="201"/>
      <c r="B25" s="211"/>
      <c r="C25" s="211"/>
      <c r="D25" s="211"/>
      <c r="E25" s="211"/>
      <c r="F25" s="16"/>
      <c r="G25" s="16"/>
      <c r="H25" s="16"/>
      <c r="I25" s="211"/>
      <c r="J25" s="211"/>
      <c r="K25" s="211"/>
      <c r="L25" s="211"/>
      <c r="M25" s="211"/>
      <c r="N25" s="201"/>
      <c r="O25" s="201"/>
      <c r="P25" s="201"/>
      <c r="Q25" s="201"/>
      <c r="R25" s="201"/>
      <c r="S25" s="201"/>
      <c r="T25" s="212"/>
      <c r="U25" s="213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</row>
    <row r="26" spans="1:39" ht="14.5">
      <c r="A26" s="201"/>
      <c r="B26" s="201"/>
      <c r="C26" s="201"/>
      <c r="D26" s="201"/>
      <c r="E26" s="201"/>
      <c r="F26" s="16"/>
      <c r="G26" s="16"/>
      <c r="H26" s="16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</row>
    <row r="27" spans="1:39" ht="14.5">
      <c r="A27" s="201"/>
      <c r="B27" s="201"/>
      <c r="C27" s="201"/>
      <c r="D27" s="201"/>
      <c r="E27" s="201"/>
      <c r="F27" s="16"/>
      <c r="G27" s="16"/>
      <c r="H27" s="16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</row>
    <row r="28" spans="1:39" ht="14.5">
      <c r="A28" s="201"/>
      <c r="B28" s="201"/>
      <c r="C28" s="201"/>
      <c r="D28" s="201"/>
      <c r="E28" s="201"/>
      <c r="F28" s="16"/>
      <c r="G28" s="16"/>
      <c r="H28" s="16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</row>
    <row r="29" spans="1:39" ht="14.5">
      <c r="A29" s="201"/>
      <c r="B29" s="201"/>
      <c r="C29" s="201"/>
      <c r="D29" s="201"/>
      <c r="E29" s="201"/>
      <c r="F29" s="16"/>
      <c r="G29" s="16"/>
      <c r="H29" s="16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</row>
    <row r="30" spans="1:39" ht="14.5">
      <c r="A30" s="201"/>
      <c r="B30" s="201"/>
      <c r="C30" s="201"/>
      <c r="D30" s="201"/>
      <c r="E30" s="201"/>
      <c r="F30" s="16"/>
      <c r="G30" s="16"/>
      <c r="H30" s="16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14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</row>
    <row r="31" spans="1:39" ht="13">
      <c r="A31" s="32"/>
      <c r="B31" s="38" t="s">
        <v>21</v>
      </c>
      <c r="C31" s="32"/>
      <c r="D31" s="32"/>
      <c r="E31" s="32"/>
      <c r="F31" s="33"/>
      <c r="G31" s="33"/>
      <c r="H31" s="33"/>
      <c r="I31" s="33"/>
      <c r="J31" s="34"/>
      <c r="K31" s="35"/>
      <c r="L31" s="34"/>
      <c r="M31" s="35"/>
      <c r="N31" s="34"/>
      <c r="O31" s="34"/>
      <c r="P31" s="34"/>
      <c r="Q31" s="34"/>
      <c r="R31" s="34"/>
      <c r="S31" s="34"/>
      <c r="T31" s="34"/>
      <c r="U31" s="34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</row>
  </sheetData>
  <mergeCells count="1">
    <mergeCell ref="M2:R2"/>
  </mergeCells>
  <conditionalFormatting sqref="I9:S9 U9">
    <cfRule type="expression" dxfId="20" priority="10">
      <formula>I$88=I$4</formula>
    </cfRule>
  </conditionalFormatting>
  <conditionalFormatting sqref="I11:V22 I23:U23 I24:V24">
    <cfRule type="cellIs" dxfId="19" priority="7" operator="equal">
      <formula>0</formula>
    </cfRule>
  </conditionalFormatting>
  <conditionalFormatting sqref="V1">
    <cfRule type="cellIs" dxfId="18" priority="1" operator="equal">
      <formula>"Check"</formula>
    </cfRule>
    <cfRule type="cellIs" dxfId="17" priority="2" operator="equal">
      <formula>"Ok"</formula>
    </cfRule>
  </conditionalFormatting>
  <conditionalFormatting sqref="V23">
    <cfRule type="cellIs" dxfId="16" priority="5" operator="equal">
      <formula>"Check"</formula>
    </cfRule>
    <cfRule type="cellIs" dxfId="15" priority="6" operator="equal">
      <formula>"Ok"</formula>
    </cfRule>
  </conditionalFormatting>
  <conditionalFormatting sqref="X11:AA23">
    <cfRule type="cellIs" dxfId="14" priority="3" operator="equal">
      <formula>0</formula>
    </cfRule>
  </conditionalFormatting>
  <conditionalFormatting sqref="Y1">
    <cfRule type="cellIs" dxfId="13" priority="8" operator="equal">
      <formula>"Check"</formula>
    </cfRule>
    <cfRule type="cellIs" dxfId="12" priority="9" operator="equal">
      <formula>"Ok"</formula>
    </cfRule>
  </conditionalFormatting>
  <dataValidations count="1">
    <dataValidation type="custom" allowBlank="1" showInputMessage="1" showErrorMessage="1" sqref="I1 X1" xr:uid="{C348F61D-6455-45E8-9E4C-ED4C8E9427AE}">
      <formula1>"&lt;0&gt;0"</formula1>
    </dataValidation>
  </dataValidations>
  <hyperlinks>
    <hyperlink ref="I1" location="Index!A1" display="Back to Index" xr:uid="{61150027-EB28-4292-890D-88C92B435F6E}"/>
    <hyperlink ref="X1" location="'Check|List'!A1" display="Overall Check:" xr:uid="{0A6AA02B-A9FA-4FC2-86B2-BAC72551A2EA}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68db9c-bb18-4bed-8851-b5721f14e6b4">
      <Terms xmlns="http://schemas.microsoft.com/office/infopath/2007/PartnerControls"/>
    </lcf76f155ced4ddcb4097134ff3c332f>
    <TaxCatchAll xmlns="facbff88-6fe3-477c-bd78-371714a63d3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26092BDB0EB54683F161AC1502A92A" ma:contentTypeVersion="16" ma:contentTypeDescription="Create a new document." ma:contentTypeScope="" ma:versionID="efc483e43bb16b0c70a04bf2fc68aea4">
  <xsd:schema xmlns:xsd="http://www.w3.org/2001/XMLSchema" xmlns:xs="http://www.w3.org/2001/XMLSchema" xmlns:p="http://schemas.microsoft.com/office/2006/metadata/properties" xmlns:ns2="d668db9c-bb18-4bed-8851-b5721f14e6b4" xmlns:ns3="facbff88-6fe3-477c-bd78-371714a63d39" targetNamespace="http://schemas.microsoft.com/office/2006/metadata/properties" ma:root="true" ma:fieldsID="9d579cff7c15c4b7bb8bfca9c5975d21" ns2:_="" ns3:_="">
    <xsd:import namespace="d668db9c-bb18-4bed-8851-b5721f14e6b4"/>
    <xsd:import namespace="facbff88-6fe3-477c-bd78-371714a63d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68db9c-bb18-4bed-8851-b5721f14e6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09e67b6b-74cb-4963-8df3-8bbebf5323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bff88-6fe3-477c-bd78-371714a63d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9a79716-25b4-414f-9205-0a0877a8c924}" ma:internalName="TaxCatchAll" ma:showField="CatchAllData" ma:web="facbff88-6fe3-477c-bd78-371714a63d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5A73C2-FC71-436A-9F3E-D4C2BD452FC4}">
  <ds:schemaRefs>
    <ds:schemaRef ds:uri="http://purl.org/dc/elements/1.1/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2006/documentManagement/types"/>
    <ds:schemaRef ds:uri="d668db9c-bb18-4bed-8851-b5721f14e6b4"/>
    <ds:schemaRef ds:uri="http://schemas.openxmlformats.org/package/2006/metadata/core-properties"/>
    <ds:schemaRef ds:uri="http://schemas.microsoft.com/office/infopath/2007/PartnerControls"/>
    <ds:schemaRef ds:uri="facbff88-6fe3-477c-bd78-371714a63d39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84C0D19-3DD5-4B34-85E6-4759AA6435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1CE77D-5C35-4BE1-BB90-45F20E884DDB}"/>
</file>

<file path=docMetadata/LabelInfo.xml><?xml version="1.0" encoding="utf-8"?>
<clbl:labelList xmlns:clbl="http://schemas.microsoft.com/office/2020/mipLabelMetadata">
  <clbl:label id="{f59ee16a-f4d8-42fc-8e4b-5abdff9fc8a9}" enabled="1" method="Standard" siteId="{a394e41c-cf8d-458e-ac1b-ddae1aa1562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17</vt:i4>
      </vt:variant>
    </vt:vector>
  </HeadingPairs>
  <TitlesOfParts>
    <vt:vector size="32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Workings -&gt;&gt;</vt:lpstr>
      <vt:lpstr>GSL</vt:lpstr>
      <vt:lpstr>Output</vt:lpstr>
      <vt:lpstr>Step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2025-09-24T08:27:45Z</dcterms:created>
  <dcterms:modified xsi:type="dcterms:W3CDTF">2025-11-30T23:54:57Z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0x0101000B26092BDB0EB54683F161AC1502A92A</vt:lpwstr>
  </property>
  <property fmtid="{D5CDD505-2E9C-101B-9397-08002B2CF9AE}" pid="3" name="MediaServiceImageTags">
    <vt:lpwstr/>
  </property>
</Properties>
</file>