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"/>
    </mc:Choice>
  </mc:AlternateContent>
  <xr:revisionPtr revIDLastSave="0" documentId="13_ncr:1_{8B4503C4-968B-47F7-9E08-A03DF38DF5D6}" xr6:coauthVersionLast="47" xr6:coauthVersionMax="47" xr10:uidLastSave="{00000000-0000-0000-0000-000000000000}"/>
  <bookViews>
    <workbookView xWindow="-115" yWindow="-115" windowWidth="24697" windowHeight="13266" tabRatio="685" xr2:uid="{8FA0424F-19EC-4E7A-8722-38A760A57AEF}"/>
  </bookViews>
  <sheets>
    <sheet name="WACC_2026-31" sheetId="2" r:id="rId1"/>
    <sheet name="RoD_Trailing_Avg" sheetId="3" r:id="rId2"/>
  </sheets>
  <externalReferences>
    <externalReference r:id="rId3"/>
    <externalReference r:id="rId4"/>
  </externalReferences>
  <definedNames>
    <definedName name="abba" localSheetId="1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1" hidden="1">{"Ownership",#N/A,FALSE,"Ownership";"Contents",#N/A,FALSE,"Contents"}</definedName>
    <definedName name="LAN" hidden="1">{"Ownership",#N/A,FALSE,"Ownership";"Contents",#N/A,FALSE,"Contents"}</definedName>
    <definedName name="teest" localSheetId="1" hidden="1">{"Ownership",#N/A,FALSE,"Ownership";"Contents",#N/A,FALSE,"Contents"}</definedName>
    <definedName name="teest" hidden="1">{"Ownership",#N/A,FALSE,"Ownership";"Contents",#N/A,FALSE,"Contents"}</definedName>
    <definedName name="test" localSheetId="1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1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iterateCount="200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K14" i="2"/>
  <c r="J14" i="2"/>
  <c r="O23" i="2"/>
  <c r="Q23" i="2" s="1"/>
  <c r="P23" i="2"/>
  <c r="R23" i="2"/>
  <c r="T13" i="2" l="1"/>
  <c r="R35" i="3"/>
  <c r="Q35" i="3"/>
  <c r="P35" i="3"/>
  <c r="O35" i="3"/>
  <c r="N35" i="3"/>
  <c r="M35" i="3"/>
  <c r="R34" i="3"/>
  <c r="Q34" i="3"/>
  <c r="P34" i="3"/>
  <c r="O34" i="3"/>
  <c r="N34" i="3"/>
  <c r="M34" i="3"/>
  <c r="L34" i="3"/>
  <c r="I31" i="3"/>
  <c r="J32" i="3"/>
  <c r="K33" i="3"/>
  <c r="R33" i="3"/>
  <c r="Q33" i="3"/>
  <c r="P33" i="3"/>
  <c r="O33" i="3"/>
  <c r="N33" i="3"/>
  <c r="M33" i="3"/>
  <c r="L33" i="3"/>
  <c r="R32" i="3"/>
  <c r="Q32" i="3"/>
  <c r="P32" i="3"/>
  <c r="O32" i="3"/>
  <c r="N32" i="3"/>
  <c r="M32" i="3"/>
  <c r="L32" i="3"/>
  <c r="K32" i="3"/>
  <c r="R31" i="3"/>
  <c r="Q31" i="3"/>
  <c r="P31" i="3"/>
  <c r="O31" i="3"/>
  <c r="N31" i="3"/>
  <c r="M31" i="3"/>
  <c r="L31" i="3"/>
  <c r="K31" i="3"/>
  <c r="J31" i="3"/>
  <c r="F7" i="3" l="1"/>
  <c r="E7" i="3"/>
  <c r="D7" i="3"/>
  <c r="C7" i="3"/>
  <c r="H2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R42" i="3"/>
  <c r="R40" i="3" s="1"/>
  <c r="Q42" i="3"/>
  <c r="P42" i="3"/>
  <c r="O42" i="3"/>
  <c r="N42" i="3"/>
  <c r="R25" i="3"/>
  <c r="Q25" i="3"/>
  <c r="P25" i="3"/>
  <c r="O25" i="3"/>
  <c r="J25" i="3"/>
  <c r="I25" i="3"/>
  <c r="G25" i="3"/>
  <c r="F25" i="3"/>
  <c r="E25" i="3"/>
  <c r="D25" i="3"/>
  <c r="D26" i="3" s="1"/>
  <c r="C25" i="3"/>
  <c r="R37" i="3" l="1"/>
  <c r="Q37" i="3"/>
  <c r="P37" i="3"/>
  <c r="O37" i="3"/>
  <c r="R39" i="3"/>
  <c r="Q39" i="3"/>
  <c r="P36" i="3"/>
  <c r="O36" i="3"/>
  <c r="N36" i="3"/>
  <c r="R36" i="3"/>
  <c r="Q36" i="3"/>
  <c r="R38" i="3"/>
  <c r="Q38" i="3"/>
  <c r="P38" i="3"/>
  <c r="K25" i="3"/>
  <c r="D42" i="3"/>
  <c r="K26" i="3" l="1"/>
  <c r="L26" i="3"/>
  <c r="J26" i="3"/>
  <c r="M26" i="3"/>
  <c r="I26" i="3"/>
  <c r="H26" i="3"/>
  <c r="G26" i="3"/>
  <c r="R26" i="3"/>
  <c r="F26" i="3"/>
  <c r="Q26" i="3"/>
  <c r="E26" i="3"/>
  <c r="E27" i="3" s="1"/>
  <c r="E42" i="3" s="1"/>
  <c r="P26" i="3"/>
  <c r="O26" i="3"/>
  <c r="N26" i="3"/>
  <c r="L25" i="3"/>
  <c r="J27" i="3" l="1"/>
  <c r="I27" i="3"/>
  <c r="H27" i="3"/>
  <c r="L27" i="3"/>
  <c r="K27" i="3"/>
  <c r="G27" i="3"/>
  <c r="R27" i="3"/>
  <c r="F27" i="3"/>
  <c r="F28" i="3" s="1"/>
  <c r="F42" i="3" s="1"/>
  <c r="Q27" i="3"/>
  <c r="P27" i="3"/>
  <c r="O27" i="3"/>
  <c r="N27" i="3"/>
  <c r="M27" i="3"/>
  <c r="N25" i="3"/>
  <c r="M25" i="3"/>
  <c r="J28" i="3" l="1"/>
  <c r="L28" i="3"/>
  <c r="I28" i="3"/>
  <c r="K28" i="3"/>
  <c r="H28" i="3"/>
  <c r="G28" i="3"/>
  <c r="G29" i="3" s="1"/>
  <c r="R28" i="3"/>
  <c r="Q28" i="3"/>
  <c r="P28" i="3"/>
  <c r="O28" i="3"/>
  <c r="N28" i="3"/>
  <c r="M28" i="3"/>
  <c r="G42" i="3" l="1"/>
  <c r="K29" i="3" l="1"/>
  <c r="J29" i="3"/>
  <c r="I29" i="3"/>
  <c r="H29" i="3"/>
  <c r="H30" i="3" s="1"/>
  <c r="H42" i="3" s="1"/>
  <c r="R29" i="3"/>
  <c r="Q29" i="3"/>
  <c r="M29" i="3"/>
  <c r="L29" i="3"/>
  <c r="P29" i="3"/>
  <c r="O29" i="3"/>
  <c r="N29" i="3"/>
  <c r="M30" i="3" l="1"/>
  <c r="M6" i="3" s="1"/>
  <c r="M7" i="3" s="1"/>
  <c r="L30" i="3"/>
  <c r="L6" i="3" s="1"/>
  <c r="L7" i="3" s="1"/>
  <c r="K30" i="3"/>
  <c r="K6" i="3" s="1"/>
  <c r="K7" i="3" s="1"/>
  <c r="J30" i="3"/>
  <c r="J6" i="3" s="1"/>
  <c r="J7" i="3" s="1"/>
  <c r="I30" i="3"/>
  <c r="I6" i="3" s="1"/>
  <c r="I7" i="3" s="1"/>
  <c r="O30" i="3"/>
  <c r="O6" i="3" s="1"/>
  <c r="P13" i="2" s="1"/>
  <c r="R30" i="3"/>
  <c r="R6" i="3" s="1"/>
  <c r="N30" i="3"/>
  <c r="N6" i="3" s="1"/>
  <c r="O13" i="2" s="1"/>
  <c r="Q30" i="3"/>
  <c r="Q6" i="3" s="1"/>
  <c r="R13" i="2" s="1"/>
  <c r="P30" i="3"/>
  <c r="P6" i="3" s="1"/>
  <c r="Q13" i="2" s="1"/>
  <c r="S13" i="2" l="1"/>
  <c r="S20" i="2" l="1"/>
  <c r="R20" i="2"/>
  <c r="Q20" i="2"/>
  <c r="P20" i="2"/>
  <c r="O20" i="2"/>
  <c r="N30" i="2"/>
  <c r="N13" i="2"/>
  <c r="M30" i="2"/>
  <c r="L30" i="2"/>
  <c r="K30" i="2"/>
  <c r="J30" i="2"/>
  <c r="M13" i="2"/>
  <c r="L13" i="2"/>
  <c r="K13" i="2"/>
  <c r="J13" i="2"/>
  <c r="P6" i="2" l="1"/>
  <c r="Q6" i="2" s="1"/>
  <c r="R6" i="2" s="1"/>
  <c r="S6" i="2" s="1"/>
  <c r="T20" i="2" l="1"/>
  <c r="S10" i="2" l="1"/>
  <c r="R10" i="2"/>
  <c r="Q10" i="2"/>
  <c r="P10" i="2"/>
  <c r="O10" i="2"/>
  <c r="K22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J22" i="2"/>
  <c r="I22" i="2"/>
  <c r="H22" i="2"/>
  <c r="G22" i="2"/>
  <c r="F22" i="2"/>
  <c r="E22" i="2"/>
  <c r="D20" i="2"/>
  <c r="D16" i="2"/>
  <c r="G16" i="2" s="1"/>
  <c r="G18" i="2" s="1"/>
  <c r="I10" i="2"/>
  <c r="D10" i="2"/>
  <c r="D9" i="2"/>
  <c r="N8" i="2"/>
  <c r="M8" i="2"/>
  <c r="L8" i="2"/>
  <c r="K8" i="2"/>
  <c r="J8" i="2"/>
  <c r="J10" i="2" s="1"/>
  <c r="H8" i="2"/>
  <c r="G8" i="2"/>
  <c r="F8" i="2"/>
  <c r="E8" i="2"/>
  <c r="H7" i="2"/>
  <c r="H10" i="2" s="1"/>
  <c r="G7" i="2"/>
  <c r="G10" i="2" s="1"/>
  <c r="F7" i="2"/>
  <c r="E7" i="2"/>
  <c r="N6" i="2"/>
  <c r="N10" i="2" s="1"/>
  <c r="M6" i="2"/>
  <c r="L6" i="2"/>
  <c r="K6" i="2"/>
  <c r="K10" i="2" s="1"/>
  <c r="I5" i="2"/>
  <c r="E24" i="2" l="1"/>
  <c r="F24" i="2" s="1"/>
  <c r="G24" i="2" s="1"/>
  <c r="H24" i="2" s="1"/>
  <c r="I24" i="2" s="1"/>
  <c r="L10" i="2"/>
  <c r="M16" i="2"/>
  <c r="M18" i="2" s="1"/>
  <c r="M10" i="2"/>
  <c r="D18" i="2"/>
  <c r="E10" i="2"/>
  <c r="R22" i="2"/>
  <c r="F10" i="2"/>
  <c r="S22" i="2"/>
  <c r="O16" i="2"/>
  <c r="O18" i="2" s="1"/>
  <c r="P16" i="2"/>
  <c r="P18" i="2" s="1"/>
  <c r="Q16" i="2"/>
  <c r="Q18" i="2" s="1"/>
  <c r="R16" i="2"/>
  <c r="R18" i="2" s="1"/>
  <c r="L22" i="2"/>
  <c r="S16" i="2"/>
  <c r="S18" i="2" s="1"/>
  <c r="M22" i="2"/>
  <c r="O22" i="2"/>
  <c r="N16" i="2"/>
  <c r="N18" i="2" s="1"/>
  <c r="N22" i="2"/>
  <c r="P22" i="2"/>
  <c r="Q22" i="2"/>
  <c r="J16" i="2"/>
  <c r="J18" i="2" s="1"/>
  <c r="E16" i="2"/>
  <c r="E18" i="2" s="1"/>
  <c r="E27" i="2" s="1"/>
  <c r="K16" i="2"/>
  <c r="K18" i="2" s="1"/>
  <c r="F16" i="2"/>
  <c r="F18" i="2" s="1"/>
  <c r="H16" i="2"/>
  <c r="H18" i="2" s="1"/>
  <c r="I16" i="2"/>
  <c r="I18" i="2" s="1"/>
  <c r="L16" i="2"/>
  <c r="L18" i="2" s="1"/>
  <c r="J24" i="2" l="1"/>
  <c r="K24" i="2" s="1"/>
  <c r="F27" i="2"/>
  <c r="G27" i="2"/>
  <c r="J12" i="2"/>
  <c r="I12" i="2"/>
  <c r="L24" i="2"/>
  <c r="M24" i="2" s="1"/>
  <c r="K12" i="2"/>
  <c r="J29" i="2"/>
  <c r="J31" i="2" s="1"/>
  <c r="J27" i="2"/>
  <c r="L12" i="2"/>
  <c r="H12" i="2"/>
  <c r="G7" i="3" s="1"/>
  <c r="H27" i="2"/>
  <c r="I29" i="2" l="1"/>
  <c r="I30" i="2" s="1"/>
  <c r="H7" i="3"/>
  <c r="I27" i="2"/>
  <c r="K29" i="2"/>
  <c r="K31" i="2" s="1"/>
  <c r="L29" i="2"/>
  <c r="L31" i="2" s="1"/>
  <c r="N24" i="2"/>
  <c r="O24" i="2" s="1"/>
  <c r="P24" i="2" s="1"/>
  <c r="Q24" i="2" s="1"/>
  <c r="R24" i="2" s="1"/>
  <c r="S24" i="2" s="1"/>
  <c r="M12" i="2"/>
  <c r="M14" i="2" s="1"/>
  <c r="K27" i="2"/>
  <c r="L27" i="2"/>
  <c r="M29" i="2" l="1"/>
  <c r="M31" i="2" s="1"/>
  <c r="M27" i="2"/>
  <c r="N12" i="2"/>
  <c r="N14" i="2" s="1"/>
  <c r="N29" i="2" l="1"/>
  <c r="N31" i="2" s="1"/>
  <c r="N27" i="2"/>
  <c r="O12" i="2"/>
  <c r="O14" i="2" s="1"/>
  <c r="O27" i="2" l="1"/>
  <c r="O29" i="2"/>
  <c r="P12" i="2"/>
  <c r="P14" i="2" s="1"/>
  <c r="P29" i="2" l="1"/>
  <c r="P27" i="2"/>
  <c r="Q12" i="2"/>
  <c r="Q14" i="2" s="1"/>
  <c r="Q29" i="2" l="1"/>
  <c r="Q27" i="2"/>
  <c r="R12" i="2"/>
  <c r="R14" i="2" s="1"/>
  <c r="R27" i="2" l="1"/>
  <c r="R29" i="2"/>
  <c r="S12" i="2"/>
  <c r="T12" i="2" s="1"/>
  <c r="S14" i="2" l="1"/>
  <c r="S27" i="2"/>
  <c r="S29" i="2"/>
  <c r="O30" i="2" l="1"/>
  <c r="O31" i="2" s="1"/>
  <c r="Q30" i="2"/>
  <c r="Q31" i="2" s="1"/>
  <c r="P30" i="2"/>
  <c r="P31" i="2" s="1"/>
  <c r="R30" i="2" l="1"/>
  <c r="R31" i="2" s="1"/>
  <c r="S30" i="2" l="1"/>
  <c r="S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Martin</author>
  </authors>
  <commentList>
    <comment ref="I10" authorId="0" shapeId="0" xr:uid="{32B4170A-D2BA-4E66-833C-42770BB12F04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PTRM input - cost of equity</t>
        </r>
      </text>
    </comment>
    <comment ref="I12" authorId="0" shapeId="0" xr:uid="{12EBE0C8-DEAF-4762-B8F9-040E7736565B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Annual cost of debt for PTRM input</t>
        </r>
      </text>
    </comment>
    <comment ref="S23" authorId="0" shapeId="0" xr:uid="{B61607DC-70EA-4784-84B5-0DE6BEA49EB8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Goal seek</t>
        </r>
      </text>
    </comment>
    <comment ref="I30" authorId="0" shapeId="0" xr:uid="{ECFB0A69-6234-470A-80DE-0D362A0326B8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Half Year Nominal WACC</t>
        </r>
      </text>
    </comment>
  </commentList>
</comments>
</file>

<file path=xl/sharedStrings.xml><?xml version="1.0" encoding="utf-8"?>
<sst xmlns="http://schemas.openxmlformats.org/spreadsheetml/2006/main" count="70" uniqueCount="45">
  <si>
    <t>AST inserted tab</t>
  </si>
  <si>
    <t xml:space="preserve">2016-20 AER Decision </t>
  </si>
  <si>
    <t>Jan-Jun21</t>
  </si>
  <si>
    <t>FY22</t>
  </si>
  <si>
    <t>FY23</t>
  </si>
  <si>
    <t>FY24</t>
  </si>
  <si>
    <t>FY25</t>
  </si>
  <si>
    <t>FY26</t>
  </si>
  <si>
    <t>(6 mths)</t>
  </si>
  <si>
    <t>(12 mths)</t>
  </si>
  <si>
    <t>Inflation</t>
  </si>
  <si>
    <t>Constant</t>
  </si>
  <si>
    <t>Risk free rate</t>
  </si>
  <si>
    <t>Equity beta</t>
  </si>
  <si>
    <t>MRP</t>
  </si>
  <si>
    <t>DRP</t>
  </si>
  <si>
    <t>Post-tax Nominal Return on Equity</t>
  </si>
  <si>
    <t>Nominal Pre-tax Return on Debt</t>
  </si>
  <si>
    <t>Annual update</t>
  </si>
  <si>
    <t>Return on Debt calculation</t>
  </si>
  <si>
    <t>Average portfolio return on debt</t>
  </si>
  <si>
    <t>Portion of debt portfolio</t>
  </si>
  <si>
    <t>Return on Debt porfolio - allowed portion</t>
  </si>
  <si>
    <t>Prevailing interest rates (AusNet averaging period)</t>
  </si>
  <si>
    <t>Varying</t>
  </si>
  <si>
    <t>Annual update proportion</t>
  </si>
  <si>
    <t>10% of prevailing interest rates</t>
  </si>
  <si>
    <t>Cumulative interest rates - 10% per annum</t>
  </si>
  <si>
    <t>Check</t>
  </si>
  <si>
    <t>Nominal Vanilla WACC</t>
  </si>
  <si>
    <t>Debt weights</t>
  </si>
  <si>
    <t>FY27</t>
  </si>
  <si>
    <t>FY28</t>
  </si>
  <si>
    <t>FY29</t>
  </si>
  <si>
    <t>FY30</t>
  </si>
  <si>
    <t>FY31</t>
  </si>
  <si>
    <t>2021-26 Forecast Period</t>
  </si>
  <si>
    <t>2026-31 Forecast Period</t>
  </si>
  <si>
    <t>Roll off 2017-HY2021 annual debt proportions</t>
  </si>
  <si>
    <t>Prior regulatory period</t>
  </si>
  <si>
    <t>Current regulatory period</t>
  </si>
  <si>
    <t>Forthcoming regulatory period</t>
  </si>
  <si>
    <t>Porfolio debt updates</t>
  </si>
  <si>
    <t>Annual updates</t>
  </si>
  <si>
    <t>AusNet D 10 yr trailing average cost of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</si>
</sst>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0000"/>
    <numFmt numFmtId="166" formatCode="0.00000000000000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fgColor auto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0" xfId="3"/>
    <xf numFmtId="10" fontId="1" fillId="0" borderId="0" xfId="2" applyNumberFormat="1"/>
    <xf numFmtId="10" fontId="5" fillId="0" borderId="1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/>
    <xf numFmtId="0" fontId="7" fillId="0" borderId="0" xfId="3" applyFont="1"/>
    <xf numFmtId="0" fontId="1" fillId="0" borderId="1" xfId="2" applyBorder="1"/>
    <xf numFmtId="0" fontId="1" fillId="0" borderId="2" xfId="2" applyBorder="1"/>
    <xf numFmtId="10" fontId="1" fillId="5" borderId="0" xfId="2" applyNumberFormat="1" applyFill="1"/>
    <xf numFmtId="0" fontId="8" fillId="0" borderId="0" xfId="3" applyFont="1"/>
    <xf numFmtId="10" fontId="1" fillId="0" borderId="1" xfId="2" applyNumberFormat="1" applyBorder="1"/>
    <xf numFmtId="10" fontId="1" fillId="0" borderId="2" xfId="2" applyNumberFormat="1" applyBorder="1"/>
    <xf numFmtId="9" fontId="4" fillId="0" borderId="1" xfId="1" applyFont="1" applyBorder="1"/>
    <xf numFmtId="9" fontId="4" fillId="0" borderId="2" xfId="1" applyFont="1" applyBorder="1"/>
    <xf numFmtId="9" fontId="4" fillId="0" borderId="0" xfId="1" applyFont="1" applyBorder="1"/>
    <xf numFmtId="0" fontId="1" fillId="6" borderId="0" xfId="2" applyFill="1"/>
    <xf numFmtId="10" fontId="1" fillId="0" borderId="1" xfId="1" applyNumberFormat="1" applyFont="1" applyBorder="1"/>
    <xf numFmtId="164" fontId="1" fillId="0" borderId="0" xfId="2" applyNumberFormat="1"/>
    <xf numFmtId="0" fontId="7" fillId="0" borderId="0" xfId="2" applyFont="1"/>
    <xf numFmtId="10" fontId="7" fillId="0" borderId="0" xfId="1" applyNumberFormat="1" applyFont="1"/>
    <xf numFmtId="10" fontId="7" fillId="0" borderId="1" xfId="2" applyNumberFormat="1" applyFont="1" applyBorder="1"/>
    <xf numFmtId="10" fontId="7" fillId="0" borderId="0" xfId="2" applyNumberFormat="1" applyFont="1"/>
    <xf numFmtId="10" fontId="1" fillId="0" borderId="0" xfId="1" applyNumberFormat="1"/>
    <xf numFmtId="9" fontId="1" fillId="0" borderId="0" xfId="1"/>
    <xf numFmtId="0" fontId="1" fillId="0" borderId="0" xfId="2" applyAlignment="1">
      <alignment horizontal="left"/>
    </xf>
    <xf numFmtId="9" fontId="4" fillId="0" borderId="0" xfId="1" applyFont="1"/>
    <xf numFmtId="165" fontId="1" fillId="0" borderId="0" xfId="2" applyNumberFormat="1"/>
    <xf numFmtId="10" fontId="7" fillId="0" borderId="2" xfId="1" applyNumberFormat="1" applyFont="1" applyBorder="1"/>
    <xf numFmtId="0" fontId="6" fillId="0" borderId="2" xfId="2" applyFont="1" applyBorder="1"/>
    <xf numFmtId="10" fontId="7" fillId="0" borderId="2" xfId="2" applyNumberFormat="1" applyFont="1" applyBorder="1"/>
    <xf numFmtId="10" fontId="13" fillId="0" borderId="0" xfId="2" applyNumberFormat="1" applyFont="1"/>
    <xf numFmtId="0" fontId="7" fillId="0" borderId="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7" xfId="2" applyFont="1" applyBorder="1" applyAlignment="1">
      <alignment horizontal="center"/>
    </xf>
    <xf numFmtId="9" fontId="4" fillId="0" borderId="7" xfId="1" applyFont="1" applyBorder="1"/>
    <xf numFmtId="10" fontId="7" fillId="0" borderId="7" xfId="2" applyNumberFormat="1" applyFont="1" applyBorder="1"/>
    <xf numFmtId="0" fontId="1" fillId="0" borderId="7" xfId="2" applyBorder="1" applyAlignment="1">
      <alignment horizontal="center"/>
    </xf>
    <xf numFmtId="10" fontId="1" fillId="0" borderId="7" xfId="2" applyNumberFormat="1" applyBorder="1"/>
    <xf numFmtId="0" fontId="1" fillId="0" borderId="7" xfId="2" applyBorder="1"/>
    <xf numFmtId="10" fontId="1" fillId="0" borderId="2" xfId="1" applyNumberFormat="1" applyFont="1" applyBorder="1"/>
    <xf numFmtId="10" fontId="1" fillId="0" borderId="0" xfId="1" applyNumberFormat="1" applyFont="1" applyBorder="1"/>
    <xf numFmtId="10" fontId="1" fillId="0" borderId="7" xfId="1" applyNumberFormat="1" applyFont="1" applyBorder="1"/>
    <xf numFmtId="10" fontId="1" fillId="0" borderId="0" xfId="1" applyNumberFormat="1" applyFont="1"/>
    <xf numFmtId="9" fontId="1" fillId="0" borderId="0" xfId="1" applyFont="1"/>
    <xf numFmtId="9" fontId="1" fillId="0" borderId="0" xfId="1" applyFont="1" applyFill="1"/>
    <xf numFmtId="9" fontId="1" fillId="0" borderId="0" xfId="2" applyNumberFormat="1"/>
    <xf numFmtId="10" fontId="13" fillId="0" borderId="0" xfId="1" applyNumberFormat="1" applyFont="1"/>
    <xf numFmtId="10" fontId="13" fillId="0" borderId="1" xfId="1" applyNumberFormat="1" applyFont="1" applyBorder="1"/>
    <xf numFmtId="10" fontId="13" fillId="0" borderId="2" xfId="1" applyNumberFormat="1" applyFont="1" applyBorder="1"/>
    <xf numFmtId="10" fontId="13" fillId="0" borderId="0" xfId="1" applyNumberFormat="1" applyFont="1" applyBorder="1"/>
    <xf numFmtId="10" fontId="14" fillId="0" borderId="2" xfId="1" applyNumberFormat="1" applyFont="1" applyBorder="1"/>
    <xf numFmtId="10" fontId="14" fillId="0" borderId="0" xfId="1" applyNumberFormat="1" applyFont="1" applyBorder="1"/>
    <xf numFmtId="10" fontId="14" fillId="0" borderId="7" xfId="1" applyNumberFormat="1" applyFont="1" applyBorder="1"/>
    <xf numFmtId="10" fontId="13" fillId="4" borderId="0" xfId="1" applyNumberFormat="1" applyFont="1" applyFill="1"/>
    <xf numFmtId="9" fontId="13" fillId="0" borderId="0" xfId="1" applyFont="1"/>
    <xf numFmtId="10" fontId="13" fillId="0" borderId="7" xfId="1" applyNumberFormat="1" applyFont="1" applyBorder="1"/>
    <xf numFmtId="10" fontId="13" fillId="9" borderId="0" xfId="1" applyNumberFormat="1" applyFont="1" applyFill="1" applyBorder="1"/>
    <xf numFmtId="10" fontId="13" fillId="9" borderId="2" xfId="1" applyNumberFormat="1" applyFont="1" applyFill="1" applyBorder="1"/>
    <xf numFmtId="10" fontId="13" fillId="9" borderId="7" xfId="1" applyNumberFormat="1" applyFont="1" applyFill="1" applyBorder="1"/>
    <xf numFmtId="10" fontId="13" fillId="7" borderId="2" xfId="1" applyNumberFormat="1" applyFont="1" applyFill="1" applyBorder="1"/>
    <xf numFmtId="164" fontId="13" fillId="0" borderId="0" xfId="1" applyNumberFormat="1" applyFont="1"/>
    <xf numFmtId="164" fontId="13" fillId="0" borderId="1" xfId="1" applyNumberFormat="1" applyFont="1" applyBorder="1"/>
    <xf numFmtId="164" fontId="13" fillId="0" borderId="2" xfId="1" applyNumberFormat="1" applyFont="1" applyBorder="1"/>
    <xf numFmtId="164" fontId="13" fillId="0" borderId="0" xfId="1" applyNumberFormat="1" applyFont="1" applyBorder="1"/>
    <xf numFmtId="164" fontId="13" fillId="0" borderId="7" xfId="1" applyNumberFormat="1" applyFont="1" applyBorder="1"/>
    <xf numFmtId="10" fontId="13" fillId="0" borderId="1" xfId="1" applyNumberFormat="1" applyFont="1" applyFill="1" applyBorder="1"/>
    <xf numFmtId="10" fontId="13" fillId="0" borderId="2" xfId="1" applyNumberFormat="1" applyFont="1" applyFill="1" applyBorder="1"/>
    <xf numFmtId="10" fontId="1" fillId="11" borderId="3" xfId="1" applyNumberFormat="1" applyFont="1" applyFill="1" applyBorder="1"/>
    <xf numFmtId="10" fontId="7" fillId="11" borderId="3" xfId="2" applyNumberFormat="1" applyFont="1" applyFill="1" applyBorder="1"/>
    <xf numFmtId="10" fontId="7" fillId="11" borderId="5" xfId="2" applyNumberFormat="1" applyFont="1" applyFill="1" applyBorder="1"/>
    <xf numFmtId="10" fontId="7" fillId="11" borderId="6" xfId="2" applyNumberFormat="1" applyFont="1" applyFill="1" applyBorder="1"/>
    <xf numFmtId="9" fontId="1" fillId="12" borderId="0" xfId="1" applyFont="1" applyFill="1"/>
    <xf numFmtId="164" fontId="1" fillId="0" borderId="0" xfId="1" applyNumberFormat="1"/>
    <xf numFmtId="166" fontId="1" fillId="0" borderId="0" xfId="2" applyNumberFormat="1"/>
    <xf numFmtId="43" fontId="1" fillId="0" borderId="0" xfId="4" applyFont="1"/>
    <xf numFmtId="43" fontId="0" fillId="0" borderId="0" xfId="4" applyFont="1"/>
    <xf numFmtId="0" fontId="1" fillId="13" borderId="0" xfId="2" applyFill="1" applyAlignment="1">
      <alignment horizontal="center"/>
    </xf>
    <xf numFmtId="10" fontId="7" fillId="12" borderId="0" xfId="2" applyNumberFormat="1" applyFont="1" applyFill="1"/>
    <xf numFmtId="9" fontId="0" fillId="0" borderId="0" xfId="0" applyNumberFormat="1"/>
    <xf numFmtId="0" fontId="4" fillId="0" borderId="0" xfId="2" applyFont="1"/>
    <xf numFmtId="10" fontId="4" fillId="0" borderId="9" xfId="2" applyNumberFormat="1" applyFont="1" applyBorder="1" applyAlignment="1">
      <alignment horizontal="right"/>
    </xf>
    <xf numFmtId="10" fontId="4" fillId="0" borderId="0" xfId="1" applyNumberFormat="1" applyFont="1"/>
    <xf numFmtId="10" fontId="4" fillId="0" borderId="0" xfId="1" applyNumberFormat="1" applyFont="1" applyFill="1"/>
    <xf numFmtId="10" fontId="0" fillId="14" borderId="0" xfId="0" applyNumberFormat="1" applyFill="1"/>
    <xf numFmtId="10" fontId="12" fillId="5" borderId="0" xfId="2" applyNumberFormat="1" applyFont="1" applyFill="1"/>
    <xf numFmtId="10" fontId="7" fillId="0" borderId="5" xfId="2" applyNumberFormat="1" applyFont="1" applyBorder="1"/>
    <xf numFmtId="10" fontId="7" fillId="0" borderId="6" xfId="2" applyNumberFormat="1" applyFont="1" applyBorder="1"/>
    <xf numFmtId="10" fontId="7" fillId="0" borderId="8" xfId="2" applyNumberFormat="1" applyFont="1" applyBorder="1"/>
    <xf numFmtId="10" fontId="1" fillId="0" borderId="2" xfId="1" applyNumberFormat="1" applyFont="1" applyFill="1" applyBorder="1"/>
    <xf numFmtId="10" fontId="1" fillId="0" borderId="0" xfId="1" applyNumberFormat="1" applyFont="1" applyFill="1" applyBorder="1"/>
    <xf numFmtId="10" fontId="1" fillId="0" borderId="7" xfId="1" applyNumberFormat="1" applyFont="1" applyFill="1" applyBorder="1"/>
    <xf numFmtId="0" fontId="3" fillId="2" borderId="0" xfId="2" applyFont="1" applyFill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8" borderId="2" xfId="2" applyFont="1" applyFill="1" applyBorder="1" applyAlignment="1">
      <alignment horizontal="center" vertical="center"/>
    </xf>
    <xf numFmtId="0" fontId="3" fillId="8" borderId="0" xfId="2" applyFont="1" applyFill="1" applyAlignment="1">
      <alignment horizontal="center" vertical="center"/>
    </xf>
    <xf numFmtId="0" fontId="1" fillId="13" borderId="0" xfId="2" applyFill="1" applyAlignment="1">
      <alignment horizontal="center"/>
    </xf>
    <xf numFmtId="0" fontId="1" fillId="7" borderId="0" xfId="2" applyFill="1" applyAlignment="1">
      <alignment horizontal="center"/>
    </xf>
    <xf numFmtId="0" fontId="1" fillId="10" borderId="0" xfId="2" applyFill="1" applyAlignment="1">
      <alignment horizontal="center"/>
    </xf>
    <xf numFmtId="10" fontId="1" fillId="0" borderId="7" xfId="2" applyNumberFormat="1" applyFill="1" applyBorder="1"/>
    <xf numFmtId="10" fontId="13" fillId="0" borderId="0" xfId="1" applyNumberFormat="1" applyFont="1" applyFill="1"/>
    <xf numFmtId="10" fontId="1" fillId="0" borderId="2" xfId="2" applyNumberFormat="1" applyFill="1" applyBorder="1"/>
    <xf numFmtId="10" fontId="1" fillId="0" borderId="0" xfId="2" applyNumberFormat="1" applyFill="1"/>
    <xf numFmtId="10" fontId="1" fillId="11" borderId="4" xfId="1" applyNumberFormat="1" applyFont="1" applyFill="1" applyBorder="1"/>
    <xf numFmtId="0" fontId="1" fillId="0" borderId="1" xfId="2" applyFont="1" applyBorder="1"/>
    <xf numFmtId="0" fontId="1" fillId="0" borderId="2" xfId="2" applyFont="1" applyBorder="1"/>
    <xf numFmtId="0" fontId="1" fillId="0" borderId="0" xfId="2" applyFont="1"/>
    <xf numFmtId="0" fontId="1" fillId="0" borderId="7" xfId="2" applyFont="1" applyBorder="1"/>
    <xf numFmtId="10" fontId="1" fillId="0" borderId="1" xfId="2" applyNumberFormat="1" applyFont="1" applyBorder="1"/>
    <xf numFmtId="10" fontId="1" fillId="0" borderId="2" xfId="2" applyNumberFormat="1" applyFont="1" applyBorder="1"/>
    <xf numFmtId="10" fontId="1" fillId="0" borderId="0" xfId="2" applyNumberFormat="1" applyFont="1"/>
    <xf numFmtId="10" fontId="1" fillId="0" borderId="7" xfId="2" applyNumberFormat="1" applyFont="1" applyBorder="1"/>
    <xf numFmtId="10" fontId="13" fillId="0" borderId="0" xfId="1" applyNumberFormat="1" applyFont="1" applyFill="1" applyBorder="1"/>
  </cellXfs>
  <cellStyles count="5">
    <cellStyle name="Comma" xfId="4" builtinId="3"/>
    <cellStyle name="Normal" xfId="0" builtinId="0"/>
    <cellStyle name="Normal 10 2" xfId="2" xr:uid="{2E32691E-58C5-48D3-863B-8E1573A4A777}"/>
    <cellStyle name="Normal 2 2" xfId="3" xr:uid="{38D9E1B4-EB94-4028-9C37-3933F70A480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1-25%20EDPR\22.0%202021%20EDPR%20-%20Annual%20debt%20updates\AER%20-%20AusNet%20Services%20Dx%20PTRM%20-%202025-26%20RoD%20update%20(inc%20storm%20and%20VEBM%20CPT).xlsm" TargetMode="External"/><Relationship Id="rId1" Type="http://schemas.openxmlformats.org/officeDocument/2006/relationships/externalLinkPath" Target="/Price%20Review/2021-25%20EDPR/22.0%202021%20EDPR%20-%20Annual%20debt%20updates/AER%20-%20AusNet%20Services%20Dx%20PTRM%20-%202025-26%20RoD%20update%20(inc%20storm%20and%20VEBM%20CPT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5.0%202026%20EDPR%20-%20Modelling\Live%20models\1%20-%20AusNet%20EDPR%202026-31%20-%20PTRM%20Model.xlsm" TargetMode="External"/><Relationship Id="rId1" Type="http://schemas.openxmlformats.org/officeDocument/2006/relationships/externalLinkPath" Target="/Price%20Review/2026-31%20EDPR/5.0%202026%20EDPR%20-%20Modelling/Live%20models/1%20-%20AusNet%20EDPR%202026-31%20-%20PTRM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ER NRs"/>
      <sheetName val="AER lookups"/>
      <sheetName val="AER ETL"/>
      <sheetName val="Business &amp; other details"/>
      <sheetName val="Intro"/>
      <sheetName val="DMS input"/>
      <sheetName val="AER amendments"/>
      <sheetName val="PTRM input"/>
      <sheetName val="WACC"/>
      <sheetName val="Assets"/>
      <sheetName val="Analysis"/>
      <sheetName val="Forecast revenues"/>
      <sheetName val="X factors"/>
      <sheetName val="Revenue summary"/>
      <sheetName val="Equity raising costs"/>
      <sheetName val="Chart 1-Revenue"/>
      <sheetName val="Chart 2-Price path"/>
      <sheetName val="Chart 3-Building bl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G7" t="str">
            <v>Subtransmission</v>
          </cell>
        </row>
        <row r="388">
          <cell r="G388">
            <v>4.6427739949268979E-2</v>
          </cell>
          <cell r="H388">
            <v>4.5021264522532981E-2</v>
          </cell>
          <cell r="I388">
            <v>4.5920755850981883E-2</v>
          </cell>
          <cell r="J388">
            <v>4.685464227426802E-2</v>
          </cell>
          <cell r="K388">
            <v>4.7207121683934171E-2</v>
          </cell>
        </row>
      </sheetData>
      <sheetData sheetId="8">
        <row r="18">
          <cell r="G18">
            <v>4.8328476585430644E-2</v>
          </cell>
          <cell r="H18">
            <v>4.7484591329389036E-2</v>
          </cell>
          <cell r="I18">
            <v>4.8024286126458385E-2</v>
          </cell>
          <cell r="J18">
            <v>4.8584617980430067E-2</v>
          </cell>
          <cell r="K18">
            <v>4.8796105626229755E-2</v>
          </cell>
        </row>
      </sheetData>
      <sheetData sheetId="9" refreshError="1"/>
      <sheetData sheetId="10">
        <row r="56">
          <cell r="K56">
            <v>-334.21879258933609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ER NRs"/>
      <sheetName val="AER lookups"/>
      <sheetName val="AER ETL"/>
      <sheetName val="Business &amp; other details"/>
      <sheetName val="Intro"/>
      <sheetName val="DMS input"/>
      <sheetName val="PTRM input"/>
      <sheetName val="WACC"/>
      <sheetName val="Assets"/>
      <sheetName val="Analysis"/>
      <sheetName val="Forecast revenues"/>
      <sheetName val="X factors"/>
      <sheetName val="Revenue summary"/>
      <sheetName val="DMIA_Allowance"/>
      <sheetName val="Equity raising costs"/>
      <sheetName val="Chart 1-Revenue"/>
      <sheetName val="Chart 2-Price path"/>
      <sheetName val="Chart 3-Building blo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G18">
            <v>6.0657936078839444E-2</v>
          </cell>
          <cell r="H18">
            <v>6.1226565467680197E-2</v>
          </cell>
          <cell r="I18">
            <v>6.195774254342095E-2</v>
          </cell>
          <cell r="J18">
            <v>6.3012518023270347E-2</v>
          </cell>
          <cell r="K18">
            <v>6.4679649250019761E-2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5A09-6DDA-475E-8B48-7C8587E8E2FE}">
  <dimension ref="B1:Y51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9" sqref="Q9"/>
    </sheetView>
  </sheetViews>
  <sheetFormatPr defaultColWidth="9.109375" defaultRowHeight="12.75" x14ac:dyDescent="0.2"/>
  <cols>
    <col min="1" max="1" width="4.33203125" style="1" customWidth="1"/>
    <col min="2" max="2" width="42.6640625" style="1" customWidth="1"/>
    <col min="3" max="3" width="13.5546875" style="1" customWidth="1"/>
    <col min="4" max="4" width="9.109375" style="1"/>
    <col min="5" max="5" width="9.44140625" style="1" customWidth="1"/>
    <col min="6" max="6" width="10.33203125" style="1" customWidth="1"/>
    <col min="7" max="7" width="9.33203125" style="1" customWidth="1"/>
    <col min="8" max="8" width="9.109375" style="1"/>
    <col min="9" max="9" width="10" style="1" customWidth="1"/>
    <col min="10" max="10" width="9.33203125" style="1" customWidth="1"/>
    <col min="11" max="11" width="8.6640625" style="1" bestFit="1" customWidth="1"/>
    <col min="12" max="14" width="9.109375" style="1"/>
    <col min="15" max="15" width="9.44140625" style="1" customWidth="1"/>
    <col min="16" max="20" width="9.109375" style="1"/>
    <col min="21" max="21" width="9.44140625" style="1" customWidth="1"/>
    <col min="22" max="22" width="9.109375" style="1" customWidth="1"/>
    <col min="23" max="16384" width="9.109375" style="1"/>
  </cols>
  <sheetData>
    <row r="1" spans="2:25" x14ac:dyDescent="0.2">
      <c r="I1" s="2">
        <v>1</v>
      </c>
      <c r="J1" s="2">
        <v>2</v>
      </c>
      <c r="K1" s="2">
        <v>3</v>
      </c>
      <c r="L1" s="2">
        <v>4</v>
      </c>
      <c r="M1" s="2">
        <v>5</v>
      </c>
      <c r="N1" s="2">
        <v>6</v>
      </c>
    </row>
    <row r="2" spans="2:25" ht="18" customHeight="1" x14ac:dyDescent="0.25">
      <c r="B2" s="3" t="s">
        <v>0</v>
      </c>
      <c r="D2" s="97" t="s">
        <v>1</v>
      </c>
      <c r="E2" s="97"/>
      <c r="F2" s="97"/>
      <c r="G2" s="97"/>
      <c r="H2" s="97"/>
      <c r="I2" s="98" t="s">
        <v>36</v>
      </c>
      <c r="J2" s="99"/>
      <c r="K2" s="99"/>
      <c r="L2" s="99"/>
      <c r="M2" s="99"/>
      <c r="N2" s="99"/>
      <c r="O2" s="100" t="s">
        <v>37</v>
      </c>
      <c r="P2" s="101"/>
      <c r="Q2" s="101"/>
      <c r="R2" s="101"/>
      <c r="S2" s="101"/>
    </row>
    <row r="3" spans="2:25" ht="13.4" x14ac:dyDescent="0.25">
      <c r="D3" s="2">
        <v>2016</v>
      </c>
      <c r="E3" s="2">
        <v>2017</v>
      </c>
      <c r="F3" s="2">
        <v>2018</v>
      </c>
      <c r="G3" s="2">
        <v>2019</v>
      </c>
      <c r="H3" s="2">
        <v>2020</v>
      </c>
      <c r="I3" s="4" t="s">
        <v>2</v>
      </c>
      <c r="J3" s="37" t="s">
        <v>3</v>
      </c>
      <c r="K3" s="38" t="s">
        <v>4</v>
      </c>
      <c r="L3" s="38" t="s">
        <v>5</v>
      </c>
      <c r="M3" s="38" t="s">
        <v>6</v>
      </c>
      <c r="N3" s="38" t="s">
        <v>7</v>
      </c>
      <c r="O3" s="37" t="s">
        <v>31</v>
      </c>
      <c r="P3" s="38" t="s">
        <v>32</v>
      </c>
      <c r="Q3" s="38" t="s">
        <v>33</v>
      </c>
      <c r="R3" s="38" t="s">
        <v>34</v>
      </c>
      <c r="S3" s="39" t="s">
        <v>35</v>
      </c>
    </row>
    <row r="4" spans="2:25" x14ac:dyDescent="0.2">
      <c r="D4" s="2"/>
      <c r="E4" s="2"/>
      <c r="F4" s="2"/>
      <c r="G4" s="2"/>
      <c r="H4" s="2"/>
      <c r="I4" s="4" t="s">
        <v>8</v>
      </c>
      <c r="J4" s="5" t="s">
        <v>9</v>
      </c>
      <c r="K4" s="2" t="s">
        <v>9</v>
      </c>
      <c r="L4" s="2" t="s">
        <v>9</v>
      </c>
      <c r="M4" s="2" t="s">
        <v>9</v>
      </c>
      <c r="N4" s="2" t="s">
        <v>9</v>
      </c>
      <c r="O4" s="5" t="s">
        <v>9</v>
      </c>
      <c r="P4" s="2" t="s">
        <v>9</v>
      </c>
      <c r="Q4" s="2" t="s">
        <v>9</v>
      </c>
      <c r="R4" s="2" t="s">
        <v>9</v>
      </c>
      <c r="S4" s="42" t="s">
        <v>9</v>
      </c>
    </row>
    <row r="5" spans="2:25" ht="13.4" thickBot="1" x14ac:dyDescent="0.25">
      <c r="B5" s="6" t="s">
        <v>10</v>
      </c>
      <c r="C5" s="1" t="s">
        <v>11</v>
      </c>
      <c r="D5" s="52">
        <v>2.3230798209937155E-2</v>
      </c>
      <c r="E5" s="52">
        <v>2.3230798209937155E-2</v>
      </c>
      <c r="F5" s="52">
        <v>2.3230798209937155E-2</v>
      </c>
      <c r="G5" s="52">
        <v>2.3230798209937155E-2</v>
      </c>
      <c r="H5" s="52">
        <v>2.3230798209937155E-2</v>
      </c>
      <c r="I5" s="53">
        <f>(1+1.11810379461112/100)^2-1</f>
        <v>2.248709150177497E-2</v>
      </c>
      <c r="J5" s="54">
        <v>0.02</v>
      </c>
      <c r="K5" s="55">
        <v>0.02</v>
      </c>
      <c r="L5" s="55">
        <v>0.02</v>
      </c>
      <c r="M5" s="55">
        <v>0.02</v>
      </c>
      <c r="N5" s="55">
        <v>0.02</v>
      </c>
      <c r="O5" s="17">
        <v>2.5000000000000001E-2</v>
      </c>
      <c r="P5" s="7">
        <v>2.5000000000000001E-2</v>
      </c>
      <c r="Q5" s="7">
        <v>2.5000000000000001E-2</v>
      </c>
      <c r="R5" s="7">
        <v>2.5000000000000001E-2</v>
      </c>
      <c r="S5" s="43">
        <v>2.5000000000000001E-2</v>
      </c>
    </row>
    <row r="6" spans="2:25" ht="13.4" thickBot="1" x14ac:dyDescent="0.25">
      <c r="B6" s="6" t="s">
        <v>12</v>
      </c>
      <c r="C6" s="1" t="s">
        <v>11</v>
      </c>
      <c r="D6" s="7">
        <v>2.93E-2</v>
      </c>
      <c r="E6" s="7">
        <v>2.93E-2</v>
      </c>
      <c r="F6" s="7">
        <v>2.93E-2</v>
      </c>
      <c r="G6" s="7">
        <v>2.93E-2</v>
      </c>
      <c r="H6" s="7">
        <v>2.93E-2</v>
      </c>
      <c r="I6" s="73">
        <v>9.2999999999999992E-3</v>
      </c>
      <c r="J6" s="109">
        <v>1.4579581539673096E-2</v>
      </c>
      <c r="K6" s="95">
        <f>$J6</f>
        <v>1.4579581539673096E-2</v>
      </c>
      <c r="L6" s="95">
        <f t="shared" ref="L6:N6" si="0">$J6</f>
        <v>1.4579581539673096E-2</v>
      </c>
      <c r="M6" s="95">
        <f t="shared" si="0"/>
        <v>1.4579581539673096E-2</v>
      </c>
      <c r="N6" s="95">
        <f t="shared" si="0"/>
        <v>1.4579581539673096E-2</v>
      </c>
      <c r="O6" s="107">
        <v>4.2527761377896808E-2</v>
      </c>
      <c r="P6" s="108">
        <f>O$6</f>
        <v>4.2527761377896808E-2</v>
      </c>
      <c r="Q6" s="108">
        <f t="shared" ref="Q6:S6" si="1">P$6</f>
        <v>4.2527761377896808E-2</v>
      </c>
      <c r="R6" s="108">
        <f t="shared" si="1"/>
        <v>4.2527761377896808E-2</v>
      </c>
      <c r="S6" s="105">
        <f t="shared" si="1"/>
        <v>4.2527761377896808E-2</v>
      </c>
    </row>
    <row r="7" spans="2:25" x14ac:dyDescent="0.2">
      <c r="B7" s="6" t="s">
        <v>13</v>
      </c>
      <c r="C7" s="1" t="s">
        <v>11</v>
      </c>
      <c r="D7" s="1">
        <v>0.7</v>
      </c>
      <c r="E7" s="1">
        <f>$D7</f>
        <v>0.7</v>
      </c>
      <c r="F7" s="1">
        <f t="shared" ref="F7:H8" si="2">$D7</f>
        <v>0.7</v>
      </c>
      <c r="G7" s="1">
        <f t="shared" si="2"/>
        <v>0.7</v>
      </c>
      <c r="H7" s="1">
        <f t="shared" si="2"/>
        <v>0.7</v>
      </c>
      <c r="I7" s="110">
        <v>0.6</v>
      </c>
      <c r="J7" s="111">
        <v>0.6</v>
      </c>
      <c r="K7" s="112">
        <v>0.6</v>
      </c>
      <c r="L7" s="112">
        <v>0.6</v>
      </c>
      <c r="M7" s="112">
        <v>0.6</v>
      </c>
      <c r="N7" s="112">
        <v>0.6</v>
      </c>
      <c r="O7" s="111">
        <v>0.6</v>
      </c>
      <c r="P7" s="112">
        <v>0.6</v>
      </c>
      <c r="Q7" s="112">
        <v>0.6</v>
      </c>
      <c r="R7" s="112">
        <v>0.6</v>
      </c>
      <c r="S7" s="113">
        <v>0.6</v>
      </c>
    </row>
    <row r="8" spans="2:25" x14ac:dyDescent="0.2">
      <c r="B8" s="6" t="s">
        <v>14</v>
      </c>
      <c r="C8" s="1" t="s">
        <v>11</v>
      </c>
      <c r="D8" s="52">
        <v>6.5000000000000002E-2</v>
      </c>
      <c r="E8" s="7">
        <f>$D8</f>
        <v>6.5000000000000002E-2</v>
      </c>
      <c r="F8" s="7">
        <f t="shared" si="2"/>
        <v>6.5000000000000002E-2</v>
      </c>
      <c r="G8" s="7">
        <f t="shared" si="2"/>
        <v>6.5000000000000002E-2</v>
      </c>
      <c r="H8" s="7">
        <f t="shared" si="2"/>
        <v>6.5000000000000002E-2</v>
      </c>
      <c r="I8" s="114">
        <v>6.0999999999999999E-2</v>
      </c>
      <c r="J8" s="115">
        <f>$I8</f>
        <v>6.0999999999999999E-2</v>
      </c>
      <c r="K8" s="116">
        <f>$I8</f>
        <v>6.0999999999999999E-2</v>
      </c>
      <c r="L8" s="116">
        <f t="shared" ref="L8:N8" si="3">$I8</f>
        <v>6.0999999999999999E-2</v>
      </c>
      <c r="M8" s="116">
        <f t="shared" si="3"/>
        <v>6.0999999999999999E-2</v>
      </c>
      <c r="N8" s="116">
        <f t="shared" si="3"/>
        <v>6.0999999999999999E-2</v>
      </c>
      <c r="O8" s="115">
        <v>6.2E-2</v>
      </c>
      <c r="P8" s="116">
        <v>6.2E-2</v>
      </c>
      <c r="Q8" s="116">
        <v>6.2E-2</v>
      </c>
      <c r="R8" s="116">
        <v>6.2E-2</v>
      </c>
      <c r="S8" s="117">
        <v>6.2E-2</v>
      </c>
    </row>
    <row r="9" spans="2:25" ht="13.4" thickBot="1" x14ac:dyDescent="0.25">
      <c r="B9" s="6" t="s">
        <v>15</v>
      </c>
      <c r="D9" s="7">
        <f>D12-D6</f>
        <v>2.5902362384017739E-2</v>
      </c>
      <c r="E9" s="7"/>
      <c r="F9" s="7"/>
      <c r="G9" s="7"/>
      <c r="H9" s="7"/>
      <c r="I9" s="8"/>
      <c r="J9" s="9"/>
      <c r="K9" s="10"/>
      <c r="L9" s="10"/>
      <c r="M9" s="10"/>
      <c r="N9" s="10"/>
      <c r="O9" s="34"/>
      <c r="S9" s="44"/>
    </row>
    <row r="10" spans="2:25" ht="14.05" thickBot="1" x14ac:dyDescent="0.3">
      <c r="B10" s="11" t="s">
        <v>16</v>
      </c>
      <c r="C10" s="1" t="s">
        <v>11</v>
      </c>
      <c r="D10" s="52">
        <f>ROUND(D6+(D7*D8),3)</f>
        <v>7.4999999999999997E-2</v>
      </c>
      <c r="E10" s="52">
        <f>ROUND(E6+(E7*E8),3)</f>
        <v>7.4999999999999997E-2</v>
      </c>
      <c r="F10" s="52">
        <f>ROUND(F6+(F7*F8),3)</f>
        <v>7.4999999999999997E-2</v>
      </c>
      <c r="G10" s="52">
        <f>ROUND(G6+(G7*G8),3)</f>
        <v>7.4999999999999997E-2</v>
      </c>
      <c r="H10" s="52">
        <f>ROUND(H6+(H7*H8),3)</f>
        <v>7.4999999999999997E-2</v>
      </c>
      <c r="I10" s="73">
        <f>IF(I1&gt;1,I6+(I7*I8),ROUND(I6+(I7*I8),3))</f>
        <v>4.5999999999999999E-2</v>
      </c>
      <c r="J10" s="54">
        <f t="shared" ref="J10:N10" si="4">IF(J1&gt;1,J6+(J7*J8),ROUND(J6+(J7*J8),3))</f>
        <v>5.11795815396731E-2</v>
      </c>
      <c r="K10" s="55">
        <f t="shared" si="4"/>
        <v>5.11795815396731E-2</v>
      </c>
      <c r="L10" s="55">
        <f t="shared" si="4"/>
        <v>5.11795815396731E-2</v>
      </c>
      <c r="M10" s="55">
        <f t="shared" si="4"/>
        <v>5.11795815396731E-2</v>
      </c>
      <c r="N10" s="55">
        <f t="shared" si="4"/>
        <v>5.11795815396731E-2</v>
      </c>
      <c r="O10" s="56">
        <f>O6+(O7*O8)</f>
        <v>7.9727761377896805E-2</v>
      </c>
      <c r="P10" s="57">
        <f t="shared" ref="P10:S10" si="5">P6+(P7*P8)</f>
        <v>7.9727761377896805E-2</v>
      </c>
      <c r="Q10" s="57">
        <f t="shared" si="5"/>
        <v>7.9727761377896805E-2</v>
      </c>
      <c r="R10" s="57">
        <f t="shared" si="5"/>
        <v>7.9727761377896805E-2</v>
      </c>
      <c r="S10" s="58">
        <f t="shared" si="5"/>
        <v>7.9727761377896805E-2</v>
      </c>
    </row>
    <row r="11" spans="2:25" ht="14.05" thickBot="1" x14ac:dyDescent="0.3">
      <c r="B11" s="11"/>
      <c r="D11" s="52"/>
      <c r="E11" s="52"/>
      <c r="F11" s="52"/>
      <c r="G11" s="52"/>
      <c r="H11" s="52"/>
      <c r="I11" s="12"/>
      <c r="J11" s="13"/>
      <c r="O11" s="13"/>
      <c r="S11" s="44"/>
    </row>
    <row r="12" spans="2:25" ht="14.05" thickBot="1" x14ac:dyDescent="0.3">
      <c r="B12" s="11" t="s">
        <v>17</v>
      </c>
      <c r="C12" s="1" t="s">
        <v>18</v>
      </c>
      <c r="D12" s="59">
        <v>5.5202362384017739E-2</v>
      </c>
      <c r="E12" s="59">
        <v>5.4427135401573103E-2</v>
      </c>
      <c r="F12" s="59">
        <v>5.4002297132041743E-2</v>
      </c>
      <c r="G12" s="59">
        <v>5.3040235270520403E-2</v>
      </c>
      <c r="H12" s="14">
        <f t="shared" ref="H12:S12" si="6">H18+H24</f>
        <v>5.1009104837381802E-2</v>
      </c>
      <c r="I12" s="74">
        <f t="shared" si="6"/>
        <v>4.8039508398980024E-2</v>
      </c>
      <c r="J12" s="75">
        <f t="shared" si="6"/>
        <v>4.6427739949268992E-2</v>
      </c>
      <c r="K12" s="76">
        <f t="shared" si="6"/>
        <v>4.5021264522532994E-2</v>
      </c>
      <c r="L12" s="76">
        <f t="shared" si="6"/>
        <v>4.5920755850981897E-2</v>
      </c>
      <c r="M12" s="76">
        <f t="shared" si="6"/>
        <v>4.6854642274268027E-2</v>
      </c>
      <c r="N12" s="76">
        <f t="shared" si="6"/>
        <v>4.7207121683934171E-2</v>
      </c>
      <c r="O12" s="91">
        <f t="shared" si="6"/>
        <v>4.7944719212801204E-2</v>
      </c>
      <c r="P12" s="92">
        <f t="shared" si="6"/>
        <v>4.8892434860869124E-2</v>
      </c>
      <c r="Q12" s="92">
        <f t="shared" si="6"/>
        <v>5.0111063320437042E-2</v>
      </c>
      <c r="R12" s="92">
        <f t="shared" si="6"/>
        <v>5.1869022453519383E-2</v>
      </c>
      <c r="S12" s="93">
        <f t="shared" si="6"/>
        <v>5.4647574498101731E-2</v>
      </c>
      <c r="T12" s="7" t="b">
        <f>S12=$T$20</f>
        <v>1</v>
      </c>
      <c r="U12" s="7"/>
      <c r="V12" s="7"/>
      <c r="W12" s="7"/>
      <c r="X12" s="7"/>
      <c r="Y12" s="7"/>
    </row>
    <row r="13" spans="2:25" x14ac:dyDescent="0.2">
      <c r="I13" s="12"/>
      <c r="J13" s="94">
        <f>'[1]PTRM input'!G$388</f>
        <v>4.6427739949268979E-2</v>
      </c>
      <c r="K13" s="95">
        <f>'[1]PTRM input'!H$388</f>
        <v>4.5021264522532981E-2</v>
      </c>
      <c r="L13" s="95">
        <f>'[1]PTRM input'!I$388</f>
        <v>4.5920755850981883E-2</v>
      </c>
      <c r="M13" s="95">
        <f>'[1]PTRM input'!J$388</f>
        <v>4.685464227426802E-2</v>
      </c>
      <c r="N13" s="95">
        <f>'[1]PTRM input'!K$388</f>
        <v>4.7207121683934171E-2</v>
      </c>
      <c r="O13" s="94">
        <f>RoD_Trailing_Avg!N6</f>
        <v>4.7947214584822637E-2</v>
      </c>
      <c r="P13" s="95">
        <f>RoD_Trailing_Avg!O6</f>
        <v>4.8899726620476786E-2</v>
      </c>
      <c r="Q13" s="95">
        <f>RoD_Trailing_Avg!P6</f>
        <v>4.9945656095669276E-2</v>
      </c>
      <c r="R13" s="95">
        <f>RoD_Trailing_Avg!Q6</f>
        <v>5.1794731652665391E-2</v>
      </c>
      <c r="S13" s="96">
        <f>RoD_Trailing_Avg!R6</f>
        <v>5.4647574498101731E-2</v>
      </c>
      <c r="T13" s="7" t="b">
        <f>S13=$T$20</f>
        <v>1</v>
      </c>
    </row>
    <row r="14" spans="2:25" x14ac:dyDescent="0.2">
      <c r="I14" s="12"/>
      <c r="J14" s="45" t="b">
        <f t="shared" ref="J14:L14" si="7">ROUND(J12,4)=ROUND(J13,4)</f>
        <v>1</v>
      </c>
      <c r="K14" s="46" t="b">
        <f t="shared" si="7"/>
        <v>1</v>
      </c>
      <c r="L14" s="46" t="b">
        <f t="shared" si="7"/>
        <v>1</v>
      </c>
      <c r="M14" s="46" t="b">
        <f>ROUND(M12,4)=ROUND(M13,4)</f>
        <v>1</v>
      </c>
      <c r="N14" s="46" t="b">
        <f t="shared" ref="N14:S14" si="8">ROUND(N12,4)=ROUND(N13,4)</f>
        <v>1</v>
      </c>
      <c r="O14" s="45" t="b">
        <f t="shared" si="8"/>
        <v>1</v>
      </c>
      <c r="P14" s="46" t="b">
        <f t="shared" si="8"/>
        <v>1</v>
      </c>
      <c r="Q14" s="46" t="b">
        <f t="shared" si="8"/>
        <v>0</v>
      </c>
      <c r="R14" s="46" t="b">
        <f t="shared" si="8"/>
        <v>0</v>
      </c>
      <c r="S14" s="47" t="b">
        <f t="shared" si="8"/>
        <v>1</v>
      </c>
      <c r="U14" s="7"/>
      <c r="V14" s="7"/>
      <c r="W14" s="7"/>
      <c r="X14" s="7"/>
      <c r="Y14" s="7"/>
    </row>
    <row r="15" spans="2:25" x14ac:dyDescent="0.2">
      <c r="B15" s="15" t="s">
        <v>19</v>
      </c>
      <c r="I15" s="12"/>
      <c r="J15" s="17"/>
      <c r="O15" s="13"/>
      <c r="S15" s="44"/>
    </row>
    <row r="16" spans="2:25" x14ac:dyDescent="0.2">
      <c r="B16" s="1" t="s">
        <v>20</v>
      </c>
      <c r="C16" s="1" t="s">
        <v>11</v>
      </c>
      <c r="D16" s="7">
        <f>D12</f>
        <v>5.5202362384017739E-2</v>
      </c>
      <c r="E16" s="7">
        <f>$D16</f>
        <v>5.5202362384017739E-2</v>
      </c>
      <c r="F16" s="7">
        <f>$D16</f>
        <v>5.5202362384017739E-2</v>
      </c>
      <c r="G16" s="7">
        <f>$D16</f>
        <v>5.5202362384017739E-2</v>
      </c>
      <c r="H16" s="7">
        <f>$D16</f>
        <v>5.5202362384017739E-2</v>
      </c>
      <c r="I16" s="16">
        <f t="shared" ref="I16:S16" si="9">$D16</f>
        <v>5.5202362384017739E-2</v>
      </c>
      <c r="J16" s="17">
        <f t="shared" si="9"/>
        <v>5.5202362384017739E-2</v>
      </c>
      <c r="K16" s="7">
        <f t="shared" si="9"/>
        <v>5.5202362384017739E-2</v>
      </c>
      <c r="L16" s="7">
        <f t="shared" si="9"/>
        <v>5.5202362384017739E-2</v>
      </c>
      <c r="M16" s="7">
        <f t="shared" si="9"/>
        <v>5.5202362384017739E-2</v>
      </c>
      <c r="N16" s="7">
        <f t="shared" si="9"/>
        <v>5.5202362384017739E-2</v>
      </c>
      <c r="O16" s="17">
        <f t="shared" si="9"/>
        <v>5.5202362384017739E-2</v>
      </c>
      <c r="P16" s="7">
        <f t="shared" si="9"/>
        <v>5.5202362384017739E-2</v>
      </c>
      <c r="Q16" s="7">
        <f t="shared" si="9"/>
        <v>5.5202362384017739E-2</v>
      </c>
      <c r="R16" s="7">
        <f t="shared" si="9"/>
        <v>5.5202362384017739E-2</v>
      </c>
      <c r="S16" s="43">
        <f t="shared" si="9"/>
        <v>5.5202362384017739E-2</v>
      </c>
    </row>
    <row r="17" spans="2:22" x14ac:dyDescent="0.2">
      <c r="B17" s="1" t="s">
        <v>21</v>
      </c>
      <c r="D17" s="60">
        <v>1</v>
      </c>
      <c r="E17" s="60">
        <v>0.9</v>
      </c>
      <c r="F17" s="60">
        <v>0.8</v>
      </c>
      <c r="G17" s="60">
        <v>0.7</v>
      </c>
      <c r="H17" s="60">
        <v>0.6</v>
      </c>
      <c r="I17" s="18">
        <v>0.5</v>
      </c>
      <c r="J17" s="19">
        <v>0.45</v>
      </c>
      <c r="K17" s="20">
        <v>0.35</v>
      </c>
      <c r="L17" s="20">
        <v>0.25</v>
      </c>
      <c r="M17" s="20">
        <v>0.15</v>
      </c>
      <c r="N17" s="20">
        <v>0.05</v>
      </c>
      <c r="O17" s="19">
        <v>0</v>
      </c>
      <c r="P17" s="20">
        <v>0</v>
      </c>
      <c r="Q17" s="20">
        <v>0</v>
      </c>
      <c r="R17" s="20">
        <v>0</v>
      </c>
      <c r="S17" s="40">
        <v>0</v>
      </c>
    </row>
    <row r="18" spans="2:22" x14ac:dyDescent="0.2">
      <c r="B18" s="1" t="s">
        <v>22</v>
      </c>
      <c r="D18" s="52">
        <f>D16*D17</f>
        <v>5.5202362384017739E-2</v>
      </c>
      <c r="E18" s="52">
        <f>E16*E17</f>
        <v>4.9682126145615964E-2</v>
      </c>
      <c r="F18" s="52">
        <f t="shared" ref="F18:S18" si="10">F16*F17</f>
        <v>4.4161889907214195E-2</v>
      </c>
      <c r="G18" s="52">
        <f t="shared" si="10"/>
        <v>3.8641653668812413E-2</v>
      </c>
      <c r="H18" s="52">
        <f t="shared" si="10"/>
        <v>3.3121417430410645E-2</v>
      </c>
      <c r="I18" s="53">
        <f t="shared" si="10"/>
        <v>2.760118119200887E-2</v>
      </c>
      <c r="J18" s="54">
        <f t="shared" si="10"/>
        <v>2.4841063072807982E-2</v>
      </c>
      <c r="K18" s="55">
        <f t="shared" si="10"/>
        <v>1.9320826834406207E-2</v>
      </c>
      <c r="L18" s="55">
        <f t="shared" si="10"/>
        <v>1.3800590596004435E-2</v>
      </c>
      <c r="M18" s="55">
        <f t="shared" si="10"/>
        <v>8.2803543576026612E-3</v>
      </c>
      <c r="N18" s="55">
        <f t="shared" si="10"/>
        <v>2.7601181192008872E-3</v>
      </c>
      <c r="O18" s="54">
        <f t="shared" si="10"/>
        <v>0</v>
      </c>
      <c r="P18" s="55">
        <f t="shared" si="10"/>
        <v>0</v>
      </c>
      <c r="Q18" s="55">
        <f t="shared" si="10"/>
        <v>0</v>
      </c>
      <c r="R18" s="55">
        <f t="shared" si="10"/>
        <v>0</v>
      </c>
      <c r="S18" s="61">
        <f t="shared" si="10"/>
        <v>0</v>
      </c>
    </row>
    <row r="19" spans="2:22" x14ac:dyDescent="0.2">
      <c r="E19" s="52"/>
      <c r="F19" s="52"/>
      <c r="G19" s="52"/>
      <c r="H19" s="52"/>
      <c r="I19" s="12"/>
      <c r="J19" s="17"/>
      <c r="O19" s="13"/>
      <c r="S19" s="44"/>
    </row>
    <row r="20" spans="2:22" x14ac:dyDescent="0.2">
      <c r="B20" s="6" t="s">
        <v>23</v>
      </c>
      <c r="C20" s="1" t="s">
        <v>24</v>
      </c>
      <c r="D20" s="7">
        <f>D12</f>
        <v>5.5202362384017739E-2</v>
      </c>
      <c r="E20" s="7">
        <v>4.7500000000000001E-2</v>
      </c>
      <c r="F20" s="7">
        <v>5.0999999999999997E-2</v>
      </c>
      <c r="G20" s="7">
        <v>4.5581743770000002E-2</v>
      </c>
      <c r="H20" s="7">
        <v>3.479513029971161E-2</v>
      </c>
      <c r="I20" s="71">
        <v>2.5506398E-2</v>
      </c>
      <c r="J20" s="72">
        <v>2.4236695694898593E-2</v>
      </c>
      <c r="K20" s="118">
        <v>4.1137608116657703E-2</v>
      </c>
      <c r="L20" s="118">
        <v>6.4197275668506804E-2</v>
      </c>
      <c r="M20" s="118">
        <v>6.4541226616879097E-2</v>
      </c>
      <c r="N20" s="62">
        <v>5.87271564806792E-2</v>
      </c>
      <c r="O20" s="63">
        <f>$N20</f>
        <v>5.87271564806792E-2</v>
      </c>
      <c r="P20" s="62">
        <f t="shared" ref="P20:S20" si="11">$N20</f>
        <v>5.87271564806792E-2</v>
      </c>
      <c r="Q20" s="62">
        <f t="shared" si="11"/>
        <v>5.87271564806792E-2</v>
      </c>
      <c r="R20" s="62">
        <f t="shared" si="11"/>
        <v>5.87271564806792E-2</v>
      </c>
      <c r="S20" s="64">
        <f t="shared" si="11"/>
        <v>5.87271564806792E-2</v>
      </c>
      <c r="T20" s="28">
        <f>SUM(J20:S20)/10</f>
        <v>5.4647574498101745E-2</v>
      </c>
      <c r="V20" s="79"/>
    </row>
    <row r="21" spans="2:22" x14ac:dyDescent="0.2">
      <c r="B21" s="6" t="s">
        <v>25</v>
      </c>
      <c r="D21" s="21"/>
      <c r="E21" s="52">
        <v>9.9999999999999978E-2</v>
      </c>
      <c r="F21" s="52">
        <v>9.9999999999999978E-2</v>
      </c>
      <c r="G21" s="52">
        <v>9.9999999999999978E-2</v>
      </c>
      <c r="H21" s="52">
        <v>9.9999999999999978E-2</v>
      </c>
      <c r="I21" s="22">
        <v>0.1</v>
      </c>
      <c r="J21" s="54">
        <v>9.9999999999999978E-2</v>
      </c>
      <c r="K21" s="55">
        <v>9.9999999999999978E-2</v>
      </c>
      <c r="L21" s="55">
        <v>9.9999999999999978E-2</v>
      </c>
      <c r="M21" s="55">
        <v>9.9999999999999978E-2</v>
      </c>
      <c r="N21" s="55">
        <v>9.9999999999999978E-2</v>
      </c>
      <c r="O21" s="54">
        <v>9.9999999999999978E-2</v>
      </c>
      <c r="P21" s="55">
        <v>9.9999999999999978E-2</v>
      </c>
      <c r="Q21" s="55">
        <v>9.9999999999999978E-2</v>
      </c>
      <c r="R21" s="55">
        <v>9.9999999999999978E-2</v>
      </c>
      <c r="S21" s="61">
        <v>9.9999999999999978E-2</v>
      </c>
    </row>
    <row r="22" spans="2:22" x14ac:dyDescent="0.2">
      <c r="B22" s="6" t="s">
        <v>26</v>
      </c>
      <c r="D22" s="21"/>
      <c r="E22" s="52">
        <f>E21*E20</f>
        <v>4.749999999999999E-3</v>
      </c>
      <c r="F22" s="52">
        <f>F21*F20</f>
        <v>5.0999999999999986E-3</v>
      </c>
      <c r="G22" s="52">
        <f>G21*G20</f>
        <v>4.5581743769999988E-3</v>
      </c>
      <c r="H22" s="52">
        <f>H21*H20</f>
        <v>3.4795130299711602E-3</v>
      </c>
      <c r="I22" s="53">
        <f>I21*I20</f>
        <v>2.5506398000000002E-3</v>
      </c>
      <c r="J22" s="54">
        <f t="shared" ref="J22:N22" si="12">J21*J20</f>
        <v>2.4236695694898587E-3</v>
      </c>
      <c r="K22" s="55">
        <f t="shared" si="12"/>
        <v>4.1137608116657695E-3</v>
      </c>
      <c r="L22" s="55">
        <f t="shared" si="12"/>
        <v>6.4197275668506793E-3</v>
      </c>
      <c r="M22" s="55">
        <f t="shared" si="12"/>
        <v>6.4541226616879081E-3</v>
      </c>
      <c r="N22" s="55">
        <f t="shared" si="12"/>
        <v>5.8727156480679185E-3</v>
      </c>
      <c r="O22" s="54">
        <f t="shared" ref="O22:S22" si="13">O21*O20</f>
        <v>5.8727156480679185E-3</v>
      </c>
      <c r="P22" s="55">
        <f t="shared" si="13"/>
        <v>5.8727156480679185E-3</v>
      </c>
      <c r="Q22" s="55">
        <f t="shared" si="13"/>
        <v>5.8727156480679185E-3</v>
      </c>
      <c r="R22" s="55">
        <f t="shared" si="13"/>
        <v>5.8727156480679185E-3</v>
      </c>
      <c r="S22" s="61">
        <f t="shared" si="13"/>
        <v>5.8727156480679185E-3</v>
      </c>
    </row>
    <row r="23" spans="2:22" x14ac:dyDescent="0.2">
      <c r="B23" s="1" t="s">
        <v>38</v>
      </c>
      <c r="H23" s="23"/>
      <c r="I23" s="12"/>
      <c r="J23" s="13"/>
      <c r="O23" s="17">
        <f>O36*E20*-1</f>
        <v>-2.3750000000000004E-3</v>
      </c>
      <c r="P23" s="7">
        <f>$O23+F20*P37*-1</f>
        <v>-4.9250000000000006E-3</v>
      </c>
      <c r="Q23" s="7">
        <f>$O23+G20*Q38*-1</f>
        <v>-4.6540871885000007E-3</v>
      </c>
      <c r="R23" s="7">
        <f>$O23+H20*R39*-1</f>
        <v>-4.1147565149855809E-3</v>
      </c>
      <c r="S23" s="105">
        <v>-3.094163603485571E-3</v>
      </c>
      <c r="U23" s="28"/>
    </row>
    <row r="24" spans="2:22" x14ac:dyDescent="0.2">
      <c r="B24" s="1" t="s">
        <v>27</v>
      </c>
      <c r="D24" s="21"/>
      <c r="E24" s="7">
        <f>E22</f>
        <v>4.749999999999999E-3</v>
      </c>
      <c r="F24" s="7">
        <f>E24+F22</f>
        <v>9.8499999999999976E-3</v>
      </c>
      <c r="G24" s="7">
        <f t="shared" ref="G24:N24" si="14">F24+G22</f>
        <v>1.4408174376999996E-2</v>
      </c>
      <c r="H24" s="7">
        <f t="shared" si="14"/>
        <v>1.7887687406971157E-2</v>
      </c>
      <c r="I24" s="16">
        <f>H24+I22</f>
        <v>2.0438327206971158E-2</v>
      </c>
      <c r="J24" s="65">
        <f>$H24+J40*$I$20+J22</f>
        <v>2.1586676876461014E-2</v>
      </c>
      <c r="K24" s="7">
        <f t="shared" ref="K24" si="15">J24+K22</f>
        <v>2.5700437688126784E-2</v>
      </c>
      <c r="L24" s="7">
        <f t="shared" si="14"/>
        <v>3.2120165254977462E-2</v>
      </c>
      <c r="M24" s="7">
        <f t="shared" si="14"/>
        <v>3.8574287916665367E-2</v>
      </c>
      <c r="N24" s="7">
        <f t="shared" si="14"/>
        <v>4.4447003564733287E-2</v>
      </c>
      <c r="O24" s="17">
        <f>N24+O22+O23</f>
        <v>4.7944719212801204E-2</v>
      </c>
      <c r="P24" s="7">
        <f>O24+P22+P23</f>
        <v>4.8892434860869124E-2</v>
      </c>
      <c r="Q24" s="7">
        <f>P24+Q22+Q23</f>
        <v>5.0111063320437042E-2</v>
      </c>
      <c r="R24" s="7">
        <f>Q24+R22+R23</f>
        <v>5.1869022453519383E-2</v>
      </c>
      <c r="S24" s="43">
        <f>R24+S22+S23</f>
        <v>5.4647574498101731E-2</v>
      </c>
      <c r="T24" s="7"/>
      <c r="U24" s="78"/>
    </row>
    <row r="25" spans="2:22" x14ac:dyDescent="0.2">
      <c r="H25" s="23"/>
      <c r="I25" s="12"/>
      <c r="J25" s="45"/>
      <c r="O25" s="13"/>
      <c r="S25" s="44"/>
      <c r="U25" s="7"/>
    </row>
    <row r="26" spans="2:22" x14ac:dyDescent="0.2">
      <c r="H26" s="23"/>
      <c r="I26" s="12"/>
      <c r="J26" s="13"/>
      <c r="O26" s="13"/>
      <c r="S26" s="44"/>
      <c r="U26" s="28"/>
    </row>
    <row r="27" spans="2:22" x14ac:dyDescent="0.2">
      <c r="B27" s="1" t="s">
        <v>28</v>
      </c>
      <c r="E27" s="66">
        <f t="shared" ref="E27:S27" si="16">(E18+E24)-E12</f>
        <v>4.9907440428584304E-6</v>
      </c>
      <c r="F27" s="66">
        <f t="shared" si="16"/>
        <v>9.5927751724497745E-6</v>
      </c>
      <c r="G27" s="66">
        <f t="shared" si="16"/>
        <v>9.5927752920069165E-6</v>
      </c>
      <c r="H27" s="66">
        <f t="shared" si="16"/>
        <v>0</v>
      </c>
      <c r="I27" s="67">
        <f t="shared" si="16"/>
        <v>0</v>
      </c>
      <c r="J27" s="68">
        <f t="shared" si="16"/>
        <v>0</v>
      </c>
      <c r="K27" s="69">
        <f t="shared" si="16"/>
        <v>0</v>
      </c>
      <c r="L27" s="69">
        <f t="shared" si="16"/>
        <v>0</v>
      </c>
      <c r="M27" s="69">
        <f t="shared" si="16"/>
        <v>0</v>
      </c>
      <c r="N27" s="69">
        <f t="shared" si="16"/>
        <v>0</v>
      </c>
      <c r="O27" s="68">
        <f t="shared" si="16"/>
        <v>0</v>
      </c>
      <c r="P27" s="69">
        <f t="shared" si="16"/>
        <v>0</v>
      </c>
      <c r="Q27" s="69">
        <f t="shared" si="16"/>
        <v>0</v>
      </c>
      <c r="R27" s="69">
        <f t="shared" si="16"/>
        <v>0</v>
      </c>
      <c r="S27" s="70">
        <f t="shared" si="16"/>
        <v>0</v>
      </c>
    </row>
    <row r="28" spans="2:22" x14ac:dyDescent="0.2">
      <c r="E28" s="23"/>
      <c r="F28" s="23"/>
      <c r="G28" s="23"/>
      <c r="I28" s="12"/>
      <c r="J28" s="13"/>
      <c r="O28" s="13"/>
      <c r="S28" s="44"/>
    </row>
    <row r="29" spans="2:22" ht="13.4" x14ac:dyDescent="0.25">
      <c r="B29" s="24" t="s">
        <v>29</v>
      </c>
      <c r="D29" s="25">
        <v>6.3121417430410637E-2</v>
      </c>
      <c r="E29" s="25">
        <v>6.2656281240943856E-2</v>
      </c>
      <c r="F29" s="25">
        <v>6.2401378279225046E-2</v>
      </c>
      <c r="G29" s="25">
        <v>6.1824141162312239E-2</v>
      </c>
      <c r="H29" s="25">
        <v>6.0605462902429075E-2</v>
      </c>
      <c r="I29" s="26">
        <f t="shared" ref="I29:S29" si="17">0.4*I10+0.6*I12</f>
        <v>4.7223705039388011E-2</v>
      </c>
      <c r="J29" s="33">
        <f t="shared" si="17"/>
        <v>4.832847658543063E-2</v>
      </c>
      <c r="K29" s="27">
        <f t="shared" si="17"/>
        <v>4.7484591329389036E-2</v>
      </c>
      <c r="L29" s="27">
        <f t="shared" si="17"/>
        <v>4.8024286126458378E-2</v>
      </c>
      <c r="M29" s="27">
        <f t="shared" si="17"/>
        <v>4.8584617980430053E-2</v>
      </c>
      <c r="N29" s="27">
        <f t="shared" si="17"/>
        <v>4.8796105626229741E-2</v>
      </c>
      <c r="O29" s="35">
        <f t="shared" si="17"/>
        <v>6.0657936078839444E-2</v>
      </c>
      <c r="P29" s="27">
        <f t="shared" si="17"/>
        <v>6.1226565467680197E-2</v>
      </c>
      <c r="Q29" s="27">
        <f t="shared" si="17"/>
        <v>6.195774254342095E-2</v>
      </c>
      <c r="R29" s="27">
        <f t="shared" si="17"/>
        <v>6.3012518023270347E-2</v>
      </c>
      <c r="S29" s="41">
        <f t="shared" si="17"/>
        <v>6.4679649250019761E-2</v>
      </c>
    </row>
    <row r="30" spans="2:22" x14ac:dyDescent="0.2">
      <c r="E30" s="7"/>
      <c r="F30" s="7"/>
      <c r="G30" s="7"/>
      <c r="H30" s="7"/>
      <c r="I30" s="36">
        <f>(1+I29)^0.5-1</f>
        <v>2.3339486699984535E-2</v>
      </c>
      <c r="J30" s="106">
        <f>[1]WACC!G$18</f>
        <v>4.8328476585430644E-2</v>
      </c>
      <c r="K30" s="106">
        <f>[1]WACC!H$18</f>
        <v>4.7484591329389036E-2</v>
      </c>
      <c r="L30" s="106">
        <f>[1]WACC!I$18</f>
        <v>4.8024286126458385E-2</v>
      </c>
      <c r="M30" s="106">
        <f>[1]WACC!J$18</f>
        <v>4.8584617980430067E-2</v>
      </c>
      <c r="N30" s="106">
        <f>[1]WACC!K$18</f>
        <v>4.8796105626229755E-2</v>
      </c>
      <c r="O30" s="7">
        <f>[2]WACC!G$18</f>
        <v>6.0657936078839444E-2</v>
      </c>
      <c r="P30" s="7">
        <f>[2]WACC!H$18</f>
        <v>6.1226565467680197E-2</v>
      </c>
      <c r="Q30" s="7">
        <f>[2]WACC!I$18</f>
        <v>6.195774254342095E-2</v>
      </c>
      <c r="R30" s="7">
        <f>[2]WACC!J$18</f>
        <v>6.3012518023270347E-2</v>
      </c>
      <c r="S30" s="7">
        <f>[2]WACC!K$18</f>
        <v>6.4679649250019761E-2</v>
      </c>
    </row>
    <row r="31" spans="2:22" x14ac:dyDescent="0.2">
      <c r="H31" s="7"/>
      <c r="I31" s="7"/>
      <c r="J31" s="32" t="b">
        <f>J29=J30</f>
        <v>1</v>
      </c>
      <c r="K31" s="32" t="b">
        <f>K29=K30</f>
        <v>1</v>
      </c>
      <c r="L31" s="32" t="b">
        <f t="shared" ref="L31:S31" si="18">L29=L30</f>
        <v>1</v>
      </c>
      <c r="M31" s="32" t="b">
        <f t="shared" si="18"/>
        <v>1</v>
      </c>
      <c r="N31" s="32" t="b">
        <f t="shared" si="18"/>
        <v>0</v>
      </c>
      <c r="O31" s="32" t="b">
        <f t="shared" si="18"/>
        <v>1</v>
      </c>
      <c r="P31" s="32" t="b">
        <f t="shared" si="18"/>
        <v>1</v>
      </c>
      <c r="Q31" s="32" t="b">
        <f t="shared" si="18"/>
        <v>1</v>
      </c>
      <c r="R31" s="32" t="b">
        <f t="shared" si="18"/>
        <v>1</v>
      </c>
      <c r="S31" s="32" t="b">
        <f t="shared" si="18"/>
        <v>1</v>
      </c>
    </row>
    <row r="32" spans="2:22" x14ac:dyDescent="0.2">
      <c r="E32" s="4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19" x14ac:dyDescent="0.2">
      <c r="B33" s="1" t="s">
        <v>30</v>
      </c>
      <c r="D33" s="49">
        <f t="shared" ref="D33:H33" si="19">SUM(D35:D45)</f>
        <v>1</v>
      </c>
      <c r="E33" s="49">
        <f t="shared" si="19"/>
        <v>1</v>
      </c>
      <c r="F33" s="49">
        <f t="shared" si="19"/>
        <v>1</v>
      </c>
      <c r="G33" s="49">
        <f t="shared" si="19"/>
        <v>0.99999999999999989</v>
      </c>
      <c r="H33" s="49">
        <f t="shared" si="19"/>
        <v>0.99999999999999989</v>
      </c>
      <c r="I33" s="49">
        <f>SUM(I35:I45)</f>
        <v>0.99999999999999989</v>
      </c>
      <c r="J33" s="50">
        <f t="shared" ref="J33:N33" si="20">SUM(J35:J45)</f>
        <v>1</v>
      </c>
      <c r="K33" s="50">
        <f t="shared" si="20"/>
        <v>0.99999999999999989</v>
      </c>
      <c r="L33" s="50">
        <f t="shared" si="20"/>
        <v>0.99999999999999989</v>
      </c>
      <c r="M33" s="50">
        <f t="shared" si="20"/>
        <v>0.99999999999999989</v>
      </c>
      <c r="N33" s="50">
        <f t="shared" si="20"/>
        <v>0.99999999999999978</v>
      </c>
      <c r="O33" s="50">
        <f>SUM(O35:O50)</f>
        <v>0.99999999999999978</v>
      </c>
      <c r="P33" s="50">
        <f t="shared" ref="P33:S33" si="21">SUM(P35:P50)</f>
        <v>0.99999999999999978</v>
      </c>
      <c r="Q33" s="50">
        <f t="shared" si="21"/>
        <v>0.99999999999999978</v>
      </c>
      <c r="R33" s="50">
        <f t="shared" si="21"/>
        <v>0.99999999999999978</v>
      </c>
      <c r="S33" s="50">
        <f t="shared" si="21"/>
        <v>0.99999999999999978</v>
      </c>
    </row>
    <row r="35" spans="2:19" x14ac:dyDescent="0.2">
      <c r="B35" s="30">
        <v>2016</v>
      </c>
      <c r="D35" s="49">
        <v>1</v>
      </c>
      <c r="E35" s="49">
        <v>0.9</v>
      </c>
      <c r="F35" s="49">
        <v>0.8</v>
      </c>
      <c r="G35" s="49">
        <v>0.7</v>
      </c>
      <c r="H35" s="49">
        <v>0.6</v>
      </c>
      <c r="I35" s="49">
        <v>0.5</v>
      </c>
      <c r="J35" s="49">
        <v>0.45</v>
      </c>
      <c r="K35" s="49">
        <v>0.35</v>
      </c>
      <c r="L35" s="49">
        <v>0.25</v>
      </c>
      <c r="M35" s="49">
        <v>0.15</v>
      </c>
      <c r="N35" s="49">
        <v>0.05</v>
      </c>
      <c r="O35" s="49"/>
      <c r="P35" s="49"/>
      <c r="Q35" s="49"/>
      <c r="R35" s="49"/>
      <c r="S35" s="49"/>
    </row>
    <row r="36" spans="2:19" x14ac:dyDescent="0.2">
      <c r="B36" s="30">
        <v>2017</v>
      </c>
      <c r="E36" s="49">
        <v>9.9999999999999978E-2</v>
      </c>
      <c r="F36" s="49">
        <v>9.9999999999999978E-2</v>
      </c>
      <c r="G36" s="49">
        <v>9.9999999999999978E-2</v>
      </c>
      <c r="H36" s="49">
        <v>9.9999999999999978E-2</v>
      </c>
      <c r="I36" s="49">
        <v>0.1</v>
      </c>
      <c r="J36" s="49">
        <v>9.9999999999999978E-2</v>
      </c>
      <c r="K36" s="49">
        <v>9.9999999999999978E-2</v>
      </c>
      <c r="L36" s="49">
        <v>9.9999999999999978E-2</v>
      </c>
      <c r="M36" s="49">
        <v>9.9999999999999978E-2</v>
      </c>
      <c r="N36" s="49">
        <v>9.9999999999999978E-2</v>
      </c>
      <c r="O36" s="77">
        <v>0.05</v>
      </c>
      <c r="S36" s="49"/>
    </row>
    <row r="37" spans="2:19" x14ac:dyDescent="0.2">
      <c r="B37" s="30">
        <v>2018</v>
      </c>
      <c r="F37" s="49">
        <v>9.9999999999999978E-2</v>
      </c>
      <c r="G37" s="49">
        <v>9.9999999999999978E-2</v>
      </c>
      <c r="H37" s="49">
        <v>9.9999999999999978E-2</v>
      </c>
      <c r="I37" s="49">
        <v>0.1</v>
      </c>
      <c r="J37" s="49">
        <v>9.9999999999999978E-2</v>
      </c>
      <c r="K37" s="49">
        <v>9.9999999999999978E-2</v>
      </c>
      <c r="L37" s="49">
        <v>9.9999999999999978E-2</v>
      </c>
      <c r="M37" s="49">
        <v>9.9999999999999978E-2</v>
      </c>
      <c r="N37" s="49">
        <v>9.9999999999999978E-2</v>
      </c>
      <c r="O37" s="49">
        <v>9.9999999999999978E-2</v>
      </c>
      <c r="P37" s="77">
        <v>0.05</v>
      </c>
      <c r="S37" s="49"/>
    </row>
    <row r="38" spans="2:19" x14ac:dyDescent="0.2">
      <c r="B38" s="30">
        <v>2019</v>
      </c>
      <c r="G38" s="49">
        <v>9.9999999999999978E-2</v>
      </c>
      <c r="H38" s="49">
        <v>9.9999999999999978E-2</v>
      </c>
      <c r="I38" s="49">
        <v>0.1</v>
      </c>
      <c r="J38" s="49">
        <v>9.9999999999999978E-2</v>
      </c>
      <c r="K38" s="49">
        <v>9.9999999999999978E-2</v>
      </c>
      <c r="L38" s="49">
        <v>9.9999999999999978E-2</v>
      </c>
      <c r="M38" s="49">
        <v>9.9999999999999978E-2</v>
      </c>
      <c r="N38" s="49">
        <v>9.9999999999999978E-2</v>
      </c>
      <c r="O38" s="49">
        <v>9.9999999999999978E-2</v>
      </c>
      <c r="P38" s="49">
        <v>9.9999999999999978E-2</v>
      </c>
      <c r="Q38" s="77">
        <v>0.05</v>
      </c>
      <c r="S38" s="49"/>
    </row>
    <row r="39" spans="2:19" x14ac:dyDescent="0.2">
      <c r="B39" s="30">
        <v>2020</v>
      </c>
      <c r="H39" s="49">
        <v>9.9999999999999978E-2</v>
      </c>
      <c r="I39" s="49">
        <v>9.9999999999999978E-2</v>
      </c>
      <c r="J39" s="49">
        <v>0.1</v>
      </c>
      <c r="K39" s="49">
        <v>9.9999999999999978E-2</v>
      </c>
      <c r="L39" s="49">
        <v>9.9999999999999978E-2</v>
      </c>
      <c r="M39" s="49">
        <v>9.9999999999999978E-2</v>
      </c>
      <c r="N39" s="49">
        <v>9.9999999999999978E-2</v>
      </c>
      <c r="O39" s="49">
        <v>9.9999999999999978E-2</v>
      </c>
      <c r="P39" s="49">
        <v>9.9999999999999978E-2</v>
      </c>
      <c r="Q39" s="49">
        <v>9.9999999999999978E-2</v>
      </c>
      <c r="R39" s="77">
        <v>0.05</v>
      </c>
      <c r="S39" s="49"/>
    </row>
    <row r="40" spans="2:19" x14ac:dyDescent="0.2">
      <c r="B40" s="1" t="s">
        <v>2</v>
      </c>
      <c r="I40" s="49">
        <v>0.1</v>
      </c>
      <c r="J40" s="31">
        <v>0.05</v>
      </c>
      <c r="K40" s="31">
        <v>0.05</v>
      </c>
      <c r="L40" s="31">
        <v>0.05</v>
      </c>
      <c r="M40" s="31">
        <v>0.05</v>
      </c>
      <c r="N40" s="31">
        <v>0.05</v>
      </c>
      <c r="O40" s="31">
        <v>0.05</v>
      </c>
      <c r="P40" s="31">
        <v>0.05</v>
      </c>
      <c r="Q40" s="31">
        <v>0.05</v>
      </c>
      <c r="R40" s="31">
        <v>0.05</v>
      </c>
      <c r="S40" s="49"/>
    </row>
    <row r="41" spans="2:19" x14ac:dyDescent="0.2">
      <c r="B41" s="1" t="s">
        <v>3</v>
      </c>
      <c r="J41" s="49">
        <v>9.9999999999999978E-2</v>
      </c>
      <c r="K41" s="49">
        <v>9.9999999999999978E-2</v>
      </c>
      <c r="L41" s="49">
        <v>9.9999999999999978E-2</v>
      </c>
      <c r="M41" s="49">
        <v>9.9999999999999978E-2</v>
      </c>
      <c r="N41" s="49">
        <v>9.9999999999999978E-2</v>
      </c>
      <c r="O41" s="49">
        <v>9.9999999999999978E-2</v>
      </c>
      <c r="P41" s="49">
        <v>9.9999999999999978E-2</v>
      </c>
      <c r="Q41" s="49">
        <v>9.9999999999999978E-2</v>
      </c>
      <c r="R41" s="49">
        <v>9.9999999999999978E-2</v>
      </c>
      <c r="S41" s="49">
        <v>9.9999999999999978E-2</v>
      </c>
    </row>
    <row r="42" spans="2:19" x14ac:dyDescent="0.2">
      <c r="B42" s="1" t="s">
        <v>4</v>
      </c>
      <c r="K42" s="49">
        <v>9.9999999999999978E-2</v>
      </c>
      <c r="L42" s="49">
        <v>9.9999999999999978E-2</v>
      </c>
      <c r="M42" s="49">
        <v>9.9999999999999978E-2</v>
      </c>
      <c r="N42" s="49">
        <v>9.9999999999999978E-2</v>
      </c>
      <c r="O42" s="49">
        <v>9.9999999999999978E-2</v>
      </c>
      <c r="P42" s="49">
        <v>9.9999999999999978E-2</v>
      </c>
      <c r="Q42" s="49">
        <v>9.9999999999999978E-2</v>
      </c>
      <c r="R42" s="49">
        <v>9.9999999999999978E-2</v>
      </c>
      <c r="S42" s="49">
        <v>9.9999999999999978E-2</v>
      </c>
    </row>
    <row r="43" spans="2:19" x14ac:dyDescent="0.2">
      <c r="B43" s="1" t="s">
        <v>5</v>
      </c>
      <c r="L43" s="49">
        <v>9.9999999999999978E-2</v>
      </c>
      <c r="M43" s="49">
        <v>9.9999999999999978E-2</v>
      </c>
      <c r="N43" s="49">
        <v>9.9999999999999978E-2</v>
      </c>
      <c r="O43" s="49">
        <v>9.9999999999999978E-2</v>
      </c>
      <c r="P43" s="49">
        <v>9.9999999999999978E-2</v>
      </c>
      <c r="Q43" s="49">
        <v>9.9999999999999978E-2</v>
      </c>
      <c r="R43" s="49">
        <v>9.9999999999999978E-2</v>
      </c>
      <c r="S43" s="49">
        <v>9.9999999999999978E-2</v>
      </c>
    </row>
    <row r="44" spans="2:19" x14ac:dyDescent="0.2">
      <c r="B44" s="1" t="s">
        <v>6</v>
      </c>
      <c r="L44" s="49"/>
      <c r="M44" s="49">
        <v>9.9999999999999978E-2</v>
      </c>
      <c r="N44" s="49">
        <v>9.9999999999999978E-2</v>
      </c>
      <c r="O44" s="49">
        <v>9.9999999999999978E-2</v>
      </c>
      <c r="P44" s="49">
        <v>9.9999999999999978E-2</v>
      </c>
      <c r="Q44" s="49">
        <v>9.9999999999999978E-2</v>
      </c>
      <c r="R44" s="49">
        <v>9.9999999999999978E-2</v>
      </c>
      <c r="S44" s="49">
        <v>9.9999999999999978E-2</v>
      </c>
    </row>
    <row r="45" spans="2:19" x14ac:dyDescent="0.2">
      <c r="B45" s="1" t="s">
        <v>7</v>
      </c>
      <c r="M45" s="49"/>
      <c r="N45" s="49">
        <v>9.9999999999999978E-2</v>
      </c>
      <c r="O45" s="49">
        <v>9.9999999999999978E-2</v>
      </c>
      <c r="P45" s="49">
        <v>9.9999999999999978E-2</v>
      </c>
      <c r="Q45" s="49">
        <v>9.9999999999999978E-2</v>
      </c>
      <c r="R45" s="49">
        <v>9.9999999999999978E-2</v>
      </c>
      <c r="S45" s="49">
        <v>9.9999999999999978E-2</v>
      </c>
    </row>
    <row r="46" spans="2:19" x14ac:dyDescent="0.2">
      <c r="B46" s="1" t="s">
        <v>31</v>
      </c>
      <c r="O46" s="49">
        <v>9.9999999999999978E-2</v>
      </c>
      <c r="P46" s="49">
        <v>9.9999999999999978E-2</v>
      </c>
      <c r="Q46" s="49">
        <v>9.9999999999999978E-2</v>
      </c>
      <c r="R46" s="49">
        <v>9.9999999999999978E-2</v>
      </c>
      <c r="S46" s="49">
        <v>9.9999999999999978E-2</v>
      </c>
    </row>
    <row r="47" spans="2:19" x14ac:dyDescent="0.2">
      <c r="B47" s="1" t="s">
        <v>32</v>
      </c>
      <c r="P47" s="49">
        <v>9.9999999999999978E-2</v>
      </c>
      <c r="Q47" s="49">
        <v>9.9999999999999978E-2</v>
      </c>
      <c r="R47" s="49">
        <v>9.9999999999999978E-2</v>
      </c>
      <c r="S47" s="49">
        <v>9.9999999999999978E-2</v>
      </c>
    </row>
    <row r="48" spans="2:19" x14ac:dyDescent="0.2">
      <c r="B48" s="1" t="s">
        <v>33</v>
      </c>
      <c r="Q48" s="49">
        <v>9.9999999999999978E-2</v>
      </c>
      <c r="R48" s="49">
        <v>9.9999999999999978E-2</v>
      </c>
      <c r="S48" s="49">
        <v>9.9999999999999978E-2</v>
      </c>
    </row>
    <row r="49" spans="2:19" x14ac:dyDescent="0.2">
      <c r="B49" s="1" t="s">
        <v>34</v>
      </c>
      <c r="R49" s="49">
        <v>9.9999999999999978E-2</v>
      </c>
      <c r="S49" s="49">
        <v>9.9999999999999978E-2</v>
      </c>
    </row>
    <row r="50" spans="2:19" x14ac:dyDescent="0.2">
      <c r="B50" s="1" t="s">
        <v>35</v>
      </c>
      <c r="S50" s="49">
        <v>9.9999999999999978E-2</v>
      </c>
    </row>
    <row r="51" spans="2:19" x14ac:dyDescent="0.2"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</sheetData>
  <mergeCells count="3">
    <mergeCell ref="D2:H2"/>
    <mergeCell ref="I2:N2"/>
    <mergeCell ref="O2:S2"/>
  </mergeCells>
  <phoneticPr fontId="11" type="noConversion"/>
  <pageMargins left="0.7" right="0.7" top="0.75" bottom="0.75" header="0.3" footer="0.3"/>
  <pageSetup paperSize="9" orientation="portrait" verticalDpi="0" r:id="rId1"/>
  <headerFooter>
    <oddFooter>&amp;C_x000D_&amp;1#&amp;"Century Gothic"&amp;7&amp;K7F7F7F BUSINESS USE ONLY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F391-7AC1-48CC-8F3F-6CEE383DA1DD}">
  <dimension ref="A2:S44"/>
  <sheetViews>
    <sheetView zoomScale="85" zoomScaleNormal="85" workbookViewId="0">
      <pane ySplit="6" topLeftCell="A7" activePane="bottomLeft" state="frozen"/>
      <selection pane="bottomLeft" activeCell="N6" sqref="N6"/>
    </sheetView>
  </sheetViews>
  <sheetFormatPr defaultRowHeight="14.65" outlineLevelRow="1" x14ac:dyDescent="0.3"/>
  <cols>
    <col min="1" max="1" width="5.109375" customWidth="1"/>
    <col min="2" max="2" width="22.44140625" customWidth="1"/>
  </cols>
  <sheetData>
    <row r="2" spans="1:19" x14ac:dyDescent="0.3">
      <c r="B2" s="1" t="s">
        <v>44</v>
      </c>
      <c r="C2" s="1"/>
      <c r="D2" s="1"/>
      <c r="E2" s="1"/>
      <c r="F2" s="1"/>
      <c r="G2" s="1"/>
      <c r="H2" s="1"/>
      <c r="I2" s="1"/>
      <c r="J2" s="1"/>
      <c r="K2" s="1"/>
      <c r="L2" s="29"/>
      <c r="M2" s="80"/>
      <c r="N2" s="81"/>
    </row>
    <row r="3" spans="1:19" x14ac:dyDescent="0.3">
      <c r="B3" s="1"/>
      <c r="C3" s="48"/>
      <c r="D3" s="48"/>
      <c r="E3" s="48"/>
      <c r="F3" s="48"/>
      <c r="G3" s="48"/>
      <c r="H3" s="48"/>
      <c r="I3" s="1"/>
      <c r="J3" s="1"/>
      <c r="K3" s="1"/>
      <c r="L3" s="1"/>
      <c r="M3" s="1"/>
    </row>
    <row r="4" spans="1:19" x14ac:dyDescent="0.3">
      <c r="B4" s="1"/>
      <c r="C4" s="102" t="s">
        <v>39</v>
      </c>
      <c r="D4" s="102"/>
      <c r="E4" s="102"/>
      <c r="F4" s="102"/>
      <c r="G4" s="102"/>
      <c r="H4" s="82"/>
      <c r="I4" s="103" t="s">
        <v>40</v>
      </c>
      <c r="J4" s="103"/>
      <c r="K4" s="103"/>
      <c r="L4" s="103"/>
      <c r="M4" s="103"/>
      <c r="N4" s="104" t="s">
        <v>41</v>
      </c>
      <c r="O4" s="104"/>
      <c r="P4" s="104"/>
      <c r="Q4" s="104"/>
      <c r="R4" s="104"/>
    </row>
    <row r="5" spans="1:19" x14ac:dyDescent="0.3">
      <c r="B5" s="1"/>
      <c r="C5" s="2">
        <f>'WACC_2026-31'!D3</f>
        <v>2016</v>
      </c>
      <c r="D5" s="2">
        <f>'WACC_2026-31'!E3</f>
        <v>2017</v>
      </c>
      <c r="E5" s="2">
        <f>'WACC_2026-31'!F3</f>
        <v>2018</v>
      </c>
      <c r="F5" s="2">
        <f>'WACC_2026-31'!G3</f>
        <v>2019</v>
      </c>
      <c r="G5" s="2">
        <f>'WACC_2026-31'!H3</f>
        <v>2020</v>
      </c>
      <c r="H5" s="2" t="str">
        <f>'WACC_2026-31'!I3</f>
        <v>Jan-Jun21</v>
      </c>
      <c r="I5" s="2" t="str">
        <f>'WACC_2026-31'!J3</f>
        <v>FY22</v>
      </c>
      <c r="J5" s="2" t="str">
        <f>'WACC_2026-31'!K3</f>
        <v>FY23</v>
      </c>
      <c r="K5" s="2" t="str">
        <f>'WACC_2026-31'!L3</f>
        <v>FY24</v>
      </c>
      <c r="L5" s="2" t="str">
        <f>'WACC_2026-31'!M3</f>
        <v>FY25</v>
      </c>
      <c r="M5" s="2" t="str">
        <f>'WACC_2026-31'!N3</f>
        <v>FY26</v>
      </c>
      <c r="N5" s="2" t="str">
        <f>'WACC_2026-31'!O3</f>
        <v>FY27</v>
      </c>
      <c r="O5" s="2" t="str">
        <f>'WACC_2026-31'!P3</f>
        <v>FY28</v>
      </c>
      <c r="P5" s="2" t="str">
        <f>'WACC_2026-31'!Q3</f>
        <v>FY29</v>
      </c>
      <c r="Q5" s="2" t="str">
        <f>'WACC_2026-31'!R3</f>
        <v>FY30</v>
      </c>
      <c r="R5" s="2" t="str">
        <f>'WACC_2026-31'!S3</f>
        <v>FY31</v>
      </c>
    </row>
    <row r="6" spans="1:19" x14ac:dyDescent="0.3">
      <c r="B6" s="24" t="s">
        <v>42</v>
      </c>
      <c r="C6" s="27">
        <v>5.5202362384017739E-2</v>
      </c>
      <c r="D6" s="27">
        <v>5.4427135401573103E-2</v>
      </c>
      <c r="E6" s="27">
        <v>5.4002297132041743E-2</v>
      </c>
      <c r="F6" s="27">
        <v>5.3040235270520403E-2</v>
      </c>
      <c r="G6" s="27">
        <v>5.1009104837381802E-2</v>
      </c>
      <c r="H6" s="27">
        <v>4.8039508398980024E-2</v>
      </c>
      <c r="I6" s="27">
        <f t="shared" ref="I6:L6" si="0">SUM(I25:I40)</f>
        <v>4.6427739949268999E-2</v>
      </c>
      <c r="J6" s="27">
        <f t="shared" si="0"/>
        <v>4.5021264522532994E-2</v>
      </c>
      <c r="K6" s="27">
        <f t="shared" si="0"/>
        <v>4.5920755850981904E-2</v>
      </c>
      <c r="L6" s="27">
        <f t="shared" si="0"/>
        <v>4.6854642274268027E-2</v>
      </c>
      <c r="M6" s="27">
        <f>SUM(M25:M40)</f>
        <v>4.7207121683934171E-2</v>
      </c>
      <c r="N6" s="83">
        <f t="shared" ref="N6:R6" si="1">SUM(N25:N40)</f>
        <v>4.7947214584822637E-2</v>
      </c>
      <c r="O6" s="83">
        <f t="shared" si="1"/>
        <v>4.8899726620476786E-2</v>
      </c>
      <c r="P6" s="83">
        <f t="shared" si="1"/>
        <v>4.9945656095669276E-2</v>
      </c>
      <c r="Q6" s="83">
        <f t="shared" si="1"/>
        <v>5.1794731652665391E-2</v>
      </c>
      <c r="R6" s="83">
        <f t="shared" si="1"/>
        <v>5.4647574498101731E-2</v>
      </c>
    </row>
    <row r="7" spans="1:19" x14ac:dyDescent="0.3">
      <c r="B7" s="1"/>
      <c r="C7" s="1" t="b">
        <f>C6='WACC_2026-31'!D12</f>
        <v>1</v>
      </c>
      <c r="D7" s="1" t="b">
        <f>D6='WACC_2026-31'!E12</f>
        <v>1</v>
      </c>
      <c r="E7" s="1" t="b">
        <f>E6='WACC_2026-31'!F12</f>
        <v>1</v>
      </c>
      <c r="F7" s="1" t="b">
        <f>F6='WACC_2026-31'!G12</f>
        <v>1</v>
      </c>
      <c r="G7" s="1" t="b">
        <f>G6='WACC_2026-31'!H12</f>
        <v>1</v>
      </c>
      <c r="H7" s="1" t="b">
        <f>H6='WACC_2026-31'!I12</f>
        <v>1</v>
      </c>
      <c r="I7" s="7" t="b">
        <f>ROUND(I6,5)=ROUND('[1]PTRM input'!G$388,5)</f>
        <v>1</v>
      </c>
      <c r="J7" s="7" t="b">
        <f>ROUND(J6,5)=ROUND('[1]PTRM input'!H$388,5)</f>
        <v>1</v>
      </c>
      <c r="K7" s="7" t="b">
        <f>ROUND(K6,5)=ROUND('[1]PTRM input'!I$388,5)</f>
        <v>1</v>
      </c>
      <c r="L7" s="7" t="b">
        <f>ROUND(L6,5)=ROUND('[1]PTRM input'!J$388,5)</f>
        <v>1</v>
      </c>
      <c r="M7" s="7" t="b">
        <f>ROUND(M6,5)=ROUND('[1]PTRM input'!K$388,5)</f>
        <v>1</v>
      </c>
    </row>
    <row r="8" spans="1:19" outlineLevel="1" x14ac:dyDescent="0.3">
      <c r="A8">
        <v>1</v>
      </c>
      <c r="B8" s="1"/>
      <c r="C8" s="49">
        <v>1</v>
      </c>
      <c r="D8" s="49">
        <v>0.9</v>
      </c>
      <c r="E8" s="49">
        <v>0.8</v>
      </c>
      <c r="F8" s="49">
        <v>0.7</v>
      </c>
      <c r="G8" s="49">
        <v>0.6</v>
      </c>
      <c r="H8" s="49">
        <v>0.5</v>
      </c>
      <c r="I8" s="49">
        <v>0.45</v>
      </c>
      <c r="J8" s="49">
        <v>0.35</v>
      </c>
      <c r="K8" s="49">
        <v>0.25</v>
      </c>
      <c r="L8" s="49">
        <v>0.15</v>
      </c>
      <c r="M8" s="49">
        <v>0.05</v>
      </c>
      <c r="N8" s="49"/>
    </row>
    <row r="9" spans="1:19" outlineLevel="1" x14ac:dyDescent="0.3">
      <c r="A9">
        <v>2</v>
      </c>
      <c r="B9" s="1"/>
      <c r="C9" s="49"/>
      <c r="D9" s="49">
        <v>0.1</v>
      </c>
      <c r="E9" s="49">
        <v>0.1</v>
      </c>
      <c r="F9" s="49">
        <v>0.1</v>
      </c>
      <c r="G9" s="49">
        <v>0.1</v>
      </c>
      <c r="H9" s="49">
        <v>0.1</v>
      </c>
      <c r="I9" s="49">
        <v>9.9999999999999978E-2</v>
      </c>
      <c r="J9" s="49">
        <v>9.9999999999999978E-2</v>
      </c>
      <c r="K9" s="49">
        <v>9.9999999999999978E-2</v>
      </c>
      <c r="L9" s="49">
        <v>9.9999999999999978E-2</v>
      </c>
      <c r="M9" s="49">
        <v>9.9999999999999978E-2</v>
      </c>
      <c r="N9" s="49">
        <v>0.05</v>
      </c>
      <c r="O9" s="49"/>
      <c r="S9" s="84"/>
    </row>
    <row r="10" spans="1:19" outlineLevel="1" x14ac:dyDescent="0.3">
      <c r="A10">
        <v>3</v>
      </c>
      <c r="B10" s="1"/>
      <c r="C10" s="49"/>
      <c r="D10" s="49"/>
      <c r="E10" s="49">
        <v>0.1</v>
      </c>
      <c r="F10" s="49">
        <v>0.1</v>
      </c>
      <c r="G10" s="49">
        <v>0.1</v>
      </c>
      <c r="H10" s="49">
        <v>0.1</v>
      </c>
      <c r="I10" s="49">
        <v>9.9999999999999978E-2</v>
      </c>
      <c r="J10" s="49">
        <v>9.9999999999999978E-2</v>
      </c>
      <c r="K10" s="49">
        <v>9.9999999999999978E-2</v>
      </c>
      <c r="L10" s="49">
        <v>9.9999999999999978E-2</v>
      </c>
      <c r="M10" s="49">
        <v>9.9999999999999978E-2</v>
      </c>
      <c r="N10" s="49">
        <v>9.9999999999999978E-2</v>
      </c>
      <c r="O10" s="49">
        <v>0.05</v>
      </c>
      <c r="P10" s="49"/>
      <c r="S10" s="84"/>
    </row>
    <row r="11" spans="1:19" outlineLevel="1" x14ac:dyDescent="0.3">
      <c r="A11">
        <v>4</v>
      </c>
      <c r="B11" s="1"/>
      <c r="C11" s="49"/>
      <c r="D11" s="49"/>
      <c r="E11" s="49"/>
      <c r="F11" s="49">
        <v>0.1</v>
      </c>
      <c r="G11" s="49">
        <v>0.1</v>
      </c>
      <c r="H11" s="49">
        <v>0.1</v>
      </c>
      <c r="I11" s="49">
        <v>9.9999999999999978E-2</v>
      </c>
      <c r="J11" s="49">
        <v>9.9999999999999978E-2</v>
      </c>
      <c r="K11" s="49">
        <v>9.9999999999999978E-2</v>
      </c>
      <c r="L11" s="49">
        <v>9.9999999999999978E-2</v>
      </c>
      <c r="M11" s="49">
        <v>9.9999999999999978E-2</v>
      </c>
      <c r="N11" s="49">
        <v>9.9999999999999978E-2</v>
      </c>
      <c r="O11" s="49">
        <v>9.9999999999999978E-2</v>
      </c>
      <c r="P11" s="49">
        <v>0.05</v>
      </c>
      <c r="Q11" s="49"/>
      <c r="S11" s="84"/>
    </row>
    <row r="12" spans="1:19" outlineLevel="1" x14ac:dyDescent="0.3">
      <c r="A12">
        <v>5</v>
      </c>
      <c r="B12" s="1"/>
      <c r="C12" s="49"/>
      <c r="D12" s="49"/>
      <c r="E12" s="49"/>
      <c r="F12" s="49"/>
      <c r="G12" s="49">
        <v>9.9999999999999978E-2</v>
      </c>
      <c r="H12" s="49">
        <v>9.9999999999999978E-2</v>
      </c>
      <c r="I12" s="49">
        <v>0.1</v>
      </c>
      <c r="J12" s="49">
        <v>9.9999999999999978E-2</v>
      </c>
      <c r="K12" s="49">
        <v>9.9999999999999978E-2</v>
      </c>
      <c r="L12" s="49">
        <v>9.9999999999999978E-2</v>
      </c>
      <c r="M12" s="49">
        <v>9.9999999999999978E-2</v>
      </c>
      <c r="N12" s="49">
        <v>9.9999999999999978E-2</v>
      </c>
      <c r="O12" s="49">
        <v>9.9999999999999978E-2</v>
      </c>
      <c r="P12" s="49">
        <v>9.9999999999999978E-2</v>
      </c>
      <c r="Q12" s="49">
        <v>0.05</v>
      </c>
      <c r="R12" s="49"/>
      <c r="S12" s="84"/>
    </row>
    <row r="13" spans="1:19" outlineLevel="1" x14ac:dyDescent="0.3">
      <c r="A13">
        <v>6</v>
      </c>
      <c r="B13" s="1"/>
      <c r="C13" s="49"/>
      <c r="D13" s="49"/>
      <c r="E13" s="49"/>
      <c r="F13" s="49"/>
      <c r="G13" s="49"/>
      <c r="H13" s="49">
        <v>0.1</v>
      </c>
      <c r="I13" s="49">
        <v>0.05</v>
      </c>
      <c r="J13" s="49">
        <v>0.05</v>
      </c>
      <c r="K13" s="49">
        <v>0.05</v>
      </c>
      <c r="L13" s="49">
        <v>0.05</v>
      </c>
      <c r="M13" s="49">
        <v>0.05</v>
      </c>
      <c r="N13" s="49">
        <v>0.05</v>
      </c>
      <c r="O13" s="49">
        <v>0.05</v>
      </c>
      <c r="P13" s="49">
        <v>0.05</v>
      </c>
      <c r="Q13" s="49">
        <v>0.05</v>
      </c>
      <c r="R13" s="49"/>
      <c r="S13" s="84"/>
    </row>
    <row r="14" spans="1:19" outlineLevel="1" x14ac:dyDescent="0.3">
      <c r="A14">
        <v>7</v>
      </c>
      <c r="B14" s="1"/>
      <c r="C14" s="49"/>
      <c r="D14" s="49"/>
      <c r="E14" s="49"/>
      <c r="F14" s="49"/>
      <c r="G14" s="49"/>
      <c r="H14" s="49"/>
      <c r="I14" s="49">
        <v>9.9999999999999978E-2</v>
      </c>
      <c r="J14" s="49">
        <v>9.9999999999999978E-2</v>
      </c>
      <c r="K14" s="49">
        <v>9.9999999999999978E-2</v>
      </c>
      <c r="L14" s="49">
        <v>9.9999999999999978E-2</v>
      </c>
      <c r="M14" s="49">
        <v>9.9999999999999978E-2</v>
      </c>
      <c r="N14" s="49">
        <v>9.9999999999999978E-2</v>
      </c>
      <c r="O14" s="49">
        <v>9.9999999999999978E-2</v>
      </c>
      <c r="P14" s="49">
        <v>9.9999999999999978E-2</v>
      </c>
      <c r="Q14" s="49">
        <v>9.9999999999999978E-2</v>
      </c>
      <c r="R14" s="49">
        <v>9.9999999999999978E-2</v>
      </c>
      <c r="S14" s="84"/>
    </row>
    <row r="15" spans="1:19" outlineLevel="1" x14ac:dyDescent="0.3">
      <c r="A15">
        <v>8</v>
      </c>
      <c r="B15" s="1"/>
      <c r="C15" s="49"/>
      <c r="D15" s="49"/>
      <c r="E15" s="49"/>
      <c r="F15" s="49"/>
      <c r="G15" s="49"/>
      <c r="H15" s="49"/>
      <c r="I15" s="49"/>
      <c r="J15" s="49">
        <v>9.9999999999999978E-2</v>
      </c>
      <c r="K15" s="49">
        <v>9.9999999999999978E-2</v>
      </c>
      <c r="L15" s="49">
        <v>9.9999999999999978E-2</v>
      </c>
      <c r="M15" s="49">
        <v>9.9999999999999978E-2</v>
      </c>
      <c r="N15" s="49">
        <v>9.9999999999999978E-2</v>
      </c>
      <c r="O15" s="49">
        <v>9.9999999999999978E-2</v>
      </c>
      <c r="P15" s="49">
        <v>9.9999999999999978E-2</v>
      </c>
      <c r="Q15" s="49">
        <v>9.9999999999999978E-2</v>
      </c>
      <c r="R15" s="49">
        <v>9.9999999999999978E-2</v>
      </c>
      <c r="S15" s="84"/>
    </row>
    <row r="16" spans="1:19" outlineLevel="1" x14ac:dyDescent="0.3">
      <c r="A16">
        <v>9</v>
      </c>
      <c r="B16" s="1"/>
      <c r="C16" s="49"/>
      <c r="D16" s="49"/>
      <c r="E16" s="49"/>
      <c r="F16" s="49"/>
      <c r="G16" s="49"/>
      <c r="H16" s="49"/>
      <c r="I16" s="49"/>
      <c r="J16" s="49"/>
      <c r="K16" s="49">
        <v>9.9999999999999978E-2</v>
      </c>
      <c r="L16" s="49">
        <v>9.9999999999999978E-2</v>
      </c>
      <c r="M16" s="49">
        <v>9.9999999999999978E-2</v>
      </c>
      <c r="N16" s="49">
        <v>9.9999999999999978E-2</v>
      </c>
      <c r="O16" s="49">
        <v>9.9999999999999978E-2</v>
      </c>
      <c r="P16" s="49">
        <v>9.9999999999999978E-2</v>
      </c>
      <c r="Q16" s="49">
        <v>9.9999999999999978E-2</v>
      </c>
      <c r="R16" s="49">
        <v>9.9999999999999978E-2</v>
      </c>
      <c r="S16" s="84"/>
    </row>
    <row r="17" spans="1:19" outlineLevel="1" x14ac:dyDescent="0.3">
      <c r="A17">
        <v>10</v>
      </c>
      <c r="B17" s="1"/>
      <c r="C17" s="49"/>
      <c r="D17" s="49"/>
      <c r="E17" s="49"/>
      <c r="F17" s="49"/>
      <c r="G17" s="49"/>
      <c r="H17" s="49"/>
      <c r="I17" s="49"/>
      <c r="J17" s="49"/>
      <c r="K17" s="49"/>
      <c r="L17" s="49">
        <v>9.9999999999999978E-2</v>
      </c>
      <c r="M17" s="49">
        <v>9.9999999999999978E-2</v>
      </c>
      <c r="N17" s="49">
        <v>9.9999999999999978E-2</v>
      </c>
      <c r="O17" s="49">
        <v>9.9999999999999978E-2</v>
      </c>
      <c r="P17" s="49">
        <v>9.9999999999999978E-2</v>
      </c>
      <c r="Q17" s="49">
        <v>9.9999999999999978E-2</v>
      </c>
      <c r="R17" s="49">
        <v>9.9999999999999978E-2</v>
      </c>
      <c r="S17" s="84"/>
    </row>
    <row r="18" spans="1:19" outlineLevel="1" x14ac:dyDescent="0.3">
      <c r="A18">
        <v>11</v>
      </c>
      <c r="B18" s="1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>
        <v>9.9999999999999978E-2</v>
      </c>
      <c r="N18" s="49">
        <v>9.9999999999999978E-2</v>
      </c>
      <c r="O18" s="49">
        <v>9.9999999999999978E-2</v>
      </c>
      <c r="P18" s="49">
        <v>9.9999999999999978E-2</v>
      </c>
      <c r="Q18" s="49">
        <v>9.9999999999999978E-2</v>
      </c>
      <c r="R18" s="49">
        <v>9.9999999999999978E-2</v>
      </c>
      <c r="S18" s="84"/>
    </row>
    <row r="19" spans="1:19" outlineLevel="1" x14ac:dyDescent="0.3">
      <c r="A19">
        <v>12</v>
      </c>
      <c r="B19" s="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>
        <v>9.9999999999999978E-2</v>
      </c>
      <c r="O19" s="49">
        <v>9.9999999999999978E-2</v>
      </c>
      <c r="P19" s="49">
        <v>9.9999999999999978E-2</v>
      </c>
      <c r="Q19" s="49">
        <v>9.9999999999999978E-2</v>
      </c>
      <c r="R19" s="49">
        <v>9.9999999999999978E-2</v>
      </c>
      <c r="S19" s="84"/>
    </row>
    <row r="20" spans="1:19" outlineLevel="1" x14ac:dyDescent="0.3">
      <c r="A20">
        <v>13</v>
      </c>
      <c r="B20" s="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>
        <v>9.9999999999999978E-2</v>
      </c>
      <c r="P20" s="49">
        <v>9.9999999999999978E-2</v>
      </c>
      <c r="Q20" s="49">
        <v>9.9999999999999978E-2</v>
      </c>
      <c r="R20" s="49">
        <v>9.9999999999999978E-2</v>
      </c>
      <c r="S20" s="84"/>
    </row>
    <row r="21" spans="1:19" outlineLevel="1" x14ac:dyDescent="0.3">
      <c r="A21">
        <v>14</v>
      </c>
      <c r="B21" s="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>
        <v>9.9999999999999978E-2</v>
      </c>
      <c r="Q21" s="49">
        <v>9.9999999999999978E-2</v>
      </c>
      <c r="R21" s="49">
        <v>9.9999999999999978E-2</v>
      </c>
      <c r="S21" s="84"/>
    </row>
    <row r="22" spans="1:19" outlineLevel="1" x14ac:dyDescent="0.3">
      <c r="A22">
        <v>15</v>
      </c>
      <c r="B22" s="1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>
        <v>9.9999999999999978E-2</v>
      </c>
      <c r="R22" s="49">
        <v>9.9999999999999978E-2</v>
      </c>
      <c r="S22" s="84"/>
    </row>
    <row r="23" spans="1:19" outlineLevel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R23" s="49">
        <v>9.9999999999999978E-2</v>
      </c>
    </row>
    <row r="24" spans="1:19" outlineLevel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R24" s="49"/>
    </row>
    <row r="25" spans="1:19" outlineLevel="1" x14ac:dyDescent="0.3">
      <c r="A25">
        <v>1</v>
      </c>
      <c r="B25" s="1"/>
      <c r="C25" s="7">
        <f>$C6*C8</f>
        <v>5.5202362384017739E-2</v>
      </c>
      <c r="D25" s="7">
        <f t="shared" ref="D25:R25" si="2">$C6*D8</f>
        <v>4.9682126145615964E-2</v>
      </c>
      <c r="E25" s="7">
        <f t="shared" si="2"/>
        <v>4.4161889907214195E-2</v>
      </c>
      <c r="F25" s="7">
        <f t="shared" si="2"/>
        <v>3.8641653668812413E-2</v>
      </c>
      <c r="G25" s="7">
        <f t="shared" si="2"/>
        <v>3.3121417430410645E-2</v>
      </c>
      <c r="H25" s="7">
        <f t="shared" ref="H25" si="3">$C6*H8</f>
        <v>2.760118119200887E-2</v>
      </c>
      <c r="I25" s="7">
        <f t="shared" si="2"/>
        <v>2.4841063072807982E-2</v>
      </c>
      <c r="J25" s="7">
        <f t="shared" si="2"/>
        <v>1.9320826834406207E-2</v>
      </c>
      <c r="K25" s="7">
        <f t="shared" si="2"/>
        <v>1.3800590596004435E-2</v>
      </c>
      <c r="L25" s="7">
        <f t="shared" si="2"/>
        <v>8.2803543576026612E-3</v>
      </c>
      <c r="M25" s="7">
        <f t="shared" si="2"/>
        <v>2.7601181192008872E-3</v>
      </c>
      <c r="N25" s="7">
        <f t="shared" si="2"/>
        <v>0</v>
      </c>
      <c r="O25" s="7">
        <f t="shared" si="2"/>
        <v>0</v>
      </c>
      <c r="P25" s="7">
        <f t="shared" si="2"/>
        <v>0</v>
      </c>
      <c r="Q25" s="7">
        <f t="shared" si="2"/>
        <v>0</v>
      </c>
      <c r="R25" s="7">
        <f t="shared" si="2"/>
        <v>0</v>
      </c>
    </row>
    <row r="26" spans="1:19" outlineLevel="1" x14ac:dyDescent="0.3">
      <c r="A26">
        <v>2</v>
      </c>
      <c r="B26" s="1"/>
      <c r="C26" s="1"/>
      <c r="D26" s="7">
        <f>D6-D25</f>
        <v>4.7450092559571388E-3</v>
      </c>
      <c r="E26" s="7">
        <f>$D42*E9</f>
        <v>4.7450092559571388E-3</v>
      </c>
      <c r="F26" s="7">
        <f t="shared" ref="F26:R26" si="4">$D42*F9</f>
        <v>4.7450092559571388E-3</v>
      </c>
      <c r="G26" s="7">
        <f t="shared" si="4"/>
        <v>4.7450092559571388E-3</v>
      </c>
      <c r="H26" s="7">
        <f t="shared" si="4"/>
        <v>4.7450092559571388E-3</v>
      </c>
      <c r="I26" s="7">
        <f t="shared" si="4"/>
        <v>4.745009255957138E-3</v>
      </c>
      <c r="J26" s="7">
        <f t="shared" si="4"/>
        <v>4.745009255957138E-3</v>
      </c>
      <c r="K26" s="7">
        <f t="shared" si="4"/>
        <v>4.745009255957138E-3</v>
      </c>
      <c r="L26" s="7">
        <f t="shared" si="4"/>
        <v>4.745009255957138E-3</v>
      </c>
      <c r="M26" s="7">
        <f t="shared" si="4"/>
        <v>4.745009255957138E-3</v>
      </c>
      <c r="N26" s="7">
        <f t="shared" si="4"/>
        <v>2.3725046279785694E-3</v>
      </c>
      <c r="O26" s="7">
        <f t="shared" si="4"/>
        <v>0</v>
      </c>
      <c r="P26" s="7">
        <f t="shared" si="4"/>
        <v>0</v>
      </c>
      <c r="Q26" s="7">
        <f t="shared" si="4"/>
        <v>0</v>
      </c>
      <c r="R26" s="7">
        <f t="shared" si="4"/>
        <v>0</v>
      </c>
    </row>
    <row r="27" spans="1:19" outlineLevel="1" x14ac:dyDescent="0.3">
      <c r="A27">
        <v>3</v>
      </c>
      <c r="B27" s="1"/>
      <c r="C27" s="1"/>
      <c r="D27" s="1"/>
      <c r="E27" s="7">
        <f>E$6-SUM(E$25:E26)</f>
        <v>5.095397968870409E-3</v>
      </c>
      <c r="F27" s="7">
        <f>$E42*F10</f>
        <v>5.095397968870409E-3</v>
      </c>
      <c r="G27" s="7">
        <f t="shared" ref="G27:R27" si="5">$E42*G10</f>
        <v>5.095397968870409E-3</v>
      </c>
      <c r="H27" s="7">
        <f t="shared" si="5"/>
        <v>5.095397968870409E-3</v>
      </c>
      <c r="I27" s="7">
        <f t="shared" si="5"/>
        <v>5.0953979688704082E-3</v>
      </c>
      <c r="J27" s="7">
        <f t="shared" si="5"/>
        <v>5.0953979688704082E-3</v>
      </c>
      <c r="K27" s="7">
        <f t="shared" si="5"/>
        <v>5.0953979688704082E-3</v>
      </c>
      <c r="L27" s="7">
        <f t="shared" si="5"/>
        <v>5.0953979688704082E-3</v>
      </c>
      <c r="M27" s="7">
        <f t="shared" si="5"/>
        <v>5.0953979688704082E-3</v>
      </c>
      <c r="N27" s="7">
        <f t="shared" si="5"/>
        <v>5.0953979688704082E-3</v>
      </c>
      <c r="O27" s="7">
        <f t="shared" si="5"/>
        <v>2.5476989844352045E-3</v>
      </c>
      <c r="P27" s="7">
        <f t="shared" si="5"/>
        <v>0</v>
      </c>
      <c r="Q27" s="7">
        <f t="shared" si="5"/>
        <v>0</v>
      </c>
      <c r="R27" s="7">
        <f t="shared" si="5"/>
        <v>0</v>
      </c>
    </row>
    <row r="28" spans="1:19" outlineLevel="1" x14ac:dyDescent="0.3">
      <c r="A28">
        <v>4</v>
      </c>
      <c r="B28" s="1"/>
      <c r="C28" s="1"/>
      <c r="D28" s="1"/>
      <c r="E28" s="1"/>
      <c r="F28" s="7">
        <f>F$6-SUM(F$25:F27)</f>
        <v>4.5581743768804417E-3</v>
      </c>
      <c r="G28" s="7">
        <f>$F42*G11</f>
        <v>4.5581743768804417E-3</v>
      </c>
      <c r="H28" s="7">
        <f t="shared" ref="H28:R28" si="6">$F42*H11</f>
        <v>4.5581743768804417E-3</v>
      </c>
      <c r="I28" s="7">
        <f t="shared" si="6"/>
        <v>4.5581743768804408E-3</v>
      </c>
      <c r="J28" s="7">
        <f t="shared" si="6"/>
        <v>4.5581743768804408E-3</v>
      </c>
      <c r="K28" s="7">
        <f t="shared" si="6"/>
        <v>4.5581743768804408E-3</v>
      </c>
      <c r="L28" s="7">
        <f t="shared" si="6"/>
        <v>4.5581743768804408E-3</v>
      </c>
      <c r="M28" s="7">
        <f t="shared" si="6"/>
        <v>4.5581743768804408E-3</v>
      </c>
      <c r="N28" s="7">
        <f t="shared" si="6"/>
        <v>4.5581743768804408E-3</v>
      </c>
      <c r="O28" s="7">
        <f t="shared" si="6"/>
        <v>4.5581743768804408E-3</v>
      </c>
      <c r="P28" s="7">
        <f t="shared" si="6"/>
        <v>2.2790871884402208E-3</v>
      </c>
      <c r="Q28" s="7">
        <f t="shared" si="6"/>
        <v>0</v>
      </c>
      <c r="R28" s="7">
        <f t="shared" si="6"/>
        <v>0</v>
      </c>
    </row>
    <row r="29" spans="1:19" outlineLevel="1" x14ac:dyDescent="0.3">
      <c r="A29">
        <v>5</v>
      </c>
      <c r="B29" s="1"/>
      <c r="C29" s="1"/>
      <c r="D29" s="1"/>
      <c r="E29" s="1"/>
      <c r="F29" s="1"/>
      <c r="G29" s="7">
        <f>G$6-SUM(G$25:G28)</f>
        <v>3.4891058052631679E-3</v>
      </c>
      <c r="H29" s="7">
        <f>$G42*H12</f>
        <v>3.4891058052631679E-3</v>
      </c>
      <c r="I29" s="7">
        <f t="shared" ref="I29:R29" si="7">$G42*I12</f>
        <v>3.4891058052631688E-3</v>
      </c>
      <c r="J29" s="7">
        <f t="shared" si="7"/>
        <v>3.4891058052631679E-3</v>
      </c>
      <c r="K29" s="7">
        <f t="shared" si="7"/>
        <v>3.4891058052631679E-3</v>
      </c>
      <c r="L29" s="7">
        <f t="shared" si="7"/>
        <v>3.4891058052631679E-3</v>
      </c>
      <c r="M29" s="7">
        <f t="shared" si="7"/>
        <v>3.4891058052631679E-3</v>
      </c>
      <c r="N29" s="7">
        <f t="shared" si="7"/>
        <v>3.4891058052631679E-3</v>
      </c>
      <c r="O29" s="7">
        <f t="shared" si="7"/>
        <v>3.4891058052631679E-3</v>
      </c>
      <c r="P29" s="7">
        <f t="shared" si="7"/>
        <v>3.4891058052631679E-3</v>
      </c>
      <c r="Q29" s="7">
        <f t="shared" si="7"/>
        <v>1.7445529026315844E-3</v>
      </c>
      <c r="R29" s="7">
        <f t="shared" si="7"/>
        <v>0</v>
      </c>
    </row>
    <row r="30" spans="1:19" outlineLevel="1" x14ac:dyDescent="0.3">
      <c r="A30">
        <v>6</v>
      </c>
      <c r="B30" s="1"/>
      <c r="C30" s="1"/>
      <c r="D30" s="1"/>
      <c r="E30" s="1"/>
      <c r="F30" s="1"/>
      <c r="G30" s="1"/>
      <c r="H30" s="7">
        <f>H$6-SUM(H$25:H29)</f>
        <v>2.5506397999999972E-3</v>
      </c>
      <c r="I30" s="90">
        <f>$H42*I13</f>
        <v>1.275319899999999E-3</v>
      </c>
      <c r="J30" s="90">
        <f t="shared" ref="J30:R30" si="8">$H42*J13</f>
        <v>1.275319899999999E-3</v>
      </c>
      <c r="K30" s="90">
        <f t="shared" si="8"/>
        <v>1.275319899999999E-3</v>
      </c>
      <c r="L30" s="90">
        <f t="shared" si="8"/>
        <v>1.275319899999999E-3</v>
      </c>
      <c r="M30" s="90">
        <f t="shared" si="8"/>
        <v>1.275319899999999E-3</v>
      </c>
      <c r="N30" s="90">
        <f t="shared" si="8"/>
        <v>1.275319899999999E-3</v>
      </c>
      <c r="O30" s="90">
        <f t="shared" si="8"/>
        <v>1.275319899999999E-3</v>
      </c>
      <c r="P30" s="90">
        <f t="shared" si="8"/>
        <v>1.275319899999999E-3</v>
      </c>
      <c r="Q30" s="90">
        <f t="shared" si="8"/>
        <v>1.275319899999999E-3</v>
      </c>
      <c r="R30" s="90">
        <f t="shared" si="8"/>
        <v>0</v>
      </c>
    </row>
    <row r="31" spans="1:19" outlineLevel="1" x14ac:dyDescent="0.3">
      <c r="A31">
        <v>7</v>
      </c>
      <c r="B31" s="1"/>
      <c r="C31" s="1"/>
      <c r="D31" s="1"/>
      <c r="E31" s="1"/>
      <c r="F31" s="1"/>
      <c r="G31" s="1"/>
      <c r="H31" s="1"/>
      <c r="I31" s="7">
        <f>$I42*I14</f>
        <v>2.4236695694898587E-3</v>
      </c>
      <c r="J31" s="7">
        <f>$I42*J14</f>
        <v>2.4236695694898587E-3</v>
      </c>
      <c r="K31" s="7">
        <f t="shared" ref="K31:R31" si="9">$I42*K14</f>
        <v>2.4236695694898587E-3</v>
      </c>
      <c r="L31" s="7">
        <f t="shared" si="9"/>
        <v>2.4236695694898587E-3</v>
      </c>
      <c r="M31" s="7">
        <f t="shared" si="9"/>
        <v>2.4236695694898587E-3</v>
      </c>
      <c r="N31" s="7">
        <f t="shared" si="9"/>
        <v>2.4236695694898587E-3</v>
      </c>
      <c r="O31" s="7">
        <f t="shared" si="9"/>
        <v>2.4236695694898587E-3</v>
      </c>
      <c r="P31" s="7">
        <f t="shared" si="9"/>
        <v>2.4236695694898587E-3</v>
      </c>
      <c r="Q31" s="7">
        <f t="shared" si="9"/>
        <v>2.4236695694898587E-3</v>
      </c>
      <c r="R31" s="7">
        <f t="shared" si="9"/>
        <v>2.4236695694898587E-3</v>
      </c>
    </row>
    <row r="32" spans="1:19" outlineLevel="1" x14ac:dyDescent="0.3">
      <c r="A32">
        <v>8</v>
      </c>
      <c r="B32" s="1"/>
      <c r="C32" s="1"/>
      <c r="D32" s="1"/>
      <c r="E32" s="1"/>
      <c r="F32" s="1"/>
      <c r="G32" s="1"/>
      <c r="H32" s="1"/>
      <c r="I32" s="1"/>
      <c r="J32" s="7">
        <f>$J42*J15</f>
        <v>4.1137608116657695E-3</v>
      </c>
      <c r="K32" s="7">
        <f>$J42*K15</f>
        <v>4.1137608116657695E-3</v>
      </c>
      <c r="L32" s="7">
        <f t="shared" ref="L32:R32" si="10">$J42*L15</f>
        <v>4.1137608116657695E-3</v>
      </c>
      <c r="M32" s="7">
        <f t="shared" si="10"/>
        <v>4.1137608116657695E-3</v>
      </c>
      <c r="N32" s="7">
        <f t="shared" si="10"/>
        <v>4.1137608116657695E-3</v>
      </c>
      <c r="O32" s="7">
        <f t="shared" si="10"/>
        <v>4.1137608116657695E-3</v>
      </c>
      <c r="P32" s="7">
        <f t="shared" si="10"/>
        <v>4.1137608116657695E-3</v>
      </c>
      <c r="Q32" s="7">
        <f t="shared" si="10"/>
        <v>4.1137608116657695E-3</v>
      </c>
      <c r="R32" s="7">
        <f t="shared" si="10"/>
        <v>4.1137608116657695E-3</v>
      </c>
    </row>
    <row r="33" spans="1:18" outlineLevel="1" x14ac:dyDescent="0.3">
      <c r="A33">
        <v>9</v>
      </c>
      <c r="B33" s="1"/>
      <c r="C33" s="1"/>
      <c r="D33" s="1"/>
      <c r="E33" s="1"/>
      <c r="F33" s="1"/>
      <c r="G33" s="1"/>
      <c r="H33" s="1"/>
      <c r="I33" s="1"/>
      <c r="J33" s="1"/>
      <c r="K33" s="7">
        <f>$K42*K16</f>
        <v>6.4197275668506793E-3</v>
      </c>
      <c r="L33" s="7">
        <f>$K42*L16</f>
        <v>6.4197275668506793E-3</v>
      </c>
      <c r="M33" s="7">
        <f t="shared" ref="M33:R33" si="11">$K42*M16</f>
        <v>6.4197275668506793E-3</v>
      </c>
      <c r="N33" s="7">
        <f t="shared" si="11"/>
        <v>6.4197275668506793E-3</v>
      </c>
      <c r="O33" s="7">
        <f t="shared" si="11"/>
        <v>6.4197275668506793E-3</v>
      </c>
      <c r="P33" s="7">
        <f t="shared" si="11"/>
        <v>6.4197275668506793E-3</v>
      </c>
      <c r="Q33" s="7">
        <f t="shared" si="11"/>
        <v>6.4197275668506793E-3</v>
      </c>
      <c r="R33" s="7">
        <f t="shared" si="11"/>
        <v>6.4197275668506793E-3</v>
      </c>
    </row>
    <row r="34" spans="1:18" outlineLevel="1" x14ac:dyDescent="0.3">
      <c r="A34">
        <v>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7">
        <f>$L42*L17</f>
        <v>6.4541226616879081E-3</v>
      </c>
      <c r="M34" s="7">
        <f t="shared" ref="M34:R34" si="12">$L42*M17</f>
        <v>6.4541226616879081E-3</v>
      </c>
      <c r="N34" s="7">
        <f t="shared" si="12"/>
        <v>6.4541226616879081E-3</v>
      </c>
      <c r="O34" s="7">
        <f t="shared" si="12"/>
        <v>6.4541226616879081E-3</v>
      </c>
      <c r="P34" s="7">
        <f t="shared" si="12"/>
        <v>6.4541226616879081E-3</v>
      </c>
      <c r="Q34" s="7">
        <f t="shared" si="12"/>
        <v>6.4541226616879081E-3</v>
      </c>
      <c r="R34" s="7">
        <f t="shared" si="12"/>
        <v>6.4541226616879081E-3</v>
      </c>
    </row>
    <row r="35" spans="1:18" outlineLevel="1" x14ac:dyDescent="0.3">
      <c r="A35">
        <v>11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7">
        <f>$M42*M18</f>
        <v>5.8727156480679185E-3</v>
      </c>
      <c r="N35" s="7">
        <f t="shared" ref="N35:R35" si="13">$M42*N18</f>
        <v>5.8727156480679185E-3</v>
      </c>
      <c r="O35" s="7">
        <f t="shared" si="13"/>
        <v>5.8727156480679185E-3</v>
      </c>
      <c r="P35" s="7">
        <f t="shared" si="13"/>
        <v>5.8727156480679185E-3</v>
      </c>
      <c r="Q35" s="7">
        <f t="shared" si="13"/>
        <v>5.8727156480679185E-3</v>
      </c>
      <c r="R35" s="7">
        <f t="shared" si="13"/>
        <v>5.8727156480679185E-3</v>
      </c>
    </row>
    <row r="36" spans="1:18" outlineLevel="1" x14ac:dyDescent="0.3">
      <c r="A36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7"/>
      <c r="N36" s="7">
        <f>$N42*N19</f>
        <v>5.8727156480679185E-3</v>
      </c>
      <c r="O36" s="7">
        <f t="shared" ref="O36:R36" si="14">$N42*O19</f>
        <v>5.8727156480679185E-3</v>
      </c>
      <c r="P36" s="7">
        <f t="shared" si="14"/>
        <v>5.8727156480679185E-3</v>
      </c>
      <c r="Q36" s="7">
        <f t="shared" si="14"/>
        <v>5.8727156480679185E-3</v>
      </c>
      <c r="R36" s="7">
        <f t="shared" si="14"/>
        <v>5.8727156480679185E-3</v>
      </c>
    </row>
    <row r="37" spans="1:18" outlineLevel="1" x14ac:dyDescent="0.3">
      <c r="A37">
        <v>13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7"/>
      <c r="N37" s="7"/>
      <c r="O37" s="7">
        <f>$O42*O20</f>
        <v>5.8727156480679185E-3</v>
      </c>
      <c r="P37" s="7">
        <f t="shared" ref="P37:R37" si="15">$O42*P20</f>
        <v>5.8727156480679185E-3</v>
      </c>
      <c r="Q37" s="7">
        <f t="shared" si="15"/>
        <v>5.8727156480679185E-3</v>
      </c>
      <c r="R37" s="7">
        <f t="shared" si="15"/>
        <v>5.8727156480679185E-3</v>
      </c>
    </row>
    <row r="38" spans="1:18" outlineLevel="1" x14ac:dyDescent="0.3">
      <c r="A38">
        <v>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7"/>
      <c r="N38" s="7"/>
      <c r="O38" s="7"/>
      <c r="P38" s="7">
        <f>$P42*P21</f>
        <v>5.8727156480679185E-3</v>
      </c>
      <c r="Q38" s="7">
        <f t="shared" ref="Q38:R38" si="16">$P42*Q21</f>
        <v>5.8727156480679185E-3</v>
      </c>
      <c r="R38" s="7">
        <f t="shared" si="16"/>
        <v>5.8727156480679185E-3</v>
      </c>
    </row>
    <row r="39" spans="1:18" outlineLevel="1" x14ac:dyDescent="0.3">
      <c r="A39">
        <v>15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7"/>
      <c r="N39" s="7"/>
      <c r="O39" s="7"/>
      <c r="P39" s="7"/>
      <c r="Q39" s="7">
        <f>$Q42*Q22</f>
        <v>5.8727156480679185E-3</v>
      </c>
      <c r="R39" s="7">
        <f>$Q42*R22</f>
        <v>5.8727156480679185E-3</v>
      </c>
    </row>
    <row r="40" spans="1:18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R40" s="7">
        <f>$R42*R23</f>
        <v>5.8727156480679185E-3</v>
      </c>
    </row>
    <row r="41" spans="1:18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R41" s="7"/>
    </row>
    <row r="42" spans="1:18" x14ac:dyDescent="0.3">
      <c r="B42" s="85" t="s">
        <v>43</v>
      </c>
      <c r="C42" s="86"/>
      <c r="D42" s="87">
        <f>D26/D9</f>
        <v>4.7450092559571388E-2</v>
      </c>
      <c r="E42" s="87">
        <f>E27/E10</f>
        <v>5.095397968870409E-2</v>
      </c>
      <c r="F42" s="87">
        <f>F28/F11</f>
        <v>4.5581743768804417E-2</v>
      </c>
      <c r="G42" s="87">
        <f>G29/G12</f>
        <v>3.4891058052631686E-2</v>
      </c>
      <c r="H42" s="87">
        <f>H30/H12</f>
        <v>2.5506397999999979E-2</v>
      </c>
      <c r="I42" s="88">
        <v>2.4236695694898593E-2</v>
      </c>
      <c r="J42" s="88">
        <v>4.1137608116657703E-2</v>
      </c>
      <c r="K42" s="88">
        <v>6.4197275668506804E-2</v>
      </c>
      <c r="L42" s="88">
        <v>6.4541226616879097E-2</v>
      </c>
      <c r="M42" s="88">
        <v>5.87271564806792E-2</v>
      </c>
      <c r="N42" s="89">
        <f>$M42</f>
        <v>5.87271564806792E-2</v>
      </c>
      <c r="O42" s="89">
        <f t="shared" ref="O42:R42" si="17">$M42</f>
        <v>5.87271564806792E-2</v>
      </c>
      <c r="P42" s="89">
        <f t="shared" si="17"/>
        <v>5.87271564806792E-2</v>
      </c>
      <c r="Q42" s="89">
        <f t="shared" si="17"/>
        <v>5.87271564806792E-2</v>
      </c>
      <c r="R42" s="89">
        <f t="shared" si="17"/>
        <v>5.87271564806792E-2</v>
      </c>
    </row>
    <row r="43" spans="1:18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8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3">
    <mergeCell ref="C4:G4"/>
    <mergeCell ref="I4:M4"/>
    <mergeCell ref="N4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3180A028-9B92-47DA-BCED-2EB97937CD6A}"/>
</file>

<file path=customXml/itemProps2.xml><?xml version="1.0" encoding="utf-8"?>
<ds:datastoreItem xmlns:ds="http://schemas.openxmlformats.org/officeDocument/2006/customXml" ds:itemID="{586CF26B-B9C6-427E-8295-0DC816D64639}"/>
</file>

<file path=customXml/itemProps3.xml><?xml version="1.0" encoding="utf-8"?>
<ds:datastoreItem xmlns:ds="http://schemas.openxmlformats.org/officeDocument/2006/customXml" ds:itemID="{71F235CB-CAA8-4D3C-AEDF-EE00F29C3578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WACC_2026-31</vt:lpstr>
      <vt:lpstr>RoD_Trailing_Avg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Martin</dc:creator>
  <cp:lastModifiedBy>Steven Martin</cp:lastModifiedBy>
  <dcterms:created xsi:type="dcterms:W3CDTF">2021-05-04T09:19:11Z</dcterms:created>
  <dcterms:modified xsi:type="dcterms:W3CDTF">2025-11-30T03:40:48Z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