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B:\Price Review\2026-31 EDPR\12.0 2026 EDPR - Revised proposal submission models\SCS\Public\"/>
    </mc:Choice>
  </mc:AlternateContent>
  <xr:revisionPtr revIDLastSave="0" documentId="13_ncr:1_{428C0259-157F-4EDF-B0E0-236DE4D98B75}" xr6:coauthVersionLast="47" xr6:coauthVersionMax="47" xr10:uidLastSave="{00000000-0000-0000-0000-000000000000}"/>
  <bookViews>
    <workbookView xWindow="-115" yWindow="-115" windowWidth="24697" windowHeight="13266" tabRatio="825" xr2:uid="{00000000-000D-0000-FFFF-FFFF00000000}"/>
  </bookViews>
  <sheets>
    <sheet name="ASD Changes" sheetId="57" r:id="rId1"/>
    <sheet name="AER Changes" sheetId="41" r:id="rId2"/>
    <sheet name="Inputs from Capex model" sheetId="56" r:id="rId3"/>
    <sheet name="Contents" sheetId="14" r:id="rId4"/>
    <sheet name="Escalation" sheetId="23" r:id="rId5"/>
    <sheet name="Assumptions" sheetId="13" r:id="rId6"/>
    <sheet name="Allocations" sheetId="1" r:id="rId7"/>
    <sheet name="Connections" sheetId="4" r:id="rId8"/>
    <sheet name="Historical_data &gt;" sheetId="54" r:id="rId9"/>
    <sheet name="Historical_Cost" sheetId="17" r:id="rId10"/>
    <sheet name="Historical_Cap_Cons" sheetId="50" r:id="rId11"/>
    <sheet name="Cost_Recovery" sheetId="19" r:id="rId12"/>
    <sheet name="Forecast &gt;" sheetId="53" r:id="rId13"/>
    <sheet name="Contracts_input" sheetId="44" r:id="rId14"/>
    <sheet name="HV_rebate" sheetId="46" r:id="rId15"/>
    <sheet name="Capex_Fcast_Direct" sheetId="2" r:id="rId16"/>
    <sheet name="Other_codes" sheetId="6" r:id="rId17"/>
    <sheet name="Capex_Fcast_Total" sheetId="7" r:id="rId18"/>
    <sheet name="Outputs &gt;" sheetId="52" r:id="rId19"/>
    <sheet name="Contr_Fcast" sheetId="8" r:id="rId20"/>
    <sheet name="Capex_Model_Inputs" sheetId="51" r:id="rId21"/>
    <sheet name="RIN_Outputs" sheetId="12" r:id="rId22"/>
    <sheet name="2.5.3_Volumes" sheetId="31" r:id="rId23"/>
  </sheets>
  <externalReferences>
    <externalReference r:id="rId24"/>
    <externalReference r:id="rId25"/>
    <externalReference r:id="rId26"/>
    <externalReference r:id="rId27"/>
    <externalReference r:id="rId28"/>
  </externalReferences>
  <definedNames>
    <definedName name="_xlnm._FilterDatabase" localSheetId="7" hidden="1">Connections!$B$8:$Y$53</definedName>
    <definedName name="_xlnm._FilterDatabase" localSheetId="13" hidden="1">Contracts_input!$B$6:$I$25</definedName>
    <definedName name="anscount" hidden="1">1</definedName>
    <definedName name="AS2DocOpenMode" hidden="1">"AS2DocumentBrowse"</definedName>
    <definedName name="AS2NamedRange" hidden="1">2</definedName>
    <definedName name="CPI_adj_Jun21">Escalation!$I$9</definedName>
    <definedName name="Thousands">Assumptions!$B$19</definedName>
  </definedNames>
  <calcPr calcId="191029" iterateCount="200" iterateDelta="1E-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9" l="1"/>
  <c r="L9" i="19"/>
  <c r="L46" i="19"/>
  <c r="L22" i="19"/>
  <c r="L34" i="19"/>
  <c r="M34" i="19"/>
  <c r="M22" i="19"/>
  <c r="N9" i="19"/>
  <c r="M82" i="19"/>
  <c r="L82" i="19"/>
  <c r="M58" i="19"/>
  <c r="L58" i="19"/>
  <c r="N58" i="19"/>
  <c r="O22" i="19"/>
  <c r="A7" i="57"/>
  <c r="A9" i="57" s="1"/>
  <c r="A11" i="57" s="1"/>
  <c r="A14" i="57" s="1"/>
  <c r="A16" i="57" s="1"/>
  <c r="A18" i="57" s="1"/>
  <c r="A20" i="57" s="1"/>
  <c r="K12" i="31"/>
  <c r="J12" i="31"/>
  <c r="I12" i="31"/>
  <c r="H12" i="31"/>
  <c r="G12" i="31"/>
  <c r="G30" i="1"/>
  <c r="F30" i="1"/>
  <c r="E30" i="1"/>
  <c r="D30" i="1"/>
  <c r="D27" i="31"/>
  <c r="Y55" i="4"/>
  <c r="X55" i="4"/>
  <c r="W55" i="4"/>
  <c r="V55" i="4"/>
  <c r="U55" i="4"/>
  <c r="K13" i="31"/>
  <c r="J13" i="31"/>
  <c r="I13" i="31"/>
  <c r="H13" i="31"/>
  <c r="G13" i="31"/>
  <c r="F13" i="31"/>
  <c r="Y16" i="51"/>
  <c r="X16" i="51"/>
  <c r="S56" i="4"/>
  <c r="R56" i="4"/>
  <c r="Q56" i="4"/>
  <c r="P56" i="4"/>
  <c r="Y23" i="4"/>
  <c r="X23" i="4"/>
  <c r="W23" i="4"/>
  <c r="V23" i="4"/>
  <c r="U23" i="4"/>
  <c r="T23" i="4"/>
  <c r="S23" i="4"/>
  <c r="G41" i="1"/>
  <c r="F41" i="1"/>
  <c r="E41" i="1"/>
  <c r="D41" i="1"/>
  <c r="J6" i="56"/>
  <c r="K27" i="31"/>
  <c r="J27" i="31"/>
  <c r="I27" i="31"/>
  <c r="H27" i="31"/>
  <c r="G27" i="31"/>
  <c r="F27" i="31"/>
  <c r="E27" i="31"/>
  <c r="I26" i="51"/>
  <c r="J26" i="51"/>
  <c r="K26" i="51"/>
  <c r="L26" i="51"/>
  <c r="M26" i="51"/>
  <c r="N26" i="51"/>
  <c r="BA12" i="2"/>
  <c r="AZ12" i="2"/>
  <c r="AY12" i="2"/>
  <c r="AX12" i="2"/>
  <c r="AW12" i="2"/>
  <c r="AV12" i="2"/>
  <c r="N14" i="56" l="1"/>
  <c r="M14" i="56"/>
  <c r="L14" i="56"/>
  <c r="K14" i="56"/>
  <c r="J14" i="56"/>
  <c r="I14" i="56"/>
  <c r="H14" i="56"/>
  <c r="N13" i="56"/>
  <c r="M13" i="56"/>
  <c r="L13" i="56"/>
  <c r="K13" i="56"/>
  <c r="J13" i="56"/>
  <c r="I13" i="56"/>
  <c r="H13" i="56"/>
  <c r="I6" i="56"/>
  <c r="H6" i="56"/>
  <c r="G6" i="56"/>
  <c r="F6" i="56"/>
  <c r="E6" i="56"/>
  <c r="D6" i="56"/>
  <c r="M9" i="19"/>
  <c r="M46" i="19"/>
  <c r="O34" i="19"/>
  <c r="O9" i="19"/>
  <c r="N46" i="19"/>
  <c r="N22" i="19"/>
  <c r="N34" i="19" s="1"/>
  <c r="I25" i="44"/>
  <c r="I24" i="44"/>
  <c r="I23" i="44"/>
  <c r="I22" i="44"/>
  <c r="I21" i="44"/>
  <c r="I20" i="44"/>
  <c r="I19" i="44"/>
  <c r="I18" i="44"/>
  <c r="I17" i="44"/>
  <c r="I16" i="44"/>
  <c r="I15" i="44"/>
  <c r="I14" i="44"/>
  <c r="I13" i="44"/>
  <c r="I12" i="44"/>
  <c r="I11" i="44"/>
  <c r="I9" i="44"/>
  <c r="I8" i="44"/>
  <c r="I10" i="44"/>
  <c r="K27" i="4" l="1"/>
  <c r="K26" i="4"/>
  <c r="N27" i="4"/>
  <c r="M27" i="4"/>
  <c r="L27" i="4"/>
  <c r="N26" i="4"/>
  <c r="M26" i="4"/>
  <c r="L26" i="4"/>
  <c r="P27" i="4"/>
  <c r="O27" i="4"/>
  <c r="K27" i="8" l="1"/>
  <c r="J27" i="8"/>
  <c r="I27" i="8"/>
  <c r="I13" i="8"/>
  <c r="J13" i="8"/>
  <c r="K13" i="8"/>
  <c r="L13" i="8"/>
  <c r="M13" i="8"/>
  <c r="N13" i="8"/>
  <c r="N82" i="19"/>
  <c r="L27" i="8" s="1"/>
  <c r="O82" i="19"/>
  <c r="M27" i="8" s="1"/>
  <c r="P82" i="19"/>
  <c r="N27" i="8" s="1"/>
  <c r="P58" i="19"/>
  <c r="P22" i="19" s="1"/>
  <c r="P34" i="19" s="1"/>
  <c r="D82" i="7" l="1"/>
  <c r="D68" i="7"/>
  <c r="C68" i="7"/>
  <c r="C82" i="7"/>
  <c r="AC69" i="7"/>
  <c r="AD69" i="7"/>
  <c r="O58" i="19" l="1"/>
  <c r="O46" i="19" s="1"/>
  <c r="F68" i="7"/>
  <c r="AG69" i="7"/>
  <c r="AD82" i="7"/>
  <c r="AC82" i="7"/>
  <c r="Q43" i="4"/>
  <c r="Q27" i="4" s="1"/>
  <c r="R43" i="4"/>
  <c r="R27" i="4" s="1"/>
  <c r="S43" i="4"/>
  <c r="S27" i="4" s="1"/>
  <c r="G35" i="1"/>
  <c r="F35" i="1"/>
  <c r="E35" i="1"/>
  <c r="D35" i="1"/>
  <c r="E68" i="7" l="1"/>
  <c r="AE69" i="7"/>
  <c r="AF69" i="7"/>
  <c r="H35" i="1"/>
  <c r="AT60" i="2" l="1"/>
  <c r="AT100" i="2"/>
  <c r="AT120" i="2"/>
  <c r="H30" i="1"/>
  <c r="AT80" i="2"/>
  <c r="AT18" i="2" l="1"/>
  <c r="AE82" i="7"/>
  <c r="E82" i="7"/>
  <c r="AT40" i="2"/>
  <c r="AF82" i="7" l="1"/>
  <c r="F82" i="7"/>
  <c r="G68" i="7" l="1"/>
  <c r="X6" i="2"/>
  <c r="H42" i="1"/>
  <c r="H24" i="4"/>
  <c r="G24" i="4"/>
  <c r="F24" i="4"/>
  <c r="E24" i="4"/>
  <c r="D24" i="4"/>
  <c r="X29" i="2" l="1"/>
  <c r="I26" i="50" l="1"/>
  <c r="S12" i="4"/>
  <c r="S11" i="4"/>
  <c r="G7" i="46" s="1"/>
  <c r="S10" i="4"/>
  <c r="AU12" i="2" l="1"/>
  <c r="T43" i="4"/>
  <c r="U43" i="4" l="1"/>
  <c r="T27" i="4"/>
  <c r="V43" i="4" l="1"/>
  <c r="U27" i="4"/>
  <c r="W43" i="4" l="1"/>
  <c r="V27" i="4"/>
  <c r="P22" i="4"/>
  <c r="N17" i="8"/>
  <c r="Y20" i="4"/>
  <c r="X20" i="4"/>
  <c r="W20" i="4"/>
  <c r="S20" i="4"/>
  <c r="V20" i="4"/>
  <c r="U20" i="4"/>
  <c r="T55" i="4"/>
  <c r="T20" i="4" s="1"/>
  <c r="X43" i="4" l="1"/>
  <c r="W27" i="4"/>
  <c r="Y43" i="4" l="1"/>
  <c r="Y27" i="4" s="1"/>
  <c r="X27" i="4"/>
  <c r="T56" i="4" l="1"/>
  <c r="E73" i="7" l="1"/>
  <c r="AE73" i="7" s="1"/>
  <c r="D73" i="7"/>
  <c r="AD73" i="7" s="1"/>
  <c r="E71" i="7"/>
  <c r="AE71" i="7" s="1"/>
  <c r="D71" i="7"/>
  <c r="AD71" i="7" s="1"/>
  <c r="E70" i="7"/>
  <c r="AE70" i="7" s="1"/>
  <c r="D70" i="7"/>
  <c r="AD70" i="7" s="1"/>
  <c r="E67" i="7"/>
  <c r="AE67" i="7" s="1"/>
  <c r="D67" i="7"/>
  <c r="AD67" i="7" s="1"/>
  <c r="E66" i="7"/>
  <c r="AE66" i="7" s="1"/>
  <c r="D66" i="7"/>
  <c r="AD66" i="7" s="1"/>
  <c r="F16" i="7"/>
  <c r="AM78" i="7" l="1"/>
  <c r="AL78" i="7"/>
  <c r="AK78" i="7"/>
  <c r="AJ78" i="7"/>
  <c r="AI78" i="7"/>
  <c r="AH78" i="7"/>
  <c r="AG78" i="7"/>
  <c r="AF78" i="7"/>
  <c r="AE78" i="7"/>
  <c r="AD78" i="7"/>
  <c r="AC78" i="7"/>
  <c r="AM65" i="7"/>
  <c r="AL65" i="7"/>
  <c r="AK65" i="7"/>
  <c r="AJ65" i="7"/>
  <c r="AI65" i="7"/>
  <c r="AH65" i="7"/>
  <c r="AG65" i="7"/>
  <c r="AF65" i="7"/>
  <c r="AE65" i="7"/>
  <c r="AD65" i="7"/>
  <c r="AC65" i="7"/>
  <c r="AM51" i="7"/>
  <c r="AL51" i="7"/>
  <c r="AK51" i="7"/>
  <c r="AJ51" i="7"/>
  <c r="AI51" i="7"/>
  <c r="AH51" i="7"/>
  <c r="AG51" i="7"/>
  <c r="AF51" i="7"/>
  <c r="AE51" i="7"/>
  <c r="AD51" i="7"/>
  <c r="AC51" i="7"/>
  <c r="Z46" i="7" l="1"/>
  <c r="Y46" i="7"/>
  <c r="X46" i="7"/>
  <c r="W46" i="7"/>
  <c r="V46" i="7"/>
  <c r="U46" i="7"/>
  <c r="T46" i="7"/>
  <c r="S46" i="7"/>
  <c r="R46" i="7"/>
  <c r="Q46" i="7"/>
  <c r="P46" i="7"/>
  <c r="M36" i="7"/>
  <c r="AM36" i="7" s="1"/>
  <c r="L36" i="7"/>
  <c r="Y36" i="7" s="1"/>
  <c r="K36" i="7"/>
  <c r="X36" i="7" s="1"/>
  <c r="J36" i="7"/>
  <c r="W36" i="7" s="1"/>
  <c r="I36" i="7"/>
  <c r="AI36" i="7" s="1"/>
  <c r="H36" i="7"/>
  <c r="U36" i="7" s="1"/>
  <c r="G36" i="7"/>
  <c r="AG36" i="7" s="1"/>
  <c r="F36" i="7"/>
  <c r="S36" i="7" s="1"/>
  <c r="E36" i="7"/>
  <c r="AE36" i="7" s="1"/>
  <c r="D36" i="7"/>
  <c r="Q36" i="7" s="1"/>
  <c r="C36" i="7"/>
  <c r="P36" i="7" s="1"/>
  <c r="N31" i="51"/>
  <c r="M31" i="51"/>
  <c r="L31" i="51"/>
  <c r="K31" i="51"/>
  <c r="J31" i="51"/>
  <c r="I31" i="51"/>
  <c r="N30" i="51"/>
  <c r="M30" i="51"/>
  <c r="L30" i="51"/>
  <c r="K30" i="51"/>
  <c r="J30" i="51"/>
  <c r="I30" i="51"/>
  <c r="N27" i="51"/>
  <c r="M27" i="51"/>
  <c r="L27" i="51"/>
  <c r="K27" i="51"/>
  <c r="J27" i="51"/>
  <c r="I27" i="51"/>
  <c r="N24" i="51"/>
  <c r="M24" i="51"/>
  <c r="L24" i="51"/>
  <c r="K24" i="51"/>
  <c r="J24" i="51"/>
  <c r="I24" i="51"/>
  <c r="T36" i="7" l="1"/>
  <c r="AC36" i="7"/>
  <c r="V36" i="7"/>
  <c r="AF36" i="7"/>
  <c r="AH36" i="7"/>
  <c r="AJ36" i="7"/>
  <c r="R36" i="7"/>
  <c r="Z36" i="7"/>
  <c r="AD36" i="7"/>
  <c r="AK36" i="7"/>
  <c r="AL36" i="7"/>
  <c r="O63" i="19" l="1"/>
  <c r="T28" i="7" l="1"/>
  <c r="T13" i="7"/>
  <c r="H42" i="50"/>
  <c r="G42" i="50"/>
  <c r="F42" i="50"/>
  <c r="E42" i="50"/>
  <c r="D42" i="50"/>
  <c r="H29" i="50"/>
  <c r="G29" i="50"/>
  <c r="F29" i="50"/>
  <c r="E29" i="50"/>
  <c r="D29" i="50"/>
  <c r="H16" i="50"/>
  <c r="G16" i="50"/>
  <c r="F16" i="50"/>
  <c r="E16" i="50"/>
  <c r="D16" i="50"/>
  <c r="H3" i="50"/>
  <c r="G3" i="50"/>
  <c r="F3" i="50"/>
  <c r="E3" i="50"/>
  <c r="D3" i="50"/>
  <c r="G74" i="7"/>
  <c r="M16" i="46" l="1"/>
  <c r="L16" i="46"/>
  <c r="K16" i="46"/>
  <c r="J16" i="46"/>
  <c r="I16" i="46"/>
  <c r="H16" i="46"/>
  <c r="F74" i="7" l="1"/>
  <c r="AF74" i="7" s="1"/>
  <c r="C74" i="7"/>
  <c r="AC74" i="7" s="1"/>
  <c r="F73" i="7"/>
  <c r="AF73" i="7" s="1"/>
  <c r="C73" i="7"/>
  <c r="AC73" i="7" s="1"/>
  <c r="F72" i="7"/>
  <c r="AF72" i="7" s="1"/>
  <c r="C72" i="7"/>
  <c r="AC72" i="7" s="1"/>
  <c r="F71" i="7"/>
  <c r="AF71" i="7" s="1"/>
  <c r="C71" i="7"/>
  <c r="AC71" i="7" s="1"/>
  <c r="F70" i="7"/>
  <c r="AF70" i="7" s="1"/>
  <c r="C70" i="7"/>
  <c r="AC70" i="7" s="1"/>
  <c r="AF68" i="7"/>
  <c r="AC68" i="7"/>
  <c r="F67" i="7"/>
  <c r="AF67" i="7" s="1"/>
  <c r="C67" i="7"/>
  <c r="AC67" i="7" s="1"/>
  <c r="F66" i="7"/>
  <c r="AF66" i="7" s="1"/>
  <c r="C66" i="7"/>
  <c r="AC66" i="7" s="1"/>
  <c r="N75" i="19"/>
  <c r="M75" i="19"/>
  <c r="L75" i="19"/>
  <c r="K75" i="19"/>
  <c r="J75" i="19"/>
  <c r="N74" i="19"/>
  <c r="N73" i="19"/>
  <c r="N72" i="19"/>
  <c r="N71" i="19"/>
  <c r="N69" i="19"/>
  <c r="N68" i="19"/>
  <c r="N67" i="19"/>
  <c r="M63" i="19"/>
  <c r="L63" i="19"/>
  <c r="K63" i="19"/>
  <c r="J63" i="19"/>
  <c r="M62" i="19"/>
  <c r="L62" i="19"/>
  <c r="K62" i="19"/>
  <c r="J62" i="19"/>
  <c r="M61" i="19"/>
  <c r="L61" i="19"/>
  <c r="K61" i="19"/>
  <c r="J61" i="19"/>
  <c r="M60" i="19"/>
  <c r="L60" i="19"/>
  <c r="K60" i="19"/>
  <c r="J60" i="19"/>
  <c r="M59" i="19"/>
  <c r="L59" i="19"/>
  <c r="K59" i="19"/>
  <c r="J59" i="19"/>
  <c r="M57" i="19"/>
  <c r="R22" i="7" s="1"/>
  <c r="L57" i="19"/>
  <c r="Q22" i="7" s="1"/>
  <c r="K57" i="19"/>
  <c r="P22" i="7" s="1"/>
  <c r="J57" i="19"/>
  <c r="M56" i="19"/>
  <c r="L56" i="19"/>
  <c r="K56" i="19"/>
  <c r="J56" i="19"/>
  <c r="M55" i="19"/>
  <c r="L55" i="19"/>
  <c r="K55" i="19"/>
  <c r="J55" i="19"/>
  <c r="P7" i="7" l="1"/>
  <c r="Q7" i="7"/>
  <c r="R7" i="7"/>
  <c r="J27" i="19"/>
  <c r="L27" i="19"/>
  <c r="K27" i="19"/>
  <c r="M27" i="19"/>
  <c r="P62" i="19"/>
  <c r="P59" i="19"/>
  <c r="P56" i="19"/>
  <c r="H50" i="50" l="1"/>
  <c r="G51" i="50"/>
  <c r="F51" i="50"/>
  <c r="E51" i="50"/>
  <c r="D51" i="50"/>
  <c r="F50" i="50"/>
  <c r="E50" i="50"/>
  <c r="D50" i="50"/>
  <c r="G39" i="50"/>
  <c r="F39" i="50"/>
  <c r="E39" i="50"/>
  <c r="D39" i="50"/>
  <c r="G50" i="50"/>
  <c r="M68" i="19"/>
  <c r="M20" i="19" s="1"/>
  <c r="L68" i="19"/>
  <c r="L20" i="19" s="1"/>
  <c r="M67" i="19"/>
  <c r="M19" i="19" s="1"/>
  <c r="D43" i="50"/>
  <c r="N63" i="19" l="1"/>
  <c r="E26" i="50"/>
  <c r="E44" i="50"/>
  <c r="K68" i="19"/>
  <c r="K20" i="19" s="1"/>
  <c r="E47" i="50"/>
  <c r="K74" i="19"/>
  <c r="K26" i="19" s="1"/>
  <c r="N60" i="19"/>
  <c r="F47" i="50"/>
  <c r="L74" i="19"/>
  <c r="L26" i="19" s="1"/>
  <c r="G47" i="50"/>
  <c r="M74" i="19"/>
  <c r="M26" i="19" s="1"/>
  <c r="D45" i="50"/>
  <c r="J69" i="19"/>
  <c r="J21" i="19" s="1"/>
  <c r="D48" i="50"/>
  <c r="J71" i="19"/>
  <c r="J23" i="19" s="1"/>
  <c r="K69" i="19"/>
  <c r="K21" i="19" s="1"/>
  <c r="E48" i="50"/>
  <c r="K71" i="19"/>
  <c r="K23" i="19" s="1"/>
  <c r="L69" i="19"/>
  <c r="L21" i="19" s="1"/>
  <c r="F48" i="50"/>
  <c r="L71" i="19"/>
  <c r="L23" i="19" s="1"/>
  <c r="G45" i="50"/>
  <c r="M69" i="19"/>
  <c r="M21" i="19" s="1"/>
  <c r="G48" i="50"/>
  <c r="M71" i="19"/>
  <c r="M23" i="19" s="1"/>
  <c r="N55" i="19"/>
  <c r="J67" i="19"/>
  <c r="J19" i="19" s="1"/>
  <c r="D46" i="50"/>
  <c r="J73" i="19"/>
  <c r="J25" i="19" s="1"/>
  <c r="D49" i="50"/>
  <c r="J72" i="19"/>
  <c r="J24" i="19" s="1"/>
  <c r="N56" i="19"/>
  <c r="F44" i="50"/>
  <c r="E43" i="50"/>
  <c r="K67" i="19"/>
  <c r="K19" i="19" s="1"/>
  <c r="E46" i="50"/>
  <c r="K73" i="19"/>
  <c r="K25" i="19" s="1"/>
  <c r="E49" i="50"/>
  <c r="K72" i="19"/>
  <c r="K24" i="19" s="1"/>
  <c r="N57" i="19"/>
  <c r="S22" i="7" s="1"/>
  <c r="G44" i="50"/>
  <c r="F43" i="50"/>
  <c r="L67" i="19"/>
  <c r="L19" i="19" s="1"/>
  <c r="F46" i="50"/>
  <c r="L73" i="19"/>
  <c r="L25" i="19" s="1"/>
  <c r="F49" i="50"/>
  <c r="L72" i="19"/>
  <c r="L24" i="19" s="1"/>
  <c r="N61" i="19"/>
  <c r="G46" i="50"/>
  <c r="M73" i="19"/>
  <c r="M25" i="19" s="1"/>
  <c r="G49" i="50"/>
  <c r="M72" i="19"/>
  <c r="M24" i="19" s="1"/>
  <c r="N62" i="19"/>
  <c r="D44" i="50"/>
  <c r="J68" i="19"/>
  <c r="J20" i="19" s="1"/>
  <c r="D47" i="50"/>
  <c r="J74" i="19"/>
  <c r="J26" i="19" s="1"/>
  <c r="N59" i="19"/>
  <c r="D26" i="50"/>
  <c r="G26" i="50"/>
  <c r="E45" i="50"/>
  <c r="G13" i="50"/>
  <c r="F45" i="50"/>
  <c r="F26" i="50"/>
  <c r="H51" i="50"/>
  <c r="H26" i="50"/>
  <c r="H39" i="50"/>
  <c r="H49" i="50"/>
  <c r="H48" i="50"/>
  <c r="H43" i="50"/>
  <c r="H47" i="50"/>
  <c r="H45" i="50"/>
  <c r="H46" i="50"/>
  <c r="H44" i="50"/>
  <c r="H13" i="50"/>
  <c r="G43" i="50"/>
  <c r="D13" i="50"/>
  <c r="E13" i="50"/>
  <c r="F13" i="50"/>
  <c r="N27" i="19" l="1"/>
  <c r="AT25" i="2"/>
  <c r="S7" i="7"/>
  <c r="E52" i="50"/>
  <c r="S13" i="7"/>
  <c r="G52" i="50"/>
  <c r="D52" i="50"/>
  <c r="F52" i="50"/>
  <c r="S12" i="7"/>
  <c r="N26" i="19"/>
  <c r="S5" i="7"/>
  <c r="N19" i="19"/>
  <c r="S10" i="7"/>
  <c r="N24" i="19"/>
  <c r="S6" i="7"/>
  <c r="N20" i="19"/>
  <c r="N21" i="19"/>
  <c r="N23" i="19"/>
  <c r="S9" i="7"/>
  <c r="N25" i="19"/>
  <c r="S11" i="7"/>
  <c r="H52" i="50"/>
  <c r="O60" i="19" l="1"/>
  <c r="O59" i="19"/>
  <c r="O62" i="19"/>
  <c r="O61" i="19"/>
  <c r="O57" i="19"/>
  <c r="O56" i="19"/>
  <c r="T22" i="7" l="1"/>
  <c r="T7" i="7"/>
  <c r="I39" i="50"/>
  <c r="T25" i="7"/>
  <c r="T10" i="7"/>
  <c r="T9" i="7"/>
  <c r="T24" i="7"/>
  <c r="T27" i="7"/>
  <c r="T12" i="7"/>
  <c r="T11" i="7"/>
  <c r="T26" i="7"/>
  <c r="T21" i="7"/>
  <c r="T6" i="7"/>
  <c r="O55" i="19"/>
  <c r="K32" i="31"/>
  <c r="J32" i="31"/>
  <c r="I32" i="31"/>
  <c r="H32" i="31"/>
  <c r="G32" i="31"/>
  <c r="F32" i="31"/>
  <c r="E32" i="31"/>
  <c r="D32" i="31"/>
  <c r="T5" i="7" l="1"/>
  <c r="T20" i="7"/>
  <c r="K48" i="31"/>
  <c r="J48" i="31"/>
  <c r="I48" i="31"/>
  <c r="H48" i="31"/>
  <c r="G48" i="31"/>
  <c r="F48" i="31"/>
  <c r="E48" i="31"/>
  <c r="F42" i="31"/>
  <c r="E42" i="31"/>
  <c r="D42" i="31"/>
  <c r="D41" i="31"/>
  <c r="F40" i="31"/>
  <c r="E40" i="31"/>
  <c r="D40" i="31"/>
  <c r="D48" i="31"/>
  <c r="K14" i="31"/>
  <c r="K42" i="31" s="1"/>
  <c r="J14" i="31"/>
  <c r="J42" i="31" s="1"/>
  <c r="I14" i="31"/>
  <c r="I42" i="31" s="1"/>
  <c r="H14" i="31"/>
  <c r="H42" i="31" s="1"/>
  <c r="G14" i="31"/>
  <c r="G42" i="31" s="1"/>
  <c r="K41" i="31" l="1"/>
  <c r="J41" i="31"/>
  <c r="I41" i="31"/>
  <c r="H41" i="31"/>
  <c r="G41" i="31"/>
  <c r="F41" i="31"/>
  <c r="E41" i="31"/>
  <c r="K4" i="31"/>
  <c r="J4" i="31"/>
  <c r="I4" i="31"/>
  <c r="H4" i="31"/>
  <c r="G4" i="31"/>
  <c r="F4" i="31"/>
  <c r="E4" i="31"/>
  <c r="D4" i="31"/>
  <c r="N21" i="8" l="1"/>
  <c r="D66" i="1" l="1"/>
  <c r="L17" i="46" l="1"/>
  <c r="K17" i="46"/>
  <c r="J17" i="46"/>
  <c r="I17" i="46"/>
  <c r="H17" i="46"/>
  <c r="M17" i="46"/>
  <c r="X5" i="6"/>
  <c r="W5" i="6"/>
  <c r="V5" i="6"/>
  <c r="U5" i="6"/>
  <c r="T5" i="6"/>
  <c r="S5" i="6"/>
  <c r="R5" i="6"/>
  <c r="Q5" i="6"/>
  <c r="P5" i="6"/>
  <c r="O5" i="6"/>
  <c r="M5" i="6"/>
  <c r="L5" i="6"/>
  <c r="K5" i="6"/>
  <c r="N5" i="6"/>
  <c r="W56" i="4" l="1"/>
  <c r="V56" i="4"/>
  <c r="U56" i="4"/>
  <c r="E19" i="31"/>
  <c r="E47" i="31" s="1"/>
  <c r="C5" i="46" l="1"/>
  <c r="F5" i="46"/>
  <c r="E5" i="46"/>
  <c r="D5" i="46"/>
  <c r="M5" i="46"/>
  <c r="L5" i="46"/>
  <c r="K5" i="46"/>
  <c r="J5" i="46"/>
  <c r="I5" i="46"/>
  <c r="H5" i="46"/>
  <c r="G5" i="46"/>
  <c r="R20" i="4" l="1"/>
  <c r="D19" i="31" s="1"/>
  <c r="J15" i="19"/>
  <c r="P75" i="19" l="1"/>
  <c r="D47" i="31"/>
  <c r="N32" i="8" l="1"/>
  <c r="AF16" i="7" l="1"/>
  <c r="W6" i="2"/>
  <c r="W7" i="2"/>
  <c r="W29" i="2" l="1"/>
  <c r="O32" i="8" l="1"/>
  <c r="P32" i="8" l="1"/>
  <c r="S28" i="7"/>
  <c r="S27" i="7"/>
  <c r="S24" i="7"/>
  <c r="S21" i="7"/>
  <c r="D16" i="31"/>
  <c r="D6" i="31"/>
  <c r="Q32" i="8" l="1"/>
  <c r="S26" i="7"/>
  <c r="S20" i="7"/>
  <c r="S25" i="7"/>
  <c r="R32" i="8" l="1"/>
  <c r="D10" i="31"/>
  <c r="S32" i="8" l="1"/>
  <c r="D5" i="31"/>
  <c r="AT13" i="2" l="1"/>
  <c r="E54" i="1"/>
  <c r="E57" i="1" s="1"/>
  <c r="D54" i="1"/>
  <c r="D57" i="1" s="1"/>
  <c r="V27" i="23" l="1"/>
  <c r="U27" i="23"/>
  <c r="T27" i="23"/>
  <c r="S27" i="23"/>
  <c r="R27" i="23"/>
  <c r="Q27" i="23"/>
  <c r="P27" i="23"/>
  <c r="O27" i="23"/>
  <c r="N27" i="23"/>
  <c r="M27" i="23"/>
  <c r="V18" i="23"/>
  <c r="U18" i="23"/>
  <c r="T18" i="23"/>
  <c r="S18" i="23"/>
  <c r="R18" i="23"/>
  <c r="Q18" i="23"/>
  <c r="P18" i="23"/>
  <c r="O18" i="23"/>
  <c r="N18" i="23"/>
  <c r="M18" i="23"/>
  <c r="V3" i="23"/>
  <c r="U3" i="23"/>
  <c r="T3" i="23"/>
  <c r="S3" i="23"/>
  <c r="R3" i="23"/>
  <c r="Q3" i="23"/>
  <c r="P3" i="23"/>
  <c r="O3" i="23"/>
  <c r="N3" i="23"/>
  <c r="M3" i="23"/>
  <c r="H19" i="31" l="1"/>
  <c r="G19" i="31" l="1"/>
  <c r="F19" i="31"/>
  <c r="F47" i="31" s="1"/>
  <c r="H31" i="1" l="1"/>
  <c r="H29" i="1"/>
  <c r="AE68" i="7" l="1"/>
  <c r="D72" i="7"/>
  <c r="AD72" i="7" s="1"/>
  <c r="AD68" i="7"/>
  <c r="E72" i="7" l="1"/>
  <c r="AE72" i="7" s="1"/>
  <c r="M14" i="4" l="1"/>
  <c r="H63" i="7" l="1"/>
  <c r="K19" i="31" l="1"/>
  <c r="J19" i="31"/>
  <c r="I19" i="31"/>
  <c r="G71" i="7"/>
  <c r="G70" i="7"/>
  <c r="G73" i="7"/>
  <c r="G67" i="7"/>
  <c r="G72" i="7"/>
  <c r="O52" i="17" l="1"/>
  <c r="G66" i="7"/>
  <c r="G39" i="17"/>
  <c r="F39" i="17"/>
  <c r="N52" i="17"/>
  <c r="I52" i="17"/>
  <c r="H52" i="17"/>
  <c r="G52" i="17"/>
  <c r="F52" i="17"/>
  <c r="I15" i="19"/>
  <c r="H15" i="19"/>
  <c r="G15" i="19"/>
  <c r="F15" i="19"/>
  <c r="E15" i="19"/>
  <c r="I14" i="19"/>
  <c r="H14" i="19"/>
  <c r="I13" i="19"/>
  <c r="H13" i="19"/>
  <c r="I12" i="19"/>
  <c r="H12" i="19"/>
  <c r="I11" i="19"/>
  <c r="H11" i="19"/>
  <c r="I9" i="19"/>
  <c r="H9" i="19"/>
  <c r="I8" i="19"/>
  <c r="H8" i="19"/>
  <c r="I7" i="19"/>
  <c r="H7" i="19"/>
  <c r="N64" i="17"/>
  <c r="I64" i="17"/>
  <c r="H64" i="17"/>
  <c r="M4" i="7"/>
  <c r="Z4" i="7" s="1"/>
  <c r="L4" i="7"/>
  <c r="Y4" i="7" s="1"/>
  <c r="K4" i="7"/>
  <c r="X4" i="7" s="1"/>
  <c r="J4" i="7"/>
  <c r="W4" i="7" s="1"/>
  <c r="I4" i="7"/>
  <c r="V4" i="7" s="1"/>
  <c r="H4" i="7"/>
  <c r="U4" i="7" s="1"/>
  <c r="G4" i="7"/>
  <c r="T4" i="7" s="1"/>
  <c r="F4" i="7"/>
  <c r="S4" i="7" s="1"/>
  <c r="E4" i="7"/>
  <c r="R4" i="7" s="1"/>
  <c r="D4" i="7"/>
  <c r="Q4" i="7" s="1"/>
  <c r="C4" i="7"/>
  <c r="P4" i="7" s="1"/>
  <c r="H40" i="1" l="1"/>
  <c r="P6" i="19" l="1"/>
  <c r="O6" i="19"/>
  <c r="O15" i="19" s="1"/>
  <c r="N6" i="19"/>
  <c r="N7" i="19" s="1"/>
  <c r="M6" i="19"/>
  <c r="L6" i="19"/>
  <c r="K6" i="19"/>
  <c r="M14" i="19" l="1"/>
  <c r="M8" i="19"/>
  <c r="M11" i="19"/>
  <c r="M7" i="19"/>
  <c r="M12" i="19"/>
  <c r="M13" i="19"/>
  <c r="L8" i="19"/>
  <c r="L7" i="19"/>
  <c r="L11" i="19"/>
  <c r="L12" i="19"/>
  <c r="L14" i="19"/>
  <c r="L13" i="19"/>
  <c r="N14" i="19"/>
  <c r="N15" i="19"/>
  <c r="N13" i="19"/>
  <c r="N8" i="19"/>
  <c r="N11" i="19"/>
  <c r="N12" i="19"/>
  <c r="S23" i="8"/>
  <c r="R23" i="8"/>
  <c r="Q23" i="8"/>
  <c r="P23" i="8"/>
  <c r="O23" i="8"/>
  <c r="N23" i="8"/>
  <c r="M23" i="8"/>
  <c r="L23" i="8"/>
  <c r="K23" i="8"/>
  <c r="J23" i="8"/>
  <c r="I23" i="8"/>
  <c r="S9" i="8"/>
  <c r="R9" i="8"/>
  <c r="Q9" i="8"/>
  <c r="P9" i="8"/>
  <c r="O9" i="8"/>
  <c r="N9" i="8"/>
  <c r="M9" i="8"/>
  <c r="L9" i="8"/>
  <c r="K9" i="8"/>
  <c r="J9" i="8"/>
  <c r="I9" i="8"/>
  <c r="H9" i="8"/>
  <c r="P29" i="2" l="1"/>
  <c r="O29" i="2"/>
  <c r="N29" i="2"/>
  <c r="M29" i="2"/>
  <c r="L29" i="2"/>
  <c r="K29" i="2"/>
  <c r="J29" i="2"/>
  <c r="I29" i="2"/>
  <c r="H29" i="2"/>
  <c r="Q22" i="4" l="1"/>
  <c r="D74" i="7" l="1"/>
  <c r="AD74" i="7" s="1"/>
  <c r="L15" i="19" l="1"/>
  <c r="E74" i="7" l="1"/>
  <c r="AE74" i="7" s="1"/>
  <c r="M15" i="19" l="1"/>
  <c r="Y56" i="4" l="1"/>
  <c r="X56" i="4"/>
  <c r="AT23" i="2"/>
  <c r="M29" i="51" l="1"/>
  <c r="J29" i="51"/>
  <c r="K29" i="51"/>
  <c r="L29" i="51"/>
  <c r="N29" i="51"/>
  <c r="AJ6" i="2"/>
  <c r="AI6" i="2"/>
  <c r="AH6" i="2"/>
  <c r="AC47" i="7" l="1"/>
  <c r="O14" i="19"/>
  <c r="AE47" i="7"/>
  <c r="AD47" i="7"/>
  <c r="AR6" i="2"/>
  <c r="AQ6" i="2"/>
  <c r="AP6" i="2"/>
  <c r="AO6" i="2"/>
  <c r="AN6" i="2"/>
  <c r="AM6" i="2"/>
  <c r="AL6" i="2"/>
  <c r="AK6" i="2"/>
  <c r="O8" i="19" l="1"/>
  <c r="AM19" i="7"/>
  <c r="AL19" i="7"/>
  <c r="AK19" i="7"/>
  <c r="AJ19" i="7"/>
  <c r="AI19" i="7"/>
  <c r="AH19" i="7"/>
  <c r="AG19" i="7"/>
  <c r="AF19" i="7"/>
  <c r="AE19" i="7"/>
  <c r="AD19" i="7"/>
  <c r="AC19" i="7"/>
  <c r="AF6" i="2"/>
  <c r="AE6" i="2"/>
  <c r="AD6" i="2"/>
  <c r="AC6" i="2"/>
  <c r="AB6" i="2"/>
  <c r="AA6" i="2"/>
  <c r="Z6" i="2"/>
  <c r="Y6" i="2"/>
  <c r="V6" i="2"/>
  <c r="U6" i="2"/>
  <c r="T6" i="2"/>
  <c r="T29" i="2" s="1"/>
  <c r="S6" i="2"/>
  <c r="AT55" i="2" l="1"/>
  <c r="AT95" i="2"/>
  <c r="AT115" i="2"/>
  <c r="AT75" i="2"/>
  <c r="AU55" i="2"/>
  <c r="AU75" i="2"/>
  <c r="AU95" i="2"/>
  <c r="AU115" i="2"/>
  <c r="U29" i="2"/>
  <c r="S29" i="2"/>
  <c r="BA85" i="2"/>
  <c r="BA94" i="2"/>
  <c r="BA87" i="2"/>
  <c r="BA127" i="2"/>
  <c r="AZ87" i="2"/>
  <c r="AZ127" i="2"/>
  <c r="AZ85" i="2"/>
  <c r="AZ94" i="2"/>
  <c r="AY127" i="2"/>
  <c r="AY94" i="2"/>
  <c r="AY87" i="2"/>
  <c r="AY85" i="2"/>
  <c r="AX127" i="2"/>
  <c r="AX87" i="2"/>
  <c r="AX85" i="2"/>
  <c r="AX94" i="2"/>
  <c r="AW127" i="2"/>
  <c r="AW87" i="2"/>
  <c r="AW97" i="2"/>
  <c r="AW94" i="2"/>
  <c r="AW85" i="2"/>
  <c r="AV87" i="2"/>
  <c r="AV127" i="2"/>
  <c r="AV94" i="2"/>
  <c r="AT85" i="2"/>
  <c r="AT107" i="2"/>
  <c r="AT67" i="2"/>
  <c r="AT87" i="2"/>
  <c r="AT127" i="2"/>
  <c r="AT94" i="2"/>
  <c r="O12" i="19"/>
  <c r="O11" i="19"/>
  <c r="O13" i="19"/>
  <c r="V29" i="2"/>
  <c r="Y29" i="2"/>
  <c r="AT125" i="2"/>
  <c r="AE29" i="2"/>
  <c r="AZ125" i="2"/>
  <c r="AF29" i="2"/>
  <c r="BA125" i="2"/>
  <c r="Z29" i="2"/>
  <c r="AA29" i="2"/>
  <c r="AB29" i="2"/>
  <c r="AW125" i="2"/>
  <c r="AC29" i="2"/>
  <c r="AX125" i="2"/>
  <c r="AD29" i="2"/>
  <c r="AY125" i="2"/>
  <c r="P19" i="7"/>
  <c r="Q19" i="7"/>
  <c r="R19" i="7"/>
  <c r="Z19" i="7"/>
  <c r="S19" i="7"/>
  <c r="T19" i="7"/>
  <c r="U19" i="7"/>
  <c r="V19" i="7"/>
  <c r="W19" i="7"/>
  <c r="X19" i="7"/>
  <c r="Y19" i="7"/>
  <c r="AU35" i="2" l="1"/>
  <c r="AT35" i="2"/>
  <c r="AT47" i="2"/>
  <c r="AT6" i="2" l="1"/>
  <c r="I75" i="19" l="1"/>
  <c r="P9" i="7" l="1"/>
  <c r="P24" i="7"/>
  <c r="P10" i="7"/>
  <c r="P25" i="7"/>
  <c r="P26" i="7"/>
  <c r="P11" i="7"/>
  <c r="P27" i="7"/>
  <c r="P12" i="7"/>
  <c r="P28" i="7"/>
  <c r="P13" i="7"/>
  <c r="Q13" i="7"/>
  <c r="Q28" i="7"/>
  <c r="R13" i="7"/>
  <c r="R28" i="7"/>
  <c r="P20" i="7"/>
  <c r="P5" i="7"/>
  <c r="P21" i="7"/>
  <c r="P6" i="7"/>
  <c r="P14" i="7" l="1"/>
  <c r="R27" i="7" l="1"/>
  <c r="R12" i="7"/>
  <c r="R21" i="7"/>
  <c r="R6" i="7"/>
  <c r="R25" i="7"/>
  <c r="R10" i="7"/>
  <c r="R9" i="7"/>
  <c r="R24" i="7"/>
  <c r="R26" i="7"/>
  <c r="R11" i="7"/>
  <c r="R20" i="7" l="1"/>
  <c r="R5" i="7"/>
  <c r="R14" i="7" s="1"/>
  <c r="K64" i="19" l="1"/>
  <c r="P15" i="7" s="1"/>
  <c r="K15" i="19"/>
  <c r="K13" i="19"/>
  <c r="K12" i="19"/>
  <c r="K11" i="19"/>
  <c r="K14" i="19"/>
  <c r="K9" i="19"/>
  <c r="K8" i="19"/>
  <c r="K7" i="19"/>
  <c r="K52" i="17" l="1"/>
  <c r="K44" i="19"/>
  <c r="K45" i="19"/>
  <c r="K50" i="19"/>
  <c r="K48" i="19"/>
  <c r="K43" i="19"/>
  <c r="K64" i="17"/>
  <c r="P29" i="7"/>
  <c r="P30" i="7" s="1"/>
  <c r="K16" i="19" l="1"/>
  <c r="K49" i="19"/>
  <c r="K47" i="19"/>
  <c r="O64" i="17" l="1"/>
  <c r="O7" i="19"/>
  <c r="K52" i="19"/>
  <c r="O39" i="17" l="1"/>
  <c r="K17" i="19"/>
  <c r="K39" i="17" l="1"/>
  <c r="C15" i="7" l="1"/>
  <c r="G18" i="8"/>
  <c r="F18" i="8"/>
  <c r="E18" i="8"/>
  <c r="D18" i="8"/>
  <c r="C18" i="8"/>
  <c r="R29" i="7" l="1"/>
  <c r="R30" i="7" s="1"/>
  <c r="C31" i="7" l="1"/>
  <c r="N27" i="2"/>
  <c r="L51" i="19"/>
  <c r="C61" i="7" l="1"/>
  <c r="C62" i="7" s="1"/>
  <c r="C30" i="7"/>
  <c r="M51" i="19" l="1"/>
  <c r="M64" i="19" l="1"/>
  <c r="J64" i="19"/>
  <c r="I64" i="19"/>
  <c r="H64" i="19"/>
  <c r="G64" i="19"/>
  <c r="F64" i="19"/>
  <c r="E64" i="19"/>
  <c r="D64" i="19"/>
  <c r="C64" i="19"/>
  <c r="I28" i="19"/>
  <c r="H28" i="19"/>
  <c r="G28" i="19"/>
  <c r="F28" i="19"/>
  <c r="E28" i="19"/>
  <c r="D28" i="19"/>
  <c r="C28" i="19"/>
  <c r="D16" i="19"/>
  <c r="C16" i="19"/>
  <c r="R15" i="7" l="1"/>
  <c r="H39" i="17" l="1"/>
  <c r="I39" i="17"/>
  <c r="N30" i="17"/>
  <c r="M30" i="17"/>
  <c r="L30" i="17"/>
  <c r="J30" i="17"/>
  <c r="I30" i="17"/>
  <c r="H30" i="17"/>
  <c r="G30" i="17"/>
  <c r="F30" i="17"/>
  <c r="E30" i="17"/>
  <c r="N18" i="17"/>
  <c r="M18" i="17"/>
  <c r="L18" i="17"/>
  <c r="J18" i="17"/>
  <c r="I18" i="17"/>
  <c r="H18" i="17"/>
  <c r="G18" i="17"/>
  <c r="F18" i="17"/>
  <c r="E18" i="17"/>
  <c r="J13" i="19"/>
  <c r="J12" i="19"/>
  <c r="J11" i="19"/>
  <c r="J14" i="19"/>
  <c r="J9" i="19"/>
  <c r="J8" i="19"/>
  <c r="L52" i="17" l="1"/>
  <c r="J52" i="17"/>
  <c r="M52" i="17"/>
  <c r="M16" i="19"/>
  <c r="M64" i="17"/>
  <c r="L16" i="19"/>
  <c r="L64" i="17"/>
  <c r="J7" i="19"/>
  <c r="J16" i="19" s="1"/>
  <c r="J64" i="17"/>
  <c r="M7" i="6"/>
  <c r="R22" i="4" l="1"/>
  <c r="H41" i="1"/>
  <c r="D21" i="31" l="1"/>
  <c r="P10" i="4"/>
  <c r="O10" i="4"/>
  <c r="N10" i="4"/>
  <c r="D49" i="31" l="1"/>
  <c r="D22" i="31"/>
  <c r="X52" i="4"/>
  <c r="Y48" i="4"/>
  <c r="V44" i="4"/>
  <c r="V15" i="4" s="1"/>
  <c r="N11" i="4"/>
  <c r="O11" i="4"/>
  <c r="C7" i="46" s="1"/>
  <c r="P11" i="4"/>
  <c r="N12" i="4"/>
  <c r="O12" i="4"/>
  <c r="P12" i="4"/>
  <c r="P14" i="4"/>
  <c r="N14" i="4"/>
  <c r="O14" i="4"/>
  <c r="O17" i="4"/>
  <c r="P18" i="4"/>
  <c r="P17" i="4"/>
  <c r="O18" i="4"/>
  <c r="N37" i="4"/>
  <c r="O37" i="4"/>
  <c r="O26" i="4" s="1"/>
  <c r="N17" i="4"/>
  <c r="P37" i="4"/>
  <c r="P26" i="4" s="1"/>
  <c r="N18" i="4"/>
  <c r="D50" i="31" l="1"/>
  <c r="V48" i="4"/>
  <c r="T48" i="4"/>
  <c r="O39" i="4"/>
  <c r="C10" i="46"/>
  <c r="X48" i="4"/>
  <c r="U48" i="4"/>
  <c r="W48" i="4"/>
  <c r="Y52" i="4"/>
  <c r="Y19" i="4" s="1"/>
  <c r="T52" i="4"/>
  <c r="X44" i="4"/>
  <c r="X15" i="4" s="1"/>
  <c r="W52" i="4"/>
  <c r="W19" i="4" s="1"/>
  <c r="U44" i="4"/>
  <c r="U15" i="4" s="1"/>
  <c r="U52" i="4"/>
  <c r="U19" i="4" s="1"/>
  <c r="T44" i="4"/>
  <c r="T15" i="4" s="1"/>
  <c r="V52" i="4"/>
  <c r="V19" i="4" s="1"/>
  <c r="W44" i="4"/>
  <c r="W15" i="4" s="1"/>
  <c r="Y44" i="4"/>
  <c r="Y15" i="4" s="1"/>
  <c r="S45" i="4"/>
  <c r="D10" i="46"/>
  <c r="D7" i="46"/>
  <c r="G55" i="1"/>
  <c r="G54" i="1" s="1"/>
  <c r="G57" i="1" s="1"/>
  <c r="F55" i="1"/>
  <c r="F54" i="1" s="1"/>
  <c r="F57" i="1" s="1"/>
  <c r="P39" i="4"/>
  <c r="H55" i="1"/>
  <c r="H54" i="1" s="1"/>
  <c r="H57" i="1" s="1"/>
  <c r="N39" i="4"/>
  <c r="X19" i="4"/>
  <c r="P9" i="4"/>
  <c r="O9" i="4"/>
  <c r="D24" i="46" l="1"/>
  <c r="C24" i="46"/>
  <c r="T45" i="4"/>
  <c r="U45" i="4" l="1"/>
  <c r="N50" i="19"/>
  <c r="N49" i="19"/>
  <c r="N44" i="19"/>
  <c r="V45" i="4" l="1"/>
  <c r="W45" i="4" l="1"/>
  <c r="X45" i="4" l="1"/>
  <c r="Y45" i="4" l="1"/>
  <c r="A7" i="41" l="1"/>
  <c r="A10" i="41" s="1"/>
  <c r="Q18" i="4" l="1"/>
  <c r="M19" i="4"/>
  <c r="L19" i="4"/>
  <c r="K19" i="4"/>
  <c r="J19" i="4"/>
  <c r="M18" i="4"/>
  <c r="L18" i="4"/>
  <c r="K18" i="4"/>
  <c r="J18" i="4"/>
  <c r="I53" i="4"/>
  <c r="J53" i="4"/>
  <c r="K53" i="4"/>
  <c r="L53" i="4"/>
  <c r="M53" i="4"/>
  <c r="S19" i="4"/>
  <c r="H38" i="1"/>
  <c r="N19" i="4" l="1"/>
  <c r="N53" i="4"/>
  <c r="P19" i="4"/>
  <c r="T19" i="4" l="1"/>
  <c r="P53" i="4"/>
  <c r="O53" i="4"/>
  <c r="O19" i="4"/>
  <c r="Q53" i="4"/>
  <c r="Q19" i="4"/>
  <c r="R19" i="4"/>
  <c r="A14" i="41" l="1"/>
  <c r="A16" i="41" s="1"/>
  <c r="A18" i="41" s="1"/>
  <c r="A20" i="41" s="1"/>
  <c r="A22" i="41" s="1"/>
  <c r="A24" i="41" s="1"/>
  <c r="A27" i="41" s="1"/>
  <c r="O42" i="4" l="1"/>
  <c r="I45" i="4"/>
  <c r="K17" i="4"/>
  <c r="L17" i="4"/>
  <c r="M17" i="4"/>
  <c r="N42" i="4"/>
  <c r="Q14" i="4"/>
  <c r="Q13" i="4"/>
  <c r="Q17" i="4"/>
  <c r="P42" i="4"/>
  <c r="K9" i="23"/>
  <c r="N15" i="4"/>
  <c r="M15" i="4"/>
  <c r="L15" i="4"/>
  <c r="K15" i="4"/>
  <c r="D62" i="1"/>
  <c r="J45" i="4"/>
  <c r="K14" i="4"/>
  <c r="K7" i="2"/>
  <c r="L14" i="4"/>
  <c r="O20" i="4"/>
  <c r="N20" i="4"/>
  <c r="P20" i="4"/>
  <c r="Q20" i="4"/>
  <c r="J47" i="31"/>
  <c r="H8" i="23"/>
  <c r="J8" i="23"/>
  <c r="Q15" i="4"/>
  <c r="S15" i="4"/>
  <c r="P15" i="4"/>
  <c r="O15" i="4"/>
  <c r="H34" i="1"/>
  <c r="D67" i="19"/>
  <c r="D68" i="19"/>
  <c r="D69" i="19"/>
  <c r="D71" i="19"/>
  <c r="D72" i="19"/>
  <c r="D84" i="19" s="1"/>
  <c r="D73" i="19"/>
  <c r="D74" i="19"/>
  <c r="C67" i="19"/>
  <c r="C68" i="19"/>
  <c r="C69" i="19"/>
  <c r="C71" i="19"/>
  <c r="C72" i="19"/>
  <c r="C84" i="19" s="1"/>
  <c r="C73" i="19"/>
  <c r="C74" i="19"/>
  <c r="D48" i="19"/>
  <c r="C48" i="19"/>
  <c r="C36" i="19"/>
  <c r="D36" i="19"/>
  <c r="E72" i="19"/>
  <c r="L7" i="6"/>
  <c r="E35" i="17"/>
  <c r="M10" i="4"/>
  <c r="K10" i="4"/>
  <c r="L10" i="4"/>
  <c r="K37" i="4"/>
  <c r="L37" i="4"/>
  <c r="L20" i="4"/>
  <c r="M20" i="4"/>
  <c r="K20" i="4"/>
  <c r="E36" i="17"/>
  <c r="E34" i="17"/>
  <c r="E37" i="17"/>
  <c r="E33" i="17"/>
  <c r="E32" i="17"/>
  <c r="I18" i="4"/>
  <c r="G62" i="17"/>
  <c r="G14" i="19" s="1"/>
  <c r="G56" i="17"/>
  <c r="F62" i="17"/>
  <c r="F14" i="19" s="1"/>
  <c r="J42" i="4"/>
  <c r="J11" i="4"/>
  <c r="J20" i="4"/>
  <c r="I20" i="4"/>
  <c r="I17" i="4"/>
  <c r="H49" i="4"/>
  <c r="H45" i="4"/>
  <c r="I42" i="4"/>
  <c r="H42" i="4"/>
  <c r="I11" i="4"/>
  <c r="H37" i="4"/>
  <c r="K45" i="4"/>
  <c r="Q45" i="4"/>
  <c r="N45" i="4"/>
  <c r="M45" i="4"/>
  <c r="L45" i="4"/>
  <c r="H28" i="1"/>
  <c r="H27" i="1"/>
  <c r="H26" i="1"/>
  <c r="F7" i="23"/>
  <c r="G7" i="23" s="1"/>
  <c r="H7" i="23" s="1"/>
  <c r="I7" i="23" s="1"/>
  <c r="J7" i="23" s="1"/>
  <c r="K7" i="23" s="1"/>
  <c r="L7" i="23" s="1"/>
  <c r="H36" i="1"/>
  <c r="H37" i="1"/>
  <c r="J17" i="4"/>
  <c r="P45" i="4"/>
  <c r="H53" i="4"/>
  <c r="I33" i="4"/>
  <c r="I37" i="4" s="1"/>
  <c r="J49" i="4"/>
  <c r="H43" i="1"/>
  <c r="H39" i="1"/>
  <c r="H33" i="1"/>
  <c r="H32" i="1"/>
  <c r="H25" i="1"/>
  <c r="K42" i="4"/>
  <c r="M37" i="4"/>
  <c r="Q42" i="4"/>
  <c r="L42" i="4"/>
  <c r="M42" i="4"/>
  <c r="G59" i="17"/>
  <c r="G11" i="19" s="1"/>
  <c r="G57" i="17"/>
  <c r="G8" i="19" s="1"/>
  <c r="F56" i="17"/>
  <c r="F59" i="17"/>
  <c r="F11" i="19" s="1"/>
  <c r="F58" i="17"/>
  <c r="F9" i="19" s="1"/>
  <c r="F61" i="17"/>
  <c r="F13" i="19" s="1"/>
  <c r="G60" i="17"/>
  <c r="G12" i="19" s="1"/>
  <c r="G58" i="17"/>
  <c r="G9" i="19" s="1"/>
  <c r="G61" i="17"/>
  <c r="G13" i="19" s="1"/>
  <c r="F57" i="17"/>
  <c r="F8" i="19" s="1"/>
  <c r="F60" i="17"/>
  <c r="F12" i="19" s="1"/>
  <c r="C35" i="19"/>
  <c r="C47" i="19"/>
  <c r="C83" i="19" s="1"/>
  <c r="D35" i="19"/>
  <c r="D47" i="19"/>
  <c r="D83" i="19" s="1"/>
  <c r="C31" i="19"/>
  <c r="C43" i="19"/>
  <c r="C32" i="19"/>
  <c r="C44" i="19"/>
  <c r="C37" i="19"/>
  <c r="C49" i="19"/>
  <c r="C33" i="19"/>
  <c r="C45" i="19"/>
  <c r="E69" i="19"/>
  <c r="C12" i="8" s="1"/>
  <c r="E73" i="19"/>
  <c r="C16" i="8" s="1"/>
  <c r="E74" i="19"/>
  <c r="C17" i="8" s="1"/>
  <c r="E68" i="19"/>
  <c r="C11" i="8" s="1"/>
  <c r="E71" i="19"/>
  <c r="C14" i="8" s="1"/>
  <c r="E50" i="17"/>
  <c r="E46" i="17"/>
  <c r="E45" i="17"/>
  <c r="E49" i="17"/>
  <c r="K49" i="4"/>
  <c r="L49" i="4"/>
  <c r="K11" i="4"/>
  <c r="J7" i="6"/>
  <c r="E44" i="17"/>
  <c r="D39" i="17"/>
  <c r="I49" i="4"/>
  <c r="C52" i="17"/>
  <c r="E47" i="17"/>
  <c r="D52" i="17"/>
  <c r="E48" i="17"/>
  <c r="J37" i="4"/>
  <c r="I7" i="6"/>
  <c r="C38" i="19"/>
  <c r="C50" i="19"/>
  <c r="D32" i="19"/>
  <c r="D44" i="19"/>
  <c r="D38" i="19"/>
  <c r="D50" i="19"/>
  <c r="D31" i="19"/>
  <c r="D43" i="19"/>
  <c r="D37" i="19"/>
  <c r="D49" i="19"/>
  <c r="D33" i="19"/>
  <c r="D45" i="19"/>
  <c r="E67" i="19"/>
  <c r="M49" i="4"/>
  <c r="H7" i="6"/>
  <c r="D44" i="31"/>
  <c r="C81" i="19" l="1"/>
  <c r="D85" i="19"/>
  <c r="I14" i="4"/>
  <c r="E52" i="17"/>
  <c r="AT76" i="2"/>
  <c r="AT116" i="2"/>
  <c r="I9" i="4"/>
  <c r="F64" i="17"/>
  <c r="F7" i="19"/>
  <c r="F16" i="19" s="1"/>
  <c r="G64" i="17"/>
  <c r="G7" i="19"/>
  <c r="G16" i="19" s="1"/>
  <c r="G47" i="31"/>
  <c r="D76" i="19"/>
  <c r="C52" i="19"/>
  <c r="D52" i="19"/>
  <c r="C76" i="19"/>
  <c r="C15" i="8"/>
  <c r="C10" i="8"/>
  <c r="E76" i="19"/>
  <c r="D80" i="19"/>
  <c r="C86" i="19"/>
  <c r="C40" i="19"/>
  <c r="D40" i="19"/>
  <c r="H44" i="19"/>
  <c r="P13" i="4"/>
  <c r="P24" i="4" s="1"/>
  <c r="M9" i="4"/>
  <c r="N9" i="4"/>
  <c r="L9" i="4"/>
  <c r="J9" i="4"/>
  <c r="J24" i="4" s="1"/>
  <c r="O13" i="4"/>
  <c r="O24" i="4" s="1"/>
  <c r="N13" i="4"/>
  <c r="L13" i="4"/>
  <c r="O45" i="4"/>
  <c r="D81" i="19"/>
  <c r="G48" i="19"/>
  <c r="G47" i="19"/>
  <c r="E58" i="17"/>
  <c r="E57" i="17"/>
  <c r="F47" i="19"/>
  <c r="E61" i="17"/>
  <c r="F49" i="19"/>
  <c r="C80" i="19"/>
  <c r="E60" i="17"/>
  <c r="D86" i="19"/>
  <c r="I13" i="4"/>
  <c r="E59" i="17"/>
  <c r="J14" i="4"/>
  <c r="K9" i="4"/>
  <c r="C85" i="19"/>
  <c r="K7" i="6"/>
  <c r="D34" i="31"/>
  <c r="K13" i="4"/>
  <c r="C39" i="17"/>
  <c r="E31" i="17"/>
  <c r="E39" i="17" s="1"/>
  <c r="J13" i="4"/>
  <c r="F50" i="19"/>
  <c r="G49" i="19"/>
  <c r="F45" i="19"/>
  <c r="M13" i="4"/>
  <c r="C79" i="19"/>
  <c r="E62" i="17"/>
  <c r="D79" i="19"/>
  <c r="G50" i="19"/>
  <c r="R15" i="4"/>
  <c r="G8" i="23"/>
  <c r="K8" i="23"/>
  <c r="J9" i="23"/>
  <c r="I9" i="23" s="1"/>
  <c r="O49" i="4"/>
  <c r="N49" i="4"/>
  <c r="H47" i="31"/>
  <c r="I47" i="31"/>
  <c r="K47" i="31"/>
  <c r="G45" i="19"/>
  <c r="G44" i="19"/>
  <c r="F44" i="19"/>
  <c r="I24" i="4" l="1"/>
  <c r="M24" i="4"/>
  <c r="L24" i="4"/>
  <c r="K24" i="4"/>
  <c r="N24" i="4"/>
  <c r="D38" i="31"/>
  <c r="D15" i="31"/>
  <c r="G43" i="19"/>
  <c r="G52" i="19" s="1"/>
  <c r="AX116" i="2"/>
  <c r="E14" i="19"/>
  <c r="E38" i="19" s="1"/>
  <c r="E12" i="19"/>
  <c r="E36" i="19" s="1"/>
  <c r="E13" i="19"/>
  <c r="E37" i="19" s="1"/>
  <c r="E8" i="19"/>
  <c r="E44" i="19" s="1"/>
  <c r="E80" i="19" s="1"/>
  <c r="C25" i="8" s="1"/>
  <c r="E9" i="19"/>
  <c r="E45" i="19" s="1"/>
  <c r="E81" i="19" s="1"/>
  <c r="C26" i="8" s="1"/>
  <c r="E11" i="19"/>
  <c r="E35" i="19" s="1"/>
  <c r="F48" i="19"/>
  <c r="D88" i="19"/>
  <c r="C88" i="19"/>
  <c r="I48" i="19"/>
  <c r="I45" i="19"/>
  <c r="H47" i="19"/>
  <c r="H48" i="19"/>
  <c r="I50" i="19"/>
  <c r="H50" i="19"/>
  <c r="I49" i="19"/>
  <c r="I47" i="19"/>
  <c r="H45" i="19"/>
  <c r="I44" i="19"/>
  <c r="I43" i="19"/>
  <c r="G17" i="19"/>
  <c r="F17" i="19"/>
  <c r="H49" i="19"/>
  <c r="L8" i="23"/>
  <c r="AU6" i="2"/>
  <c r="E56" i="17"/>
  <c r="F8" i="23"/>
  <c r="F43" i="19"/>
  <c r="P49" i="4"/>
  <c r="H9" i="23"/>
  <c r="BA116" i="2" l="1"/>
  <c r="BA76" i="2"/>
  <c r="AZ76" i="2"/>
  <c r="AY76" i="2"/>
  <c r="AX76" i="2"/>
  <c r="AW76" i="2"/>
  <c r="AV76" i="2"/>
  <c r="AW116" i="2"/>
  <c r="AY116" i="2"/>
  <c r="AZ116" i="2"/>
  <c r="AV116" i="2"/>
  <c r="D43" i="31"/>
  <c r="E50" i="19"/>
  <c r="E86" i="19" s="1"/>
  <c r="C31" i="8" s="1"/>
  <c r="E32" i="19"/>
  <c r="E47" i="19"/>
  <c r="E83" i="19" s="1"/>
  <c r="C28" i="8" s="1"/>
  <c r="E33" i="19"/>
  <c r="E49" i="19"/>
  <c r="E85" i="19" s="1"/>
  <c r="C30" i="8" s="1"/>
  <c r="E64" i="17"/>
  <c r="E7" i="19"/>
  <c r="E16" i="19" s="1"/>
  <c r="E48" i="19"/>
  <c r="E84" i="19" s="1"/>
  <c r="C29" i="8" s="1"/>
  <c r="E47" i="7"/>
  <c r="F52" i="19"/>
  <c r="R42" i="4"/>
  <c r="R13" i="4"/>
  <c r="AT14" i="2"/>
  <c r="R17" i="4"/>
  <c r="R18" i="4"/>
  <c r="R53" i="4"/>
  <c r="I16" i="19"/>
  <c r="I52" i="19"/>
  <c r="H16" i="19"/>
  <c r="L15" i="23"/>
  <c r="E8" i="23"/>
  <c r="H43" i="19"/>
  <c r="H52" i="19" s="1"/>
  <c r="D33" i="31"/>
  <c r="Q49" i="4"/>
  <c r="G9" i="23"/>
  <c r="R14" i="4" l="1"/>
  <c r="R45" i="4"/>
  <c r="AV6" i="2"/>
  <c r="L27" i="2"/>
  <c r="K27" i="2"/>
  <c r="I17" i="19"/>
  <c r="H17" i="19"/>
  <c r="D8" i="23"/>
  <c r="E43" i="19"/>
  <c r="E52" i="19" s="1"/>
  <c r="E31" i="19"/>
  <c r="M15" i="23"/>
  <c r="R49" i="4"/>
  <c r="F9" i="23"/>
  <c r="AT96" i="2" l="1"/>
  <c r="S14" i="4"/>
  <c r="D47" i="7"/>
  <c r="AT105" i="2"/>
  <c r="AW6" i="2"/>
  <c r="J27" i="2"/>
  <c r="E17" i="19"/>
  <c r="E40" i="19"/>
  <c r="C47" i="7"/>
  <c r="E79" i="19"/>
  <c r="C24" i="8" s="1"/>
  <c r="E88" i="19"/>
  <c r="P22" i="23"/>
  <c r="E9" i="23"/>
  <c r="D9" i="23" s="1"/>
  <c r="E10" i="31" l="1"/>
  <c r="E38" i="31" s="1"/>
  <c r="E43" i="31"/>
  <c r="U14" i="4"/>
  <c r="G10" i="31" s="1"/>
  <c r="T14" i="4"/>
  <c r="F10" i="31" s="1"/>
  <c r="H27" i="2"/>
  <c r="AX6" i="2"/>
  <c r="I27" i="2"/>
  <c r="Q22" i="23"/>
  <c r="AV104" i="2" l="1"/>
  <c r="AV107" i="2"/>
  <c r="G38" i="31"/>
  <c r="F38" i="31"/>
  <c r="R22" i="23"/>
  <c r="AV96" i="2"/>
  <c r="V14" i="4"/>
  <c r="H10" i="31" s="1"/>
  <c r="AY6" i="2"/>
  <c r="C19" i="8"/>
  <c r="C20" i="8" s="1"/>
  <c r="AW105" i="2" l="1"/>
  <c r="AW107" i="2"/>
  <c r="AW104" i="2"/>
  <c r="S22" i="23"/>
  <c r="F43" i="31"/>
  <c r="H38" i="31"/>
  <c r="AX96" i="2"/>
  <c r="AW96" i="2"/>
  <c r="W14" i="4"/>
  <c r="I10" i="31" s="1"/>
  <c r="T22" i="23"/>
  <c r="AX105" i="2"/>
  <c r="BA6" i="2"/>
  <c r="AZ6" i="2"/>
  <c r="AC61" i="7"/>
  <c r="AC62" i="7" s="1"/>
  <c r="AC30" i="7"/>
  <c r="AX104" i="2" l="1"/>
  <c r="AX107" i="2"/>
  <c r="AY107" i="2"/>
  <c r="AY104" i="2"/>
  <c r="I38" i="31"/>
  <c r="AY96" i="2"/>
  <c r="X14" i="4"/>
  <c r="J10" i="31" s="1"/>
  <c r="U22" i="23"/>
  <c r="AY105" i="2"/>
  <c r="AZ107" i="2" l="1"/>
  <c r="AZ104" i="2"/>
  <c r="J38" i="31"/>
  <c r="AZ96" i="2"/>
  <c r="Y14" i="4"/>
  <c r="K10" i="31" s="1"/>
  <c r="V22" i="23"/>
  <c r="AZ105" i="2"/>
  <c r="BA104" i="2" l="1"/>
  <c r="BA107" i="2"/>
  <c r="K38" i="31"/>
  <c r="BA96" i="2"/>
  <c r="BA105" i="2"/>
  <c r="A31" i="41" l="1"/>
  <c r="J47" i="19" l="1"/>
  <c r="J48" i="19"/>
  <c r="J50" i="19"/>
  <c r="J44" i="19"/>
  <c r="J45" i="19"/>
  <c r="J49" i="19" l="1"/>
  <c r="J43" i="19" l="1"/>
  <c r="J52" i="19" s="1"/>
  <c r="J39" i="17" l="1"/>
  <c r="J17" i="19"/>
  <c r="L17" i="19" l="1"/>
  <c r="M17" i="19"/>
  <c r="M27" i="2" l="1"/>
  <c r="M39" i="17"/>
  <c r="L39" i="17"/>
  <c r="N39" i="17" l="1"/>
  <c r="I31" i="19"/>
  <c r="H32" i="19"/>
  <c r="H37" i="19"/>
  <c r="I36" i="19"/>
  <c r="H31" i="19"/>
  <c r="H36" i="19"/>
  <c r="I33" i="19"/>
  <c r="H35" i="19"/>
  <c r="I38" i="19"/>
  <c r="I32" i="19"/>
  <c r="H38" i="19"/>
  <c r="H33" i="19"/>
  <c r="I35" i="19"/>
  <c r="I37" i="19"/>
  <c r="G35" i="19"/>
  <c r="G37" i="19"/>
  <c r="F37" i="19"/>
  <c r="G38" i="19"/>
  <c r="G33" i="19"/>
  <c r="G32" i="19"/>
  <c r="F35" i="19"/>
  <c r="F31" i="19"/>
  <c r="F38" i="19"/>
  <c r="F32" i="19"/>
  <c r="F36" i="19"/>
  <c r="F33" i="19"/>
  <c r="G36" i="19"/>
  <c r="G31" i="19"/>
  <c r="F72" i="19"/>
  <c r="G68" i="19"/>
  <c r="G72" i="19"/>
  <c r="H68" i="19"/>
  <c r="F11" i="8" s="1"/>
  <c r="H72" i="19"/>
  <c r="I72" i="19"/>
  <c r="F73" i="19"/>
  <c r="D16" i="8" s="1"/>
  <c r="F68" i="19"/>
  <c r="G73" i="19"/>
  <c r="E16" i="8" s="1"/>
  <c r="I73" i="19"/>
  <c r="H40" i="19"/>
  <c r="G71" i="19"/>
  <c r="G74" i="19"/>
  <c r="F69" i="19"/>
  <c r="H73" i="19"/>
  <c r="I69" i="19"/>
  <c r="G12" i="8" s="1"/>
  <c r="H67" i="19"/>
  <c r="H71" i="19"/>
  <c r="H74" i="19"/>
  <c r="I68" i="19"/>
  <c r="G69" i="19"/>
  <c r="H69" i="19"/>
  <c r="F12" i="8" s="1"/>
  <c r="F40" i="19"/>
  <c r="G67" i="19"/>
  <c r="G40" i="19"/>
  <c r="F67" i="19"/>
  <c r="F79" i="19"/>
  <c r="D24" i="8" s="1"/>
  <c r="F71" i="19"/>
  <c r="D14" i="8" s="1"/>
  <c r="F74" i="19"/>
  <c r="I67" i="19"/>
  <c r="I71" i="19"/>
  <c r="I74" i="19"/>
  <c r="AT102" i="2" l="1"/>
  <c r="AT104" i="2"/>
  <c r="AT101" i="2"/>
  <c r="E12" i="8"/>
  <c r="G17" i="8"/>
  <c r="I80" i="19"/>
  <c r="G25" i="8" s="1"/>
  <c r="G11" i="8"/>
  <c r="D11" i="8"/>
  <c r="F17" i="8"/>
  <c r="G10" i="8"/>
  <c r="I76" i="19"/>
  <c r="H83" i="19"/>
  <c r="F28" i="8" s="1"/>
  <c r="F14" i="8"/>
  <c r="G15" i="8"/>
  <c r="H84" i="19"/>
  <c r="F29" i="8" s="1"/>
  <c r="F15" i="8"/>
  <c r="F86" i="19"/>
  <c r="D31" i="8" s="1"/>
  <c r="D17" i="8"/>
  <c r="H79" i="19"/>
  <c r="F24" i="8" s="1"/>
  <c r="F10" i="8"/>
  <c r="H76" i="19"/>
  <c r="G16" i="8"/>
  <c r="E15" i="8"/>
  <c r="G80" i="19"/>
  <c r="E25" i="8" s="1"/>
  <c r="E11" i="8"/>
  <c r="F16" i="8"/>
  <c r="D12" i="8"/>
  <c r="D15" i="8"/>
  <c r="G83" i="19"/>
  <c r="E28" i="8" s="1"/>
  <c r="E14" i="8"/>
  <c r="I83" i="19"/>
  <c r="G28" i="8" s="1"/>
  <c r="G14" i="8"/>
  <c r="D10" i="8"/>
  <c r="F76" i="19"/>
  <c r="E17" i="8"/>
  <c r="E10" i="8"/>
  <c r="G76" i="19"/>
  <c r="I85" i="19"/>
  <c r="G30" i="8" s="1"/>
  <c r="H86" i="19"/>
  <c r="F31" i="8" s="1"/>
  <c r="F85" i="19"/>
  <c r="D30" i="8" s="1"/>
  <c r="I81" i="19"/>
  <c r="G26" i="8" s="1"/>
  <c r="F80" i="19"/>
  <c r="D25" i="8" s="1"/>
  <c r="I79" i="19"/>
  <c r="G24" i="8" s="1"/>
  <c r="I86" i="19"/>
  <c r="G31" i="8" s="1"/>
  <c r="G86" i="19"/>
  <c r="E31" i="8" s="1"/>
  <c r="G81" i="19"/>
  <c r="E26" i="8" s="1"/>
  <c r="I84" i="19"/>
  <c r="G29" i="8" s="1"/>
  <c r="G79" i="19"/>
  <c r="E24" i="8" s="1"/>
  <c r="F81" i="19"/>
  <c r="D26" i="8" s="1"/>
  <c r="H81" i="19"/>
  <c r="F26" i="8" s="1"/>
  <c r="F84" i="19"/>
  <c r="D29" i="8" s="1"/>
  <c r="F83" i="19"/>
  <c r="D28" i="8" s="1"/>
  <c r="G85" i="19"/>
  <c r="E30" i="8" s="1"/>
  <c r="H80" i="19"/>
  <c r="F25" i="8" s="1"/>
  <c r="H85" i="19"/>
  <c r="F30" i="8" s="1"/>
  <c r="G84" i="19"/>
  <c r="E29" i="8" s="1"/>
  <c r="I40" i="19"/>
  <c r="AT22" i="2" l="1"/>
  <c r="AT97" i="2"/>
  <c r="AT98" i="2"/>
  <c r="H88" i="19"/>
  <c r="G19" i="8"/>
  <c r="G20" i="8" s="1"/>
  <c r="D19" i="8"/>
  <c r="D20" i="8" s="1"/>
  <c r="F19" i="8"/>
  <c r="F20" i="8" s="1"/>
  <c r="E19" i="8"/>
  <c r="E20" i="8" s="1"/>
  <c r="F29" i="19"/>
  <c r="H29" i="19"/>
  <c r="F88" i="19"/>
  <c r="I88" i="19"/>
  <c r="I29" i="19"/>
  <c r="G88" i="19"/>
  <c r="G29" i="19"/>
  <c r="AT106" i="2" l="1"/>
  <c r="M43" i="19" l="1"/>
  <c r="M44" i="19"/>
  <c r="M45" i="19"/>
  <c r="M49" i="19"/>
  <c r="M47" i="19"/>
  <c r="M48" i="19"/>
  <c r="M50" i="19"/>
  <c r="M52" i="19" l="1"/>
  <c r="E15" i="7" l="1"/>
  <c r="AT56" i="2" l="1"/>
  <c r="AT36" i="2" l="1"/>
  <c r="P20" i="23"/>
  <c r="AT45" i="2" l="1"/>
  <c r="AT65" i="2"/>
  <c r="Q20" i="23"/>
  <c r="AV56" i="2" l="1"/>
  <c r="R20" i="23"/>
  <c r="AV47" i="2" l="1"/>
  <c r="AV67" i="2"/>
  <c r="AV36" i="2"/>
  <c r="AW56" i="2"/>
  <c r="S20" i="23"/>
  <c r="AW45" i="2" l="1"/>
  <c r="AW65" i="2"/>
  <c r="AW47" i="2"/>
  <c r="AW67" i="2"/>
  <c r="AW36" i="2"/>
  <c r="AV25" i="2"/>
  <c r="AX56" i="2"/>
  <c r="T20" i="23"/>
  <c r="AX45" i="2" l="1"/>
  <c r="AX65" i="2"/>
  <c r="AX47" i="2"/>
  <c r="AX67" i="2"/>
  <c r="AX36" i="2"/>
  <c r="AW25" i="2"/>
  <c r="AY56" i="2"/>
  <c r="U20" i="23"/>
  <c r="AY47" i="2" l="1"/>
  <c r="AY67" i="2"/>
  <c r="AY45" i="2"/>
  <c r="AY65" i="2"/>
  <c r="AW23" i="2"/>
  <c r="AY36" i="2"/>
  <c r="AX25" i="2"/>
  <c r="AZ56" i="2"/>
  <c r="V20" i="23"/>
  <c r="AZ47" i="2" l="1"/>
  <c r="AZ67" i="2"/>
  <c r="AX23" i="2"/>
  <c r="AZ45" i="2"/>
  <c r="AZ65" i="2"/>
  <c r="AZ36" i="2"/>
  <c r="AY25" i="2"/>
  <c r="BA56" i="2"/>
  <c r="AY23" i="2" l="1"/>
  <c r="BA47" i="2"/>
  <c r="BA67" i="2"/>
  <c r="BA45" i="2"/>
  <c r="BA65" i="2"/>
  <c r="BA36" i="2"/>
  <c r="AZ25" i="2"/>
  <c r="AZ23" i="2" l="1"/>
  <c r="BA25" i="2"/>
  <c r="BA23" i="2" l="1"/>
  <c r="N51" i="19" l="1"/>
  <c r="N16" i="19"/>
  <c r="N17" i="19" s="1"/>
  <c r="L45" i="19" l="1"/>
  <c r="Q24" i="7"/>
  <c r="Q9" i="7"/>
  <c r="L47" i="19"/>
  <c r="Q25" i="7"/>
  <c r="Q10" i="7"/>
  <c r="L48" i="19"/>
  <c r="Q27" i="7"/>
  <c r="Q12" i="7"/>
  <c r="L50" i="19"/>
  <c r="Q21" i="7"/>
  <c r="Q6" i="7"/>
  <c r="L44" i="19"/>
  <c r="Q26" i="7"/>
  <c r="Q11" i="7"/>
  <c r="L49" i="19"/>
  <c r="Q20" i="7"/>
  <c r="Q5" i="7"/>
  <c r="L64" i="19"/>
  <c r="L43" i="19"/>
  <c r="Q14" i="7" l="1"/>
  <c r="Q15" i="7" s="1"/>
  <c r="Q29" i="7"/>
  <c r="L52" i="19"/>
  <c r="Q30" i="7" l="1"/>
  <c r="D15" i="7"/>
  <c r="D31" i="7" l="1"/>
  <c r="O27" i="2"/>
  <c r="AT124" i="2"/>
  <c r="AT84" i="2"/>
  <c r="AT64" i="2"/>
  <c r="AT44" i="2" l="1"/>
  <c r="AD30" i="7"/>
  <c r="AD61" i="7"/>
  <c r="AD62" i="7" s="1"/>
  <c r="D30" i="7" l="1"/>
  <c r="D61" i="7" l="1"/>
  <c r="D62" i="7" s="1"/>
  <c r="AW57" i="2" l="1"/>
  <c r="AW77" i="2"/>
  <c r="AW117" i="2"/>
  <c r="BA77" i="2" l="1"/>
  <c r="BA57" i="2"/>
  <c r="AZ57" i="2"/>
  <c r="AZ77" i="2"/>
  <c r="AY57" i="2"/>
  <c r="AY77" i="2"/>
  <c r="AX57" i="2"/>
  <c r="AX77" i="2"/>
  <c r="AX117" i="2"/>
  <c r="AY117" i="2"/>
  <c r="AZ117" i="2"/>
  <c r="BA117" i="2"/>
  <c r="AX97" i="2" l="1"/>
  <c r="AY97" i="2"/>
  <c r="BA97" i="2"/>
  <c r="AZ97" i="2"/>
  <c r="AW37" i="2"/>
  <c r="AZ37" i="2" l="1"/>
  <c r="AX37" i="2"/>
  <c r="AY37" i="2"/>
  <c r="BA37" i="2"/>
  <c r="AT54" i="2" l="1"/>
  <c r="AT74" i="2"/>
  <c r="AT114" i="2"/>
  <c r="AT66" i="2" l="1"/>
  <c r="AT86" i="2"/>
  <c r="AT122" i="2" l="1"/>
  <c r="AT62" i="2"/>
  <c r="AT82" i="2"/>
  <c r="AT119" i="2"/>
  <c r="AT79" i="2"/>
  <c r="AT99" i="2"/>
  <c r="AT59" i="2"/>
  <c r="AT123" i="2"/>
  <c r="AT103" i="2"/>
  <c r="AT83" i="2"/>
  <c r="AT63" i="2"/>
  <c r="AT77" i="2"/>
  <c r="AT57" i="2"/>
  <c r="AT117" i="2"/>
  <c r="AT118" i="2"/>
  <c r="AT58" i="2"/>
  <c r="AT78" i="2"/>
  <c r="AT61" i="2"/>
  <c r="AT121" i="2"/>
  <c r="AT81" i="2"/>
  <c r="AT43" i="2" l="1"/>
  <c r="AT41" i="2"/>
  <c r="AT42" i="2"/>
  <c r="I50" i="50"/>
  <c r="AT39" i="2"/>
  <c r="I44" i="50" l="1"/>
  <c r="O68" i="19"/>
  <c r="I45" i="50"/>
  <c r="O69" i="19"/>
  <c r="O71" i="19"/>
  <c r="I48" i="50"/>
  <c r="I51" i="50"/>
  <c r="O75" i="19"/>
  <c r="I47" i="50"/>
  <c r="O74" i="19"/>
  <c r="M17" i="8" s="1"/>
  <c r="AT38" i="2"/>
  <c r="AT37" i="2"/>
  <c r="I13" i="50" l="1"/>
  <c r="I43" i="50"/>
  <c r="O67" i="19"/>
  <c r="O72" i="19"/>
  <c r="I49" i="50"/>
  <c r="I46" i="50"/>
  <c r="O73" i="19"/>
  <c r="M18" i="8"/>
  <c r="O27" i="19"/>
  <c r="I52" i="50" l="1"/>
  <c r="S29" i="7"/>
  <c r="F47" i="7" l="1"/>
  <c r="AF47" i="7"/>
  <c r="N45" i="19" l="1"/>
  <c r="N43" i="19"/>
  <c r="N48" i="19"/>
  <c r="N47" i="19"/>
  <c r="N64" i="19"/>
  <c r="N52" i="19" l="1"/>
  <c r="AT15" i="2" l="1"/>
  <c r="Q10" i="4" l="1"/>
  <c r="Q37" i="4"/>
  <c r="Q26" i="4" s="1"/>
  <c r="Q11" i="4"/>
  <c r="Q12" i="4"/>
  <c r="Q39" i="4" l="1"/>
  <c r="E7" i="46"/>
  <c r="E10" i="46"/>
  <c r="I55" i="1"/>
  <c r="Q9" i="4"/>
  <c r="Q24" i="4" s="1"/>
  <c r="E24" i="46" l="1"/>
  <c r="R10" i="4" l="1"/>
  <c r="R37" i="4"/>
  <c r="R26" i="4" s="1"/>
  <c r="R12" i="4"/>
  <c r="R9" i="4"/>
  <c r="R24" i="4" s="1"/>
  <c r="R11" i="4"/>
  <c r="AT52" i="2" l="1"/>
  <c r="AT72" i="2"/>
  <c r="AT92" i="2"/>
  <c r="R39" i="4"/>
  <c r="F7" i="46"/>
  <c r="F10" i="46"/>
  <c r="F24" i="46" s="1"/>
  <c r="S37" i="4"/>
  <c r="S26" i="4" s="1"/>
  <c r="AT10" i="2"/>
  <c r="AT112" i="2"/>
  <c r="AT71" i="2" l="1"/>
  <c r="AT51" i="2"/>
  <c r="AT91" i="2"/>
  <c r="E16" i="31"/>
  <c r="E44" i="31" s="1"/>
  <c r="AU14" i="2"/>
  <c r="S17" i="4"/>
  <c r="S53" i="4"/>
  <c r="S49" i="4" s="1"/>
  <c r="S18" i="4"/>
  <c r="G10" i="46"/>
  <c r="S9" i="4"/>
  <c r="AT32" i="2"/>
  <c r="AT111" i="2"/>
  <c r="G24" i="46" l="1"/>
  <c r="E6" i="31"/>
  <c r="E34" i="31" s="1"/>
  <c r="AT9" i="2"/>
  <c r="AT31" i="2"/>
  <c r="P27" i="2" l="1"/>
  <c r="E31" i="7"/>
  <c r="AE30" i="7" l="1"/>
  <c r="AE61" i="7"/>
  <c r="AE62" i="7" s="1"/>
  <c r="E30" i="7"/>
  <c r="E61" i="7" l="1"/>
  <c r="E62" i="7" s="1"/>
  <c r="AV64" i="2" l="1"/>
  <c r="AV124" i="2"/>
  <c r="AV84" i="2"/>
  <c r="AW124" i="2"/>
  <c r="AZ84" i="2"/>
  <c r="AV44" i="2" l="1"/>
  <c r="AX84" i="2"/>
  <c r="AX64" i="2"/>
  <c r="BA124" i="2"/>
  <c r="AY64" i="2"/>
  <c r="AY84" i="2"/>
  <c r="AZ64" i="2"/>
  <c r="AX124" i="2"/>
  <c r="AW84" i="2"/>
  <c r="BA84" i="2"/>
  <c r="BA64" i="2"/>
  <c r="AZ124" i="2"/>
  <c r="AW64" i="2"/>
  <c r="AY124" i="2"/>
  <c r="AZ44" i="2" l="1"/>
  <c r="AW44" i="2"/>
  <c r="AY44" i="2"/>
  <c r="AX44" i="2"/>
  <c r="BA44" i="2"/>
  <c r="AV22" i="2"/>
  <c r="BA22" i="2" l="1"/>
  <c r="AX22" i="2"/>
  <c r="AW22" i="2"/>
  <c r="AZ22" i="2"/>
  <c r="AY22" i="2"/>
  <c r="BA74" i="2" l="1"/>
  <c r="BA114" i="2"/>
  <c r="BA54" i="2"/>
  <c r="AX54" i="2" l="1"/>
  <c r="AX114" i="2"/>
  <c r="AX74" i="2"/>
  <c r="AW74" i="2"/>
  <c r="AW114" i="2"/>
  <c r="AW54" i="2"/>
  <c r="AV114" i="2"/>
  <c r="AV54" i="2"/>
  <c r="AV74" i="2"/>
  <c r="AY54" i="2"/>
  <c r="AY74" i="2"/>
  <c r="AY114" i="2"/>
  <c r="AZ114" i="2"/>
  <c r="AZ74" i="2"/>
  <c r="AZ54" i="2"/>
  <c r="BA34" i="2"/>
  <c r="AY34" i="2" l="1"/>
  <c r="AW34" i="2"/>
  <c r="AZ34" i="2"/>
  <c r="AX34" i="2"/>
  <c r="AV34" i="2"/>
  <c r="AT12" i="2" l="1"/>
  <c r="Q27" i="2" l="1"/>
  <c r="AT70" i="2" l="1"/>
  <c r="AT90" i="2"/>
  <c r="AT50" i="2"/>
  <c r="AT110" i="2"/>
  <c r="F31" i="7"/>
  <c r="AT30" i="2" l="1"/>
  <c r="AF30" i="7" l="1"/>
  <c r="AF61" i="7"/>
  <c r="AF62" i="7" s="1"/>
  <c r="F30" i="7"/>
  <c r="F61" i="7" l="1"/>
  <c r="F62" i="7" s="1"/>
  <c r="Q56" i="1" l="1"/>
  <c r="Q57" i="1" s="1"/>
  <c r="N56" i="1"/>
  <c r="N57" i="1" s="1"/>
  <c r="K56" i="1"/>
  <c r="K57" i="1" s="1"/>
  <c r="I57" i="1"/>
  <c r="L56" i="1"/>
  <c r="L57" i="1" s="1"/>
  <c r="J56" i="1"/>
  <c r="J57" i="1" s="1"/>
  <c r="P56" i="1"/>
  <c r="P57" i="1" s="1"/>
  <c r="O56" i="1"/>
  <c r="O57" i="1" s="1"/>
  <c r="M56" i="1"/>
  <c r="M57" i="1" s="1"/>
  <c r="S13" i="4" l="1"/>
  <c r="S42" i="4"/>
  <c r="E5" i="31" l="1"/>
  <c r="E33" i="31" s="1"/>
  <c r="E11" i="31" l="1"/>
  <c r="E8" i="31"/>
  <c r="E15" i="31" l="1"/>
  <c r="F11" i="31"/>
  <c r="F8" i="31"/>
  <c r="G11" i="31" l="1"/>
  <c r="G8" i="31"/>
  <c r="F15" i="31"/>
  <c r="H8" i="31" l="1"/>
  <c r="H11" i="31"/>
  <c r="I8" i="31" l="1"/>
  <c r="I11" i="31"/>
  <c r="J8" i="31" l="1"/>
  <c r="J11" i="31"/>
  <c r="K11" i="31" l="1"/>
  <c r="K8" i="31"/>
  <c r="H7" i="31" l="1"/>
  <c r="H35" i="31" s="1"/>
  <c r="G7" i="31"/>
  <c r="G35" i="31" s="1"/>
  <c r="M17" i="31"/>
  <c r="D7" i="31"/>
  <c r="D35" i="31" s="1"/>
  <c r="I7" i="31"/>
  <c r="I35" i="31" s="1"/>
  <c r="K7" i="31"/>
  <c r="K35" i="31" s="1"/>
  <c r="J7" i="31"/>
  <c r="J35" i="31" s="1"/>
  <c r="E7" i="31"/>
  <c r="E35" i="31" s="1"/>
  <c r="F7" i="31"/>
  <c r="D17" i="31"/>
  <c r="J17" i="31"/>
  <c r="G17" i="31"/>
  <c r="F17" i="31"/>
  <c r="E17" i="31"/>
  <c r="K17" i="31" l="1"/>
  <c r="I17" i="31"/>
  <c r="I45" i="31" s="1"/>
  <c r="H17" i="31"/>
  <c r="H45" i="31" s="1"/>
  <c r="F35" i="31"/>
  <c r="D9" i="31"/>
  <c r="E9" i="31"/>
  <c r="J45" i="31"/>
  <c r="D37" i="31"/>
  <c r="F45" i="31"/>
  <c r="D18" i="31"/>
  <c r="D45" i="31"/>
  <c r="D46" i="31" s="1"/>
  <c r="G45" i="31"/>
  <c r="E45" i="31"/>
  <c r="E46" i="31" s="1"/>
  <c r="E18" i="31"/>
  <c r="K45" i="31"/>
  <c r="E37" i="31"/>
  <c r="D23" i="31" l="1"/>
  <c r="D51" i="31"/>
  <c r="D52" i="31" l="1"/>
  <c r="AT53" i="2" l="1"/>
  <c r="AT73" i="2"/>
  <c r="AT93" i="2"/>
  <c r="AT113" i="2"/>
  <c r="S14" i="7" l="1"/>
  <c r="S15" i="7" l="1"/>
  <c r="S30" i="7"/>
  <c r="AV105" i="2" l="1"/>
  <c r="AV65" i="2"/>
  <c r="AV85" i="2"/>
  <c r="AV125" i="2"/>
  <c r="AV45" i="2" l="1"/>
  <c r="I29" i="51" l="1"/>
  <c r="AV23" i="2"/>
  <c r="S22" i="4" l="1"/>
  <c r="S24" i="4" l="1"/>
  <c r="E21" i="31"/>
  <c r="E49" i="31" l="1"/>
  <c r="E22" i="31"/>
  <c r="E23" i="31" s="1"/>
  <c r="E50" i="31" l="1"/>
  <c r="E51" i="31" s="1"/>
  <c r="E52" i="31" s="1"/>
  <c r="F15" i="7" l="1"/>
  <c r="G87" i="7" l="1"/>
  <c r="AG74" i="7"/>
  <c r="AG87" i="7" s="1"/>
  <c r="L83" i="19" l="1"/>
  <c r="J28" i="8" s="1"/>
  <c r="J28" i="19"/>
  <c r="J32" i="19"/>
  <c r="J36" i="19"/>
  <c r="J33" i="19"/>
  <c r="J35" i="19"/>
  <c r="J38" i="19"/>
  <c r="J37" i="19"/>
  <c r="J31" i="19"/>
  <c r="N28" i="19"/>
  <c r="N40" i="19" s="1"/>
  <c r="L15" i="8"/>
  <c r="J10" i="8"/>
  <c r="L28" i="19"/>
  <c r="L40" i="19" s="1"/>
  <c r="L32" i="19"/>
  <c r="L79" i="19"/>
  <c r="J24" i="8" s="1"/>
  <c r="L31" i="19"/>
  <c r="L38" i="19"/>
  <c r="L84" i="19"/>
  <c r="J29" i="8" s="1"/>
  <c r="L36" i="19"/>
  <c r="L37" i="19"/>
  <c r="L81" i="19"/>
  <c r="J26" i="8" s="1"/>
  <c r="L33" i="19"/>
  <c r="L35" i="19"/>
  <c r="M28" i="19"/>
  <c r="J18" i="8"/>
  <c r="K18" i="8"/>
  <c r="K11" i="8"/>
  <c r="K15" i="8"/>
  <c r="K16" i="8"/>
  <c r="I12" i="8"/>
  <c r="I15" i="8"/>
  <c r="I18" i="8"/>
  <c r="I10" i="8"/>
  <c r="K28" i="19"/>
  <c r="K40" i="19" s="1"/>
  <c r="M32" i="19"/>
  <c r="M31" i="19"/>
  <c r="M33" i="19"/>
  <c r="M38" i="19"/>
  <c r="M36" i="19"/>
  <c r="M35" i="19"/>
  <c r="M37" i="19"/>
  <c r="L39" i="19"/>
  <c r="I17" i="8"/>
  <c r="K38" i="19"/>
  <c r="M39" i="19"/>
  <c r="K37" i="19"/>
  <c r="K36" i="19"/>
  <c r="K35" i="19"/>
  <c r="K33" i="19"/>
  <c r="K32" i="19"/>
  <c r="K31" i="19"/>
  <c r="N39" i="19"/>
  <c r="N33" i="19"/>
  <c r="N36" i="19"/>
  <c r="N38" i="19"/>
  <c r="N37" i="19"/>
  <c r="N32" i="19"/>
  <c r="N35" i="19"/>
  <c r="N31" i="19"/>
  <c r="J81" i="19"/>
  <c r="H26" i="8" s="1"/>
  <c r="H18" i="8"/>
  <c r="J85" i="19"/>
  <c r="H30" i="8" s="1"/>
  <c r="N79" i="19"/>
  <c r="L24" i="8" s="1"/>
  <c r="J80" i="19"/>
  <c r="H25" i="8" s="1"/>
  <c r="H17" i="8"/>
  <c r="J86" i="19"/>
  <c r="H31" i="8" s="1"/>
  <c r="L80" i="19"/>
  <c r="J25" i="8" s="1"/>
  <c r="N83" i="19"/>
  <c r="L28" i="8" s="1"/>
  <c r="K81" i="19"/>
  <c r="I26" i="8" s="1"/>
  <c r="H10" i="8"/>
  <c r="J79" i="19"/>
  <c r="H24" i="8" s="1"/>
  <c r="L87" i="19"/>
  <c r="J32" i="8" s="1"/>
  <c r="M85" i="19"/>
  <c r="K30" i="8" s="1"/>
  <c r="J14" i="8"/>
  <c r="K14" i="8"/>
  <c r="M83" i="19"/>
  <c r="K28" i="8" s="1"/>
  <c r="M80" i="19"/>
  <c r="K25" i="8" s="1"/>
  <c r="J84" i="19"/>
  <c r="H29" i="8" s="1"/>
  <c r="H15" i="8"/>
  <c r="J17" i="8"/>
  <c r="L86" i="19"/>
  <c r="J31" i="8" s="1"/>
  <c r="M84" i="19"/>
  <c r="K29" i="8" s="1"/>
  <c r="M81" i="19"/>
  <c r="K26" i="8" s="1"/>
  <c r="I14" i="8"/>
  <c r="K83" i="19"/>
  <c r="I28" i="8" s="1"/>
  <c r="L16" i="8"/>
  <c r="N85" i="19"/>
  <c r="L30" i="8" s="1"/>
  <c r="K76" i="19"/>
  <c r="K77" i="19" s="1"/>
  <c r="L11" i="8"/>
  <c r="N80" i="19"/>
  <c r="L25" i="8" s="1"/>
  <c r="K84" i="19"/>
  <c r="I29" i="8" s="1"/>
  <c r="K17" i="8"/>
  <c r="M86" i="19"/>
  <c r="K31" i="8" s="1"/>
  <c r="L17" i="8"/>
  <c r="N86" i="19"/>
  <c r="L31" i="8" s="1"/>
  <c r="N84" i="19"/>
  <c r="L29" i="8" s="1"/>
  <c r="K79" i="19"/>
  <c r="I24" i="8" s="1"/>
  <c r="L12" i="8"/>
  <c r="N81" i="19"/>
  <c r="L26" i="8" s="1"/>
  <c r="I16" i="8"/>
  <c r="K85" i="19"/>
  <c r="I30" i="8" s="1"/>
  <c r="M87" i="19"/>
  <c r="K32" i="8" s="1"/>
  <c r="K10" i="8"/>
  <c r="H14" i="8"/>
  <c r="J16" i="8"/>
  <c r="L85" i="19"/>
  <c r="J30" i="8" s="1"/>
  <c r="L18" i="8"/>
  <c r="N87" i="19"/>
  <c r="L32" i="8" s="1"/>
  <c r="K88" i="19" l="1"/>
  <c r="K29" i="19"/>
  <c r="K86" i="19"/>
  <c r="I31" i="8" s="1"/>
  <c r="O31" i="8" s="1"/>
  <c r="L10" i="8"/>
  <c r="L14" i="8"/>
  <c r="K80" i="19"/>
  <c r="I25" i="8" s="1"/>
  <c r="J11" i="8"/>
  <c r="H16" i="8"/>
  <c r="I11" i="8"/>
  <c r="J15" i="8"/>
  <c r="L76" i="19"/>
  <c r="L77" i="19" s="1"/>
  <c r="J76" i="19"/>
  <c r="J77" i="19" s="1"/>
  <c r="K12" i="8"/>
  <c r="M76" i="19"/>
  <c r="M77" i="19" s="1"/>
  <c r="J83" i="19"/>
  <c r="H28" i="8" s="1"/>
  <c r="H11" i="8"/>
  <c r="H12" i="8"/>
  <c r="M40" i="19"/>
  <c r="J12" i="8"/>
  <c r="J40" i="19"/>
  <c r="M79" i="19"/>
  <c r="K24" i="8" s="1"/>
  <c r="N76" i="19"/>
  <c r="N77" i="19" s="1"/>
  <c r="M29" i="19" l="1"/>
  <c r="H19" i="8"/>
  <c r="H20" i="8" s="1"/>
  <c r="N88" i="19"/>
  <c r="N29" i="19"/>
  <c r="I19" i="8"/>
  <c r="I20" i="8" s="1"/>
  <c r="L19" i="8"/>
  <c r="L20" i="8" s="1"/>
  <c r="L29" i="19"/>
  <c r="L88" i="19"/>
  <c r="K19" i="8"/>
  <c r="K20" i="8" s="1"/>
  <c r="P31" i="8"/>
  <c r="R31" i="8"/>
  <c r="Q31" i="8"/>
  <c r="S31" i="8"/>
  <c r="M88" i="19"/>
  <c r="J88" i="19"/>
  <c r="J29" i="19"/>
  <c r="J19" i="8"/>
  <c r="J20" i="8" s="1"/>
  <c r="T14" i="7" l="1"/>
  <c r="T29" i="7" l="1"/>
  <c r="T30" i="7" s="1"/>
  <c r="O64" i="19" l="1"/>
  <c r="T15" i="7" s="1"/>
  <c r="O65" i="19" l="1"/>
  <c r="G47" i="7" l="1"/>
  <c r="AG47" i="7" l="1"/>
  <c r="G85" i="7"/>
  <c r="AG72" i="7"/>
  <c r="AG85" i="7" s="1"/>
  <c r="G84" i="7"/>
  <c r="AG71" i="7"/>
  <c r="AG84" i="7" s="1"/>
  <c r="G80" i="7"/>
  <c r="AG67" i="7"/>
  <c r="AG80" i="7" s="1"/>
  <c r="AG68" i="7"/>
  <c r="G83" i="7"/>
  <c r="AG70" i="7"/>
  <c r="AG83" i="7" s="1"/>
  <c r="G86" i="7"/>
  <c r="AG73" i="7"/>
  <c r="AG86" i="7" s="1"/>
  <c r="G79" i="7"/>
  <c r="AG66" i="7"/>
  <c r="G75" i="7"/>
  <c r="G76" i="7" s="1"/>
  <c r="AG79" i="7" l="1"/>
  <c r="AG75" i="7"/>
  <c r="AG76" i="7" s="1"/>
  <c r="O50" i="19" l="1"/>
  <c r="O49" i="19" l="1"/>
  <c r="O51" i="19"/>
  <c r="O39" i="19"/>
  <c r="O43" i="19"/>
  <c r="O16" i="19"/>
  <c r="O17" i="19" s="1"/>
  <c r="O45" i="19"/>
  <c r="O44" i="19"/>
  <c r="O48" i="19"/>
  <c r="O47" i="19"/>
  <c r="O87" i="19" l="1"/>
  <c r="M32" i="8" s="1"/>
  <c r="O79" i="19"/>
  <c r="M24" i="8" s="1"/>
  <c r="M16" i="8"/>
  <c r="M15" i="8"/>
  <c r="O24" i="19"/>
  <c r="O36" i="19" s="1"/>
  <c r="M11" i="8"/>
  <c r="O20" i="19"/>
  <c r="O32" i="19" s="1"/>
  <c r="M14" i="8"/>
  <c r="O23" i="19"/>
  <c r="O35" i="19" s="1"/>
  <c r="M12" i="8"/>
  <c r="O21" i="19"/>
  <c r="O33" i="19" s="1"/>
  <c r="O83" i="19"/>
  <c r="M28" i="8" s="1"/>
  <c r="O84" i="19"/>
  <c r="M29" i="8" s="1"/>
  <c r="O80" i="19"/>
  <c r="M25" i="8" s="1"/>
  <c r="O81" i="19"/>
  <c r="M26" i="8" s="1"/>
  <c r="O52" i="19"/>
  <c r="G15" i="7" s="1"/>
  <c r="O24" i="8" l="1"/>
  <c r="R24" i="8"/>
  <c r="Q24" i="8"/>
  <c r="P24" i="8"/>
  <c r="S24" i="8"/>
  <c r="M10" i="8"/>
  <c r="O19" i="19"/>
  <c r="O31" i="19" s="1"/>
  <c r="AD85" i="7" l="1"/>
  <c r="AD87" i="7"/>
  <c r="AD81" i="7"/>
  <c r="AC85" i="7"/>
  <c r="AC84" i="7"/>
  <c r="AC83" i="7"/>
  <c r="AC81" i="7"/>
  <c r="AC80" i="7"/>
  <c r="AC87" i="7"/>
  <c r="AC79" i="7"/>
  <c r="AC86" i="7"/>
  <c r="C86" i="7"/>
  <c r="C80" i="7"/>
  <c r="C83" i="7"/>
  <c r="C87" i="7"/>
  <c r="C75" i="7"/>
  <c r="C81" i="7"/>
  <c r="C85" i="7"/>
  <c r="C84" i="7"/>
  <c r="AE87" i="7"/>
  <c r="AD83" i="7"/>
  <c r="AE81" i="7"/>
  <c r="AD84" i="7"/>
  <c r="AE80" i="7"/>
  <c r="AD80" i="7"/>
  <c r="AE85" i="7"/>
  <c r="AE83" i="7"/>
  <c r="AE84" i="7"/>
  <c r="AE86" i="7"/>
  <c r="AD79" i="7"/>
  <c r="AE79" i="7"/>
  <c r="AD86" i="7"/>
  <c r="E80" i="7"/>
  <c r="E83" i="7"/>
  <c r="E86" i="7"/>
  <c r="E84" i="7"/>
  <c r="E81" i="7"/>
  <c r="E85" i="7"/>
  <c r="AE75" i="7"/>
  <c r="AD75" i="7"/>
  <c r="AC75" i="7"/>
  <c r="C79" i="7"/>
  <c r="E87" i="7"/>
  <c r="D87" i="7"/>
  <c r="D86" i="7"/>
  <c r="D83" i="7"/>
  <c r="D80" i="7"/>
  <c r="D81" i="7"/>
  <c r="D85" i="7"/>
  <c r="D84" i="7"/>
  <c r="D79" i="7"/>
  <c r="D75" i="7"/>
  <c r="E49" i="1" s="1"/>
  <c r="AF86" i="7"/>
  <c r="AF83" i="7"/>
  <c r="AF87" i="7"/>
  <c r="F87" i="7"/>
  <c r="AF80" i="7"/>
  <c r="F84" i="7"/>
  <c r="AF84" i="7"/>
  <c r="F85" i="7"/>
  <c r="AF85" i="7"/>
  <c r="AF81" i="7"/>
  <c r="F81" i="7"/>
  <c r="AF79" i="7"/>
  <c r="F86" i="7"/>
  <c r="F83" i="7"/>
  <c r="AF75" i="7"/>
  <c r="F75" i="7"/>
  <c r="E79" i="7"/>
  <c r="E75" i="7"/>
  <c r="F79" i="7"/>
  <c r="AT46" i="2" l="1"/>
  <c r="AT126" i="2"/>
  <c r="AC76" i="7"/>
  <c r="AD76" i="7"/>
  <c r="AE76" i="7"/>
  <c r="AF76" i="7"/>
  <c r="D88" i="7"/>
  <c r="AE88" i="7"/>
  <c r="AE89" i="7" s="1"/>
  <c r="AD88" i="7"/>
  <c r="AD89" i="7" s="1"/>
  <c r="AF88" i="7"/>
  <c r="AF89" i="7" s="1"/>
  <c r="AC88" i="7"/>
  <c r="AC89" i="7" s="1"/>
  <c r="C88" i="7"/>
  <c r="E88" i="7"/>
  <c r="F49" i="1"/>
  <c r="E76" i="7"/>
  <c r="D49" i="1"/>
  <c r="I21" i="8" s="1"/>
  <c r="C76" i="7"/>
  <c r="J21" i="8"/>
  <c r="D63" i="7"/>
  <c r="G49" i="1"/>
  <c r="F76" i="7"/>
  <c r="D76" i="7"/>
  <c r="F80" i="7"/>
  <c r="F88" i="7" s="1"/>
  <c r="C89" i="7" l="1"/>
  <c r="I34" i="8"/>
  <c r="D89" i="7"/>
  <c r="J34" i="8"/>
  <c r="F89" i="7"/>
  <c r="L34" i="8"/>
  <c r="E89" i="7"/>
  <c r="K34" i="8"/>
  <c r="L21" i="8"/>
  <c r="F63" i="7"/>
  <c r="C63" i="7"/>
  <c r="K21" i="8"/>
  <c r="E63" i="7"/>
  <c r="O25" i="19" l="1"/>
  <c r="O37" i="19" s="1"/>
  <c r="O85" i="19" l="1"/>
  <c r="M30" i="8" s="1"/>
  <c r="P26" i="19" l="1"/>
  <c r="P86" i="19"/>
  <c r="N31" i="8" s="1"/>
  <c r="O76" i="19"/>
  <c r="O88" i="19" s="1"/>
  <c r="M19" i="8"/>
  <c r="O26" i="19"/>
  <c r="O86" i="19"/>
  <c r="M31" i="8" s="1"/>
  <c r="M20" i="8" l="1"/>
  <c r="P38" i="19"/>
  <c r="O38" i="19"/>
  <c r="O28" i="19"/>
  <c r="O77" i="19"/>
  <c r="O40" i="19" l="1"/>
  <c r="O29" i="19"/>
  <c r="T22" i="4" l="1"/>
  <c r="F21" i="31" s="1"/>
  <c r="F49" i="31" l="1"/>
  <c r="F22" i="31"/>
  <c r="F50" i="31" l="1"/>
  <c r="K15" i="31" l="1"/>
  <c r="K40" i="31"/>
  <c r="K43" i="31" l="1"/>
  <c r="G40" i="31" l="1"/>
  <c r="H15" i="31"/>
  <c r="I15" i="31"/>
  <c r="J40" i="31"/>
  <c r="J43" i="31" s="1"/>
  <c r="H40" i="31" l="1"/>
  <c r="H43" i="31" s="1"/>
  <c r="G15" i="31"/>
  <c r="I40" i="31"/>
  <c r="G43" i="31"/>
  <c r="J15" i="31"/>
  <c r="I43" i="31" l="1"/>
  <c r="R27" i="2" l="1"/>
  <c r="AG82" i="7" l="1"/>
  <c r="G82" i="7"/>
  <c r="AG30" i="7" l="1"/>
  <c r="G30" i="7" l="1"/>
  <c r="AG61" i="7"/>
  <c r="AG62" i="7" s="1"/>
  <c r="AG81" i="7"/>
  <c r="AG88" i="7" s="1"/>
  <c r="AG89" i="7" s="1"/>
  <c r="G61" i="7" l="1"/>
  <c r="G81" i="7"/>
  <c r="G88" i="7" s="1"/>
  <c r="G89" i="7" l="1"/>
  <c r="M34" i="8"/>
  <c r="G62" i="7"/>
  <c r="H49" i="1"/>
  <c r="G63" i="7" l="1"/>
  <c r="M21" i="8"/>
  <c r="AT24" i="2" l="1"/>
  <c r="X22" i="4" l="1"/>
  <c r="W22" i="4" l="1"/>
  <c r="U22" i="4"/>
  <c r="V22" i="4"/>
  <c r="J21" i="31"/>
  <c r="Y22" i="4"/>
  <c r="J49" i="31" l="1"/>
  <c r="J22" i="31"/>
  <c r="H21" i="31"/>
  <c r="G21" i="31"/>
  <c r="I21" i="31"/>
  <c r="K21" i="31"/>
  <c r="K22" i="31" l="1"/>
  <c r="K49" i="31"/>
  <c r="J50" i="31"/>
  <c r="H22" i="31"/>
  <c r="H49" i="31"/>
  <c r="G22" i="31"/>
  <c r="G49" i="31"/>
  <c r="I22" i="31"/>
  <c r="I49" i="31"/>
  <c r="H50" i="31" l="1"/>
  <c r="I50" i="31"/>
  <c r="G50" i="31"/>
  <c r="K50" i="31"/>
  <c r="N18" i="8" l="1"/>
  <c r="T51" i="4" l="1"/>
  <c r="T47" i="4"/>
  <c r="T40" i="4"/>
  <c r="T42" i="4" l="1"/>
  <c r="T13" i="4"/>
  <c r="F5" i="31" s="1"/>
  <c r="U40" i="4"/>
  <c r="U13" i="4" s="1"/>
  <c r="T49" i="4"/>
  <c r="T17" i="4"/>
  <c r="F6" i="31" s="1"/>
  <c r="F34" i="31" s="1"/>
  <c r="U47" i="4"/>
  <c r="T18" i="4"/>
  <c r="T53" i="4"/>
  <c r="U51" i="4"/>
  <c r="U18" i="4" s="1"/>
  <c r="V47" i="4" l="1"/>
  <c r="U49" i="4"/>
  <c r="U17" i="4"/>
  <c r="G6" i="31" s="1"/>
  <c r="G34" i="31" s="1"/>
  <c r="G5" i="31"/>
  <c r="V40" i="4"/>
  <c r="V13" i="4" s="1"/>
  <c r="U42" i="4"/>
  <c r="F33" i="31"/>
  <c r="F9" i="31"/>
  <c r="T37" i="4"/>
  <c r="U32" i="4"/>
  <c r="V51" i="4"/>
  <c r="V18" i="4" s="1"/>
  <c r="U53" i="4"/>
  <c r="AW15" i="2" l="1"/>
  <c r="F37" i="31"/>
  <c r="G33" i="31"/>
  <c r="G9" i="31"/>
  <c r="W51" i="4"/>
  <c r="V53" i="4"/>
  <c r="W18" i="4"/>
  <c r="W40" i="4"/>
  <c r="V42" i="4"/>
  <c r="V32" i="4"/>
  <c r="U37" i="4"/>
  <c r="H5" i="31"/>
  <c r="T26" i="4"/>
  <c r="T38" i="4"/>
  <c r="T9" i="4"/>
  <c r="H10" i="46"/>
  <c r="V17" i="4"/>
  <c r="H6" i="31" s="1"/>
  <c r="H34" i="31" s="1"/>
  <c r="W47" i="4"/>
  <c r="W17" i="4"/>
  <c r="I6" i="31" s="1"/>
  <c r="I34" i="31" s="1"/>
  <c r="V49" i="4"/>
  <c r="AX15" i="2" l="1"/>
  <c r="W42" i="4"/>
  <c r="X40" i="4"/>
  <c r="T10" i="4"/>
  <c r="T24" i="4"/>
  <c r="H7" i="46"/>
  <c r="H13" i="46"/>
  <c r="H12" i="46"/>
  <c r="X51" i="4"/>
  <c r="W53" i="4"/>
  <c r="H33" i="31"/>
  <c r="H9" i="31"/>
  <c r="W13" i="4"/>
  <c r="F16" i="31"/>
  <c r="G37" i="31"/>
  <c r="X47" i="4"/>
  <c r="X17" i="4"/>
  <c r="J6" i="31" s="1"/>
  <c r="J34" i="31" s="1"/>
  <c r="W49" i="4"/>
  <c r="U26" i="4"/>
  <c r="U38" i="4"/>
  <c r="I10" i="46"/>
  <c r="V37" i="4"/>
  <c r="W32" i="4"/>
  <c r="U9" i="4"/>
  <c r="AV14" i="2" l="1"/>
  <c r="Y47" i="4"/>
  <c r="X49" i="4"/>
  <c r="I5" i="31"/>
  <c r="X18" i="4"/>
  <c r="X53" i="4"/>
  <c r="Y51" i="4"/>
  <c r="U24" i="4"/>
  <c r="U10" i="4"/>
  <c r="W37" i="4"/>
  <c r="X32" i="4"/>
  <c r="F44" i="31"/>
  <c r="F18" i="31"/>
  <c r="F23" i="31" s="1"/>
  <c r="V9" i="4"/>
  <c r="V26" i="4"/>
  <c r="V38" i="4"/>
  <c r="J10" i="46"/>
  <c r="I7" i="46"/>
  <c r="I12" i="46"/>
  <c r="I13" i="46"/>
  <c r="G16" i="31"/>
  <c r="H37" i="31"/>
  <c r="X13" i="4"/>
  <c r="Y40" i="4"/>
  <c r="Y42" i="4" s="1"/>
  <c r="X42" i="4"/>
  <c r="Y13" i="4"/>
  <c r="Y49" i="4" l="1"/>
  <c r="Y17" i="4"/>
  <c r="K6" i="31" s="1"/>
  <c r="K34" i="31" s="1"/>
  <c r="AW14" i="2"/>
  <c r="AY15" i="2"/>
  <c r="Y53" i="4"/>
  <c r="Y18" i="4"/>
  <c r="V10" i="4"/>
  <c r="V24" i="4"/>
  <c r="F46" i="31"/>
  <c r="F51" i="31" s="1"/>
  <c r="F52" i="31" s="1"/>
  <c r="G44" i="31"/>
  <c r="G18" i="31"/>
  <c r="G23" i="31" s="1"/>
  <c r="K5" i="31"/>
  <c r="I33" i="31"/>
  <c r="I9" i="31"/>
  <c r="W9" i="4"/>
  <c r="W26" i="4"/>
  <c r="W38" i="4"/>
  <c r="K10" i="46"/>
  <c r="J5" i="31"/>
  <c r="Y32" i="4"/>
  <c r="Y37" i="4" s="1"/>
  <c r="X37" i="4"/>
  <c r="X9" i="4" s="1"/>
  <c r="J7" i="46"/>
  <c r="J13" i="46"/>
  <c r="J12" i="46"/>
  <c r="H16" i="31"/>
  <c r="AZ15" i="2" l="1"/>
  <c r="BA15" i="2"/>
  <c r="AX14" i="2"/>
  <c r="H44" i="31"/>
  <c r="H18" i="31"/>
  <c r="H23" i="31" s="1"/>
  <c r="X26" i="4"/>
  <c r="X38" i="4"/>
  <c r="L10" i="46"/>
  <c r="Y9" i="4"/>
  <c r="G46" i="31"/>
  <c r="G51" i="31" s="1"/>
  <c r="G52" i="31" s="1"/>
  <c r="Y38" i="4"/>
  <c r="Y26" i="4"/>
  <c r="M10" i="46"/>
  <c r="I37" i="31"/>
  <c r="J33" i="31"/>
  <c r="J9" i="31"/>
  <c r="K33" i="31"/>
  <c r="K9" i="31"/>
  <c r="I16" i="31"/>
  <c r="AY14" i="2"/>
  <c r="W10" i="4"/>
  <c r="W24" i="4"/>
  <c r="K7" i="46"/>
  <c r="K12" i="46"/>
  <c r="K13" i="46"/>
  <c r="X10" i="4"/>
  <c r="X24" i="4"/>
  <c r="M12" i="46" l="1"/>
  <c r="M7" i="46"/>
  <c r="M13" i="46"/>
  <c r="Y10" i="4"/>
  <c r="Y24" i="4"/>
  <c r="L12" i="46"/>
  <c r="L13" i="46"/>
  <c r="L7" i="46"/>
  <c r="J37" i="31"/>
  <c r="J16" i="31"/>
  <c r="I44" i="31"/>
  <c r="I18" i="31"/>
  <c r="I23" i="31" s="1"/>
  <c r="K16" i="31"/>
  <c r="K37" i="31"/>
  <c r="H46" i="31"/>
  <c r="H51" i="31" s="1"/>
  <c r="H52" i="31" s="1"/>
  <c r="AZ14" i="2" l="1"/>
  <c r="BA14" i="2"/>
  <c r="I46" i="31"/>
  <c r="I51" i="31" s="1"/>
  <c r="I52" i="31" s="1"/>
  <c r="K44" i="31"/>
  <c r="K18" i="31"/>
  <c r="K23" i="31" s="1"/>
  <c r="J44" i="31"/>
  <c r="J46" i="31" s="1"/>
  <c r="J18" i="31"/>
  <c r="J23" i="31" s="1"/>
  <c r="J51" i="31" l="1"/>
  <c r="J52" i="31" s="1"/>
  <c r="K46" i="31"/>
  <c r="K51" i="31" s="1"/>
  <c r="K52" i="31" s="1"/>
  <c r="Q6" i="23" l="1"/>
  <c r="P12" i="23" s="1"/>
  <c r="P6" i="23"/>
  <c r="P11" i="23" s="1"/>
  <c r="O6" i="23"/>
  <c r="N6" i="23"/>
  <c r="M6" i="23"/>
  <c r="AU24" i="2" l="1"/>
  <c r="AU18" i="2"/>
  <c r="AU13" i="2"/>
  <c r="M10" i="23"/>
  <c r="L10" i="23" s="1"/>
  <c r="K10" i="23" s="1"/>
  <c r="J10" i="23" s="1"/>
  <c r="I10" i="23" s="1"/>
  <c r="O10" i="23"/>
  <c r="P10" i="23" s="1"/>
  <c r="Q10" i="23" s="1"/>
  <c r="R10" i="23" s="1"/>
  <c r="S10" i="23" s="1"/>
  <c r="T10" i="23" s="1"/>
  <c r="U10" i="23" s="1"/>
  <c r="V10" i="23" s="1"/>
  <c r="N11" i="23"/>
  <c r="G16" i="7"/>
  <c r="AG16" i="7"/>
  <c r="Q11" i="23"/>
  <c r="H4" i="51"/>
  <c r="H11" i="51" s="1"/>
  <c r="P11" i="51" s="1"/>
  <c r="P4" i="51"/>
  <c r="H26" i="51" s="1"/>
  <c r="X7" i="2"/>
  <c r="M8" i="23"/>
  <c r="N8" i="23" s="1"/>
  <c r="O8" i="23" s="1"/>
  <c r="P8" i="23" s="1"/>
  <c r="Q8" i="23" s="1"/>
  <c r="M9" i="23"/>
  <c r="N9" i="23" s="1"/>
  <c r="O9" i="23" s="1"/>
  <c r="P9" i="23" s="1"/>
  <c r="Q9" i="23" s="1"/>
  <c r="M7" i="23"/>
  <c r="N7" i="23" s="1"/>
  <c r="O7" i="23" s="1"/>
  <c r="P7" i="23" s="1"/>
  <c r="Q7" i="23" s="1"/>
  <c r="O12" i="23"/>
  <c r="H12" i="51" l="1"/>
  <c r="P12" i="51" s="1"/>
  <c r="H14" i="51"/>
  <c r="P14" i="51" s="1"/>
  <c r="H16" i="51"/>
  <c r="H10" i="51"/>
  <c r="P10" i="51" s="1"/>
  <c r="H13" i="51"/>
  <c r="P13" i="51" s="1"/>
  <c r="H8" i="51"/>
  <c r="H15" i="51"/>
  <c r="H9" i="51"/>
  <c r="P9" i="51" s="1"/>
  <c r="Q4" i="51"/>
  <c r="H16" i="7"/>
  <c r="I4" i="51"/>
  <c r="R11" i="23"/>
  <c r="AH16" i="7"/>
  <c r="G31" i="7"/>
  <c r="N12" i="23"/>
  <c r="M11" i="23"/>
  <c r="V7" i="2"/>
  <c r="AU25" i="2"/>
  <c r="AU23" i="2"/>
  <c r="H30" i="51"/>
  <c r="H28" i="51"/>
  <c r="H25" i="51"/>
  <c r="H23" i="51"/>
  <c r="H24" i="51"/>
  <c r="H27" i="51"/>
  <c r="H31" i="51"/>
  <c r="H29" i="51"/>
  <c r="AV13" i="2" l="1"/>
  <c r="P16" i="51"/>
  <c r="AU9" i="2"/>
  <c r="P15" i="51"/>
  <c r="H33" i="51"/>
  <c r="AU92" i="2"/>
  <c r="AU10" i="2"/>
  <c r="AU52" i="2"/>
  <c r="AU112" i="2"/>
  <c r="AU72" i="2"/>
  <c r="AU59" i="2"/>
  <c r="AU119" i="2"/>
  <c r="AU99" i="2"/>
  <c r="AU79" i="2"/>
  <c r="AV112" i="2"/>
  <c r="AV72" i="2"/>
  <c r="AV52" i="2"/>
  <c r="AV92" i="2"/>
  <c r="AU113" i="2"/>
  <c r="AU73" i="2"/>
  <c r="AU93" i="2"/>
  <c r="AU53" i="2"/>
  <c r="AU50" i="2"/>
  <c r="AU110" i="2"/>
  <c r="AU90" i="2"/>
  <c r="AU70" i="2"/>
  <c r="AU65" i="2"/>
  <c r="AU125" i="2"/>
  <c r="AU85" i="2"/>
  <c r="AU105" i="2"/>
  <c r="AU56" i="2"/>
  <c r="AU76" i="2"/>
  <c r="AU96" i="2"/>
  <c r="AU116" i="2"/>
  <c r="AU122" i="2"/>
  <c r="AU102" i="2"/>
  <c r="AU62" i="2"/>
  <c r="AU82" i="2"/>
  <c r="S11" i="23"/>
  <c r="I16" i="7"/>
  <c r="AU101" i="2"/>
  <c r="AU121" i="2"/>
  <c r="AU81" i="2"/>
  <c r="AU61" i="2"/>
  <c r="AU100" i="2"/>
  <c r="AU60" i="2"/>
  <c r="AU120" i="2"/>
  <c r="AU80" i="2"/>
  <c r="AU114" i="2"/>
  <c r="AU94" i="2"/>
  <c r="AU54" i="2"/>
  <c r="AU74" i="2"/>
  <c r="AU97" i="2"/>
  <c r="AU15" i="2"/>
  <c r="AU57" i="2"/>
  <c r="AU77" i="2"/>
  <c r="AU117" i="2"/>
  <c r="H18" i="51"/>
  <c r="H19" i="51" s="1"/>
  <c r="P8" i="51"/>
  <c r="AU86" i="2"/>
  <c r="AU126" i="2"/>
  <c r="AU66" i="2"/>
  <c r="AU106" i="2"/>
  <c r="AU98" i="2"/>
  <c r="AU78" i="2"/>
  <c r="AU118" i="2"/>
  <c r="AU58" i="2"/>
  <c r="L11" i="23"/>
  <c r="U7" i="2"/>
  <c r="AU124" i="2"/>
  <c r="AU84" i="2"/>
  <c r="AU104" i="2"/>
  <c r="AU64" i="2"/>
  <c r="AU22" i="2"/>
  <c r="M12" i="23"/>
  <c r="P61" i="19"/>
  <c r="P63" i="19"/>
  <c r="P27" i="19" s="1"/>
  <c r="AU83" i="2"/>
  <c r="AU63" i="2"/>
  <c r="AU103" i="2"/>
  <c r="AU123" i="2"/>
  <c r="AU51" i="2"/>
  <c r="AU91" i="2"/>
  <c r="AU71" i="2"/>
  <c r="AU111" i="2"/>
  <c r="AU67" i="2"/>
  <c r="AU87" i="2"/>
  <c r="AU107" i="2"/>
  <c r="AU127" i="2"/>
  <c r="AV75" i="2" l="1"/>
  <c r="AV115" i="2"/>
  <c r="AV95" i="2"/>
  <c r="AW13" i="2"/>
  <c r="H34" i="51"/>
  <c r="P18" i="51"/>
  <c r="P19" i="51" s="1"/>
  <c r="AV126" i="2"/>
  <c r="AV86" i="2"/>
  <c r="AV106" i="2"/>
  <c r="AV66" i="2"/>
  <c r="AU42" i="2"/>
  <c r="AX110" i="2"/>
  <c r="AX50" i="2"/>
  <c r="AX90" i="2"/>
  <c r="AX70" i="2"/>
  <c r="AW51" i="2"/>
  <c r="AW111" i="2"/>
  <c r="AW91" i="2"/>
  <c r="AW71" i="2"/>
  <c r="AU30" i="2"/>
  <c r="AZ71" i="2"/>
  <c r="AZ51" i="2"/>
  <c r="AZ111" i="2"/>
  <c r="AZ91" i="2"/>
  <c r="AZ70" i="2"/>
  <c r="AZ50" i="2"/>
  <c r="AZ110" i="2"/>
  <c r="AZ90" i="2"/>
  <c r="AU47" i="2"/>
  <c r="AV60" i="2"/>
  <c r="AV120" i="2"/>
  <c r="AV80" i="2"/>
  <c r="AV100" i="2"/>
  <c r="AU33" i="2"/>
  <c r="AU43" i="2"/>
  <c r="K11" i="23"/>
  <c r="T7" i="2"/>
  <c r="AU37" i="2"/>
  <c r="AV51" i="2"/>
  <c r="AV111" i="2"/>
  <c r="AV71" i="2"/>
  <c r="AV91" i="2"/>
  <c r="AU38" i="2"/>
  <c r="AU46" i="2"/>
  <c r="AU11" i="2"/>
  <c r="AU39" i="2"/>
  <c r="AY71" i="2"/>
  <c r="AY51" i="2"/>
  <c r="AY91" i="2"/>
  <c r="AY111" i="2"/>
  <c r="L12" i="23"/>
  <c r="K12" i="23" s="1"/>
  <c r="J12" i="23" s="1"/>
  <c r="I12" i="23" s="1"/>
  <c r="T11" i="23"/>
  <c r="J16" i="7"/>
  <c r="AU36" i="2"/>
  <c r="AW50" i="2"/>
  <c r="AW110" i="2"/>
  <c r="AW90" i="2"/>
  <c r="AW70" i="2"/>
  <c r="AX71" i="2"/>
  <c r="AX51" i="2"/>
  <c r="AX111" i="2"/>
  <c r="AX91" i="2"/>
  <c r="AU44" i="2"/>
  <c r="AU40" i="2"/>
  <c r="AY50" i="2"/>
  <c r="AY90" i="2"/>
  <c r="AY110" i="2"/>
  <c r="AY70" i="2"/>
  <c r="AU31" i="2"/>
  <c r="AV50" i="2"/>
  <c r="AV70" i="2"/>
  <c r="AV90" i="2"/>
  <c r="AV110" i="2"/>
  <c r="AT33" i="2"/>
  <c r="AU41" i="2"/>
  <c r="AU32" i="2"/>
  <c r="AT34" i="2"/>
  <c r="AU45" i="2"/>
  <c r="BA90" i="2"/>
  <c r="BA70" i="2"/>
  <c r="BA110" i="2"/>
  <c r="BA50" i="2"/>
  <c r="AV32" i="2"/>
  <c r="BA91" i="2"/>
  <c r="BA71" i="2"/>
  <c r="BA51" i="2"/>
  <c r="BA111" i="2"/>
  <c r="AU34" i="2"/>
  <c r="AW52" i="2"/>
  <c r="AW72" i="2"/>
  <c r="AW112" i="2"/>
  <c r="AW92" i="2"/>
  <c r="AX13" i="2" l="1"/>
  <c r="AV35" i="2"/>
  <c r="AV55" i="2"/>
  <c r="AW75" i="2"/>
  <c r="AW115" i="2"/>
  <c r="AW95" i="2"/>
  <c r="AT11" i="2"/>
  <c r="AV40" i="2"/>
  <c r="AX30" i="2"/>
  <c r="AY31" i="2"/>
  <c r="AU21" i="2"/>
  <c r="AY30" i="2"/>
  <c r="J11" i="23"/>
  <c r="I11" i="23" s="1"/>
  <c r="S7" i="2"/>
  <c r="AU17" i="2"/>
  <c r="AX112" i="2"/>
  <c r="AX72" i="2"/>
  <c r="AX52" i="2"/>
  <c r="AX92" i="2"/>
  <c r="AW66" i="2"/>
  <c r="AW106" i="2"/>
  <c r="AW86" i="2"/>
  <c r="AW126" i="2"/>
  <c r="AX31" i="2"/>
  <c r="BA31" i="2"/>
  <c r="AV30" i="2"/>
  <c r="AV53" i="2"/>
  <c r="AV113" i="2"/>
  <c r="AV73" i="2"/>
  <c r="AU8" i="2"/>
  <c r="AZ30" i="2"/>
  <c r="U11" i="23"/>
  <c r="K16" i="7"/>
  <c r="J23" i="51"/>
  <c r="AV46" i="2"/>
  <c r="AW32" i="2"/>
  <c r="AW100" i="2"/>
  <c r="AW80" i="2"/>
  <c r="AW120" i="2"/>
  <c r="AW60" i="2"/>
  <c r="AZ53" i="2"/>
  <c r="AZ73" i="2"/>
  <c r="AZ113" i="2"/>
  <c r="I23" i="51"/>
  <c r="N23" i="51"/>
  <c r="AX113" i="2"/>
  <c r="AX73" i="2"/>
  <c r="AX53" i="2"/>
  <c r="M23" i="51"/>
  <c r="AY113" i="2"/>
  <c r="AY73" i="2"/>
  <c r="AY53" i="2"/>
  <c r="AW31" i="2"/>
  <c r="AV10" i="2"/>
  <c r="AW30" i="2"/>
  <c r="BA73" i="2"/>
  <c r="BA53" i="2"/>
  <c r="BA113" i="2"/>
  <c r="AV31" i="2"/>
  <c r="BA30" i="2"/>
  <c r="L23" i="51"/>
  <c r="AW73" i="2"/>
  <c r="AW53" i="2"/>
  <c r="AW113" i="2"/>
  <c r="AZ31" i="2"/>
  <c r="AX95" i="2" l="1"/>
  <c r="AX115" i="2"/>
  <c r="AX75" i="2"/>
  <c r="AY13" i="2"/>
  <c r="AW35" i="2"/>
  <c r="AW55" i="2"/>
  <c r="AV93" i="2"/>
  <c r="AZ93" i="2"/>
  <c r="AW93" i="2"/>
  <c r="BA93" i="2"/>
  <c r="AY93" i="2"/>
  <c r="AW40" i="2"/>
  <c r="AZ123" i="2"/>
  <c r="AZ103" i="2"/>
  <c r="AZ83" i="2"/>
  <c r="AZ63" i="2"/>
  <c r="AT19" i="2"/>
  <c r="V11" i="23"/>
  <c r="L16" i="7"/>
  <c r="AU19" i="2"/>
  <c r="AX80" i="2"/>
  <c r="AX60" i="2"/>
  <c r="AX120" i="2"/>
  <c r="AX100" i="2"/>
  <c r="AV103" i="2"/>
  <c r="AV83" i="2"/>
  <c r="AV123" i="2"/>
  <c r="AV63" i="2"/>
  <c r="AZ9" i="2"/>
  <c r="AY103" i="2"/>
  <c r="AY83" i="2"/>
  <c r="AY123" i="2"/>
  <c r="AY63" i="2"/>
  <c r="AX83" i="2"/>
  <c r="AX123" i="2"/>
  <c r="AX63" i="2"/>
  <c r="AX103" i="2"/>
  <c r="BA99" i="2"/>
  <c r="BA79" i="2"/>
  <c r="BA59" i="2"/>
  <c r="BA119" i="2"/>
  <c r="K23" i="51"/>
  <c r="AY9" i="2"/>
  <c r="AX66" i="2"/>
  <c r="AX106" i="2"/>
  <c r="AX86" i="2"/>
  <c r="AX126" i="2"/>
  <c r="AX9" i="2"/>
  <c r="AX119" i="2"/>
  <c r="AX59" i="2"/>
  <c r="AX79" i="2"/>
  <c r="AX99" i="2"/>
  <c r="AV77" i="2"/>
  <c r="AV117" i="2"/>
  <c r="AV57" i="2"/>
  <c r="AV9" i="2"/>
  <c r="AW9" i="2"/>
  <c r="AW10" i="2"/>
  <c r="AY79" i="2"/>
  <c r="AY99" i="2"/>
  <c r="AY59" i="2"/>
  <c r="AY119" i="2"/>
  <c r="AY72" i="2"/>
  <c r="AY112" i="2"/>
  <c r="AY52" i="2"/>
  <c r="AY92" i="2"/>
  <c r="AV24" i="2"/>
  <c r="AV99" i="2"/>
  <c r="AV119" i="2"/>
  <c r="AV59" i="2"/>
  <c r="AV79" i="2"/>
  <c r="AT16" i="2"/>
  <c r="AV18" i="2"/>
  <c r="AX32" i="2"/>
  <c r="AU16" i="2"/>
  <c r="AU20" i="2"/>
  <c r="BA9" i="2"/>
  <c r="AZ59" i="2"/>
  <c r="AZ79" i="2"/>
  <c r="AZ99" i="2"/>
  <c r="AZ119" i="2"/>
  <c r="AT21" i="2"/>
  <c r="AW99" i="2"/>
  <c r="AW79" i="2"/>
  <c r="AW59" i="2"/>
  <c r="AW119" i="2"/>
  <c r="AT20" i="2"/>
  <c r="AW46" i="2"/>
  <c r="BA63" i="2"/>
  <c r="BA123" i="2"/>
  <c r="BA83" i="2"/>
  <c r="BA103" i="2"/>
  <c r="AT17" i="2"/>
  <c r="AT8" i="2"/>
  <c r="AW103" i="2"/>
  <c r="AW123" i="2"/>
  <c r="AW63" i="2"/>
  <c r="AW83" i="2"/>
  <c r="AX35" i="2" l="1"/>
  <c r="AX55" i="2"/>
  <c r="AY75" i="2"/>
  <c r="AY115" i="2"/>
  <c r="AY95" i="2"/>
  <c r="AZ13" i="2"/>
  <c r="AX93" i="2"/>
  <c r="AW33" i="2"/>
  <c r="W14" i="7"/>
  <c r="AV39" i="2"/>
  <c r="AX121" i="2"/>
  <c r="AX101" i="2"/>
  <c r="AX61" i="2"/>
  <c r="AX81" i="2"/>
  <c r="AZ102" i="2"/>
  <c r="AZ82" i="2"/>
  <c r="AZ122" i="2"/>
  <c r="AZ62" i="2"/>
  <c r="AZ92" i="2"/>
  <c r="AZ52" i="2"/>
  <c r="AZ112" i="2"/>
  <c r="AZ72" i="2"/>
  <c r="AV118" i="2"/>
  <c r="AV98" i="2"/>
  <c r="AV58" i="2"/>
  <c r="AV78" i="2"/>
  <c r="M28" i="51"/>
  <c r="AX39" i="2"/>
  <c r="AX43" i="2"/>
  <c r="BA72" i="2"/>
  <c r="BA112" i="2"/>
  <c r="BA92" i="2"/>
  <c r="BA52" i="2"/>
  <c r="AW82" i="2"/>
  <c r="AW62" i="2"/>
  <c r="AW102" i="2"/>
  <c r="AW122" i="2"/>
  <c r="M25" i="51"/>
  <c r="Y14" i="7"/>
  <c r="BA122" i="2"/>
  <c r="BA102" i="2"/>
  <c r="BA62" i="2"/>
  <c r="BA82" i="2"/>
  <c r="AX10" i="2"/>
  <c r="L25" i="51"/>
  <c r="X14" i="7"/>
  <c r="K28" i="51"/>
  <c r="AX40" i="2"/>
  <c r="L28" i="51"/>
  <c r="AY82" i="2"/>
  <c r="AY122" i="2"/>
  <c r="AY102" i="2"/>
  <c r="AY62" i="2"/>
  <c r="BA118" i="2"/>
  <c r="BA58" i="2"/>
  <c r="BA98" i="2"/>
  <c r="BA78" i="2"/>
  <c r="K25" i="51"/>
  <c r="M16" i="7"/>
  <c r="AY39" i="2"/>
  <c r="AW39" i="2"/>
  <c r="AY58" i="2"/>
  <c r="AY118" i="2"/>
  <c r="AY78" i="2"/>
  <c r="AY98" i="2"/>
  <c r="BA39" i="2"/>
  <c r="AY81" i="2"/>
  <c r="AY61" i="2"/>
  <c r="AY121" i="2"/>
  <c r="AY101" i="2"/>
  <c r="AW18" i="2"/>
  <c r="AX46" i="2"/>
  <c r="J28" i="51"/>
  <c r="N28" i="51"/>
  <c r="AZ39" i="2"/>
  <c r="AW78" i="2"/>
  <c r="AW118" i="2"/>
  <c r="AW98" i="2"/>
  <c r="AW58" i="2"/>
  <c r="AY43" i="2"/>
  <c r="AV121" i="2"/>
  <c r="AV101" i="2"/>
  <c r="AV81" i="2"/>
  <c r="AV61" i="2"/>
  <c r="AW24" i="2"/>
  <c r="J25" i="51"/>
  <c r="V14" i="7"/>
  <c r="AZ58" i="2"/>
  <c r="AZ78" i="2"/>
  <c r="AZ98" i="2"/>
  <c r="AZ118" i="2"/>
  <c r="N25" i="51"/>
  <c r="Z14" i="7"/>
  <c r="BA43" i="2"/>
  <c r="AX98" i="2"/>
  <c r="AX58" i="2"/>
  <c r="AX78" i="2"/>
  <c r="AX118" i="2"/>
  <c r="AV43" i="2"/>
  <c r="AZ61" i="2"/>
  <c r="AZ81" i="2"/>
  <c r="AZ121" i="2"/>
  <c r="AZ101" i="2"/>
  <c r="AZ43" i="2"/>
  <c r="AX82" i="2"/>
  <c r="AX122" i="2"/>
  <c r="AX102" i="2"/>
  <c r="AX62" i="2"/>
  <c r="BA81" i="2"/>
  <c r="BA61" i="2"/>
  <c r="BA121" i="2"/>
  <c r="BA101" i="2"/>
  <c r="AW43" i="2"/>
  <c r="AY80" i="2"/>
  <c r="AY60" i="2"/>
  <c r="AY120" i="2"/>
  <c r="AY100" i="2"/>
  <c r="AV102" i="2"/>
  <c r="AV82" i="2"/>
  <c r="AV122" i="2"/>
  <c r="AV62" i="2"/>
  <c r="I25" i="51"/>
  <c r="U14" i="7"/>
  <c r="AY32" i="2"/>
  <c r="AY106" i="2"/>
  <c r="AY126" i="2"/>
  <c r="AY86" i="2"/>
  <c r="AY66" i="2"/>
  <c r="I28" i="51"/>
  <c r="AW101" i="2"/>
  <c r="AW121" i="2"/>
  <c r="AW61" i="2"/>
  <c r="AW81" i="2"/>
  <c r="AY35" i="2" l="1"/>
  <c r="AY55" i="2"/>
  <c r="AZ115" i="2"/>
  <c r="AZ95" i="2"/>
  <c r="AZ75" i="2"/>
  <c r="BA13" i="2"/>
  <c r="AZ33" i="2"/>
  <c r="AZ11" i="2"/>
  <c r="BA33" i="2"/>
  <c r="BA11" i="2"/>
  <c r="AX33" i="2"/>
  <c r="AV97" i="2"/>
  <c r="K33" i="51"/>
  <c r="AV33" i="2"/>
  <c r="AY33" i="2"/>
  <c r="AY11" i="2"/>
  <c r="AW11" i="2"/>
  <c r="M33" i="51"/>
  <c r="N33" i="51"/>
  <c r="AV42" i="2"/>
  <c r="BA42" i="2"/>
  <c r="AW41" i="2"/>
  <c r="J33" i="51"/>
  <c r="AX21" i="2"/>
  <c r="I33" i="51"/>
  <c r="AY38" i="2"/>
  <c r="AZ21" i="2"/>
  <c r="AW21" i="2"/>
  <c r="AY21" i="2"/>
  <c r="AX17" i="2"/>
  <c r="BA32" i="2"/>
  <c r="AY17" i="2"/>
  <c r="BA38" i="2"/>
  <c r="P55" i="19"/>
  <c r="AZ32" i="2"/>
  <c r="BA41" i="2"/>
  <c r="BA17" i="2"/>
  <c r="L33" i="51"/>
  <c r="AY10" i="2"/>
  <c r="AY40" i="2"/>
  <c r="AZ41" i="2"/>
  <c r="AW38" i="2"/>
  <c r="AX24" i="2"/>
  <c r="AY46" i="2"/>
  <c r="AV21" i="2"/>
  <c r="BA21" i="2"/>
  <c r="AW42" i="2"/>
  <c r="AZ106" i="2"/>
  <c r="AZ126" i="2"/>
  <c r="AZ66" i="2"/>
  <c r="AZ86" i="2"/>
  <c r="AZ80" i="2"/>
  <c r="AZ120" i="2"/>
  <c r="AZ60" i="2"/>
  <c r="AZ100" i="2"/>
  <c r="AV17" i="2"/>
  <c r="AX18" i="2"/>
  <c r="AZ42" i="2"/>
  <c r="AZ35" i="2" l="1"/>
  <c r="AZ55" i="2"/>
  <c r="BA115" i="2"/>
  <c r="BA75" i="2"/>
  <c r="BA95" i="2"/>
  <c r="K34" i="51"/>
  <c r="M34" i="51"/>
  <c r="N34" i="51"/>
  <c r="J34" i="51"/>
  <c r="I34" i="51"/>
  <c r="L34" i="51"/>
  <c r="AV11" i="2"/>
  <c r="AX11" i="2"/>
  <c r="AV37" i="2"/>
  <c r="K15" i="7"/>
  <c r="V15" i="7"/>
  <c r="AW17" i="2"/>
  <c r="Y15" i="7"/>
  <c r="AZ17" i="2"/>
  <c r="X15" i="7"/>
  <c r="AV38" i="2"/>
  <c r="AV41" i="2"/>
  <c r="AX41" i="2"/>
  <c r="AZ38" i="2"/>
  <c r="AZ46" i="2"/>
  <c r="AW20" i="2"/>
  <c r="AZ19" i="2"/>
  <c r="P60" i="19"/>
  <c r="H74" i="7"/>
  <c r="AH74" i="7" s="1"/>
  <c r="AH87" i="7" s="1"/>
  <c r="P15" i="19"/>
  <c r="I16" i="51"/>
  <c r="H15" i="7"/>
  <c r="BA16" i="2"/>
  <c r="AY24" i="2"/>
  <c r="AY18" i="2"/>
  <c r="AZ40" i="2"/>
  <c r="BA126" i="2"/>
  <c r="BA86" i="2"/>
  <c r="BA106" i="2"/>
  <c r="BA66" i="2"/>
  <c r="W15" i="7"/>
  <c r="BA19" i="2"/>
  <c r="L15" i="7"/>
  <c r="J15" i="7"/>
  <c r="AV20" i="2"/>
  <c r="AY16" i="2"/>
  <c r="AW19" i="2"/>
  <c r="AY8" i="2"/>
  <c r="Z15" i="7"/>
  <c r="BA10" i="2"/>
  <c r="BA20" i="2"/>
  <c r="AZ20" i="2"/>
  <c r="AW16" i="2"/>
  <c r="BA100" i="2"/>
  <c r="BA60" i="2"/>
  <c r="BA80" i="2"/>
  <c r="BA120" i="2"/>
  <c r="AZ10" i="2"/>
  <c r="I15" i="7"/>
  <c r="M15" i="7" l="1"/>
  <c r="BA35" i="2"/>
  <c r="BA55" i="2"/>
  <c r="AV8" i="2"/>
  <c r="AX8" i="2"/>
  <c r="AV15" i="2"/>
  <c r="AW8" i="2"/>
  <c r="AX42" i="2"/>
  <c r="Q16" i="51"/>
  <c r="AY42" i="2"/>
  <c r="AX38" i="2"/>
  <c r="AY19" i="2"/>
  <c r="AY41" i="2"/>
  <c r="H87" i="7"/>
  <c r="I31" i="7"/>
  <c r="X29" i="7"/>
  <c r="X30" i="7" s="1"/>
  <c r="BA46" i="2"/>
  <c r="P51" i="19"/>
  <c r="P87" i="19" s="1"/>
  <c r="P39" i="19"/>
  <c r="P57" i="19"/>
  <c r="U29" i="7"/>
  <c r="U30" i="7" s="1"/>
  <c r="AZ8" i="2"/>
  <c r="AZ18" i="2"/>
  <c r="Y29" i="7"/>
  <c r="Y30" i="7" s="1"/>
  <c r="BA40" i="2"/>
  <c r="V29" i="7"/>
  <c r="V30" i="7" s="1"/>
  <c r="AZ24" i="2"/>
  <c r="BA8" i="2"/>
  <c r="Z29" i="7"/>
  <c r="Z30" i="7" s="1"/>
  <c r="W29" i="7"/>
  <c r="W30" i="7" s="1"/>
  <c r="K16" i="51" l="1"/>
  <c r="AX20" i="2"/>
  <c r="AY20" i="2"/>
  <c r="AX19" i="2"/>
  <c r="AV16" i="2"/>
  <c r="AX16" i="2"/>
  <c r="J31" i="7"/>
  <c r="K31" i="7"/>
  <c r="AZ16" i="2"/>
  <c r="AV19" i="2"/>
  <c r="H31" i="7"/>
  <c r="P64" i="19"/>
  <c r="L31" i="7"/>
  <c r="BA24" i="2"/>
  <c r="BA18" i="2"/>
  <c r="J16" i="51"/>
  <c r="AI30" i="7"/>
  <c r="S16" i="51" l="1"/>
  <c r="AK30" i="7"/>
  <c r="R16" i="51"/>
  <c r="AJ30" i="7"/>
  <c r="AH30" i="7"/>
  <c r="H71" i="7"/>
  <c r="AH71" i="7" s="1"/>
  <c r="M31" i="7"/>
  <c r="P65" i="19"/>
  <c r="U15" i="7"/>
  <c r="AL30" i="7"/>
  <c r="I30" i="7"/>
  <c r="K30" i="7" l="1"/>
  <c r="M16" i="51"/>
  <c r="H30" i="7"/>
  <c r="J30" i="7"/>
  <c r="P9" i="19"/>
  <c r="P45" i="19" s="1"/>
  <c r="P69" i="19" s="1"/>
  <c r="N12" i="8" s="1"/>
  <c r="I10" i="51"/>
  <c r="H68" i="7"/>
  <c r="AH68" i="7" s="1"/>
  <c r="P8" i="19"/>
  <c r="P44" i="19" s="1"/>
  <c r="P68" i="19" s="1"/>
  <c r="P20" i="19" s="1"/>
  <c r="P32" i="19" s="1"/>
  <c r="H67" i="7"/>
  <c r="AH67" i="7" s="1"/>
  <c r="AH80" i="7" s="1"/>
  <c r="P12" i="19"/>
  <c r="P48" i="19" s="1"/>
  <c r="P72" i="19" s="1"/>
  <c r="P84" i="19" s="1"/>
  <c r="N29" i="8" s="1"/>
  <c r="I13" i="51"/>
  <c r="AH84" i="7"/>
  <c r="I9" i="51"/>
  <c r="H84" i="7"/>
  <c r="AM30" i="7"/>
  <c r="L30" i="7"/>
  <c r="L16" i="51"/>
  <c r="AN60" i="7"/>
  <c r="H72" i="7"/>
  <c r="AH72" i="7" s="1"/>
  <c r="P13" i="19"/>
  <c r="P49" i="19" s="1"/>
  <c r="P73" i="19" s="1"/>
  <c r="I14" i="51"/>
  <c r="U16" i="51" l="1"/>
  <c r="AH61" i="7"/>
  <c r="H47" i="7"/>
  <c r="H73" i="7"/>
  <c r="P14" i="19"/>
  <c r="P50" i="19" s="1"/>
  <c r="I15" i="51"/>
  <c r="Q15" i="51" s="1"/>
  <c r="P7" i="19"/>
  <c r="P43" i="19" s="1"/>
  <c r="H66" i="7"/>
  <c r="I8" i="51"/>
  <c r="T16" i="51"/>
  <c r="I11" i="51"/>
  <c r="H69" i="7"/>
  <c r="N15" i="8"/>
  <c r="P81" i="19"/>
  <c r="N26" i="8" s="1"/>
  <c r="P21" i="19"/>
  <c r="P33" i="19" s="1"/>
  <c r="AH81" i="7"/>
  <c r="H81" i="7"/>
  <c r="AH85" i="7"/>
  <c r="H80" i="7"/>
  <c r="N11" i="8"/>
  <c r="P24" i="19"/>
  <c r="P36" i="19" s="1"/>
  <c r="P80" i="19"/>
  <c r="N25" i="8" s="1"/>
  <c r="AN30" i="7"/>
  <c r="Q13" i="51"/>
  <c r="M30" i="7"/>
  <c r="H85" i="7"/>
  <c r="N16" i="8"/>
  <c r="P85" i="19"/>
  <c r="N30" i="8" s="1"/>
  <c r="P25" i="19"/>
  <c r="P37" i="19" s="1"/>
  <c r="Q10" i="51" l="1"/>
  <c r="H61" i="7"/>
  <c r="P11" i="19"/>
  <c r="AH73" i="7"/>
  <c r="AH86" i="7" s="1"/>
  <c r="H86" i="7"/>
  <c r="I12" i="51"/>
  <c r="I18" i="51" s="1"/>
  <c r="H70" i="7"/>
  <c r="H83" i="7" s="1"/>
  <c r="AH47" i="7"/>
  <c r="H79" i="7"/>
  <c r="AH66" i="7"/>
  <c r="AH79" i="7" s="1"/>
  <c r="P46" i="19"/>
  <c r="Q11" i="51"/>
  <c r="AH69" i="7"/>
  <c r="H82" i="7"/>
  <c r="Q9" i="51"/>
  <c r="Q14" i="51"/>
  <c r="P67" i="19"/>
  <c r="N16" i="51"/>
  <c r="N60" i="7"/>
  <c r="I19" i="51" l="1"/>
  <c r="H62" i="7"/>
  <c r="P47" i="19"/>
  <c r="P16" i="19"/>
  <c r="P17" i="19" s="1"/>
  <c r="H88" i="7"/>
  <c r="AH70" i="7"/>
  <c r="H75" i="7"/>
  <c r="H76" i="7" s="1"/>
  <c r="AH82" i="7"/>
  <c r="V16" i="51"/>
  <c r="N10" i="8"/>
  <c r="P79" i="19"/>
  <c r="N24" i="8" s="1"/>
  <c r="P19" i="19"/>
  <c r="P71" i="19" l="1"/>
  <c r="P52" i="19"/>
  <c r="AH83" i="7"/>
  <c r="AH88" i="7" s="1"/>
  <c r="AH75" i="7"/>
  <c r="AH76" i="7" s="1"/>
  <c r="H89" i="7"/>
  <c r="Q8" i="51"/>
  <c r="P31" i="19"/>
  <c r="P23" i="19" l="1"/>
  <c r="P76" i="19"/>
  <c r="P88" i="19" s="1"/>
  <c r="P83" i="19"/>
  <c r="N28" i="8" s="1"/>
  <c r="N14" i="8"/>
  <c r="P35" i="19" l="1"/>
  <c r="P28" i="19"/>
  <c r="N19" i="8"/>
  <c r="Q12" i="51"/>
  <c r="Q18" i="51" s="1"/>
  <c r="Q19" i="51" s="1"/>
  <c r="P40" i="19" l="1"/>
  <c r="P29" i="19"/>
  <c r="N20" i="8"/>
  <c r="P77" i="19"/>
  <c r="N34" i="8"/>
  <c r="K22" i="56" l="1"/>
  <c r="N22" i="56"/>
  <c r="M22" i="56"/>
  <c r="L22" i="56"/>
  <c r="J22" i="56" l="1"/>
  <c r="J9" i="51" l="1"/>
  <c r="R9" i="51" s="1"/>
  <c r="J8" i="51"/>
  <c r="I61" i="7"/>
  <c r="I62" i="7" s="1"/>
  <c r="AI61" i="7"/>
  <c r="AI47" i="7"/>
  <c r="J15" i="51"/>
  <c r="R15" i="51" s="1"/>
  <c r="J10" i="51"/>
  <c r="R10" i="51" s="1"/>
  <c r="J14" i="51"/>
  <c r="R14" i="51" s="1"/>
  <c r="J13" i="51"/>
  <c r="R13" i="51" s="1"/>
  <c r="J11" i="51"/>
  <c r="R11" i="51" s="1"/>
  <c r="J12" i="51"/>
  <c r="R12" i="51" s="1"/>
  <c r="K13" i="51"/>
  <c r="S13" i="51" s="1"/>
  <c r="K10" i="51"/>
  <c r="S10" i="51" s="1"/>
  <c r="K15" i="51"/>
  <c r="S15" i="51" s="1"/>
  <c r="K11" i="51"/>
  <c r="S11" i="51" s="1"/>
  <c r="K14" i="51"/>
  <c r="S14" i="51" s="1"/>
  <c r="AJ61" i="7"/>
  <c r="J61" i="7"/>
  <c r="J62" i="7" s="1"/>
  <c r="K8" i="51"/>
  <c r="K9" i="51"/>
  <c r="S9" i="51" s="1"/>
  <c r="K12" i="51"/>
  <c r="S12" i="51" s="1"/>
  <c r="AJ47" i="7"/>
  <c r="J18" i="51" l="1"/>
  <c r="J19" i="51" s="1"/>
  <c r="R8" i="51"/>
  <c r="R18" i="51" s="1"/>
  <c r="R19" i="51" s="1"/>
  <c r="S8" i="51"/>
  <c r="S18" i="51" s="1"/>
  <c r="S19" i="51" s="1"/>
  <c r="K18" i="51"/>
  <c r="K19" i="51" s="1"/>
  <c r="AK61" i="7" l="1"/>
  <c r="AK47" i="7"/>
  <c r="L8" i="51"/>
  <c r="K61" i="7"/>
  <c r="K62" i="7" s="1"/>
  <c r="L13" i="51"/>
  <c r="T13" i="51" s="1"/>
  <c r="L11" i="51"/>
  <c r="T11" i="51" s="1"/>
  <c r="L10" i="51"/>
  <c r="T10" i="51" s="1"/>
  <c r="L12" i="51"/>
  <c r="T12" i="51" s="1"/>
  <c r="L15" i="51"/>
  <c r="T15" i="51" s="1"/>
  <c r="L9" i="51"/>
  <c r="T9" i="51" s="1"/>
  <c r="L14" i="51"/>
  <c r="T14" i="51" s="1"/>
  <c r="N56" i="7"/>
  <c r="AN56" i="7"/>
  <c r="N53" i="7"/>
  <c r="AN53" i="7"/>
  <c r="AN57" i="7"/>
  <c r="N57" i="7"/>
  <c r="N59" i="7"/>
  <c r="AN59" i="7"/>
  <c r="N52" i="7"/>
  <c r="AN52" i="7"/>
  <c r="N58" i="7"/>
  <c r="AN58" i="7"/>
  <c r="N54" i="7"/>
  <c r="AN54" i="7"/>
  <c r="N55" i="7"/>
  <c r="AN55" i="7"/>
  <c r="T8" i="51" l="1"/>
  <c r="T18" i="51" s="1"/>
  <c r="T19" i="51" s="1"/>
  <c r="L18" i="51"/>
  <c r="L19" i="51" s="1"/>
  <c r="M12" i="51"/>
  <c r="U12" i="51" s="1"/>
  <c r="M9" i="51"/>
  <c r="U9" i="51" s="1"/>
  <c r="M13" i="51"/>
  <c r="U13" i="51" s="1"/>
  <c r="M15" i="51"/>
  <c r="U15" i="51" s="1"/>
  <c r="M8" i="51"/>
  <c r="L61" i="7"/>
  <c r="L62" i="7" s="1"/>
  <c r="AL61" i="7"/>
  <c r="M14" i="51"/>
  <c r="U14" i="51" s="1"/>
  <c r="M10" i="51"/>
  <c r="U10" i="51" s="1"/>
  <c r="M11" i="51"/>
  <c r="U11" i="51" s="1"/>
  <c r="AM61" i="7"/>
  <c r="M61" i="7"/>
  <c r="M62" i="7" s="1"/>
  <c r="N8" i="51"/>
  <c r="N13" i="51"/>
  <c r="V13" i="51" s="1"/>
  <c r="N15" i="51"/>
  <c r="V15" i="51" s="1"/>
  <c r="N9" i="51"/>
  <c r="V9" i="51" s="1"/>
  <c r="N11" i="51"/>
  <c r="V11" i="51" s="1"/>
  <c r="N12" i="51"/>
  <c r="V12" i="51" s="1"/>
  <c r="N10" i="51"/>
  <c r="V10" i="51" s="1"/>
  <c r="N14" i="51"/>
  <c r="V14" i="51" s="1"/>
  <c r="AL47" i="7"/>
  <c r="AM47" i="7"/>
  <c r="N61" i="7"/>
  <c r="AN61" i="7"/>
  <c r="K21" i="56" l="1"/>
  <c r="K49" i="1" s="1"/>
  <c r="J63" i="7" s="1"/>
  <c r="U8" i="51"/>
  <c r="U18" i="51" s="1"/>
  <c r="U19" i="51" s="1"/>
  <c r="M18" i="51"/>
  <c r="M19" i="51" s="1"/>
  <c r="N18" i="51"/>
  <c r="N19" i="51" s="1"/>
  <c r="V8" i="51"/>
  <c r="V18" i="51" s="1"/>
  <c r="V19" i="51" s="1"/>
  <c r="AN47" i="7"/>
  <c r="P21" i="8"/>
  <c r="J21" i="56" l="1"/>
  <c r="J49" i="1" s="1"/>
  <c r="J66" i="7"/>
  <c r="J71" i="7"/>
  <c r="J68" i="7"/>
  <c r="J67" i="7"/>
  <c r="J74" i="7"/>
  <c r="J70" i="7"/>
  <c r="J72" i="7"/>
  <c r="J69" i="7"/>
  <c r="J73" i="7"/>
  <c r="I63" i="7"/>
  <c r="O21" i="8"/>
  <c r="J79" i="7" l="1"/>
  <c r="J75" i="7"/>
  <c r="J76" i="7" s="1"/>
  <c r="AJ66" i="7"/>
  <c r="J84" i="7"/>
  <c r="P15" i="8" s="1"/>
  <c r="AJ71" i="7"/>
  <c r="AJ84" i="7" s="1"/>
  <c r="J81" i="7"/>
  <c r="P12" i="8" s="1"/>
  <c r="AJ68" i="7"/>
  <c r="AJ81" i="7" s="1"/>
  <c r="J80" i="7"/>
  <c r="P11" i="8" s="1"/>
  <c r="AJ67" i="7"/>
  <c r="AJ80" i="7" s="1"/>
  <c r="J87" i="7"/>
  <c r="P18" i="8" s="1"/>
  <c r="AJ74" i="7"/>
  <c r="AJ87" i="7" s="1"/>
  <c r="J83" i="7"/>
  <c r="P14" i="8" s="1"/>
  <c r="AJ70" i="7"/>
  <c r="AJ83" i="7" s="1"/>
  <c r="J85" i="7"/>
  <c r="P16" i="8" s="1"/>
  <c r="AJ72" i="7"/>
  <c r="AJ85" i="7" s="1"/>
  <c r="J82" i="7"/>
  <c r="P13" i="8" s="1"/>
  <c r="AJ69" i="7"/>
  <c r="AJ82" i="7" s="1"/>
  <c r="J86" i="7"/>
  <c r="P17" i="8" s="1"/>
  <c r="AJ73" i="7"/>
  <c r="AJ86" i="7" s="1"/>
  <c r="I71" i="7"/>
  <c r="I74" i="7"/>
  <c r="I67" i="7"/>
  <c r="I66" i="7"/>
  <c r="I69" i="7"/>
  <c r="I72" i="7"/>
  <c r="I73" i="7"/>
  <c r="I70" i="7"/>
  <c r="I68" i="7"/>
  <c r="L21" i="56" l="1"/>
  <c r="L49" i="1" s="1"/>
  <c r="N21" i="56"/>
  <c r="N49" i="1" s="1"/>
  <c r="J88" i="7"/>
  <c r="J89" i="7" s="1"/>
  <c r="P10" i="8"/>
  <c r="P19" i="8" s="1"/>
  <c r="AJ79" i="7"/>
  <c r="AJ88" i="7" s="1"/>
  <c r="AJ75" i="7"/>
  <c r="AJ76" i="7" s="1"/>
  <c r="I84" i="7"/>
  <c r="AI71" i="7"/>
  <c r="I87" i="7"/>
  <c r="AI74" i="7"/>
  <c r="I80" i="7"/>
  <c r="AI67" i="7"/>
  <c r="I79" i="7"/>
  <c r="I75" i="7"/>
  <c r="I76" i="7" s="1"/>
  <c r="AI66" i="7"/>
  <c r="I82" i="7"/>
  <c r="AI69" i="7"/>
  <c r="I85" i="7"/>
  <c r="AI72" i="7"/>
  <c r="I86" i="7"/>
  <c r="AI73" i="7"/>
  <c r="I83" i="7"/>
  <c r="AI70" i="7"/>
  <c r="I81" i="7"/>
  <c r="AI68" i="7"/>
  <c r="Q21" i="8"/>
  <c r="K63" i="7"/>
  <c r="S21" i="8"/>
  <c r="M63" i="7"/>
  <c r="M21" i="56" l="1"/>
  <c r="M49" i="1" s="1"/>
  <c r="P20" i="8"/>
  <c r="P34" i="8"/>
  <c r="O15" i="8"/>
  <c r="AI84" i="7"/>
  <c r="O18" i="8"/>
  <c r="AI87" i="7"/>
  <c r="O11" i="8"/>
  <c r="AI80" i="7"/>
  <c r="I88" i="7"/>
  <c r="I89" i="7" s="1"/>
  <c r="O10" i="8"/>
  <c r="AI79" i="7"/>
  <c r="AI75" i="7"/>
  <c r="AI76" i="7" s="1"/>
  <c r="O13" i="8"/>
  <c r="AI82" i="7"/>
  <c r="O16" i="8"/>
  <c r="AI85" i="7"/>
  <c r="O17" i="8"/>
  <c r="AI86" i="7"/>
  <c r="O14" i="8"/>
  <c r="AI83" i="7"/>
  <c r="O12" i="8"/>
  <c r="AI81" i="7"/>
  <c r="K72" i="7"/>
  <c r="K74" i="7"/>
  <c r="K69" i="7"/>
  <c r="K70" i="7"/>
  <c r="K67" i="7"/>
  <c r="K71" i="7"/>
  <c r="K68" i="7"/>
  <c r="K73" i="7"/>
  <c r="K66" i="7"/>
  <c r="M73" i="7"/>
  <c r="M68" i="7"/>
  <c r="M70" i="7"/>
  <c r="M71" i="7"/>
  <c r="M69" i="7"/>
  <c r="M74" i="7"/>
  <c r="M72" i="7"/>
  <c r="M66" i="7"/>
  <c r="M67" i="7"/>
  <c r="L63" i="7"/>
  <c r="R21" i="8"/>
  <c r="AI88" i="7" l="1"/>
  <c r="K85" i="7"/>
  <c r="AK72" i="7"/>
  <c r="K87" i="7"/>
  <c r="AK74" i="7"/>
  <c r="K82" i="7"/>
  <c r="AK69" i="7"/>
  <c r="K83" i="7"/>
  <c r="AK70" i="7"/>
  <c r="K80" i="7"/>
  <c r="AK67" i="7"/>
  <c r="K84" i="7"/>
  <c r="AK71" i="7"/>
  <c r="K81" i="7"/>
  <c r="AK68" i="7"/>
  <c r="K86" i="7"/>
  <c r="AK73" i="7"/>
  <c r="K79" i="7"/>
  <c r="K75" i="7"/>
  <c r="K76" i="7" s="1"/>
  <c r="AK66" i="7"/>
  <c r="M86" i="7"/>
  <c r="S17" i="8" s="1"/>
  <c r="AM73" i="7"/>
  <c r="AM86" i="7" s="1"/>
  <c r="M81" i="7"/>
  <c r="S12" i="8" s="1"/>
  <c r="AM68" i="7"/>
  <c r="AM81" i="7" s="1"/>
  <c r="M83" i="7"/>
  <c r="S14" i="8" s="1"/>
  <c r="AM70" i="7"/>
  <c r="AM83" i="7" s="1"/>
  <c r="M84" i="7"/>
  <c r="S15" i="8" s="1"/>
  <c r="AM71" i="7"/>
  <c r="AM84" i="7" s="1"/>
  <c r="M82" i="7"/>
  <c r="S13" i="8" s="1"/>
  <c r="AM69" i="7"/>
  <c r="AM82" i="7" s="1"/>
  <c r="AM74" i="7"/>
  <c r="AM87" i="7" s="1"/>
  <c r="M87" i="7"/>
  <c r="S18" i="8" s="1"/>
  <c r="M85" i="7"/>
  <c r="S16" i="8" s="1"/>
  <c r="AM72" i="7"/>
  <c r="AM85" i="7" s="1"/>
  <c r="M79" i="7"/>
  <c r="M75" i="7"/>
  <c r="M76" i="7" s="1"/>
  <c r="AM66" i="7"/>
  <c r="M80" i="7"/>
  <c r="S11" i="8" s="1"/>
  <c r="AM67" i="7"/>
  <c r="AM80" i="7" s="1"/>
  <c r="L72" i="7"/>
  <c r="N72" i="7" s="1"/>
  <c r="L68" i="7"/>
  <c r="N68" i="7" s="1"/>
  <c r="L69" i="7"/>
  <c r="N69" i="7" s="1"/>
  <c r="L66" i="7"/>
  <c r="N66" i="7" s="1"/>
  <c r="L73" i="7"/>
  <c r="N73" i="7" s="1"/>
  <c r="L70" i="7"/>
  <c r="N70" i="7" s="1"/>
  <c r="L71" i="7"/>
  <c r="N71" i="7" s="1"/>
  <c r="L74" i="7"/>
  <c r="N74" i="7" s="1"/>
  <c r="L67" i="7"/>
  <c r="N67" i="7" s="1"/>
  <c r="O19" i="8"/>
  <c r="Q16" i="8" l="1"/>
  <c r="AK85" i="7"/>
  <c r="Q18" i="8"/>
  <c r="AK87" i="7"/>
  <c r="Q13" i="8"/>
  <c r="AK82" i="7"/>
  <c r="Q14" i="8"/>
  <c r="AK83" i="7"/>
  <c r="Q11" i="8"/>
  <c r="AK80" i="7"/>
  <c r="Q15" i="8"/>
  <c r="AK84" i="7"/>
  <c r="Q12" i="8"/>
  <c r="AK81" i="7"/>
  <c r="Q17" i="8"/>
  <c r="AK86" i="7"/>
  <c r="Q10" i="8"/>
  <c r="Q19" i="8" s="1"/>
  <c r="K88" i="7"/>
  <c r="K89" i="7" s="1"/>
  <c r="AK79" i="7"/>
  <c r="AK75" i="7"/>
  <c r="AK76" i="7" s="1"/>
  <c r="M88" i="7"/>
  <c r="M89" i="7" s="1"/>
  <c r="S10" i="8"/>
  <c r="S19" i="8" s="1"/>
  <c r="AM79" i="7"/>
  <c r="AM88" i="7" s="1"/>
  <c r="AM75" i="7"/>
  <c r="AM76" i="7" s="1"/>
  <c r="L85" i="7"/>
  <c r="AL72" i="7"/>
  <c r="L81" i="7"/>
  <c r="AL68" i="7"/>
  <c r="L82" i="7"/>
  <c r="AL69" i="7"/>
  <c r="L79" i="7"/>
  <c r="N79" i="7" s="1"/>
  <c r="L75" i="7"/>
  <c r="L76" i="7" s="1"/>
  <c r="AL66" i="7"/>
  <c r="AN66" i="7" s="1"/>
  <c r="L86" i="7"/>
  <c r="AL73" i="7"/>
  <c r="L83" i="7"/>
  <c r="AL70" i="7"/>
  <c r="L84" i="7"/>
  <c r="AL71" i="7"/>
  <c r="L87" i="7"/>
  <c r="AL74" i="7"/>
  <c r="L80" i="7"/>
  <c r="AL67" i="7"/>
  <c r="O34" i="8"/>
  <c r="O20" i="8"/>
  <c r="N75" i="7"/>
  <c r="Q34" i="8" l="1"/>
  <c r="Q20" i="8"/>
  <c r="AK88" i="7"/>
  <c r="S34" i="8"/>
  <c r="S20" i="8"/>
  <c r="R10" i="8"/>
  <c r="L88" i="7"/>
  <c r="L89" i="7" s="1"/>
  <c r="AL79" i="7"/>
  <c r="AL75" i="7"/>
  <c r="AL76" i="7" s="1"/>
  <c r="R16" i="8"/>
  <c r="N85" i="7"/>
  <c r="AL85" i="7"/>
  <c r="AN85" i="7" s="1"/>
  <c r="AN72" i="7"/>
  <c r="R12" i="8"/>
  <c r="N81" i="7"/>
  <c r="AL81" i="7"/>
  <c r="AN81" i="7" s="1"/>
  <c r="AN68" i="7"/>
  <c r="R13" i="8"/>
  <c r="N82" i="7"/>
  <c r="AL82" i="7"/>
  <c r="AN82" i="7" s="1"/>
  <c r="AN69" i="7"/>
  <c r="R17" i="8"/>
  <c r="N86" i="7"/>
  <c r="AL86" i="7"/>
  <c r="AN86" i="7" s="1"/>
  <c r="AN73" i="7"/>
  <c r="R14" i="8"/>
  <c r="N83" i="7"/>
  <c r="AL83" i="7"/>
  <c r="AN83" i="7" s="1"/>
  <c r="AN70" i="7"/>
  <c r="R15" i="8"/>
  <c r="N84" i="7"/>
  <c r="AL84" i="7"/>
  <c r="AN84" i="7" s="1"/>
  <c r="AN71" i="7"/>
  <c r="R18" i="8"/>
  <c r="N87" i="7"/>
  <c r="AL87" i="7"/>
  <c r="AN87" i="7" s="1"/>
  <c r="AN74" i="7"/>
  <c r="R11" i="8"/>
  <c r="N80" i="7"/>
  <c r="N88" i="7" s="1"/>
  <c r="N89" i="7" s="1"/>
  <c r="AL80" i="7"/>
  <c r="AN80" i="7" s="1"/>
  <c r="AN67" i="7"/>
  <c r="AN75" i="7" s="1"/>
  <c r="AN76" i="7" s="1"/>
  <c r="R19" i="8" l="1"/>
  <c r="R20" i="8" s="1"/>
  <c r="R34" i="8"/>
  <c r="AL88" i="7"/>
  <c r="AN79" i="7"/>
  <c r="AN8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Martin</author>
  </authors>
  <commentList>
    <comment ref="P19" authorId="0" shapeId="0" xr:uid="{EB93C2AE-6909-447F-9CCD-DD423ADA892B}">
      <text>
        <r>
          <rPr>
            <b/>
            <sz val="9"/>
            <color indexed="81"/>
            <rFont val="Tahoma"/>
            <family val="2"/>
          </rPr>
          <t>ASD:</t>
        </r>
        <r>
          <rPr>
            <sz val="9"/>
            <color indexed="81"/>
            <rFont val="Tahoma"/>
            <family val="2"/>
          </rPr>
          <t xml:space="preserve">
Not linked to 'Inputs from Capex Model' sheet as outputs from this model attract real price escalation from $2024-25 onwards in 'ASD - AusNet EDPR 2026-31 – SCS Capex Model – 011225 - PUBLIC.'</t>
        </r>
      </text>
    </comment>
    <comment ref="P21" authorId="0" shapeId="0" xr:uid="{B58E688F-721B-4275-8A92-BC12446AA958}">
      <text>
        <r>
          <rPr>
            <b/>
            <sz val="9"/>
            <color indexed="81"/>
            <rFont val="Tahoma"/>
            <family val="2"/>
          </rPr>
          <t>ASD:</t>
        </r>
        <r>
          <rPr>
            <sz val="9"/>
            <color indexed="81"/>
            <rFont val="Tahoma"/>
            <family val="2"/>
          </rPr>
          <t xml:space="preserve">
Not linked to 'Inputs from Capex Model' sheet as outputs from this model attract real price escalation from $2024-25 onwards in 'ASD - AusNet EDPR 2026-31 – SCS Capex Model – 011225 - PUBLIC.'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Steven Martin</author>
  </authors>
  <commentList>
    <comment ref="S43" authorId="0" shapeId="0" xr:uid="{00FE40A3-D4AB-4D0C-A352-A0C0B7E02514}">
      <text>
        <r>
          <rPr>
            <b/>
            <sz val="9"/>
            <color indexed="81"/>
            <rFont val="Tahoma"/>
            <family val="2"/>
          </rPr>
          <t>ASD:</t>
        </r>
        <r>
          <rPr>
            <sz val="9"/>
            <color indexed="81"/>
            <rFont val="Tahoma"/>
            <family val="2"/>
          </rPr>
          <t xml:space="preserve">
Adjusted for Feeder Aug projects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Steven Martin</author>
  </authors>
  <commentList>
    <comment ref="J19" authorId="0" shapeId="0" xr:uid="{D8A663B9-ED3B-4CB0-B9B8-5CB88EAE7958}">
      <text>
        <r>
          <rPr>
            <b/>
            <sz val="9"/>
            <color indexed="81"/>
            <rFont val="Tahoma"/>
            <family val="2"/>
          </rPr>
          <t>ASD:</t>
        </r>
        <r>
          <rPr>
            <sz val="9"/>
            <color indexed="81"/>
            <rFont val="Tahoma"/>
            <family val="2"/>
          </rPr>
          <t xml:space="preserve">
Actual Downer support costs are missing for CY2020. However, this doesn't affect forecast unit rate calculations in 'Capex_Fcast_Direct' worksheet.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Steven Martin</author>
  </authors>
  <commentList>
    <comment ref="Y24" authorId="0" shapeId="0" xr:uid="{9BA0CEFC-47DB-4406-BF71-89DE89DBCA2D}">
      <text>
        <r>
          <rPr>
            <b/>
            <sz val="9"/>
            <color indexed="81"/>
            <rFont val="Tahoma"/>
            <family val="2"/>
          </rPr>
          <t>ASD:</t>
        </r>
        <r>
          <rPr>
            <sz val="9"/>
            <color indexed="81"/>
            <rFont val="Tahoma"/>
            <family val="2"/>
          </rPr>
          <t xml:space="preserve">
Linked to 'ASD - BESS &amp; hybrid connections forecast - 31 Jan 2025 - CONFIDENTIAL'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Steven Martin</author>
  </authors>
  <commentList>
    <comment ref="I37" authorId="0" shapeId="0" xr:uid="{0E36993B-A568-408F-AA7D-453276F04609}">
      <text>
        <r>
          <rPr>
            <b/>
            <sz val="9"/>
            <color indexed="81"/>
            <rFont val="Tahoma"/>
            <family val="2"/>
          </rPr>
          <t>ASD:</t>
        </r>
        <r>
          <rPr>
            <sz val="9"/>
            <color indexed="81"/>
            <rFont val="Tahoma"/>
            <family val="2"/>
          </rPr>
          <t xml:space="preserve">
Linked to SCS model - CONFIDENTIAL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Steven Martin</author>
  </authors>
  <commentList>
    <comment ref="O24" authorId="0" shapeId="0" xr:uid="{90C235B6-2C03-402C-8D83-14915AD67EB7}">
      <text>
        <r>
          <rPr>
            <b/>
            <sz val="9"/>
            <color indexed="81"/>
            <rFont val="Tahoma"/>
            <family val="2"/>
          </rPr>
          <t>ASD:</t>
        </r>
        <r>
          <rPr>
            <sz val="9"/>
            <color indexed="81"/>
            <rFont val="Tahoma"/>
            <family val="2"/>
          </rPr>
          <t xml:space="preserve">
Set equal to the current period average recovery rate.</t>
        </r>
      </text>
    </comment>
    <comment ref="O25" authorId="0" shapeId="0" xr:uid="{81B952CE-B834-45D6-B6EB-9EFDD8A972B4}">
      <text>
        <r>
          <rPr>
            <b/>
            <sz val="9"/>
            <color indexed="81"/>
            <rFont val="Tahoma"/>
            <family val="2"/>
          </rPr>
          <t>ASD:</t>
        </r>
        <r>
          <rPr>
            <sz val="9"/>
            <color indexed="81"/>
            <rFont val="Tahoma"/>
            <family val="2"/>
          </rPr>
          <t xml:space="preserve">
Copy and paste values from the source file here for 2026-31 period.</t>
        </r>
      </text>
    </comment>
    <comment ref="O26" authorId="0" shapeId="0" xr:uid="{1D5B9B83-AF43-45AA-8B04-B6A125FBED57}">
      <text>
        <r>
          <rPr>
            <b/>
            <sz val="9"/>
            <color indexed="81"/>
            <rFont val="Tahoma"/>
            <family val="2"/>
          </rPr>
          <t>ASD:</t>
        </r>
        <r>
          <rPr>
            <sz val="9"/>
            <color indexed="81"/>
            <rFont val="Tahoma"/>
            <family val="2"/>
          </rPr>
          <t xml:space="preserve">
Copy and paste values from the source file here for 2026-31 period.</t>
        </r>
      </text>
    </comment>
    <comment ref="O28" authorId="0" shapeId="0" xr:uid="{7C577ACA-8E3B-4A82-A63B-C6DFEC8452E1}">
      <text>
        <r>
          <rPr>
            <b/>
            <sz val="9"/>
            <color indexed="81"/>
            <rFont val="Tahoma"/>
            <family val="2"/>
          </rPr>
          <t>ASD:</t>
        </r>
        <r>
          <rPr>
            <sz val="9"/>
            <color indexed="81"/>
            <rFont val="Tahoma"/>
            <family val="2"/>
          </rPr>
          <t xml:space="preserve">
Copy and paste values from the source file here for 2026-31 period.</t>
        </r>
      </text>
    </comment>
    <comment ref="O29" authorId="0" shapeId="0" xr:uid="{41467252-8F80-425D-B8AD-769F56D63049}">
      <text>
        <r>
          <rPr>
            <b/>
            <sz val="9"/>
            <color indexed="81"/>
            <rFont val="Tahoma"/>
            <family val="2"/>
          </rPr>
          <t>ASD:</t>
        </r>
        <r>
          <rPr>
            <sz val="9"/>
            <color indexed="81"/>
            <rFont val="Tahoma"/>
            <family val="2"/>
          </rPr>
          <t xml:space="preserve">
Copy and paste values from the source file here for 2026-31 period.</t>
        </r>
      </text>
    </comment>
    <comment ref="N30" authorId="0" shapeId="0" xr:uid="{EA81FD84-3D0D-4BBE-A66E-69A57B6B515D}">
      <text>
        <r>
          <rPr>
            <b/>
            <sz val="9"/>
            <color indexed="81"/>
            <rFont val="Tahoma"/>
            <family val="2"/>
          </rPr>
          <t>ASD:</t>
        </r>
        <r>
          <rPr>
            <sz val="9"/>
            <color indexed="81"/>
            <rFont val="Tahoma"/>
            <family val="2"/>
          </rPr>
          <t xml:space="preserve">
Set equal to the recovery rate for small business customers for current period.</t>
        </r>
      </text>
    </comment>
  </commentList>
</comments>
</file>

<file path=xl/sharedStrings.xml><?xml version="1.0" encoding="utf-8"?>
<sst xmlns="http://schemas.openxmlformats.org/spreadsheetml/2006/main" count="1595" uniqueCount="419">
  <si>
    <t>Recoverable &amp; Special Works</t>
  </si>
  <si>
    <t>SCS Capex</t>
  </si>
  <si>
    <t>Total</t>
  </si>
  <si>
    <t>Workcode</t>
  </si>
  <si>
    <t>CY2015</t>
  </si>
  <si>
    <t>CY2016</t>
  </si>
  <si>
    <t>CY2017</t>
  </si>
  <si>
    <t>CY2018</t>
  </si>
  <si>
    <t>CY2019</t>
  </si>
  <si>
    <t>CY2020</t>
  </si>
  <si>
    <t>CY2010</t>
  </si>
  <si>
    <t>CY2011</t>
  </si>
  <si>
    <t>CY2012</t>
  </si>
  <si>
    <t>CY2013</t>
  </si>
  <si>
    <t>CY2014</t>
  </si>
  <si>
    <t>Actual</t>
  </si>
  <si>
    <t>Forecast</t>
  </si>
  <si>
    <t>Average Unit Cost per connection ($000's)</t>
  </si>
  <si>
    <t>Customer Connections Splits</t>
  </si>
  <si>
    <t>Direct Labour Cost</t>
  </si>
  <si>
    <t>Direct Material Cost</t>
  </si>
  <si>
    <t>Contracts Cost</t>
  </si>
  <si>
    <t>Other Cost</t>
  </si>
  <si>
    <t>Connections Capex Forecast</t>
  </si>
  <si>
    <t>Other Customer Capex - Non connection related</t>
  </si>
  <si>
    <t>RESIDENTIAL</t>
  </si>
  <si>
    <t>COMMERCIAL/INDUSTRIAL</t>
  </si>
  <si>
    <t>SUBDIVISION</t>
  </si>
  <si>
    <t>EMBEDDED GENERATION</t>
  </si>
  <si>
    <t>Code</t>
  </si>
  <si>
    <t>CONNECTION SUBCATEGORY</t>
  </si>
  <si>
    <t>EDPR RIN Template Outputs</t>
  </si>
  <si>
    <t>Connections Forecast Assumptions</t>
  </si>
  <si>
    <t>Connection Category</t>
  </si>
  <si>
    <t>Unit Rate</t>
  </si>
  <si>
    <t>Volume</t>
  </si>
  <si>
    <t>Historical proportion of forecast residential connections</t>
  </si>
  <si>
    <t>Historical proportion of forecast non-residential connections</t>
  </si>
  <si>
    <t>N/A - forecast driven by historical costs incurred</t>
  </si>
  <si>
    <t>In Thousands</t>
  </si>
  <si>
    <t>1.  Assumptions</t>
  </si>
  <si>
    <t>2.5 Connections</t>
  </si>
  <si>
    <t>a.</t>
  </si>
  <si>
    <t>b.</t>
  </si>
  <si>
    <t>c.</t>
  </si>
  <si>
    <t>d.</t>
  </si>
  <si>
    <t>Total Expenditure Forecast</t>
  </si>
  <si>
    <t>Historical Cost Recovery</t>
  </si>
  <si>
    <t>Connections Expenditure Forecast - All activities</t>
  </si>
  <si>
    <t>Non-Connection related Direct Expenditure Forecast</t>
  </si>
  <si>
    <t>Connection related Direct Expenditure Forecast</t>
  </si>
  <si>
    <t>Thousands</t>
  </si>
  <si>
    <t>Other Lookups</t>
  </si>
  <si>
    <t>Table of Contents</t>
  </si>
  <si>
    <t>Table A:  Basis of Forecast Unit rates &amp; Volumes by Work code</t>
  </si>
  <si>
    <t>Underlying forecast connections supplied by Revenue Forecasting Team</t>
  </si>
  <si>
    <r>
      <t xml:space="preserve">Estimated historic &amp; forecast Connections for Capex </t>
    </r>
    <r>
      <rPr>
        <b/>
        <vertAlign val="superscript"/>
        <sz val="11"/>
        <color theme="1"/>
        <rFont val="Calibri"/>
        <family val="2"/>
      </rPr>
      <t>#</t>
    </r>
  </si>
  <si>
    <t>Customer Capex work codes allocation for Reg Accounts purposes</t>
  </si>
  <si>
    <t>Connections</t>
  </si>
  <si>
    <t>Regulatory &amp; Financial Allocations</t>
  </si>
  <si>
    <t>Check</t>
  </si>
  <si>
    <t>Labour Type</t>
  </si>
  <si>
    <t>Internal labour real rate</t>
  </si>
  <si>
    <t>Internal labour index</t>
  </si>
  <si>
    <t>External labour real rate</t>
  </si>
  <si>
    <t>External labour index</t>
  </si>
  <si>
    <t>No of lots - 1018</t>
  </si>
  <si>
    <t>No of lots - 1019</t>
  </si>
  <si>
    <t>No of Proj - 1018</t>
  </si>
  <si>
    <t>No of Proj - 1019</t>
  </si>
  <si>
    <t>Base</t>
  </si>
  <si>
    <t>G/A</t>
  </si>
  <si>
    <t>LOW DENSITY HOUSING</t>
  </si>
  <si>
    <t>Lots</t>
  </si>
  <si>
    <t>Projects</t>
  </si>
  <si>
    <t>4 mths</t>
  </si>
  <si>
    <t>8mths</t>
  </si>
  <si>
    <t>LOW DENSITY HOUSING - SUBDIVISION</t>
  </si>
  <si>
    <t>Historical / Forecast Volumes incl Gifted Assets</t>
  </si>
  <si>
    <t>No of projects</t>
  </si>
  <si>
    <t>1013 - U/GROUND SERVICE INSTALLATION - no of projects</t>
  </si>
  <si>
    <t>1014 - BUSINESS SUPPLY PROJECTS - no of projects</t>
  </si>
  <si>
    <t>MEDIUM DENSITY HOUSING - SUBDIVISION</t>
  </si>
  <si>
    <t>UNDERGROUND SERVICE INSTALLATION</t>
  </si>
  <si>
    <t>BUSINESS SUPPLY PROJECTS</t>
  </si>
  <si>
    <t>COMPLEX RESIDENTIAL SUPPLY PROJECTS</t>
  </si>
  <si>
    <t>PRIVATE ELECTRIC LINE REPLACEMENT - RESIDENTIAL</t>
  </si>
  <si>
    <t>Includes Turnkey Contracts</t>
  </si>
  <si>
    <t>$2014 to Nominal</t>
  </si>
  <si>
    <t>Nominal to $2018</t>
  </si>
  <si>
    <t>TURNKEY - GIFTED ASSETS</t>
  </si>
  <si>
    <t>AusNet Design and Construct</t>
  </si>
  <si>
    <t>TURNKEY - HV Rebates (Payments to Developers)</t>
  </si>
  <si>
    <t>AusNet Design and Construct (2% of all volume)</t>
  </si>
  <si>
    <t>TOTAL</t>
  </si>
  <si>
    <t>$Nominal</t>
  </si>
  <si>
    <t>CPI 8 cities - Sept to Sept, 1 year lagged</t>
  </si>
  <si>
    <t>Note, AusNet D shifts from CPI basis of Sept qtr to Jun qtr commencing from 2016 (start of 2016-20 control period) as per AusNet D 2016-20 Final Determination - Control mechanisms - attachment 14, May 2016</t>
  </si>
  <si>
    <t>AusNet CPI Table</t>
  </si>
  <si>
    <t>Labour Escalation</t>
  </si>
  <si>
    <t>2.  Escalation</t>
  </si>
  <si>
    <t>3. Regulatory &amp; Financial Allocations</t>
  </si>
  <si>
    <t>4. Connections (Historical / Forecast)</t>
  </si>
  <si>
    <t>Total no of Projects</t>
  </si>
  <si>
    <t>Total Lots</t>
  </si>
  <si>
    <t>Standard Control Services</t>
  </si>
  <si>
    <t>Actual / Historical</t>
  </si>
  <si>
    <t>Capitalised Overheads</t>
  </si>
  <si>
    <t>AusNet Overhead rate - New Connections</t>
  </si>
  <si>
    <t>NEW SERVICE</t>
  </si>
  <si>
    <t>Gifted assets only</t>
  </si>
  <si>
    <t>Overall split of Work Assignment</t>
  </si>
  <si>
    <t>Turnkey / Gifted by Developers to AusNet D</t>
  </si>
  <si>
    <t>AusNet DES &amp;Const, Ext. Design &amp; AusNet Construct</t>
  </si>
  <si>
    <t>As per forecast approach</t>
  </si>
  <si>
    <t>C.I.C</t>
  </si>
  <si>
    <t>Subtransmission</t>
  </si>
  <si>
    <t>Gifted</t>
  </si>
  <si>
    <t>TURNKEY - LV/HV Rebates (Payments to Developers)</t>
  </si>
  <si>
    <t>Volume of Gifted lots</t>
  </si>
  <si>
    <t>Volume per LV/HV rebates</t>
  </si>
  <si>
    <t>Net growth forecasts plus abolishments / attrition</t>
  </si>
  <si>
    <t>(12 mths)</t>
  </si>
  <si>
    <t>2020-21</t>
  </si>
  <si>
    <t>Allocation</t>
  </si>
  <si>
    <t>SUBTOTAL</t>
  </si>
  <si>
    <t>ACS (90% residential historical average)</t>
  </si>
  <si>
    <t>(3 year average split per annual CA RIN)</t>
  </si>
  <si>
    <t>TOTAL VOLUMES</t>
  </si>
  <si>
    <t>ACS (10% commercial historical average)</t>
  </si>
  <si>
    <t>NEW CONNECTIONS - ALL - Volumes</t>
  </si>
  <si>
    <t>NEW CONNECTIONS - SCS Only</t>
  </si>
  <si>
    <t>2025-26</t>
  </si>
  <si>
    <t>2024-25</t>
  </si>
  <si>
    <t>2023-24</t>
  </si>
  <si>
    <t>2022-23</t>
  </si>
  <si>
    <t>2021-22</t>
  </si>
  <si>
    <t>FY22-26 period</t>
  </si>
  <si>
    <t>Average Cost recovery excluding Gifted Assets</t>
  </si>
  <si>
    <t>Average Cost recovery including Gifted Assets</t>
  </si>
  <si>
    <t>Average Cost Recovery - Excluding Gifted Assets</t>
  </si>
  <si>
    <t>Project Fee</t>
  </si>
  <si>
    <t>Average fees for multi-lot developments</t>
  </si>
  <si>
    <t>Gross Expenditure (Direct costs plus Overheads basis) - $Nominal</t>
  </si>
  <si>
    <t>Capital Contributions including Gifted Assets - $Nominal</t>
  </si>
  <si>
    <t>Gross Capex excluding Gifted Assets - $Nominal</t>
  </si>
  <si>
    <t>Gifted assets - $Nominal</t>
  </si>
  <si>
    <t>Capital Contributions excluding Gifted Assets - $Nominal</t>
  </si>
  <si>
    <t>Mid Year Nominal to Jun $2021</t>
  </si>
  <si>
    <t>GIFTED ASSETS - I&amp;C</t>
  </si>
  <si>
    <t>Confidential</t>
  </si>
  <si>
    <t>$0's</t>
  </si>
  <si>
    <t>Mid Year $2018 to $Jun-21</t>
  </si>
  <si>
    <t>Project &amp; Contract fees - Turnkey multi-lot developments</t>
  </si>
  <si>
    <t>ASD Construct volume</t>
  </si>
  <si>
    <t>Contract Fee</t>
  </si>
  <si>
    <t>2.17-2.17 CapCons</t>
  </si>
  <si>
    <t>Direct_view</t>
  </si>
  <si>
    <t>CapCon_view</t>
  </si>
  <si>
    <t>Historical_CY</t>
  </si>
  <si>
    <t>2.5.3 Volumes</t>
  </si>
  <si>
    <t>e.</t>
  </si>
  <si>
    <t>f.</t>
  </si>
  <si>
    <t>** Confidential **</t>
  </si>
  <si>
    <t>5. Historical capex</t>
  </si>
  <si>
    <t>6. Capital Expenditure Forecast</t>
  </si>
  <si>
    <t>Description</t>
  </si>
  <si>
    <t>Escalation!L6:Q6</t>
  </si>
  <si>
    <t>Escalation!J17:Q17</t>
  </si>
  <si>
    <t>Escalation!J19:Q19</t>
  </si>
  <si>
    <t>Issue</t>
  </si>
  <si>
    <t>Location</t>
  </si>
  <si>
    <t>Comment</t>
  </si>
  <si>
    <t>Allocations!I44:O44</t>
  </si>
  <si>
    <t>Inputs from Capex Model</t>
  </si>
  <si>
    <t>Values referenced from "'Inputs from Capex Model" sheet</t>
  </si>
  <si>
    <t>New sheet with values linked to capex model</t>
  </si>
  <si>
    <t>Overhead rate - New Connections referenced from "'Inputs from Capex Model" sheet</t>
  </si>
  <si>
    <t>Contr_Fcast!J18:N18</t>
  </si>
  <si>
    <t>Inserted Check formulae</t>
  </si>
  <si>
    <t>RFM_PTRM Input'!G10:K10</t>
  </si>
  <si>
    <t>RFM_PTRM Input'!G22:K22</t>
  </si>
  <si>
    <t>Amended code for tax ruling</t>
  </si>
  <si>
    <t>RFM_PTRM Input'!G30:L30</t>
  </si>
  <si>
    <t>RFM_PTRM Input'!G42:L42</t>
  </si>
  <si>
    <t>RFM_PTRM Input'!G18:L18</t>
  </si>
  <si>
    <t>Inputs from Capex Model'!A21:J23</t>
  </si>
  <si>
    <t>Connections capitalised ohds rate values required to be linked to the Connections model</t>
  </si>
  <si>
    <t>LOW DENSITY HOUSING - GIFTED ASSETS</t>
  </si>
  <si>
    <t>Other_codes!L37</t>
  </si>
  <si>
    <t>Escalation!M6:Q6</t>
  </si>
  <si>
    <t>Real labour cost escalator amended  as per AER Final Decision</t>
  </si>
  <si>
    <t>Forecast CPI (2021-22 to 2025-26) amended as per AER Final Decision</t>
  </si>
  <si>
    <t>Excluded labour escalation as it was already in the reported actual value</t>
  </si>
  <si>
    <t>New variable introduced - Total Gross Capex excl Gifted assets</t>
  </si>
  <si>
    <t>Summary_Output!C21:O21</t>
  </si>
  <si>
    <t>2026-27</t>
  </si>
  <si>
    <t>2027–28</t>
  </si>
  <si>
    <t>1012 - MEDIUM DENSITY HOUSING</t>
  </si>
  <si>
    <t>TURNKEY - Number of Gifted lots</t>
  </si>
  <si>
    <t>Adjustment - HV rebate volumes with Gifted assets</t>
  </si>
  <si>
    <t>check</t>
  </si>
  <si>
    <t># Actual / forecast connection volumes derived using 2 year rolling average</t>
  </si>
  <si>
    <t>2027-28</t>
  </si>
  <si>
    <t>2028-29</t>
  </si>
  <si>
    <t>2029-30</t>
  </si>
  <si>
    <t>2030-31</t>
  </si>
  <si>
    <t xml:space="preserve">BESS and hybrid generation facilities &gt;1.5 MW </t>
  </si>
  <si>
    <t>New work code added by ASD</t>
  </si>
  <si>
    <t xml:space="preserve">1048 - BESS and hybrid generation facilities &gt;1.5 MW </t>
  </si>
  <si>
    <t>AusNet Overheads ($Nominal)</t>
  </si>
  <si>
    <t>Direct costs plus Overheads ($Nominal)</t>
  </si>
  <si>
    <t>Historical Connections Capex - Disaggregation</t>
  </si>
  <si>
    <t>Current Period Actual/Forecast - $Nominal</t>
  </si>
  <si>
    <t>($000's)</t>
  </si>
  <si>
    <t>HY2021</t>
  </si>
  <si>
    <t>COGENERATION PROJECTS - GIFTED ASSETS</t>
  </si>
  <si>
    <t>Mid Year Nominal to Jun $2023</t>
  </si>
  <si>
    <t>2028–29</t>
  </si>
  <si>
    <t>2029–30</t>
  </si>
  <si>
    <t>2030–31</t>
  </si>
  <si>
    <t>Forecast (FY27-31)</t>
  </si>
  <si>
    <t>FY27-31</t>
  </si>
  <si>
    <t>Historical Direct Expenditure (excluding Downer support costs) - $Nominal</t>
  </si>
  <si>
    <t>Historical Direct Unit Cost (excluding Downer support costs) - $Nominal</t>
  </si>
  <si>
    <t>Actual - $Nominal</t>
  </si>
  <si>
    <t>EMBEDDED GENERATION &gt; 1.5 MW</t>
  </si>
  <si>
    <t>2027-31</t>
  </si>
  <si>
    <t>Forecast based on expected recovery rates</t>
  </si>
  <si>
    <t>Energy Connections</t>
  </si>
  <si>
    <t>Mid Year Nominal to Jun $2026</t>
  </si>
  <si>
    <t>Expenditure Splits - per AusNet Services Electricity Accounting systems and 2022-23 RIN response supporting documents</t>
  </si>
  <si>
    <t>$Real Jun 2024</t>
  </si>
  <si>
    <t>EV charging stations</t>
  </si>
  <si>
    <t>Mid Year Nominal to Jun $2024</t>
  </si>
  <si>
    <t>External built volume</t>
  </si>
  <si>
    <t>Total volume</t>
  </si>
  <si>
    <t>n/a</t>
  </si>
  <si>
    <t>Isolating transformers (admin &amp; construction)</t>
  </si>
  <si>
    <t>NEW</t>
  </si>
  <si>
    <t>Portion of projects involving construction along REFCL protected HV feeders</t>
  </si>
  <si>
    <t>Contracts escalation</t>
  </si>
  <si>
    <t>Contractor</t>
  </si>
  <si>
    <t>Based on sample WO's</t>
  </si>
  <si>
    <t>Isolating transformers (admin &amp; construction) - for REFCL feeders</t>
  </si>
  <si>
    <t>AusNet Design and Construct (~1% of all volume)</t>
  </si>
  <si>
    <t>Feeder Augmentation</t>
  </si>
  <si>
    <t>No of lots - 1019 Gifted</t>
  </si>
  <si>
    <t>Historical Unit Cost - Real $2024</t>
  </si>
  <si>
    <t>Forecast Direct Unit Cost (excluding Downer support costs) - $2024</t>
  </si>
  <si>
    <t>Forecast Direct Expenditure, including real escalation - Real $2024</t>
  </si>
  <si>
    <t>Average cost per lot</t>
  </si>
  <si>
    <t>DoT Bus depot EV connections</t>
  </si>
  <si>
    <t>BESS and hybrid generation facilities &gt;1.5 MW</t>
  </si>
  <si>
    <t>CPI - Real $2024 to Nominal</t>
  </si>
  <si>
    <t>2023-24 Actual splits</t>
  </si>
  <si>
    <t>SCS Capex model OHD rates</t>
  </si>
  <si>
    <t>Total including type 1 and type 2 capital contributions</t>
  </si>
  <si>
    <t>All lots</t>
  </si>
  <si>
    <t>TURNKEY - LV/HV Rebates (Payments to Developers) - $Nominal, $K</t>
  </si>
  <si>
    <t>Non-REFCL feeders</t>
  </si>
  <si>
    <t>Split of feeders in new housing estate developments</t>
  </si>
  <si>
    <t>REFCL feeders</t>
  </si>
  <si>
    <t>EMBEDDED GENERATION &gt;1.5MW</t>
  </si>
  <si>
    <t>FY26-31 period</t>
  </si>
  <si>
    <t>YTD Capital contributions excl Gifted Assets</t>
  </si>
  <si>
    <t>YTD Gifted Assets revenue - customer contributions</t>
  </si>
  <si>
    <t>ACS fee based connections forecast, incl truck visits</t>
  </si>
  <si>
    <t>COGENERATION PROJECTS up to 1.5MW</t>
  </si>
  <si>
    <t>(This activity is excluded from SCS Connections Forecast)</t>
  </si>
  <si>
    <t>(This activity is excluded from SCS Connections forecast as this is reported under Reinforcement &amp; Safety Capex)</t>
  </si>
  <si>
    <t>Jan-Apr</t>
  </si>
  <si>
    <t>May-Dec</t>
  </si>
  <si>
    <t>(From 1 July 2021, these connections include small generation projects, and BESS and hybrid projects up to 1.5MW capacity)</t>
  </si>
  <si>
    <t>(From 1 July 2021, these connections are excluded from the SCS Connections Forecast and excluded from RAB in line with the 2021-26 AER Final decision)</t>
  </si>
  <si>
    <t>(From 1 July 2021, these connections include BESS and hybrid projects up to 1.5MW capacity and are included in the RAB)</t>
  </si>
  <si>
    <t>(Source:  AusNet Services Electricity Distribution capex work code definitions.)</t>
  </si>
  <si>
    <t>Direct Expenditure ($000's)</t>
  </si>
  <si>
    <t>Forecast Direct Expenditure, Unescalated (exc Downer support costs) - Real $2024</t>
  </si>
  <si>
    <t>Capitalised overheads - network</t>
  </si>
  <si>
    <t>Historical Direct Expenditure (excluding Downer support costs) - Real $2018</t>
  </si>
  <si>
    <t>High Voltage rebate payments to land developers</t>
  </si>
  <si>
    <t>1012 - Medium Density Housing</t>
  </si>
  <si>
    <t>Split of feeders in new housing estate developments:</t>
  </si>
  <si>
    <t>Price change per feeder type and volume (from 1 July 2024):</t>
  </si>
  <si>
    <t>Compromised of:</t>
  </si>
  <si>
    <t>Unescalated forecasts (excluding Downer contract escalation)</t>
  </si>
  <si>
    <t>Direct Expenditure excluding Downer support / Zinfra support costs - $Nominal</t>
  </si>
  <si>
    <t>Total reported in RAB</t>
  </si>
  <si>
    <t>Convert Mid Year Nominal to Jun $2024</t>
  </si>
  <si>
    <t>Installation service provider split</t>
  </si>
  <si>
    <t>Refer to the Project expenditure forecasts contained in supporting model 'ASD - Energy Connections Forecast Model - 31 Jan 2025 - CONFIDENTIAL'.</t>
  </si>
  <si>
    <t>Historical costs breakdown</t>
  </si>
  <si>
    <t>Total Type 1 customer contributions</t>
  </si>
  <si>
    <t>Total Type 2 customer contributions</t>
  </si>
  <si>
    <t>Average cost per lot (all lots)</t>
  </si>
  <si>
    <t>Historical costs and Unit rates - $Nominal</t>
  </si>
  <si>
    <t>Forecast proportion based on a 70% historical average</t>
  </si>
  <si>
    <t>Historical volume - number of lots (actual paid out)</t>
  </si>
  <si>
    <t>1015 - COGENERATION PROJECTS up to 1.5MW (post 30 June 2021)</t>
  </si>
  <si>
    <t>COGENERATION PROJECTS up to 1.5MW (post 30 June 2021)</t>
  </si>
  <si>
    <t>15. Unescalated direct costs (excluding type 2 capital contributions) ($'000s 2023-24 June)</t>
  </si>
  <si>
    <t>16. Type 1 capital contributions included in table 15 ($'000s 2023-24 June)</t>
  </si>
  <si>
    <t>Project/Program Inputs</t>
  </si>
  <si>
    <t>Unique ID</t>
  </si>
  <si>
    <t>RIN categories</t>
  </si>
  <si>
    <t>DNSP category (free-fill)</t>
  </si>
  <si>
    <t>Subtotal</t>
  </si>
  <si>
    <t>Load Connections</t>
  </si>
  <si>
    <t>SCS Capex model Inputs</t>
  </si>
  <si>
    <t>Contracts input</t>
  </si>
  <si>
    <t>24. Forecast type 2 capital contributions ($'000s 2023-24 June)</t>
  </si>
  <si>
    <t>Gifted assets / Type 2 capital contributions - Actual/Forecast</t>
  </si>
  <si>
    <t>TOTAL Excluding Gifted assets / Type 2 capital contributions</t>
  </si>
  <si>
    <t>Capital Contributions excluding Gifted Assets / Type 2 capital contributions</t>
  </si>
  <si>
    <t>Including capitalised overheads</t>
  </si>
  <si>
    <t>Source: ASD Standard MSO contributions forecast - 2027-31 - CONFIDENTIAL</t>
  </si>
  <si>
    <t>Source: ASD Business supply projects (1014) - CONFIDENTIAL</t>
  </si>
  <si>
    <t>Source: ASD Complex residential supply (1018) - CONFIDENTIAL</t>
  </si>
  <si>
    <t>Source: ASD Low density housing (1019) - CONFIDENTIAL</t>
  </si>
  <si>
    <t>Source: ASD - Energy Connections Forecast Model - 310125 - CONFIDENTIAL</t>
  </si>
  <si>
    <t>Total Direct costs including Downer / Zinfra Support costs</t>
  </si>
  <si>
    <t>Gross Capex including AusNet overheads</t>
  </si>
  <si>
    <t>AusNet Overheads - Actual / Forecast</t>
  </si>
  <si>
    <t>TOTAL AusNet Overheads</t>
  </si>
  <si>
    <t>Capex attracting Downer / Zinfra support costs</t>
  </si>
  <si>
    <t>CPI - Nominal to Real $2024</t>
  </si>
  <si>
    <t>Direct excl Downer /Zinfra Support costs, Escalated</t>
  </si>
  <si>
    <t xml:space="preserve">Escalated Direct costs before DOMSA contract support including Type 2 capital contributions - Actual/Forecast </t>
  </si>
  <si>
    <t>Direct capex before DOMSA contract support costs, Escalated</t>
  </si>
  <si>
    <t>Direct capex before DOMSA contract support costs, Unescalated</t>
  </si>
  <si>
    <t>DOMSA contract support costs - Actual / Forecast</t>
  </si>
  <si>
    <t>TOTAL DOMSA contract support costs</t>
  </si>
  <si>
    <t>Forecast DOMSA contract support costs ($Nominal):</t>
  </si>
  <si>
    <t>Forecast DOMSA contract support costs (Real $2024):</t>
  </si>
  <si>
    <t xml:space="preserve">Escalated Direct costs including DOMSA contract support, excluding Type 2 capital contributions - Actual/Forecast </t>
  </si>
  <si>
    <t xml:space="preserve">Escalated Direct costs before DOMSA contract support, excluding Type 2 capital contributions - Actual/Forecast </t>
  </si>
  <si>
    <t xml:space="preserve">Escalated Direct costs including DOMSA contract support, including Type 2 capital contributions - Actual/Forecast </t>
  </si>
  <si>
    <t>Expected residential gross connections annual growth</t>
  </si>
  <si>
    <t>Expected I&amp;C gross connections annual growth</t>
  </si>
  <si>
    <t>Total Type 1 capital contributions - $Nominal</t>
  </si>
  <si>
    <t>Total Type 2 capital contributions - $Nominal</t>
  </si>
  <si>
    <t>Total - $Nominal</t>
  </si>
  <si>
    <t>Historical capital contributions - Type 1 and Type 2</t>
  </si>
  <si>
    <t>Historical cost recovery - current EDPR period</t>
  </si>
  <si>
    <t>Contracts Input</t>
  </si>
  <si>
    <t>HV rebate payments to land developers</t>
  </si>
  <si>
    <t>GL Account 406100 - per Regulatory accounts, $0's</t>
  </si>
  <si>
    <t>Capitalised Overheads included in Type 1 capital contributions above, $0's</t>
  </si>
  <si>
    <t>GL Account 406104 - per Regulatory accounts, $0's</t>
  </si>
  <si>
    <t>Total incl Gifted Assets / Type 2 capital contributions, $0's</t>
  </si>
  <si>
    <t>8. EDPR RIN Outputs</t>
  </si>
  <si>
    <t>Forecast Type 1 Capital Contributions</t>
  </si>
  <si>
    <t>7. Forecast outputs</t>
  </si>
  <si>
    <t>Base Year Forecast capex and capital contributions - for SCS capex model input</t>
  </si>
  <si>
    <t>Actual / Forecast Type 1 capital contributions</t>
  </si>
  <si>
    <t>TOTAL Including Gifted assets / Type 2 capital contributions</t>
  </si>
  <si>
    <t>Data centre</t>
  </si>
  <si>
    <t>CPI Index - quarter</t>
  </si>
  <si>
    <t>Sep</t>
  </si>
  <si>
    <t>Jun</t>
  </si>
  <si>
    <t>Dec</t>
  </si>
  <si>
    <t>CPI 8 cities - 1 year lagged</t>
  </si>
  <si>
    <t>Average contribution rate (all connection types)</t>
  </si>
  <si>
    <t>* Excluded from RAB post 30 June 2021</t>
  </si>
  <si>
    <t>Cells containing external links</t>
  </si>
  <si>
    <t>NOTE: please use a one year-lagged CPI series.</t>
  </si>
  <si>
    <t>CPI year on year change (%) - lagged one year (actual/estimate)</t>
  </si>
  <si>
    <t>Annual escalation</t>
  </si>
  <si>
    <t>Internal labour</t>
  </si>
  <si>
    <t>Contract labour</t>
  </si>
  <si>
    <t>Non-labour</t>
  </si>
  <si>
    <t>11. Inflation</t>
  </si>
  <si>
    <t>June 2026</t>
  </si>
  <si>
    <t>12. Forecast real price escalation</t>
  </si>
  <si>
    <t>36. Overheads rate to be applied to forecast escalated direct costs (%)</t>
  </si>
  <si>
    <t>Overheads Rate - Network</t>
  </si>
  <si>
    <t>Overheads Rate - Corporate</t>
  </si>
  <si>
    <t>Forecast costs and Unit rates - Real $ June 2024</t>
  </si>
  <si>
    <t>PTRM Asset classes</t>
  </si>
  <si>
    <t>Distribution system assets</t>
  </si>
  <si>
    <t>Direct costs excl Downer support ($Nominal)</t>
  </si>
  <si>
    <t>Downer support ($Nominal)</t>
  </si>
  <si>
    <t>Direct costs incl Downer support ($Nominal)</t>
  </si>
  <si>
    <t>BESS and hybrid generation facilities &gt;1.5 MW - GIFTED ASSETS</t>
  </si>
  <si>
    <t>4 yr historical avg unit rate (2022-25).</t>
  </si>
  <si>
    <t>4 yr historical avg direct costs incurred (2022-25).</t>
  </si>
  <si>
    <t>4 yr historical avg unit rate (2022-25).   Prior to CY16 these costs are wrapped up in a single work code including 1018 costs.</t>
  </si>
  <si>
    <t>Refer to confidential model 'ASD - Energy Connections Forecast Model - CONFIDENTIAL'</t>
  </si>
  <si>
    <t>Direct Labour Unit Cost ($2023-24)</t>
  </si>
  <si>
    <t>Direct Material Unit Cost ($2023-24)</t>
  </si>
  <si>
    <t>Direct Contracts Unit Cost ($2023-24)</t>
  </si>
  <si>
    <t>Direct Other Unit Cost ($2023-24)</t>
  </si>
  <si>
    <t>Feeder Augmentation - I&amp;C</t>
  </si>
  <si>
    <t>TBA</t>
  </si>
  <si>
    <t>`</t>
  </si>
  <si>
    <t>Residential - excl gifted assets</t>
  </si>
  <si>
    <t>I&amp;C - excl gifted assets</t>
  </si>
  <si>
    <t>Source: Internal projects information (using recent historical data)</t>
  </si>
  <si>
    <t>Our revised avg unit rate for the 2026-31 regulatory period is based on pre-calculated capital contributions in our proposed updated standard connection services Model Standing Offer moel - confidential.</t>
  </si>
  <si>
    <r>
      <t xml:space="preserve">A. Third party construct and developer gifts assets to AusNet Services:-
     1. Gifted LV Assets - at agreed unit cost per lot (subject to annual CPI inflation)
     2. HV Rebates - Our </t>
    </r>
    <r>
      <rPr>
        <sz val="11"/>
        <rFont val="Calibri"/>
        <family val="2"/>
        <scheme val="minor"/>
      </rPr>
      <t>revised average unit rate for the 2026-31 regulatory period as conatined in 'HV_rebate' worksheet.</t>
    </r>
    <r>
      <rPr>
        <sz val="11"/>
        <color theme="1"/>
        <rFont val="Calibri"/>
        <family val="2"/>
        <scheme val="minor"/>
      </rPr>
      <t xml:space="preserve">
B. AusNet Design &amp; Construct - based on 2024-25 historical unit rate de-escalated to real $2024 dollars.</t>
    </r>
  </si>
  <si>
    <t>Revised Proposal</t>
  </si>
  <si>
    <t>Item</t>
  </si>
  <si>
    <t>Allocations</t>
  </si>
  <si>
    <t>Cost_Recovery</t>
  </si>
  <si>
    <t>Contracts_input</t>
  </si>
  <si>
    <t>Capex_Fcast_Direct</t>
  </si>
  <si>
    <t>Capex_Fcast_Total</t>
  </si>
  <si>
    <t>Contr_Fcast</t>
  </si>
  <si>
    <t>Capex_Model_Inputs</t>
  </si>
  <si>
    <t>Added two rows for HV feeder Augmentation connections</t>
  </si>
  <si>
    <t>Added connection volumes for 'Feeder Augmentation - I&amp;C' category within I&amp;C connections forecast</t>
  </si>
  <si>
    <t>Added 'Feeder Augmentation - I&amp;C' category for current period actual / forecast capex and gifted assets</t>
  </si>
  <si>
    <t>Added 'Feeder Augmentation - I&amp;C' category to Contract Inputs table</t>
  </si>
  <si>
    <t>Added 'Feeder Augmentation - I&amp;C' category to Output tables</t>
  </si>
  <si>
    <t>Added 'Feeder Augmentation' as a new category within residential medium density housing and 'Feeder Augmentation - I&amp;C' category as separate forecast category.
Linked historical costs and forecasts ($Nominal, unescalated) to confidential model 'ASD – AusNet – Customer growth driven feeder augmentation – 011225 - CONFIDENTIAL'.</t>
  </si>
  <si>
    <t>From 1 July 2021, these connections include small generation projects, and BESS and hybrid projects up to 1.5MW capacity. Our forecast for the remainder of the current period and 2026-31 regulatory period includes our updated forecast of community (neighbourhood) batteries.</t>
  </si>
  <si>
    <t>Added column to show rebate payments that are made to customers or land developers separate from gifted assets that are non-cash transactions.</t>
  </si>
  <si>
    <t>Direct exc Turnkey / Gifted, excl. BESS &amp; Hybrids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</si>
</sst>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43" formatCode="_-* #,##0.00_-;\-* #,##0.00_-;_-* &quot;-&quot;??_-;_-@_-"/>
    <numFmt numFmtId="164" formatCode="&quot;$&quot;#,##0_);[Red]\(&quot;$&quot;#,##0\)"/>
    <numFmt numFmtId="165" formatCode="&quot;$&quot;#,##0.00_);[Red]\(&quot;$&quot;#,##0.00\)"/>
    <numFmt numFmtId="166" formatCode="0.000"/>
    <numFmt numFmtId="167" formatCode="0.0%"/>
    <numFmt numFmtId="168" formatCode="&quot;$&quot;#,##0.00;[Red]&quot;$&quot;#,##0.00"/>
    <numFmt numFmtId="169" formatCode="&quot;$&quot;#,##0;[Red]&quot;$&quot;#,##0"/>
    <numFmt numFmtId="170" formatCode="_-* #,##0.0_-;\-* #,##0.0_-;_-* &quot;-&quot;??_-;_-@_-"/>
    <numFmt numFmtId="171" formatCode="_-* #,##0_-;\-* #,##0_-;_-* &quot;-&quot;??_-;_-@_-"/>
    <numFmt numFmtId="172" formatCode="0.0000"/>
    <numFmt numFmtId="173" formatCode="_-&quot;$&quot;* #,##0_-;\-&quot;$&quot;* #,##0_-;_-&quot;$&quot;* &quot;-&quot;??_-;_-@_-"/>
    <numFmt numFmtId="174" formatCode="&quot;$&quot;#,##0"/>
    <numFmt numFmtId="175" formatCode="#,##0.0"/>
    <numFmt numFmtId="176" formatCode="0.000%"/>
    <numFmt numFmtId="177" formatCode="0.0000000%"/>
    <numFmt numFmtId="178" formatCode="0.0000%"/>
    <numFmt numFmtId="179" formatCode="0.00000%"/>
    <numFmt numFmtId="180" formatCode="&quot;$&quot;#,##0.00"/>
    <numFmt numFmtId="181" formatCode="0.00000000000"/>
    <numFmt numFmtId="182" formatCode="_(#,##0.00%_);_(#,##0.00%_);_(&quot;-&quot;_)"/>
    <numFmt numFmtId="183" formatCode="_(* #,##0.00_);_(* \(#,##0.00\);_(* &quot;-&quot;??_);_(@_)"/>
    <numFmt numFmtId="184" formatCode="_(#,##0.00%_);[Red]_(\-#,##0.00%_);_(&quot;-&quot;_)"/>
  </numFmts>
  <fonts count="5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u/>
      <sz val="11"/>
      <color theme="1"/>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
      <b/>
      <sz val="14"/>
      <color rgb="FF002060"/>
      <name val="Calibri"/>
      <family val="2"/>
      <scheme val="minor"/>
    </font>
    <font>
      <b/>
      <sz val="11"/>
      <color theme="3"/>
      <name val="Calibri"/>
      <family val="2"/>
      <scheme val="minor"/>
    </font>
    <font>
      <b/>
      <sz val="11"/>
      <name val="Calibri"/>
      <family val="2"/>
      <scheme val="minor"/>
    </font>
    <font>
      <u/>
      <sz val="11"/>
      <color theme="10"/>
      <name val="Calibri"/>
      <family val="2"/>
      <scheme val="minor"/>
    </font>
    <font>
      <b/>
      <sz val="11"/>
      <color rgb="FF002060"/>
      <name val="Calibri"/>
      <family val="2"/>
      <scheme val="minor"/>
    </font>
    <font>
      <sz val="11"/>
      <color rgb="FF002060"/>
      <name val="Calibri"/>
      <family val="2"/>
      <scheme val="minor"/>
    </font>
    <font>
      <b/>
      <sz val="16"/>
      <color rgb="FF002060"/>
      <name val="Calibri"/>
      <family val="2"/>
      <scheme val="minor"/>
    </font>
    <font>
      <b/>
      <vertAlign val="superscript"/>
      <sz val="11"/>
      <color theme="1"/>
      <name val="Calibri"/>
      <family val="2"/>
    </font>
    <font>
      <u/>
      <sz val="10"/>
      <color theme="10"/>
      <name val="Calibri"/>
      <family val="2"/>
      <scheme val="minor"/>
    </font>
    <font>
      <b/>
      <sz val="11"/>
      <color rgb="FF0070C0"/>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sz val="9"/>
      <color theme="1"/>
      <name val="Calibri"/>
      <family val="2"/>
      <scheme val="minor"/>
    </font>
    <font>
      <sz val="11"/>
      <color rgb="FF0070C0"/>
      <name val="Calibri"/>
      <family val="2"/>
      <scheme val="minor"/>
    </font>
    <font>
      <i/>
      <sz val="9"/>
      <color theme="1"/>
      <name val="Calibri"/>
      <family val="2"/>
      <scheme val="minor"/>
    </font>
    <font>
      <sz val="8"/>
      <name val="Calibri"/>
      <family val="2"/>
      <scheme val="minor"/>
    </font>
    <font>
      <b/>
      <sz val="11"/>
      <color theme="0"/>
      <name val="Calibri"/>
      <family val="2"/>
      <scheme val="minor"/>
    </font>
    <font>
      <b/>
      <sz val="14"/>
      <color rgb="FF0070C0"/>
      <name val="Calibri"/>
      <family val="2"/>
      <scheme val="minor"/>
    </font>
    <font>
      <b/>
      <sz val="10"/>
      <color theme="1"/>
      <name val="Arial"/>
      <family val="2"/>
    </font>
    <font>
      <b/>
      <sz val="11"/>
      <color rgb="FF0000FF"/>
      <name val="Calibri"/>
      <family val="2"/>
      <scheme val="minor"/>
    </font>
    <font>
      <b/>
      <sz val="10"/>
      <color rgb="FF0000FF"/>
      <name val="Arial"/>
      <family val="2"/>
    </font>
    <font>
      <b/>
      <i/>
      <sz val="10"/>
      <color theme="1"/>
      <name val="Arial"/>
      <family val="2"/>
    </font>
    <font>
      <sz val="9"/>
      <color indexed="81"/>
      <name val="Tahoma"/>
      <family val="2"/>
    </font>
    <font>
      <b/>
      <sz val="9"/>
      <color indexed="81"/>
      <name val="Tahoma"/>
      <family val="2"/>
    </font>
    <font>
      <strike/>
      <sz val="11"/>
      <color theme="1"/>
      <name val="Calibri"/>
      <family val="2"/>
      <scheme val="minor"/>
    </font>
    <font>
      <i/>
      <sz val="11"/>
      <name val="Calibri"/>
      <family val="2"/>
      <scheme val="minor"/>
    </font>
    <font>
      <i/>
      <sz val="10"/>
      <color theme="1"/>
      <name val="Calibri"/>
      <family val="2"/>
      <scheme val="minor"/>
    </font>
    <font>
      <sz val="11"/>
      <color theme="1"/>
      <name val="Calibri"/>
      <family val="2"/>
    </font>
    <font>
      <b/>
      <sz val="8"/>
      <name val="Arial"/>
      <family val="2"/>
    </font>
    <font>
      <sz val="10"/>
      <name val="Arial"/>
      <family val="2"/>
    </font>
    <font>
      <b/>
      <sz val="11"/>
      <color rgb="FF000000"/>
      <name val="Calibri"/>
      <family val="2"/>
    </font>
    <font>
      <b/>
      <sz val="9"/>
      <color rgb="FFFFFF00"/>
      <name val="Arial"/>
      <family val="2"/>
    </font>
    <font>
      <b/>
      <sz val="11"/>
      <color rgb="FFFFFFFF"/>
      <name val="Arial"/>
      <family val="2"/>
    </font>
    <font>
      <i/>
      <sz val="10"/>
      <color rgb="FF000000"/>
      <name val="Arial"/>
      <family val="2"/>
    </font>
    <font>
      <b/>
      <sz val="12"/>
      <color rgb="FFFFFFFF"/>
      <name val="Arial"/>
      <family val="2"/>
    </font>
    <font>
      <sz val="8"/>
      <name val="Arial"/>
      <family val="2"/>
    </font>
    <font>
      <b/>
      <sz val="10"/>
      <name val="Arial"/>
      <family val="2"/>
    </font>
    <font>
      <b/>
      <sz val="10"/>
      <color rgb="FFFF0000"/>
      <name val="Arial"/>
      <family val="2"/>
    </font>
  </fonts>
  <fills count="3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bgColor indexed="64"/>
      </patternFill>
    </fill>
    <fill>
      <patternFill patternType="solid">
        <fgColor rgb="FFCCFFFF"/>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00FFFF"/>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A9D08E"/>
        <bgColor rgb="FF000000"/>
      </patternFill>
    </fill>
    <fill>
      <patternFill patternType="solid">
        <fgColor rgb="FFE2EFDA"/>
        <bgColor rgb="FF000000"/>
      </patternFill>
    </fill>
    <fill>
      <patternFill patternType="solid">
        <fgColor rgb="FFDDEBF7"/>
        <bgColor rgb="FF000000"/>
      </patternFill>
    </fill>
    <fill>
      <patternFill patternType="solid">
        <fgColor theme="3" tint="0.79998168889431442"/>
        <bgColor indexed="64"/>
      </patternFill>
    </fill>
    <fill>
      <patternFill patternType="solid">
        <fgColor theme="9" tint="0.79998168889431442"/>
        <bgColor indexed="64"/>
      </patternFill>
    </fill>
    <fill>
      <patternFill patternType="solid">
        <fgColor rgb="FFD3EBDA"/>
        <bgColor rgb="FF000000"/>
      </patternFill>
    </fill>
    <fill>
      <patternFill patternType="solid">
        <fgColor rgb="FFF2F2F2"/>
        <bgColor rgb="FF000000"/>
      </patternFill>
    </fill>
    <fill>
      <patternFill patternType="solid">
        <fgColor rgb="FF487B79"/>
        <bgColor rgb="FF000000"/>
      </patternFill>
    </fill>
    <fill>
      <patternFill patternType="solid">
        <fgColor rgb="FF9FC8C6"/>
        <bgColor rgb="FF000000"/>
      </patternFill>
    </fill>
    <fill>
      <patternFill patternType="solid">
        <fgColor rgb="FFD8F1EA"/>
        <bgColor rgb="FF000000"/>
      </patternFill>
    </fill>
    <fill>
      <patternFill patternType="solid">
        <fgColor theme="2"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rgb="FF7030A0"/>
        <bgColor indexed="64"/>
      </patternFill>
    </fill>
    <fill>
      <patternFill patternType="solid">
        <fgColor theme="1"/>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s>
  <cellStyleXfs count="7">
    <xf numFmtId="0" fontId="0" fillId="0" borderId="0"/>
    <xf numFmtId="9" fontId="5" fillId="0" borderId="0" applyFont="0" applyFill="0" applyBorder="0" applyAlignment="0" applyProtection="0"/>
    <xf numFmtId="0" fontId="16" fillId="0" borderId="0" applyNumberFormat="0" applyFill="0" applyBorder="0" applyAlignment="0" applyProtection="0"/>
    <xf numFmtId="43" fontId="5" fillId="0" borderId="0" applyFont="0" applyFill="0" applyBorder="0" applyAlignment="0" applyProtection="0"/>
    <xf numFmtId="0" fontId="1" fillId="0" borderId="0"/>
    <xf numFmtId="183" fontId="1" fillId="0" borderId="0" applyFont="0" applyFill="0" applyBorder="0" applyAlignment="0" applyProtection="0"/>
    <xf numFmtId="9" fontId="1" fillId="0" borderId="0" applyFont="0" applyFill="0" applyBorder="0" applyAlignment="0" applyProtection="0"/>
  </cellStyleXfs>
  <cellXfs count="505">
    <xf numFmtId="0" fontId="0" fillId="0" borderId="0" xfId="0"/>
    <xf numFmtId="0" fontId="6" fillId="0" borderId="0" xfId="0" applyFont="1"/>
    <xf numFmtId="0" fontId="7" fillId="0" borderId="0" xfId="0" applyFont="1"/>
    <xf numFmtId="0" fontId="6" fillId="0" borderId="0" xfId="0" applyFont="1" applyAlignment="1">
      <alignment horizontal="center"/>
    </xf>
    <xf numFmtId="164" fontId="0" fillId="0" borderId="0" xfId="0" applyNumberFormat="1"/>
    <xf numFmtId="166" fontId="0" fillId="0" borderId="0" xfId="0" applyNumberFormat="1"/>
    <xf numFmtId="0" fontId="0" fillId="0" borderId="0" xfId="0" quotePrefix="1" applyAlignment="1">
      <alignment horizontal="center"/>
    </xf>
    <xf numFmtId="0" fontId="0" fillId="0" borderId="0" xfId="0" applyAlignment="1">
      <alignment horizontal="center"/>
    </xf>
    <xf numFmtId="0" fontId="8" fillId="0" borderId="0" xfId="0" applyFont="1"/>
    <xf numFmtId="0" fontId="9" fillId="0" borderId="0" xfId="0" applyFont="1"/>
    <xf numFmtId="3" fontId="0" fillId="0" borderId="0" xfId="0" applyNumberFormat="1"/>
    <xf numFmtId="9" fontId="0" fillId="0" borderId="0" xfId="1" applyFont="1"/>
    <xf numFmtId="167" fontId="0" fillId="0" borderId="0" xfId="1" applyNumberFormat="1" applyFont="1"/>
    <xf numFmtId="9" fontId="0" fillId="0" borderId="0" xfId="1" applyFont="1" applyBorder="1"/>
    <xf numFmtId="0" fontId="11" fillId="0" borderId="0" xfId="0" applyFont="1"/>
    <xf numFmtId="165" fontId="0" fillId="0" borderId="0" xfId="0" applyNumberFormat="1"/>
    <xf numFmtId="0" fontId="0" fillId="0" borderId="1" xfId="0" applyBorder="1"/>
    <xf numFmtId="3" fontId="6" fillId="0" borderId="0" xfId="0" applyNumberFormat="1" applyFont="1"/>
    <xf numFmtId="1" fontId="0" fillId="0" borderId="0" xfId="0" applyNumberFormat="1"/>
    <xf numFmtId="1" fontId="7" fillId="0" borderId="0" xfId="0" applyNumberFormat="1" applyFont="1"/>
    <xf numFmtId="0" fontId="12" fillId="0" borderId="0" xfId="0" applyFont="1"/>
    <xf numFmtId="9" fontId="0" fillId="0" borderId="0" xfId="0" applyNumberFormat="1"/>
    <xf numFmtId="167" fontId="0" fillId="3" borderId="3" xfId="1" applyNumberFormat="1" applyFont="1" applyFill="1" applyBorder="1" applyAlignment="1">
      <alignment vertical="center"/>
    </xf>
    <xf numFmtId="0" fontId="0" fillId="3" borderId="3" xfId="0" applyFill="1" applyBorder="1"/>
    <xf numFmtId="0" fontId="0" fillId="0" borderId="0" xfId="0" quotePrefix="1"/>
    <xf numFmtId="168" fontId="0" fillId="0" borderId="0" xfId="0" applyNumberFormat="1"/>
    <xf numFmtId="0" fontId="0" fillId="2" borderId="0" xfId="0" applyFill="1"/>
    <xf numFmtId="0" fontId="13" fillId="2" borderId="0" xfId="0" applyFont="1" applyFill="1"/>
    <xf numFmtId="0" fontId="6" fillId="0" borderId="3" xfId="0" applyFont="1" applyBorder="1"/>
    <xf numFmtId="0" fontId="6" fillId="0" borderId="3" xfId="0" applyFont="1" applyBorder="1" applyAlignment="1">
      <alignment horizontal="center"/>
    </xf>
    <xf numFmtId="0" fontId="15" fillId="0" borderId="0" xfId="0" applyFont="1"/>
    <xf numFmtId="0" fontId="0" fillId="3" borderId="0" xfId="0" applyFill="1"/>
    <xf numFmtId="0" fontId="0" fillId="3" borderId="0" xfId="0" applyFill="1" applyAlignment="1">
      <alignment horizontal="center"/>
    </xf>
    <xf numFmtId="0" fontId="16" fillId="3" borderId="0" xfId="2" applyFill="1"/>
    <xf numFmtId="0" fontId="17" fillId="3" borderId="0" xfId="2" applyFont="1" applyFill="1"/>
    <xf numFmtId="0" fontId="18" fillId="3" borderId="0" xfId="0" applyFont="1" applyFill="1" applyAlignment="1">
      <alignment horizontal="right"/>
    </xf>
    <xf numFmtId="0" fontId="19" fillId="3" borderId="0" xfId="0" applyFont="1" applyFill="1"/>
    <xf numFmtId="0" fontId="0" fillId="5" borderId="0" xfId="0" applyFill="1"/>
    <xf numFmtId="0" fontId="13" fillId="3" borderId="0" xfId="2" applyFont="1" applyFill="1"/>
    <xf numFmtId="0" fontId="13" fillId="0" borderId="0" xfId="2" applyFont="1" applyFill="1"/>
    <xf numFmtId="0" fontId="21" fillId="0" borderId="0" xfId="2" applyFont="1" applyFill="1"/>
    <xf numFmtId="0" fontId="21" fillId="2" borderId="0" xfId="2" applyFont="1" applyFill="1"/>
    <xf numFmtId="0" fontId="6" fillId="3" borderId="3" xfId="0" applyFont="1" applyFill="1" applyBorder="1" applyAlignment="1">
      <alignment horizontal="center" wrapText="1"/>
    </xf>
    <xf numFmtId="0" fontId="6" fillId="3" borderId="3" xfId="0" applyFont="1" applyFill="1" applyBorder="1" applyAlignment="1">
      <alignment horizontal="center"/>
    </xf>
    <xf numFmtId="166" fontId="0" fillId="3" borderId="3" xfId="0" applyNumberFormat="1" applyFill="1" applyBorder="1"/>
    <xf numFmtId="0" fontId="0" fillId="3" borderId="3" xfId="0" applyFill="1" applyBorder="1" applyAlignment="1">
      <alignment vertical="center"/>
    </xf>
    <xf numFmtId="0" fontId="0" fillId="3" borderId="3" xfId="0" applyFill="1" applyBorder="1" applyAlignment="1">
      <alignment horizontal="center" vertical="center"/>
    </xf>
    <xf numFmtId="170" fontId="0" fillId="0" borderId="0" xfId="3" applyNumberFormat="1" applyFont="1" applyBorder="1"/>
    <xf numFmtId="170" fontId="0" fillId="0" borderId="0" xfId="3" applyNumberFormat="1" applyFont="1"/>
    <xf numFmtId="0" fontId="0" fillId="0" borderId="0" xfId="0" applyAlignment="1">
      <alignment horizontal="left" indent="1"/>
    </xf>
    <xf numFmtId="0" fontId="10" fillId="0" borderId="0" xfId="0" applyFont="1"/>
    <xf numFmtId="3" fontId="0" fillId="6" borderId="0" xfId="0" applyNumberFormat="1" applyFill="1"/>
    <xf numFmtId="0" fontId="21" fillId="3" borderId="0" xfId="2" applyFont="1" applyFill="1"/>
    <xf numFmtId="0" fontId="22" fillId="0" borderId="0" xfId="0" applyFont="1"/>
    <xf numFmtId="3" fontId="0" fillId="0" borderId="1" xfId="0" applyNumberFormat="1" applyBorder="1"/>
    <xf numFmtId="1" fontId="0" fillId="0" borderId="0" xfId="0" applyNumberFormat="1" applyAlignment="1">
      <alignment horizontal="center"/>
    </xf>
    <xf numFmtId="0" fontId="0" fillId="0" borderId="0" xfId="0" applyAlignment="1">
      <alignment horizontal="left"/>
    </xf>
    <xf numFmtId="43" fontId="0" fillId="0" borderId="0" xfId="0" applyNumberFormat="1"/>
    <xf numFmtId="43" fontId="0" fillId="0" borderId="0" xfId="3" applyFont="1"/>
    <xf numFmtId="3" fontId="0" fillId="0" borderId="0" xfId="0" applyNumberFormat="1" applyAlignment="1">
      <alignment horizontal="center"/>
    </xf>
    <xf numFmtId="171" fontId="0" fillId="0" borderId="0" xfId="0" applyNumberFormat="1"/>
    <xf numFmtId="0" fontId="6" fillId="0" borderId="10" xfId="0" applyFont="1" applyBorder="1" applyAlignment="1">
      <alignment horizontal="center"/>
    </xf>
    <xf numFmtId="0" fontId="0" fillId="0" borderId="10" xfId="0" applyBorder="1"/>
    <xf numFmtId="164" fontId="0" fillId="0" borderId="10" xfId="0" applyNumberFormat="1" applyBorder="1"/>
    <xf numFmtId="9" fontId="0" fillId="0" borderId="10" xfId="1" applyFont="1" applyBorder="1"/>
    <xf numFmtId="2" fontId="0" fillId="0" borderId="0" xfId="0" applyNumberFormat="1" applyAlignment="1">
      <alignment horizontal="center"/>
    </xf>
    <xf numFmtId="0" fontId="0" fillId="0" borderId="0" xfId="0" applyAlignment="1">
      <alignment horizontal="right"/>
    </xf>
    <xf numFmtId="0" fontId="0" fillId="0" borderId="3" xfId="0" applyBorder="1"/>
    <xf numFmtId="167" fontId="0" fillId="0" borderId="3" xfId="1" applyNumberFormat="1" applyFont="1" applyFill="1" applyBorder="1" applyAlignment="1">
      <alignment vertical="center"/>
    </xf>
    <xf numFmtId="164" fontId="11" fillId="0" borderId="0" xfId="0" applyNumberFormat="1" applyFont="1"/>
    <xf numFmtId="0" fontId="24" fillId="0" borderId="0" xfId="0" applyFont="1"/>
    <xf numFmtId="171" fontId="0" fillId="0" borderId="0" xfId="3" applyNumberFormat="1" applyFont="1" applyBorder="1"/>
    <xf numFmtId="0" fontId="25" fillId="0" borderId="0" xfId="0" applyFont="1"/>
    <xf numFmtId="164" fontId="0" fillId="0" borderId="17" xfId="0" applyNumberFormat="1" applyBorder="1"/>
    <xf numFmtId="0" fontId="26" fillId="0" borderId="0" xfId="0" applyFont="1"/>
    <xf numFmtId="10" fontId="0" fillId="0" borderId="3" xfId="1" applyNumberFormat="1" applyFont="1" applyBorder="1"/>
    <xf numFmtId="0" fontId="0" fillId="5" borderId="3" xfId="0" applyFill="1" applyBorder="1"/>
    <xf numFmtId="10" fontId="0" fillId="5" borderId="3" xfId="1" applyNumberFormat="1" applyFont="1" applyFill="1" applyBorder="1"/>
    <xf numFmtId="10" fontId="0" fillId="0" borderId="3" xfId="0" applyNumberFormat="1" applyBorder="1"/>
    <xf numFmtId="172" fontId="0" fillId="0" borderId="3" xfId="0" applyNumberFormat="1" applyBorder="1"/>
    <xf numFmtId="172" fontId="0" fillId="0" borderId="3" xfId="3" applyNumberFormat="1" applyFont="1" applyBorder="1"/>
    <xf numFmtId="0" fontId="0" fillId="0" borderId="3" xfId="0" applyBorder="1" applyAlignment="1">
      <alignment horizontal="center"/>
    </xf>
    <xf numFmtId="166" fontId="8" fillId="0" borderId="3" xfId="0" applyNumberFormat="1" applyFont="1" applyBorder="1"/>
    <xf numFmtId="3" fontId="6" fillId="0" borderId="5" xfId="0" applyNumberFormat="1" applyFont="1" applyBorder="1"/>
    <xf numFmtId="164" fontId="0" fillId="0" borderId="11" xfId="0" applyNumberFormat="1" applyBorder="1"/>
    <xf numFmtId="171" fontId="0" fillId="0" borderId="0" xfId="3" applyNumberFormat="1" applyFont="1" applyFill="1"/>
    <xf numFmtId="0" fontId="6" fillId="0" borderId="11" xfId="0" applyFont="1" applyBorder="1" applyAlignment="1">
      <alignment horizontal="center"/>
    </xf>
    <xf numFmtId="0" fontId="6" fillId="0" borderId="17" xfId="0" applyFont="1" applyBorder="1" applyAlignment="1">
      <alignment horizontal="center"/>
    </xf>
    <xf numFmtId="167" fontId="0" fillId="0" borderId="0" xfId="0" applyNumberFormat="1"/>
    <xf numFmtId="0" fontId="0" fillId="10" borderId="0" xfId="0" applyFill="1"/>
    <xf numFmtId="43" fontId="0" fillId="0" borderId="0" xfId="3" applyFont="1" applyFill="1"/>
    <xf numFmtId="172" fontId="0" fillId="0" borderId="0" xfId="0" applyNumberFormat="1"/>
    <xf numFmtId="0" fontId="0" fillId="0" borderId="3" xfId="0" applyBorder="1" applyAlignment="1">
      <alignment horizontal="center" vertical="center"/>
    </xf>
    <xf numFmtId="0" fontId="0" fillId="0" borderId="3" xfId="0" applyBorder="1" applyAlignment="1">
      <alignment vertical="center"/>
    </xf>
    <xf numFmtId="171" fontId="0" fillId="0" borderId="0" xfId="3" applyNumberFormat="1" applyFont="1"/>
    <xf numFmtId="171" fontId="0" fillId="0" borderId="1" xfId="3" applyNumberFormat="1" applyFont="1" applyBorder="1"/>
    <xf numFmtId="171" fontId="6" fillId="0" borderId="0" xfId="3" applyNumberFormat="1" applyFont="1"/>
    <xf numFmtId="171" fontId="0" fillId="0" borderId="10" xfId="3" applyNumberFormat="1" applyFont="1" applyBorder="1"/>
    <xf numFmtId="171" fontId="0" fillId="0" borderId="12" xfId="3" applyNumberFormat="1" applyFont="1" applyBorder="1"/>
    <xf numFmtId="171" fontId="6" fillId="0" borderId="10" xfId="3" applyNumberFormat="1" applyFont="1" applyBorder="1"/>
    <xf numFmtId="0" fontId="6" fillId="0" borderId="19" xfId="0" applyFont="1" applyBorder="1" applyAlignment="1">
      <alignment horizontal="center"/>
    </xf>
    <xf numFmtId="0" fontId="0" fillId="0" borderId="0" xfId="0" applyAlignment="1">
      <alignment horizontal="left" indent="2"/>
    </xf>
    <xf numFmtId="172" fontId="0" fillId="0" borderId="3" xfId="3" applyNumberFormat="1" applyFont="1" applyFill="1" applyBorder="1"/>
    <xf numFmtId="0" fontId="14" fillId="0" borderId="0" xfId="0" applyFont="1"/>
    <xf numFmtId="17" fontId="6" fillId="0" borderId="0" xfId="0" applyNumberFormat="1" applyFont="1" applyAlignment="1">
      <alignment horizontal="center"/>
    </xf>
    <xf numFmtId="17" fontId="0" fillId="0" borderId="0" xfId="0" applyNumberFormat="1" applyAlignment="1">
      <alignment horizontal="center"/>
    </xf>
    <xf numFmtId="17" fontId="0" fillId="3" borderId="3" xfId="0" applyNumberFormat="1" applyFill="1" applyBorder="1" applyAlignment="1">
      <alignment horizontal="center" vertical="center"/>
    </xf>
    <xf numFmtId="17" fontId="6" fillId="0" borderId="10" xfId="0" applyNumberFormat="1" applyFont="1" applyBorder="1" applyAlignment="1">
      <alignment horizontal="center"/>
    </xf>
    <xf numFmtId="10" fontId="0" fillId="0" borderId="0" xfId="0" applyNumberFormat="1"/>
    <xf numFmtId="0" fontId="6" fillId="0" borderId="5" xfId="0" applyFont="1" applyBorder="1" applyAlignment="1">
      <alignment horizontal="center"/>
    </xf>
    <xf numFmtId="0" fontId="0" fillId="0" borderId="7" xfId="0" applyBorder="1"/>
    <xf numFmtId="0" fontId="0" fillId="0" borderId="5" xfId="0" applyBorder="1"/>
    <xf numFmtId="0" fontId="0" fillId="0" borderId="2" xfId="0" applyBorder="1"/>
    <xf numFmtId="0" fontId="6" fillId="0" borderId="5" xfId="0" applyFont="1" applyBorder="1"/>
    <xf numFmtId="171" fontId="6" fillId="0" borderId="0" xfId="0" applyNumberFormat="1" applyFont="1"/>
    <xf numFmtId="0" fontId="0" fillId="0" borderId="9" xfId="0" applyBorder="1"/>
    <xf numFmtId="3" fontId="0" fillId="0" borderId="9" xfId="0" applyNumberFormat="1" applyBorder="1"/>
    <xf numFmtId="3" fontId="0" fillId="0" borderId="8" xfId="0" applyNumberFormat="1" applyBorder="1"/>
    <xf numFmtId="3" fontId="0" fillId="0" borderId="11" xfId="0" applyNumberFormat="1" applyBorder="1"/>
    <xf numFmtId="0" fontId="0" fillId="0" borderId="12" xfId="0" applyBorder="1" applyAlignment="1">
      <alignment horizontal="right"/>
    </xf>
    <xf numFmtId="3" fontId="0" fillId="0" borderId="13" xfId="0" applyNumberFormat="1" applyBorder="1"/>
    <xf numFmtId="3" fontId="0" fillId="0" borderId="2" xfId="0" applyNumberFormat="1" applyBorder="1"/>
    <xf numFmtId="3" fontId="0" fillId="0" borderId="6" xfId="0" applyNumberFormat="1" applyBorder="1"/>
    <xf numFmtId="3" fontId="6" fillId="0" borderId="2" xfId="0" applyNumberFormat="1" applyFont="1" applyBorder="1"/>
    <xf numFmtId="3" fontId="6" fillId="0" borderId="6" xfId="0" applyNumberFormat="1" applyFont="1" applyBorder="1"/>
    <xf numFmtId="3" fontId="0" fillId="0" borderId="7" xfId="0" applyNumberFormat="1" applyBorder="1"/>
    <xf numFmtId="3" fontId="0" fillId="0" borderId="10" xfId="0" applyNumberFormat="1" applyBorder="1"/>
    <xf numFmtId="3" fontId="0" fillId="0" borderId="12" xfId="0" applyNumberFormat="1" applyBorder="1"/>
    <xf numFmtId="3" fontId="0" fillId="0" borderId="5" xfId="0" applyNumberFormat="1" applyBorder="1"/>
    <xf numFmtId="0" fontId="27" fillId="0" borderId="10" xfId="0" applyFont="1" applyBorder="1"/>
    <xf numFmtId="0" fontId="27" fillId="0" borderId="0" xfId="0" applyFont="1"/>
    <xf numFmtId="9" fontId="0" fillId="0" borderId="1" xfId="1" applyFont="1" applyBorder="1"/>
    <xf numFmtId="9" fontId="0" fillId="0" borderId="1" xfId="0" applyNumberFormat="1" applyBorder="1"/>
    <xf numFmtId="10" fontId="0" fillId="0" borderId="0" xfId="1" applyNumberFormat="1" applyFont="1" applyFill="1" applyBorder="1"/>
    <xf numFmtId="167" fontId="0" fillId="0" borderId="3" xfId="1" applyNumberFormat="1" applyFont="1" applyFill="1" applyBorder="1"/>
    <xf numFmtId="167" fontId="0" fillId="0" borderId="3" xfId="1" applyNumberFormat="1" applyFont="1" applyBorder="1"/>
    <xf numFmtId="0" fontId="6" fillId="0" borderId="5" xfId="0" applyFont="1" applyBorder="1" applyAlignment="1">
      <alignment vertical="center"/>
    </xf>
    <xf numFmtId="0" fontId="0" fillId="0" borderId="6" xfId="0" applyBorder="1"/>
    <xf numFmtId="166" fontId="0" fillId="0" borderId="3" xfId="0" applyNumberFormat="1" applyBorder="1"/>
    <xf numFmtId="167" fontId="0" fillId="0" borderId="0" xfId="1" applyNumberFormat="1" applyFont="1" applyFill="1"/>
    <xf numFmtId="0" fontId="6" fillId="0" borderId="2" xfId="0" applyFont="1" applyBorder="1" applyAlignment="1">
      <alignment horizontal="center"/>
    </xf>
    <xf numFmtId="9" fontId="0" fillId="0" borderId="10" xfId="0" applyNumberFormat="1" applyBorder="1"/>
    <xf numFmtId="9" fontId="0" fillId="0" borderId="17" xfId="0" applyNumberFormat="1" applyBorder="1"/>
    <xf numFmtId="0" fontId="6" fillId="0" borderId="7" xfId="0" applyFont="1" applyBorder="1" applyAlignment="1">
      <alignment horizontal="center"/>
    </xf>
    <xf numFmtId="0" fontId="6" fillId="0" borderId="9" xfId="0" applyFont="1" applyBorder="1" applyAlignment="1">
      <alignment horizontal="center"/>
    </xf>
    <xf numFmtId="0" fontId="6" fillId="0" borderId="8" xfId="0" applyFont="1" applyBorder="1" applyAlignment="1">
      <alignment horizontal="center"/>
    </xf>
    <xf numFmtId="164" fontId="0" fillId="0" borderId="12" xfId="0" applyNumberFormat="1" applyBorder="1"/>
    <xf numFmtId="164" fontId="0" fillId="0" borderId="1" xfId="0" applyNumberFormat="1" applyBorder="1"/>
    <xf numFmtId="164" fontId="0" fillId="0" borderId="13" xfId="0" applyNumberFormat="1" applyBorder="1"/>
    <xf numFmtId="0" fontId="6" fillId="0" borderId="18" xfId="0" applyFont="1" applyBorder="1" applyAlignment="1">
      <alignment horizontal="center"/>
    </xf>
    <xf numFmtId="164" fontId="0" fillId="0" borderId="19" xfId="0" applyNumberFormat="1" applyBorder="1"/>
    <xf numFmtId="164" fontId="0" fillId="0" borderId="18" xfId="0" applyNumberFormat="1" applyBorder="1"/>
    <xf numFmtId="164" fontId="0" fillId="0" borderId="7" xfId="0" applyNumberFormat="1" applyBorder="1"/>
    <xf numFmtId="164" fontId="0" fillId="0" borderId="9" xfId="0" applyNumberFormat="1" applyBorder="1"/>
    <xf numFmtId="0" fontId="0" fillId="0" borderId="12" xfId="0" applyBorder="1"/>
    <xf numFmtId="9" fontId="0" fillId="0" borderId="9" xfId="0" applyNumberFormat="1" applyBorder="1"/>
    <xf numFmtId="9" fontId="0" fillId="0" borderId="7" xfId="0" applyNumberFormat="1" applyBorder="1"/>
    <xf numFmtId="9" fontId="0" fillId="0" borderId="18" xfId="0" applyNumberFormat="1" applyBorder="1"/>
    <xf numFmtId="9" fontId="0" fillId="0" borderId="0" xfId="1" applyFont="1" applyFill="1" applyBorder="1"/>
    <xf numFmtId="9" fontId="0" fillId="0" borderId="12" xfId="0" applyNumberFormat="1" applyBorder="1"/>
    <xf numFmtId="9" fontId="0" fillId="0" borderId="1" xfId="1" applyFont="1" applyFill="1" applyBorder="1"/>
    <xf numFmtId="9" fontId="0" fillId="0" borderId="19" xfId="0" applyNumberFormat="1" applyBorder="1"/>
    <xf numFmtId="0" fontId="11" fillId="0" borderId="10" xfId="0" applyFont="1" applyBorder="1"/>
    <xf numFmtId="164" fontId="0" fillId="0" borderId="0" xfId="0" quotePrefix="1" applyNumberFormat="1" applyAlignment="1">
      <alignment horizontal="center"/>
    </xf>
    <xf numFmtId="175" fontId="0" fillId="0" borderId="0" xfId="0" applyNumberFormat="1"/>
    <xf numFmtId="176" fontId="0" fillId="0" borderId="0" xfId="0" applyNumberFormat="1"/>
    <xf numFmtId="164" fontId="11" fillId="0" borderId="10" xfId="0" applyNumberFormat="1" applyFont="1" applyBorder="1"/>
    <xf numFmtId="164" fontId="11" fillId="0" borderId="11" xfId="0" applyNumberFormat="1" applyFont="1" applyBorder="1"/>
    <xf numFmtId="0" fontId="6" fillId="0" borderId="6" xfId="0" applyFont="1" applyBorder="1" applyAlignment="1">
      <alignment horizontal="center"/>
    </xf>
    <xf numFmtId="0" fontId="11" fillId="3" borderId="3" xfId="0" applyFont="1" applyFill="1" applyBorder="1"/>
    <xf numFmtId="0" fontId="18" fillId="0" borderId="0" xfId="0" applyFont="1"/>
    <xf numFmtId="0" fontId="0" fillId="0" borderId="4" xfId="0" applyBorder="1"/>
    <xf numFmtId="1" fontId="0" fillId="0" borderId="4" xfId="0" applyNumberFormat="1" applyBorder="1"/>
    <xf numFmtId="0" fontId="11" fillId="0" borderId="0" xfId="0" applyFont="1" applyAlignment="1">
      <alignment horizontal="left" indent="1"/>
    </xf>
    <xf numFmtId="0" fontId="18" fillId="0" borderId="0" xfId="0" quotePrefix="1" applyFont="1" applyAlignment="1">
      <alignment horizontal="center"/>
    </xf>
    <xf numFmtId="171" fontId="0" fillId="0" borderId="1" xfId="3" applyNumberFormat="1" applyFont="1" applyFill="1" applyBorder="1"/>
    <xf numFmtId="171" fontId="0" fillId="0" borderId="10" xfId="3" applyNumberFormat="1" applyFont="1" applyFill="1" applyBorder="1"/>
    <xf numFmtId="171" fontId="0" fillId="0" borderId="4" xfId="0" applyNumberFormat="1" applyBorder="1"/>
    <xf numFmtId="0" fontId="31" fillId="3" borderId="0" xfId="0" applyFont="1" applyFill="1"/>
    <xf numFmtId="0" fontId="17" fillId="3" borderId="0" xfId="0" applyFont="1" applyFill="1"/>
    <xf numFmtId="177" fontId="0" fillId="0" borderId="0" xfId="1" applyNumberFormat="1" applyFont="1"/>
    <xf numFmtId="178" fontId="0" fillId="0" borderId="0" xfId="0" applyNumberFormat="1"/>
    <xf numFmtId="0" fontId="6" fillId="0" borderId="0" xfId="0" quotePrefix="1" applyFont="1"/>
    <xf numFmtId="0" fontId="32" fillId="0" borderId="2" xfId="0" applyFont="1" applyBorder="1"/>
    <xf numFmtId="0" fontId="4" fillId="0" borderId="0" xfId="0" applyFont="1"/>
    <xf numFmtId="0" fontId="34" fillId="0" borderId="0" xfId="0" applyFont="1" applyAlignment="1">
      <alignment horizontal="center"/>
    </xf>
    <xf numFmtId="0" fontId="4" fillId="0" borderId="0" xfId="0" quotePrefix="1" applyFont="1"/>
    <xf numFmtId="0" fontId="34" fillId="0" borderId="9" xfId="0" applyFont="1" applyBorder="1" applyAlignment="1">
      <alignment horizontal="center"/>
    </xf>
    <xf numFmtId="0" fontId="4" fillId="0" borderId="9" xfId="0" quotePrefix="1" applyFont="1" applyBorder="1"/>
    <xf numFmtId="0" fontId="4" fillId="0" borderId="9" xfId="0" applyFont="1" applyBorder="1"/>
    <xf numFmtId="0" fontId="4" fillId="0" borderId="1" xfId="0" applyFont="1" applyBorder="1"/>
    <xf numFmtId="0" fontId="4" fillId="0" borderId="1" xfId="0" quotePrefix="1" applyFont="1" applyBorder="1"/>
    <xf numFmtId="0" fontId="3" fillId="0" borderId="0" xfId="0" quotePrefix="1" applyFont="1"/>
    <xf numFmtId="10" fontId="0" fillId="0" borderId="0" xfId="1" applyNumberFormat="1" applyFont="1"/>
    <xf numFmtId="0" fontId="3" fillId="0" borderId="0" xfId="0" applyFont="1"/>
    <xf numFmtId="0" fontId="34" fillId="0" borderId="1" xfId="0" applyFont="1" applyBorder="1" applyAlignment="1">
      <alignment horizontal="center"/>
    </xf>
    <xf numFmtId="0" fontId="0" fillId="11" borderId="0" xfId="0" applyFill="1"/>
    <xf numFmtId="178" fontId="0" fillId="0" borderId="0" xfId="1" applyNumberFormat="1" applyFont="1" applyBorder="1"/>
    <xf numFmtId="0" fontId="2" fillId="0" borderId="0" xfId="0" applyFont="1"/>
    <xf numFmtId="0" fontId="35" fillId="0" borderId="0" xfId="0" applyFont="1"/>
    <xf numFmtId="0" fontId="1" fillId="0" borderId="0" xfId="0" applyFont="1"/>
    <xf numFmtId="9" fontId="0" fillId="0" borderId="12" xfId="1" applyFont="1" applyBorder="1"/>
    <xf numFmtId="43" fontId="11" fillId="0" borderId="0" xfId="3" applyFont="1" applyFill="1"/>
    <xf numFmtId="3" fontId="6" fillId="0" borderId="0" xfId="0" applyNumberFormat="1" applyFont="1" applyAlignment="1">
      <alignment horizontal="center"/>
    </xf>
    <xf numFmtId="3" fontId="6" fillId="2" borderId="0" xfId="0" applyNumberFormat="1" applyFont="1" applyFill="1" applyAlignment="1">
      <alignment horizontal="center"/>
    </xf>
    <xf numFmtId="3" fontId="8" fillId="0" borderId="0" xfId="0" applyNumberFormat="1" applyFont="1"/>
    <xf numFmtId="3" fontId="0" fillId="2" borderId="0" xfId="0" applyNumberFormat="1" applyFill="1"/>
    <xf numFmtId="0" fontId="6" fillId="2" borderId="0" xfId="0" applyFont="1" applyFill="1" applyAlignment="1">
      <alignment horizontal="center"/>
    </xf>
    <xf numFmtId="171" fontId="6" fillId="0" borderId="0" xfId="3" applyNumberFormat="1" applyFont="1" applyFill="1"/>
    <xf numFmtId="9" fontId="6" fillId="0" borderId="0" xfId="1" applyFont="1"/>
    <xf numFmtId="9" fontId="6" fillId="0" borderId="10" xfId="1" applyFont="1" applyBorder="1"/>
    <xf numFmtId="164" fontId="0" fillId="0" borderId="8" xfId="0" applyNumberFormat="1" applyBorder="1"/>
    <xf numFmtId="171" fontId="0" fillId="0" borderId="12" xfId="3" applyNumberFormat="1" applyFont="1" applyFill="1" applyBorder="1"/>
    <xf numFmtId="172" fontId="0" fillId="0" borderId="0" xfId="3" applyNumberFormat="1" applyFont="1" applyFill="1" applyBorder="1"/>
    <xf numFmtId="0" fontId="38" fillId="0" borderId="0" xfId="0" applyFont="1"/>
    <xf numFmtId="17" fontId="0" fillId="0" borderId="3" xfId="0" applyNumberFormat="1" applyBorder="1" applyAlignment="1">
      <alignment horizontal="center"/>
    </xf>
    <xf numFmtId="165" fontId="8" fillId="0" borderId="0" xfId="0" applyNumberFormat="1" applyFont="1" applyAlignment="1">
      <alignment horizontal="right"/>
    </xf>
    <xf numFmtId="17" fontId="6" fillId="0" borderId="5" xfId="0" applyNumberFormat="1" applyFont="1" applyBorder="1" applyAlignment="1">
      <alignment horizontal="center"/>
    </xf>
    <xf numFmtId="164" fontId="6" fillId="0" borderId="2" xfId="0" applyNumberFormat="1" applyFont="1" applyBorder="1"/>
    <xf numFmtId="164" fontId="6" fillId="0" borderId="5" xfId="0" applyNumberFormat="1" applyFont="1" applyBorder="1"/>
    <xf numFmtId="164" fontId="6" fillId="0" borderId="3" xfId="0" applyNumberFormat="1" applyFont="1" applyBorder="1"/>
    <xf numFmtId="179" fontId="0" fillId="0" borderId="0" xfId="0" applyNumberFormat="1"/>
    <xf numFmtId="171" fontId="0" fillId="0" borderId="1" xfId="0" applyNumberFormat="1" applyBorder="1"/>
    <xf numFmtId="10" fontId="0" fillId="0" borderId="3" xfId="1" applyNumberFormat="1" applyFont="1" applyFill="1" applyBorder="1" applyAlignment="1">
      <alignment vertical="center"/>
    </xf>
    <xf numFmtId="167" fontId="11" fillId="0" borderId="3" xfId="1" applyNumberFormat="1" applyFont="1" applyFill="1" applyBorder="1" applyAlignment="1">
      <alignment vertical="center"/>
    </xf>
    <xf numFmtId="10" fontId="11" fillId="0" borderId="3" xfId="1" applyNumberFormat="1" applyFont="1" applyFill="1" applyBorder="1" applyAlignment="1">
      <alignment vertical="center"/>
    </xf>
    <xf numFmtId="164" fontId="8" fillId="0" borderId="0" xfId="0" applyNumberFormat="1" applyFont="1"/>
    <xf numFmtId="169" fontId="0" fillId="0" borderId="0" xfId="0" applyNumberFormat="1"/>
    <xf numFmtId="9" fontId="8" fillId="0" borderId="0" xfId="1" applyFont="1"/>
    <xf numFmtId="0" fontId="6" fillId="4" borderId="3" xfId="0" applyFont="1" applyFill="1" applyBorder="1" applyAlignment="1">
      <alignment horizontal="center" wrapText="1"/>
    </xf>
    <xf numFmtId="0" fontId="11" fillId="0" borderId="3" xfId="0" applyFont="1" applyBorder="1"/>
    <xf numFmtId="9" fontId="0" fillId="0" borderId="3" xfId="0" applyNumberFormat="1" applyBorder="1"/>
    <xf numFmtId="164" fontId="11" fillId="0" borderId="17" xfId="0" applyNumberFormat="1" applyFont="1" applyBorder="1"/>
    <xf numFmtId="9" fontId="11" fillId="0" borderId="17" xfId="0" applyNumberFormat="1" applyFont="1" applyBorder="1"/>
    <xf numFmtId="9" fontId="11" fillId="0" borderId="10" xfId="0" applyNumberFormat="1" applyFont="1" applyBorder="1"/>
    <xf numFmtId="9" fontId="11" fillId="0" borderId="0" xfId="0" applyNumberFormat="1" applyFont="1"/>
    <xf numFmtId="3" fontId="7" fillId="0" borderId="0" xfId="0" applyNumberFormat="1" applyFont="1"/>
    <xf numFmtId="171" fontId="11" fillId="0" borderId="0" xfId="3" applyNumberFormat="1" applyFont="1" applyBorder="1"/>
    <xf numFmtId="173" fontId="0" fillId="0" borderId="3" xfId="0" applyNumberFormat="1" applyBorder="1"/>
    <xf numFmtId="2" fontId="8" fillId="0" borderId="0" xfId="0" applyNumberFormat="1" applyFont="1"/>
    <xf numFmtId="43" fontId="39" fillId="0" borderId="0" xfId="3" applyFont="1" applyFill="1"/>
    <xf numFmtId="43" fontId="39" fillId="0" borderId="0" xfId="3" applyFont="1"/>
    <xf numFmtId="180" fontId="0" fillId="0" borderId="0" xfId="0" applyNumberFormat="1"/>
    <xf numFmtId="9" fontId="0" fillId="7" borderId="12" xfId="1" applyFont="1" applyFill="1" applyBorder="1"/>
    <xf numFmtId="9" fontId="0" fillId="7" borderId="1" xfId="1" applyFont="1" applyFill="1" applyBorder="1"/>
    <xf numFmtId="0" fontId="0" fillId="0" borderId="3" xfId="0" applyBorder="1" applyAlignment="1">
      <alignment wrapText="1"/>
    </xf>
    <xf numFmtId="3" fontId="11" fillId="0" borderId="10" xfId="0" applyNumberFormat="1" applyFont="1" applyBorder="1"/>
    <xf numFmtId="3" fontId="11" fillId="0" borderId="11" xfId="0" applyNumberFormat="1" applyFont="1" applyBorder="1"/>
    <xf numFmtId="3" fontId="11" fillId="0" borderId="12" xfId="0" applyNumberFormat="1" applyFont="1" applyBorder="1"/>
    <xf numFmtId="3" fontId="11" fillId="0" borderId="1" xfId="0" applyNumberFormat="1" applyFont="1" applyBorder="1"/>
    <xf numFmtId="3" fontId="11" fillId="0" borderId="13" xfId="0" applyNumberFormat="1" applyFont="1" applyBorder="1"/>
    <xf numFmtId="9" fontId="0" fillId="0" borderId="0" xfId="1" applyFont="1" applyFill="1"/>
    <xf numFmtId="9" fontId="8" fillId="0" borderId="0" xfId="1" applyFont="1" applyFill="1"/>
    <xf numFmtId="3" fontId="11" fillId="0" borderId="0" xfId="0" applyNumberFormat="1" applyFont="1"/>
    <xf numFmtId="9" fontId="0" fillId="0" borderId="7" xfId="1" applyFont="1" applyFill="1" applyBorder="1"/>
    <xf numFmtId="9" fontId="0" fillId="0" borderId="9" xfId="1" applyFont="1" applyFill="1" applyBorder="1"/>
    <xf numFmtId="9" fontId="0" fillId="0" borderId="8" xfId="1" applyFont="1" applyFill="1" applyBorder="1"/>
    <xf numFmtId="9" fontId="0" fillId="0" borderId="10" xfId="1" applyFont="1" applyFill="1" applyBorder="1"/>
    <xf numFmtId="9" fontId="0" fillId="0" borderId="11" xfId="1" applyFont="1" applyFill="1" applyBorder="1"/>
    <xf numFmtId="10" fontId="0" fillId="9" borderId="14" xfId="1" applyNumberFormat="1" applyFont="1" applyFill="1" applyBorder="1"/>
    <xf numFmtId="10" fontId="0" fillId="9" borderId="15" xfId="1" applyNumberFormat="1" applyFont="1" applyFill="1" applyBorder="1"/>
    <xf numFmtId="10" fontId="0" fillId="9" borderId="16" xfId="1" applyNumberFormat="1" applyFont="1" applyFill="1" applyBorder="1"/>
    <xf numFmtId="9" fontId="0" fillId="0" borderId="3" xfId="0" applyNumberFormat="1" applyBorder="1" applyAlignment="1">
      <alignment horizontal="right"/>
    </xf>
    <xf numFmtId="181" fontId="0" fillId="0" borderId="0" xfId="3" applyNumberFormat="1" applyFont="1"/>
    <xf numFmtId="181" fontId="0" fillId="0" borderId="0" xfId="0" applyNumberFormat="1"/>
    <xf numFmtId="0" fontId="28" fillId="0" borderId="0" xfId="0" applyFont="1"/>
    <xf numFmtId="17" fontId="6" fillId="0" borderId="11" xfId="0" applyNumberFormat="1" applyFont="1" applyBorder="1" applyAlignment="1">
      <alignment horizontal="center"/>
    </xf>
    <xf numFmtId="0" fontId="0" fillId="0" borderId="11" xfId="0" applyBorder="1"/>
    <xf numFmtId="9" fontId="0" fillId="0" borderId="11" xfId="0" applyNumberFormat="1" applyBorder="1"/>
    <xf numFmtId="10" fontId="0" fillId="0" borderId="11" xfId="0" applyNumberFormat="1" applyBorder="1"/>
    <xf numFmtId="0" fontId="40" fillId="0" borderId="0" xfId="0" quotePrefix="1" applyFont="1"/>
    <xf numFmtId="3" fontId="11" fillId="15" borderId="12" xfId="0" applyNumberFormat="1" applyFont="1" applyFill="1" applyBorder="1"/>
    <xf numFmtId="3" fontId="27" fillId="15" borderId="1" xfId="0" applyNumberFormat="1" applyFont="1" applyFill="1" applyBorder="1"/>
    <xf numFmtId="3" fontId="27" fillId="15" borderId="13" xfId="0" applyNumberFormat="1" applyFont="1" applyFill="1" applyBorder="1"/>
    <xf numFmtId="3" fontId="11" fillId="15" borderId="10" xfId="0" applyNumberFormat="1" applyFont="1" applyFill="1" applyBorder="1"/>
    <xf numFmtId="3" fontId="27" fillId="15" borderId="0" xfId="0" applyNumberFormat="1" applyFont="1" applyFill="1"/>
    <xf numFmtId="3" fontId="27" fillId="15" borderId="11" xfId="0" applyNumberFormat="1" applyFont="1" applyFill="1" applyBorder="1"/>
    <xf numFmtId="182" fontId="34" fillId="0" borderId="0" xfId="1" applyNumberFormat="1" applyFont="1" applyFill="1" applyBorder="1"/>
    <xf numFmtId="0" fontId="42" fillId="16" borderId="20" xfId="0" applyFont="1" applyFill="1" applyBorder="1" applyAlignment="1">
      <alignment horizontal="center" vertical="center"/>
    </xf>
    <xf numFmtId="0" fontId="41" fillId="0" borderId="0" xfId="0" applyFont="1"/>
    <xf numFmtId="0" fontId="43" fillId="17" borderId="21" xfId="0" applyFont="1" applyFill="1" applyBorder="1" applyProtection="1">
      <protection locked="0"/>
    </xf>
    <xf numFmtId="1" fontId="43" fillId="17" borderId="21" xfId="0" applyNumberFormat="1" applyFont="1" applyFill="1" applyBorder="1" applyAlignment="1" applyProtection="1">
      <alignment horizontal="center"/>
      <protection locked="0"/>
    </xf>
    <xf numFmtId="0" fontId="43" fillId="17" borderId="21" xfId="0" applyFont="1" applyFill="1" applyBorder="1" applyAlignment="1" applyProtection="1">
      <alignment horizontal="center"/>
      <protection locked="0"/>
    </xf>
    <xf numFmtId="0" fontId="43" fillId="18" borderId="21" xfId="0" applyFont="1" applyFill="1" applyBorder="1" applyAlignment="1" applyProtection="1">
      <alignment horizontal="center"/>
      <protection locked="0"/>
    </xf>
    <xf numFmtId="43" fontId="41" fillId="17" borderId="21" xfId="3" applyFont="1" applyFill="1" applyBorder="1" applyAlignment="1" applyProtection="1">
      <alignment horizontal="center"/>
      <protection locked="0"/>
    </xf>
    <xf numFmtId="43" fontId="41" fillId="17" borderId="20" xfId="3" applyFont="1" applyFill="1" applyBorder="1" applyAlignment="1" applyProtection="1">
      <alignment horizontal="center"/>
      <protection locked="0"/>
    </xf>
    <xf numFmtId="43" fontId="41" fillId="0" borderId="0" xfId="3" applyFont="1" applyFill="1" applyBorder="1"/>
    <xf numFmtId="0" fontId="44" fillId="0" borderId="0" xfId="0" applyFont="1"/>
    <xf numFmtId="43" fontId="44" fillId="0" borderId="3" xfId="0" applyNumberFormat="1" applyFont="1" applyBorder="1"/>
    <xf numFmtId="0" fontId="44" fillId="0" borderId="0" xfId="0" applyFont="1" applyAlignment="1">
      <alignment horizontal="center"/>
    </xf>
    <xf numFmtId="0" fontId="44" fillId="0" borderId="0" xfId="0" applyFont="1" applyAlignment="1">
      <alignment horizontal="right"/>
    </xf>
    <xf numFmtId="10" fontId="41" fillId="0" borderId="0" xfId="1" applyNumberFormat="1" applyFont="1" applyFill="1" applyBorder="1" applyAlignment="1">
      <alignment horizontal="center"/>
    </xf>
    <xf numFmtId="43" fontId="8" fillId="0" borderId="0" xfId="0" applyNumberFormat="1" applyFont="1"/>
    <xf numFmtId="0" fontId="0" fillId="0" borderId="8" xfId="0" applyBorder="1"/>
    <xf numFmtId="164" fontId="6" fillId="0" borderId="6" xfId="0" applyNumberFormat="1" applyFont="1" applyBorder="1"/>
    <xf numFmtId="0" fontId="6" fillId="12" borderId="0" xfId="0" applyFont="1" applyFill="1"/>
    <xf numFmtId="164" fontId="6" fillId="12" borderId="2" xfId="0" applyNumberFormat="1" applyFont="1" applyFill="1" applyBorder="1"/>
    <xf numFmtId="164" fontId="6" fillId="12" borderId="5" xfId="0" applyNumberFormat="1" applyFont="1" applyFill="1" applyBorder="1"/>
    <xf numFmtId="164" fontId="6" fillId="12" borderId="3" xfId="0" applyNumberFormat="1" applyFont="1" applyFill="1" applyBorder="1"/>
    <xf numFmtId="0" fontId="0" fillId="0" borderId="0" xfId="1" quotePrefix="1" applyNumberFormat="1" applyFont="1"/>
    <xf numFmtId="170" fontId="15" fillId="0" borderId="0" xfId="3" quotePrefix="1" applyNumberFormat="1" applyFont="1" applyAlignment="1">
      <alignment horizontal="right"/>
    </xf>
    <xf numFmtId="0" fontId="6" fillId="9" borderId="0" xfId="0" applyFont="1" applyFill="1"/>
    <xf numFmtId="164" fontId="6" fillId="9" borderId="2" xfId="0" applyNumberFormat="1" applyFont="1" applyFill="1" applyBorder="1"/>
    <xf numFmtId="164" fontId="6" fillId="9" borderId="5" xfId="0" applyNumberFormat="1" applyFont="1" applyFill="1" applyBorder="1"/>
    <xf numFmtId="164" fontId="6" fillId="9" borderId="3" xfId="0" applyNumberFormat="1" applyFont="1" applyFill="1" applyBorder="1"/>
    <xf numFmtId="10" fontId="0" fillId="0" borderId="0" xfId="1" applyNumberFormat="1" applyFont="1" applyFill="1" applyBorder="1" applyAlignment="1">
      <alignment horizontal="center"/>
    </xf>
    <xf numFmtId="164" fontId="6" fillId="0" borderId="12" xfId="0" applyNumberFormat="1" applyFont="1" applyBorder="1"/>
    <xf numFmtId="164" fontId="6" fillId="0" borderId="1" xfId="0" applyNumberFormat="1" applyFont="1" applyBorder="1"/>
    <xf numFmtId="164" fontId="6" fillId="0" borderId="13" xfId="0" applyNumberFormat="1" applyFont="1" applyBorder="1"/>
    <xf numFmtId="166" fontId="41" fillId="0" borderId="0" xfId="0" applyNumberFormat="1" applyFont="1"/>
    <xf numFmtId="0" fontId="6" fillId="0" borderId="0" xfId="0" applyFont="1" applyAlignment="1">
      <alignment horizontal="right"/>
    </xf>
    <xf numFmtId="164" fontId="6" fillId="0" borderId="0" xfId="0" applyNumberFormat="1" applyFont="1" applyAlignment="1">
      <alignment horizontal="right"/>
    </xf>
    <xf numFmtId="17" fontId="6" fillId="0" borderId="3" xfId="0" applyNumberFormat="1" applyFont="1" applyBorder="1" applyAlignment="1">
      <alignment horizontal="center"/>
    </xf>
    <xf numFmtId="0" fontId="6" fillId="0" borderId="0" xfId="0" applyFont="1" applyAlignment="1">
      <alignment horizontal="right" indent="1"/>
    </xf>
    <xf numFmtId="164" fontId="6" fillId="0" borderId="18" xfId="0" applyNumberFormat="1" applyFont="1" applyBorder="1" applyAlignment="1">
      <alignment horizontal="center"/>
    </xf>
    <xf numFmtId="170" fontId="0" fillId="0" borderId="0" xfId="3" applyNumberFormat="1" applyFont="1" applyFill="1" applyBorder="1"/>
    <xf numFmtId="170" fontId="0" fillId="0" borderId="0" xfId="0" applyNumberFormat="1"/>
    <xf numFmtId="43" fontId="0" fillId="0" borderId="0" xfId="3" applyFont="1" applyFill="1" applyBorder="1"/>
    <xf numFmtId="171" fontId="0" fillId="0" borderId="0" xfId="3" applyNumberFormat="1" applyFont="1" applyFill="1" applyBorder="1"/>
    <xf numFmtId="0" fontId="0" fillId="20" borderId="0" xfId="0" applyFill="1"/>
    <xf numFmtId="9" fontId="0" fillId="20" borderId="10" xfId="1" applyFont="1" applyFill="1" applyBorder="1"/>
    <xf numFmtId="9" fontId="0" fillId="20" borderId="0" xfId="1" applyFont="1" applyFill="1" applyBorder="1"/>
    <xf numFmtId="9" fontId="0" fillId="20" borderId="11" xfId="1" applyFont="1" applyFill="1" applyBorder="1"/>
    <xf numFmtId="0" fontId="1" fillId="23" borderId="0" xfId="0" applyFont="1" applyFill="1"/>
    <xf numFmtId="171" fontId="46" fillId="23" borderId="0" xfId="0" applyNumberFormat="1" applyFont="1" applyFill="1"/>
    <xf numFmtId="0" fontId="42" fillId="24" borderId="20" xfId="0" applyFont="1" applyFill="1" applyBorder="1" applyAlignment="1">
      <alignment horizontal="center" vertical="center"/>
    </xf>
    <xf numFmtId="0" fontId="45" fillId="23" borderId="0" xfId="0" applyFont="1" applyFill="1"/>
    <xf numFmtId="184" fontId="43" fillId="21" borderId="21" xfId="1" applyNumberFormat="1" applyFont="1" applyFill="1" applyBorder="1" applyAlignment="1" applyProtection="1">
      <alignment horizontal="center" vertical="center"/>
      <protection locked="0"/>
    </xf>
    <xf numFmtId="10" fontId="47" fillId="0" borderId="0" xfId="1" applyNumberFormat="1" applyFont="1" applyFill="1" applyBorder="1" applyAlignment="1">
      <alignment horizontal="center" vertical="center"/>
    </xf>
    <xf numFmtId="0" fontId="47" fillId="25" borderId="0" xfId="0" applyFont="1" applyFill="1"/>
    <xf numFmtId="0" fontId="1" fillId="25" borderId="0" xfId="0" applyFont="1" applyFill="1"/>
    <xf numFmtId="171" fontId="48" fillId="23" borderId="0" xfId="0" applyNumberFormat="1" applyFont="1" applyFill="1"/>
    <xf numFmtId="0" fontId="42" fillId="24" borderId="0" xfId="0" applyFont="1" applyFill="1" applyAlignment="1">
      <alignment horizontal="center" vertical="center"/>
    </xf>
    <xf numFmtId="0" fontId="49" fillId="0" borderId="0" xfId="0" applyFont="1" applyAlignment="1">
      <alignment vertical="center"/>
    </xf>
    <xf numFmtId="10" fontId="50" fillId="22" borderId="22" xfId="1" quotePrefix="1" applyNumberFormat="1" applyFont="1" applyFill="1" applyBorder="1" applyAlignment="1">
      <alignment horizontal="center" vertical="center"/>
    </xf>
    <xf numFmtId="10" fontId="0" fillId="26" borderId="3" xfId="0" applyNumberFormat="1" applyFill="1" applyBorder="1"/>
    <xf numFmtId="0" fontId="42" fillId="16" borderId="23" xfId="0" applyFont="1" applyFill="1" applyBorder="1" applyAlignment="1">
      <alignment horizontal="center" vertical="center"/>
    </xf>
    <xf numFmtId="9" fontId="41" fillId="17" borderId="21" xfId="3" applyNumberFormat="1" applyFont="1" applyFill="1" applyBorder="1" applyAlignment="1" applyProtection="1">
      <alignment horizontal="center"/>
      <protection locked="0"/>
    </xf>
    <xf numFmtId="0" fontId="17" fillId="13" borderId="0" xfId="0" quotePrefix="1" applyFont="1" applyFill="1" applyAlignment="1">
      <alignment horizontal="center"/>
    </xf>
    <xf numFmtId="172" fontId="15" fillId="0" borderId="5" xfId="0" applyNumberFormat="1" applyFont="1" applyBorder="1" applyAlignment="1">
      <alignment horizontal="center"/>
    </xf>
    <xf numFmtId="171" fontId="0" fillId="20" borderId="1" xfId="3" applyNumberFormat="1" applyFont="1" applyFill="1" applyBorder="1"/>
    <xf numFmtId="164" fontId="6" fillId="12" borderId="6" xfId="0" applyNumberFormat="1" applyFont="1" applyFill="1" applyBorder="1"/>
    <xf numFmtId="0" fontId="17" fillId="15" borderId="0" xfId="0" applyFont="1" applyFill="1" applyAlignment="1">
      <alignment horizontal="center"/>
    </xf>
    <xf numFmtId="6" fontId="0" fillId="0" borderId="10" xfId="3" applyNumberFormat="1" applyFont="1" applyBorder="1"/>
    <xf numFmtId="6" fontId="0" fillId="0" borderId="0" xfId="3" applyNumberFormat="1" applyFont="1" applyBorder="1"/>
    <xf numFmtId="6" fontId="0" fillId="0" borderId="11" xfId="3" applyNumberFormat="1" applyFont="1" applyBorder="1"/>
    <xf numFmtId="6" fontId="0" fillId="0" borderId="11" xfId="0" applyNumberFormat="1" applyBorder="1"/>
    <xf numFmtId="6" fontId="0" fillId="0" borderId="0" xfId="0" applyNumberFormat="1"/>
    <xf numFmtId="6" fontId="0" fillId="0" borderId="10" xfId="0" applyNumberFormat="1" applyBorder="1"/>
    <xf numFmtId="164" fontId="0" fillId="0" borderId="0" xfId="3" applyNumberFormat="1" applyFont="1"/>
    <xf numFmtId="0" fontId="30" fillId="0" borderId="0" xfId="0" applyFont="1"/>
    <xf numFmtId="168" fontId="6" fillId="0" borderId="0" xfId="0" applyNumberFormat="1" applyFont="1" applyAlignment="1">
      <alignment horizontal="center"/>
    </xf>
    <xf numFmtId="167" fontId="0" fillId="0" borderId="0" xfId="1" applyNumberFormat="1" applyFont="1" applyFill="1" applyBorder="1"/>
    <xf numFmtId="10" fontId="0" fillId="0" borderId="0" xfId="1" applyNumberFormat="1" applyFont="1" applyFill="1"/>
    <xf numFmtId="10" fontId="0" fillId="27" borderId="0" xfId="1" applyNumberFormat="1" applyFont="1" applyFill="1"/>
    <xf numFmtId="0" fontId="0" fillId="27" borderId="10" xfId="0" applyFill="1" applyBorder="1"/>
    <xf numFmtId="164" fontId="0" fillId="27" borderId="17" xfId="0" applyNumberFormat="1" applyFill="1" applyBorder="1"/>
    <xf numFmtId="164" fontId="0" fillId="27" borderId="10" xfId="0" applyNumberFormat="1" applyFill="1" applyBorder="1"/>
    <xf numFmtId="164" fontId="0" fillId="27" borderId="0" xfId="0" applyNumberFormat="1" applyFill="1"/>
    <xf numFmtId="164" fontId="0" fillId="27" borderId="11" xfId="0" applyNumberFormat="1" applyFill="1" applyBorder="1"/>
    <xf numFmtId="9" fontId="0" fillId="27" borderId="17" xfId="0" applyNumberFormat="1" applyFill="1" applyBorder="1"/>
    <xf numFmtId="9" fontId="0" fillId="27" borderId="10" xfId="0" applyNumberFormat="1" applyFill="1" applyBorder="1"/>
    <xf numFmtId="9" fontId="0" fillId="27" borderId="0" xfId="1" applyFont="1" applyFill="1" applyBorder="1"/>
    <xf numFmtId="9" fontId="0" fillId="27" borderId="0" xfId="0" applyNumberFormat="1" applyFill="1"/>
    <xf numFmtId="9" fontId="0" fillId="27" borderId="10" xfId="1" applyFont="1" applyFill="1" applyBorder="1"/>
    <xf numFmtId="9" fontId="0" fillId="27" borderId="11" xfId="1" applyFont="1" applyFill="1" applyBorder="1"/>
    <xf numFmtId="9" fontId="0" fillId="0" borderId="0" xfId="1" applyFont="1" applyAlignment="1">
      <alignment horizontal="left" indent="1"/>
    </xf>
    <xf numFmtId="17" fontId="6" fillId="0" borderId="7" xfId="0" applyNumberFormat="1" applyFont="1" applyBorder="1" applyAlignment="1">
      <alignment horizontal="center"/>
    </xf>
    <xf numFmtId="17" fontId="6" fillId="0" borderId="8" xfId="0" applyNumberFormat="1" applyFont="1" applyBorder="1" applyAlignment="1">
      <alignment horizontal="center"/>
    </xf>
    <xf numFmtId="3" fontId="0" fillId="0" borderId="4" xfId="0" applyNumberFormat="1" applyBorder="1"/>
    <xf numFmtId="1" fontId="0" fillId="12" borderId="0" xfId="0" applyNumberFormat="1" applyFill="1"/>
    <xf numFmtId="9" fontId="0" fillId="0" borderId="0" xfId="1" applyFont="1" applyAlignment="1">
      <alignment horizontal="right"/>
    </xf>
    <xf numFmtId="171" fontId="8" fillId="0" borderId="0" xfId="3" applyNumberFormat="1" applyFont="1"/>
    <xf numFmtId="0" fontId="6" fillId="28" borderId="0" xfId="0" applyFont="1" applyFill="1"/>
    <xf numFmtId="43" fontId="0" fillId="20" borderId="1" xfId="1" applyNumberFormat="1" applyFont="1" applyFill="1" applyBorder="1"/>
    <xf numFmtId="43" fontId="0" fillId="20" borderId="12" xfId="1" applyNumberFormat="1" applyFont="1" applyFill="1" applyBorder="1"/>
    <xf numFmtId="43" fontId="0" fillId="20" borderId="13" xfId="1" applyNumberFormat="1" applyFont="1" applyFill="1" applyBorder="1"/>
    <xf numFmtId="167" fontId="11" fillId="0" borderId="0" xfId="1" applyNumberFormat="1" applyFont="1" applyFill="1"/>
    <xf numFmtId="0" fontId="0" fillId="12" borderId="0" xfId="0" applyFill="1"/>
    <xf numFmtId="0" fontId="51" fillId="29" borderId="0" xfId="0" applyFont="1" applyFill="1"/>
    <xf numFmtId="0" fontId="4" fillId="0" borderId="0" xfId="0" applyFont="1" applyAlignment="1">
      <alignment wrapText="1"/>
    </xf>
    <xf numFmtId="0" fontId="0" fillId="27" borderId="0" xfId="0" applyFill="1"/>
    <xf numFmtId="0" fontId="11" fillId="27" borderId="0" xfId="0" applyFont="1" applyFill="1" applyAlignment="1">
      <alignment horizontal="left" indent="1"/>
    </xf>
    <xf numFmtId="0" fontId="0" fillId="27" borderId="0" xfId="0" applyFill="1" applyAlignment="1">
      <alignment horizontal="right"/>
    </xf>
    <xf numFmtId="0" fontId="11" fillId="27" borderId="0" xfId="0" applyFont="1" applyFill="1"/>
    <xf numFmtId="0" fontId="11" fillId="27" borderId="0" xfId="0" applyFont="1" applyFill="1" applyAlignment="1">
      <alignment horizontal="left"/>
    </xf>
    <xf numFmtId="0" fontId="4" fillId="0" borderId="0" xfId="0" applyFont="1" applyAlignment="1">
      <alignment vertical="center"/>
    </xf>
    <xf numFmtId="0" fontId="0" fillId="27" borderId="3" xfId="0" applyFill="1" applyBorder="1" applyAlignment="1">
      <alignment vertical="center"/>
    </xf>
    <xf numFmtId="167" fontId="0" fillId="27" borderId="3" xfId="1" applyNumberFormat="1" applyFont="1" applyFill="1" applyBorder="1" applyAlignment="1">
      <alignment vertical="center"/>
    </xf>
    <xf numFmtId="0" fontId="0" fillId="27" borderId="19" xfId="0" applyFill="1" applyBorder="1" applyAlignment="1">
      <alignment horizontal="center" vertical="center"/>
    </xf>
    <xf numFmtId="0" fontId="11" fillId="27" borderId="3" xfId="0" applyFont="1" applyFill="1" applyBorder="1"/>
    <xf numFmtId="167" fontId="11" fillId="27" borderId="3" xfId="1" applyNumberFormat="1" applyFont="1" applyFill="1" applyBorder="1" applyAlignment="1">
      <alignment vertical="center"/>
    </xf>
    <xf numFmtId="0" fontId="0" fillId="0" borderId="5" xfId="0" applyBorder="1" applyAlignment="1">
      <alignment vertical="center" wrapText="1"/>
    </xf>
    <xf numFmtId="0" fontId="0" fillId="0" borderId="2" xfId="0" applyBorder="1" applyAlignment="1">
      <alignment vertical="center" wrapText="1"/>
    </xf>
    <xf numFmtId="0" fontId="0" fillId="0" borderId="6" xfId="0" applyBorder="1" applyAlignment="1">
      <alignment vertical="center" wrapText="1"/>
    </xf>
    <xf numFmtId="0" fontId="6" fillId="0" borderId="5"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0" fillId="0" borderId="2" xfId="0" applyBorder="1" applyAlignment="1">
      <alignment vertical="center"/>
    </xf>
    <xf numFmtId="0" fontId="0" fillId="0" borderId="6" xfId="0" applyBorder="1" applyAlignment="1">
      <alignment vertical="center"/>
    </xf>
    <xf numFmtId="0" fontId="0" fillId="3" borderId="5" xfId="0" applyFill="1" applyBorder="1" applyAlignment="1">
      <alignment vertical="center" wrapText="1"/>
    </xf>
    <xf numFmtId="0" fontId="0" fillId="3" borderId="2" xfId="0" applyFill="1" applyBorder="1" applyAlignment="1">
      <alignment vertical="center" wrapText="1"/>
    </xf>
    <xf numFmtId="0" fontId="0" fillId="3" borderId="6" xfId="0" applyFill="1" applyBorder="1" applyAlignment="1">
      <alignment vertical="center" wrapText="1"/>
    </xf>
    <xf numFmtId="0" fontId="0" fillId="0" borderId="10" xfId="0" applyBorder="1"/>
    <xf numFmtId="0" fontId="0" fillId="0" borderId="0" xfId="0"/>
    <xf numFmtId="0" fontId="0" fillId="0" borderId="10" xfId="0" applyBorder="1" applyAlignment="1">
      <alignment horizontal="left"/>
    </xf>
    <xf numFmtId="0" fontId="0" fillId="0" borderId="0" xfId="0" applyAlignment="1">
      <alignment horizontal="left"/>
    </xf>
    <xf numFmtId="0" fontId="23" fillId="8" borderId="1" xfId="0" applyFont="1" applyFill="1" applyBorder="1" applyAlignment="1">
      <alignment horizontal="center"/>
    </xf>
    <xf numFmtId="0" fontId="0" fillId="0" borderId="18" xfId="0" applyBorder="1" applyAlignment="1">
      <alignment horizontal="center" vertical="center"/>
    </xf>
    <xf numFmtId="0" fontId="0" fillId="0" borderId="19" xfId="0" applyBorder="1" applyAlignment="1">
      <alignment horizontal="center" vertical="center"/>
    </xf>
    <xf numFmtId="0" fontId="6" fillId="9" borderId="0" xfId="0" applyFont="1" applyFill="1" applyAlignment="1">
      <alignment horizontal="center"/>
    </xf>
    <xf numFmtId="0" fontId="0" fillId="0" borderId="17" xfId="0" applyBorder="1" applyAlignment="1">
      <alignment horizontal="center" vertical="center"/>
    </xf>
    <xf numFmtId="0" fontId="0" fillId="2" borderId="5" xfId="0" applyFill="1" applyBorder="1" applyAlignment="1">
      <alignment horizontal="center"/>
    </xf>
    <xf numFmtId="0" fontId="0" fillId="2" borderId="2" xfId="0" applyFill="1" applyBorder="1" applyAlignment="1">
      <alignment horizontal="center"/>
    </xf>
    <xf numFmtId="0" fontId="0" fillId="2" borderId="6" xfId="0" applyFill="1" applyBorder="1" applyAlignment="1">
      <alignment horizontal="center"/>
    </xf>
    <xf numFmtId="0" fontId="0" fillId="13" borderId="5" xfId="0" applyFill="1" applyBorder="1" applyAlignment="1">
      <alignment horizontal="center"/>
    </xf>
    <xf numFmtId="0" fontId="0" fillId="13" borderId="2" xfId="0" applyFill="1" applyBorder="1" applyAlignment="1">
      <alignment horizontal="center"/>
    </xf>
    <xf numFmtId="0" fontId="0" fillId="13" borderId="6" xfId="0" applyFill="1" applyBorder="1" applyAlignment="1">
      <alignment horizontal="center"/>
    </xf>
    <xf numFmtId="0" fontId="17" fillId="2" borderId="0" xfId="0" applyFont="1" applyFill="1" applyAlignment="1">
      <alignment horizontal="center"/>
    </xf>
    <xf numFmtId="0" fontId="17" fillId="13" borderId="0" xfId="0" quotePrefix="1" applyFont="1" applyFill="1" applyAlignment="1">
      <alignment horizontal="center"/>
    </xf>
    <xf numFmtId="0" fontId="17" fillId="15" borderId="0" xfId="0" applyFont="1" applyFill="1" applyAlignment="1">
      <alignment horizontal="center"/>
    </xf>
    <xf numFmtId="0" fontId="6" fillId="2" borderId="0" xfId="0" applyFont="1" applyFill="1" applyAlignment="1">
      <alignment horizontal="center"/>
    </xf>
    <xf numFmtId="0" fontId="17" fillId="13" borderId="0" xfId="0" applyFont="1" applyFill="1" applyAlignment="1">
      <alignment horizontal="center"/>
    </xf>
    <xf numFmtId="0" fontId="0" fillId="14" borderId="0" xfId="0" quotePrefix="1" applyFill="1" applyAlignment="1">
      <alignment horizontal="center"/>
    </xf>
    <xf numFmtId="0" fontId="6" fillId="0" borderId="0" xfId="0" applyFont="1" applyAlignment="1">
      <alignment horizontal="center"/>
    </xf>
    <xf numFmtId="0" fontId="6" fillId="2" borderId="5" xfId="0" quotePrefix="1" applyFont="1" applyFill="1" applyBorder="1" applyAlignment="1">
      <alignment horizontal="center"/>
    </xf>
    <xf numFmtId="0" fontId="6" fillId="2" borderId="2" xfId="0" quotePrefix="1" applyFont="1" applyFill="1" applyBorder="1" applyAlignment="1">
      <alignment horizontal="center"/>
    </xf>
    <xf numFmtId="0" fontId="6" fillId="2" borderId="6" xfId="0" quotePrefix="1" applyFont="1" applyFill="1" applyBorder="1" applyAlignment="1">
      <alignment horizontal="center"/>
    </xf>
    <xf numFmtId="0" fontId="6" fillId="2" borderId="5" xfId="0" applyFont="1" applyFill="1" applyBorder="1" applyAlignment="1">
      <alignment horizontal="center"/>
    </xf>
    <xf numFmtId="0" fontId="6" fillId="2" borderId="2" xfId="0" applyFont="1" applyFill="1" applyBorder="1" applyAlignment="1">
      <alignment horizontal="center"/>
    </xf>
    <xf numFmtId="0" fontId="6" fillId="2" borderId="6" xfId="0" applyFont="1" applyFill="1" applyBorder="1" applyAlignment="1">
      <alignment horizontal="center"/>
    </xf>
    <xf numFmtId="0" fontId="6" fillId="11" borderId="5" xfId="0" applyFont="1" applyFill="1" applyBorder="1" applyAlignment="1">
      <alignment horizontal="center"/>
    </xf>
    <xf numFmtId="0" fontId="6" fillId="11" borderId="2" xfId="0" applyFont="1" applyFill="1" applyBorder="1" applyAlignment="1">
      <alignment horizontal="center"/>
    </xf>
    <xf numFmtId="0" fontId="6" fillId="11" borderId="6" xfId="0" applyFont="1" applyFill="1" applyBorder="1" applyAlignment="1">
      <alignment horizontal="center"/>
    </xf>
    <xf numFmtId="0" fontId="6" fillId="19" borderId="5" xfId="0" applyFont="1" applyFill="1" applyBorder="1" applyAlignment="1">
      <alignment horizontal="center"/>
    </xf>
    <xf numFmtId="0" fontId="6" fillId="19" borderId="2" xfId="0" applyFont="1" applyFill="1" applyBorder="1" applyAlignment="1">
      <alignment horizontal="center"/>
    </xf>
    <xf numFmtId="0" fontId="6" fillId="19" borderId="6" xfId="0" applyFont="1" applyFill="1" applyBorder="1" applyAlignment="1">
      <alignment horizontal="center"/>
    </xf>
    <xf numFmtId="0" fontId="6" fillId="2" borderId="12" xfId="0" quotePrefix="1" applyFont="1" applyFill="1" applyBorder="1" applyAlignment="1">
      <alignment horizontal="center"/>
    </xf>
    <xf numFmtId="0" fontId="6" fillId="2" borderId="1" xfId="0" quotePrefix="1" applyFont="1" applyFill="1" applyBorder="1" applyAlignment="1">
      <alignment horizontal="center"/>
    </xf>
    <xf numFmtId="0" fontId="6" fillId="2" borderId="13" xfId="0" quotePrefix="1" applyFont="1" applyFill="1" applyBorder="1" applyAlignment="1">
      <alignment horizontal="center"/>
    </xf>
    <xf numFmtId="0" fontId="6" fillId="15" borderId="5" xfId="0" applyFont="1" applyFill="1" applyBorder="1" applyAlignment="1">
      <alignment horizontal="center"/>
    </xf>
    <xf numFmtId="0" fontId="6" fillId="15" borderId="2" xfId="0" applyFont="1" applyFill="1" applyBorder="1" applyAlignment="1">
      <alignment horizontal="center"/>
    </xf>
    <xf numFmtId="0" fontId="6" fillId="15" borderId="6" xfId="0" applyFont="1" applyFill="1" applyBorder="1" applyAlignment="1">
      <alignment horizontal="center"/>
    </xf>
    <xf numFmtId="172" fontId="15" fillId="0" borderId="5" xfId="0" applyNumberFormat="1" applyFont="1" applyBorder="1" applyAlignment="1">
      <alignment horizontal="center"/>
    </xf>
    <xf numFmtId="172" fontId="15" fillId="0" borderId="2" xfId="0" applyNumberFormat="1" applyFont="1" applyBorder="1" applyAlignment="1">
      <alignment horizontal="center"/>
    </xf>
    <xf numFmtId="172" fontId="15" fillId="0" borderId="6" xfId="0" applyNumberFormat="1" applyFont="1" applyBorder="1" applyAlignment="1">
      <alignment horizontal="center"/>
    </xf>
    <xf numFmtId="0" fontId="44" fillId="18" borderId="3" xfId="0" applyFont="1" applyFill="1" applyBorder="1" applyAlignment="1">
      <alignment horizontal="center" vertical="center"/>
    </xf>
    <xf numFmtId="164" fontId="0" fillId="30" borderId="10" xfId="0" applyNumberFormat="1" applyFill="1" applyBorder="1"/>
    <xf numFmtId="164" fontId="0" fillId="30" borderId="0" xfId="0" applyNumberFormat="1" applyFill="1"/>
    <xf numFmtId="164" fontId="0" fillId="30" borderId="11" xfId="0" applyNumberFormat="1" applyFill="1" applyBorder="1"/>
    <xf numFmtId="164" fontId="0" fillId="30" borderId="17" xfId="0" applyNumberFormat="1" applyFill="1" applyBorder="1"/>
    <xf numFmtId="164" fontId="6" fillId="30" borderId="5" xfId="0" applyNumberFormat="1" applyFont="1" applyFill="1" applyBorder="1"/>
    <xf numFmtId="164" fontId="6" fillId="30" borderId="2" xfId="0" applyNumberFormat="1" applyFont="1" applyFill="1" applyBorder="1"/>
    <xf numFmtId="164" fontId="6" fillId="30" borderId="6" xfId="0" applyNumberFormat="1" applyFont="1" applyFill="1" applyBorder="1"/>
    <xf numFmtId="164" fontId="6" fillId="30" borderId="3" xfId="0" applyNumberFormat="1" applyFont="1" applyFill="1" applyBorder="1"/>
    <xf numFmtId="164" fontId="0" fillId="30" borderId="9" xfId="0" applyNumberFormat="1" applyFill="1" applyBorder="1"/>
    <xf numFmtId="164" fontId="0" fillId="30" borderId="1" xfId="0" applyNumberFormat="1" applyFill="1" applyBorder="1"/>
    <xf numFmtId="164" fontId="0" fillId="30" borderId="13" xfId="0" applyNumberFormat="1" applyFill="1" applyBorder="1"/>
    <xf numFmtId="164" fontId="0" fillId="30" borderId="18" xfId="0" applyNumberFormat="1" applyFill="1" applyBorder="1"/>
    <xf numFmtId="164" fontId="33" fillId="30" borderId="15" xfId="3" applyNumberFormat="1" applyFont="1" applyFill="1" applyBorder="1"/>
    <xf numFmtId="171" fontId="0" fillId="30" borderId="0" xfId="0" applyNumberFormat="1" applyFill="1"/>
    <xf numFmtId="171" fontId="0" fillId="30" borderId="4" xfId="0" applyNumberFormat="1" applyFill="1" applyBorder="1"/>
    <xf numFmtId="0" fontId="23" fillId="30" borderId="0" xfId="0" applyFont="1" applyFill="1" applyAlignment="1">
      <alignment horizontal="center"/>
    </xf>
    <xf numFmtId="171" fontId="0" fillId="30" borderId="0" xfId="3" applyNumberFormat="1" applyFont="1" applyFill="1"/>
    <xf numFmtId="170" fontId="0" fillId="30" borderId="0" xfId="3" applyNumberFormat="1" applyFont="1" applyFill="1"/>
    <xf numFmtId="3" fontId="0" fillId="30" borderId="0" xfId="0" applyNumberFormat="1" applyFill="1"/>
    <xf numFmtId="165" fontId="0" fillId="30" borderId="0" xfId="0" applyNumberFormat="1" applyFill="1"/>
    <xf numFmtId="165" fontId="11" fillId="30" borderId="0" xfId="0" applyNumberFormat="1" applyFont="1" applyFill="1"/>
    <xf numFmtId="165" fontId="15" fillId="30" borderId="0" xfId="0" applyNumberFormat="1" applyFont="1" applyFill="1"/>
    <xf numFmtId="165" fontId="33" fillId="30" borderId="0" xfId="0" applyNumberFormat="1" applyFont="1" applyFill="1"/>
    <xf numFmtId="164" fontId="0" fillId="30" borderId="2" xfId="0" applyNumberFormat="1" applyFill="1" applyBorder="1"/>
    <xf numFmtId="164" fontId="33" fillId="30" borderId="0" xfId="0" applyNumberFormat="1" applyFont="1" applyFill="1"/>
    <xf numFmtId="164" fontId="11" fillId="30" borderId="0" xfId="0" applyNumberFormat="1" applyFont="1" applyFill="1"/>
    <xf numFmtId="164" fontId="23" fillId="0" borderId="0" xfId="0" applyNumberFormat="1" applyFont="1" applyFill="1"/>
    <xf numFmtId="164" fontId="0" fillId="30" borderId="6" xfId="0" applyNumberFormat="1" applyFill="1" applyBorder="1"/>
    <xf numFmtId="164" fontId="0" fillId="30" borderId="5" xfId="0" applyNumberFormat="1" applyFill="1" applyBorder="1"/>
    <xf numFmtId="164" fontId="8" fillId="30" borderId="0" xfId="0" applyNumberFormat="1" applyFont="1" applyFill="1"/>
    <xf numFmtId="164" fontId="6" fillId="30" borderId="0" xfId="0" applyNumberFormat="1" applyFont="1" applyFill="1"/>
    <xf numFmtId="164" fontId="0" fillId="30" borderId="8" xfId="0" applyNumberFormat="1" applyFill="1" applyBorder="1"/>
    <xf numFmtId="0" fontId="6" fillId="30" borderId="7" xfId="0" applyFont="1" applyFill="1" applyBorder="1" applyAlignment="1">
      <alignment horizontal="center"/>
    </xf>
    <xf numFmtId="0" fontId="6" fillId="30" borderId="9" xfId="0" applyFont="1" applyFill="1" applyBorder="1" applyAlignment="1">
      <alignment horizontal="center"/>
    </xf>
    <xf numFmtId="0" fontId="6" fillId="30" borderId="8" xfId="0" applyFont="1" applyFill="1" applyBorder="1" applyAlignment="1">
      <alignment horizontal="center"/>
    </xf>
    <xf numFmtId="0" fontId="6" fillId="30" borderId="17" xfId="0" applyFont="1" applyFill="1" applyBorder="1" applyAlignment="1">
      <alignment horizontal="center"/>
    </xf>
    <xf numFmtId="174" fontId="0" fillId="30" borderId="10" xfId="0" applyNumberFormat="1" applyFill="1" applyBorder="1"/>
    <xf numFmtId="174" fontId="0" fillId="30" borderId="0" xfId="0" applyNumberFormat="1" applyFill="1"/>
    <xf numFmtId="174" fontId="0" fillId="30" borderId="11" xfId="0" applyNumberFormat="1" applyFill="1" applyBorder="1"/>
    <xf numFmtId="180" fontId="6" fillId="30" borderId="10" xfId="0" applyNumberFormat="1" applyFont="1" applyFill="1" applyBorder="1"/>
    <xf numFmtId="180" fontId="6" fillId="30" borderId="0" xfId="0" applyNumberFormat="1" applyFont="1" applyFill="1"/>
    <xf numFmtId="180" fontId="6" fillId="30" borderId="11" xfId="0" applyNumberFormat="1" applyFont="1" applyFill="1" applyBorder="1"/>
    <xf numFmtId="0" fontId="6" fillId="30" borderId="5" xfId="0" applyFont="1" applyFill="1" applyBorder="1" applyAlignment="1">
      <alignment horizontal="center" vertical="center"/>
    </xf>
    <xf numFmtId="0" fontId="6" fillId="30" borderId="2" xfId="0" applyFont="1" applyFill="1" applyBorder="1" applyAlignment="1">
      <alignment horizontal="center" vertical="center"/>
    </xf>
    <xf numFmtId="0" fontId="6" fillId="30" borderId="6" xfId="0" applyFont="1" applyFill="1" applyBorder="1" applyAlignment="1">
      <alignment horizontal="center" vertical="center"/>
    </xf>
    <xf numFmtId="0" fontId="0" fillId="30" borderId="0" xfId="0" applyFill="1"/>
    <xf numFmtId="0" fontId="6" fillId="30" borderId="5" xfId="0" applyFont="1" applyFill="1" applyBorder="1" applyAlignment="1">
      <alignment horizontal="center" wrapText="1"/>
    </xf>
    <xf numFmtId="0" fontId="6" fillId="30" borderId="6" xfId="0" applyFont="1" applyFill="1" applyBorder="1" applyAlignment="1">
      <alignment horizontal="center" wrapText="1"/>
    </xf>
    <xf numFmtId="0" fontId="6" fillId="30" borderId="18" xfId="0" applyFont="1" applyFill="1" applyBorder="1" applyAlignment="1">
      <alignment horizontal="center" wrapText="1"/>
    </xf>
    <xf numFmtId="0" fontId="6" fillId="30" borderId="3" xfId="0" applyFont="1" applyFill="1" applyBorder="1" applyAlignment="1">
      <alignment horizontal="center" wrapText="1"/>
    </xf>
    <xf numFmtId="9" fontId="0" fillId="30" borderId="3" xfId="0" applyNumberFormat="1" applyFill="1" applyBorder="1"/>
    <xf numFmtId="0" fontId="0" fillId="30" borderId="3" xfId="0" applyFill="1" applyBorder="1" applyAlignment="1">
      <alignment horizontal="right"/>
    </xf>
    <xf numFmtId="0" fontId="0" fillId="30" borderId="3" xfId="0" applyFill="1" applyBorder="1"/>
    <xf numFmtId="9" fontId="0" fillId="30" borderId="3" xfId="1" applyFont="1" applyFill="1" applyBorder="1" applyAlignment="1">
      <alignment horizontal="center"/>
    </xf>
    <xf numFmtId="9" fontId="0" fillId="30" borderId="3" xfId="0" applyNumberFormat="1" applyFill="1" applyBorder="1" applyAlignment="1">
      <alignment horizontal="center"/>
    </xf>
    <xf numFmtId="0" fontId="0" fillId="30" borderId="3" xfId="0" applyFill="1" applyBorder="1" applyAlignment="1">
      <alignment horizontal="center"/>
    </xf>
    <xf numFmtId="0" fontId="23" fillId="30" borderId="1" xfId="0" applyFont="1" applyFill="1" applyBorder="1" applyAlignment="1">
      <alignment horizontal="center"/>
    </xf>
    <xf numFmtId="173" fontId="0" fillId="30" borderId="3" xfId="0" applyNumberFormat="1" applyFill="1" applyBorder="1"/>
  </cellXfs>
  <cellStyles count="7">
    <cellStyle name="Comma" xfId="3" builtinId="3"/>
    <cellStyle name="Comma 2" xfId="5" xr:uid="{4E49E14A-9285-4F8A-B8E7-BFBBEFF44990}"/>
    <cellStyle name="Hyperlink" xfId="2" builtinId="8"/>
    <cellStyle name="Normal" xfId="0" builtinId="0"/>
    <cellStyle name="Normal 2" xfId="4" xr:uid="{348DD721-0197-4A31-A978-3030AE689D97}"/>
    <cellStyle name="Percent" xfId="1" builtinId="5"/>
    <cellStyle name="Percent 2" xfId="6" xr:uid="{A970AD72-B757-4693-B5B1-6B5D16E43E7A}"/>
  </cellStyles>
  <dxfs count="3">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00FFFF"/>
      <color rgb="FF00FF00"/>
      <color rgb="FFFFFFCC"/>
      <color rgb="FFCCFFFF"/>
      <color rgb="FF0000FF"/>
      <color rgb="FF66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363192</xdr:colOff>
      <xdr:row>0</xdr:row>
      <xdr:rowOff>0</xdr:rowOff>
    </xdr:from>
    <xdr:to>
      <xdr:col>4</xdr:col>
      <xdr:colOff>107548</xdr:colOff>
      <xdr:row>4</xdr:row>
      <xdr:rowOff>1146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63192" y="0"/>
          <a:ext cx="1235226" cy="8169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89647</xdr:colOff>
      <xdr:row>0</xdr:row>
      <xdr:rowOff>179294</xdr:rowOff>
    </xdr:from>
    <xdr:to>
      <xdr:col>31</xdr:col>
      <xdr:colOff>178024</xdr:colOff>
      <xdr:row>44</xdr:row>
      <xdr:rowOff>183735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5318858" y="179294"/>
          <a:ext cx="6723846" cy="78698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solidFill>
                <a:schemeClr val="dk1"/>
              </a:solidFill>
              <a:effectLst/>
              <a:latin typeface="+mn-lt"/>
              <a:ea typeface="+mn-ea"/>
              <a:cs typeface="+mn-cs"/>
            </a:rPr>
            <a:t>Details on Forecasting approach for Customer Contributions</a:t>
          </a:r>
        </a:p>
        <a:p>
          <a:endParaRPr lang="en-AU"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We apply the national charging guideline (NER, CH.5A) for new customer connections from 2016 as outlined in our Connection Policy. This reflects the approach set out in the AER's connection charge guideline (2012), and as updated in 2023.</a:t>
          </a:r>
        </a:p>
        <a:p>
          <a:endParaRPr lang="en-AU"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Under this Revenue Proposal, we have updated our forecast capital contributions for the 2026-31 control period for each connection type to reflect: </a:t>
          </a:r>
        </a:p>
        <a:p>
          <a:endParaRPr lang="en-AU" sz="1100" baseline="0">
            <a:solidFill>
              <a:schemeClr val="dk1"/>
            </a:solidFill>
            <a:effectLst/>
            <a:latin typeface="+mn-lt"/>
            <a:ea typeface="+mn-ea"/>
            <a:cs typeface="+mn-cs"/>
          </a:endParaRPr>
        </a:p>
        <a:p>
          <a:pPr marL="171450" indent="-171450">
            <a:spcAft>
              <a:spcPts val="600"/>
            </a:spcAft>
            <a:buFont typeface="Arial" panose="020B0604020202020204" pitchFamily="34" charset="0"/>
            <a:buChar char="•"/>
          </a:pPr>
          <a:r>
            <a:rPr lang="en-AU" sz="1100" baseline="0">
              <a:solidFill>
                <a:schemeClr val="dk1"/>
              </a:solidFill>
              <a:effectLst/>
              <a:latin typeface="+mn-lt"/>
              <a:ea typeface="+mn-ea"/>
              <a:cs typeface="+mn-cs"/>
            </a:rPr>
            <a:t>Our proposed rate of return inputs, which are used to discount incremental revenue in the calculation of customer contributions for both residential connections and business connections;</a:t>
          </a:r>
        </a:p>
        <a:p>
          <a:pPr marL="171450" indent="-171450">
            <a:spcAft>
              <a:spcPts val="600"/>
            </a:spcAft>
            <a:buFont typeface="Arial" panose="020B0604020202020204" pitchFamily="34" charset="0"/>
            <a:buChar char="•"/>
          </a:pPr>
          <a:r>
            <a:rPr lang="en-AU" sz="1100" baseline="0">
              <a:solidFill>
                <a:schemeClr val="dk1"/>
              </a:solidFill>
              <a:effectLst/>
              <a:latin typeface="+mn-lt"/>
              <a:ea typeface="+mn-ea"/>
              <a:cs typeface="+mn-cs"/>
            </a:rPr>
            <a:t>Our updated historical unit rates for various connection types; </a:t>
          </a:r>
        </a:p>
        <a:p>
          <a:pPr marL="171450" indent="-171450">
            <a:spcAft>
              <a:spcPts val="600"/>
            </a:spcAft>
            <a:buFont typeface="Arial" panose="020B0604020202020204" pitchFamily="34" charset="0"/>
            <a:buChar char="•"/>
          </a:pPr>
          <a:r>
            <a:rPr lang="en-AU" sz="1100" baseline="0">
              <a:solidFill>
                <a:schemeClr val="dk1"/>
              </a:solidFill>
              <a:effectLst/>
              <a:latin typeface="+mn-lt"/>
              <a:ea typeface="+mn-ea"/>
              <a:cs typeface="+mn-cs"/>
            </a:rPr>
            <a:t>Updated unit rates for the Marginal cost of reinforcement (MCR) as reflected in our updated Connection Policy (effective 1 July 2026); and</a:t>
          </a:r>
        </a:p>
        <a:p>
          <a:pPr marL="171450" indent="-171450">
            <a:spcAft>
              <a:spcPts val="600"/>
            </a:spcAft>
            <a:buFont typeface="Arial" panose="020B0604020202020204" pitchFamily="34" charset="0"/>
            <a:buChar char="•"/>
          </a:pPr>
          <a:r>
            <a:rPr lang="en-AU" sz="1100" baseline="0">
              <a:solidFill>
                <a:schemeClr val="dk1"/>
              </a:solidFill>
              <a:effectLst/>
              <a:latin typeface="+mn-lt"/>
              <a:ea typeface="+mn-ea"/>
              <a:cs typeface="+mn-cs"/>
            </a:rPr>
            <a:t>We have not included a forecast of large embedded generator connections (&gt; 1.5MW capacity) in line with the current period determination approach.</a:t>
          </a:r>
        </a:p>
        <a:p>
          <a:endParaRPr lang="en-AU" sz="1100" baseline="0">
            <a:solidFill>
              <a:schemeClr val="dk1"/>
            </a:solidFill>
            <a:effectLst/>
            <a:latin typeface="+mn-lt"/>
            <a:ea typeface="+mn-ea"/>
            <a:cs typeface="+mn-cs"/>
          </a:endParaRPr>
        </a:p>
        <a:p>
          <a:endParaRPr lang="en-AU" sz="1100" baseline="0">
            <a:solidFill>
              <a:schemeClr val="dk1"/>
            </a:solidFill>
            <a:effectLst/>
            <a:latin typeface="+mn-lt"/>
            <a:ea typeface="+mn-ea"/>
            <a:cs typeface="+mn-cs"/>
          </a:endParaRPr>
        </a:p>
        <a:p>
          <a:endParaRPr lang="en-AU" sz="105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B:\Price%20Review\2026-31%20EDPR\12.0%202026%20EDPR%20-%20Revised%20proposal%20submission%20models\SCS\CONF\ASD%20-%20AusNet%20Distribution%20&#8211;%20SCS%20Capex%20Model%20-%20011225%20-%20CONFIDENTIAL.xlsb" TargetMode="External"/><Relationship Id="rId1" Type="http://schemas.openxmlformats.org/officeDocument/2006/relationships/externalLinkPath" Target="/Price%20Review/2026-31%20EDPR/12.0%202026%20EDPR%20-%20Revised%20proposal%20submission%20models/SCS/CONF/ASD%20-%20AusNet%20Distribution%20&#8211;%20SCS%20Capex%20Model%20-%20011225%20-%20CONFIDENTIAL.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B:\Price%20Review\2026-31%20EDPR\12.0%202026%20EDPR%20-%20Revised%20proposal%20submission%20models\SCS\CONF\ASD%20-%20Energy%20Connections%20Forecast%20Model%20-%20011225%20-%20CONFIDENTIAL.xlsx" TargetMode="External"/><Relationship Id="rId1" Type="http://schemas.openxmlformats.org/officeDocument/2006/relationships/externalLinkPath" Target="/Price%20Review/2026-31%20EDPR/12.0%202026%20EDPR%20-%20Revised%20proposal%20submission%20models/SCS/CONF/ASD%20-%20Energy%20Connections%20Forecast%20Model%20-%20011225%20-%20CONFIDENTI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D%20-%20AusNet%20-%20Community%20batteries%20forecast%20-%20011225%20-%20PUBLIC.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B:\Price%20Review\2026-31%20EDPR\12.0%202026%20EDPR%20-%20Revised%20proposal%20submission%20models\SCS\CONF\ASD%20-%20EV%20Public%20Charging%20Forecast%20Model%20-%20011225%20-%20CONFIDENTIAL.xlsx" TargetMode="External"/><Relationship Id="rId1" Type="http://schemas.openxmlformats.org/officeDocument/2006/relationships/externalLinkPath" Target="/Price%20Review/2026-31%20EDPR/12.0%202026%20EDPR%20-%20Revised%20proposal%20submission%20models/SCS/CONF/ASD%20-%20EV%20Public%20Charging%20Forecast%20Model%20-%20011225%20-%20CONFIDENTIAL.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B:\Price%20Review\2026-31%20EDPR\12.0%202026%20EDPR%20-%20Revised%20proposal%20submission%20models\ACS\Public\AER%20&#8211;%20Standardised%20ANS%20model%20%20-%20Revised%20Proposal%20-%20AusNet%20Services%20distribution%20determination%202026-31%20-%20PUBLIC.xlsb" TargetMode="External"/><Relationship Id="rId1" Type="http://schemas.openxmlformats.org/officeDocument/2006/relationships/externalLinkPath" Target="/Price%20Review/2026-31%20EDPR/12.0%202026%20EDPR%20-%20Revised%20proposal%20submission%20models/ACS/Public/AER%20&#8211;%20Standardised%20ANS%20model%20%20-%20Revised%20Proposal%20-%20AusNet%20Services%20distribution%20determination%202026-31%20-%20PUBLIC.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D Changes"/>
      <sheetName val="Index"/>
      <sheetName val="Input| Setup"/>
      <sheetName val="Input| Escalations"/>
      <sheetName val="START - Input| Projects"/>
      <sheetName val="Input| Projects"/>
      <sheetName val="Input| Disposals"/>
      <sheetName val="Input| Type 2 capcons"/>
      <sheetName val="Capex Immediately Expensed"/>
      <sheetName val="Input| Expensing"/>
      <sheetName val="Input| Overheads"/>
      <sheetName val="Productivity adjustment"/>
      <sheetName val="Calc| Overheads Allocation"/>
      <sheetName val="Calc| Project Costs"/>
      <sheetName val="Chart| Overheads"/>
      <sheetName val="Output| PTRM (D)"/>
      <sheetName val="Output| PTRM (T)"/>
      <sheetName val="Output| RIN"/>
      <sheetName val="Output| AER"/>
      <sheetName val="Model Validation"/>
    </sheetNames>
    <sheetDataSet>
      <sheetData sheetId="0" refreshError="1"/>
      <sheetData sheetId="1" refreshError="1"/>
      <sheetData sheetId="2" refreshError="1"/>
      <sheetData sheetId="3">
        <row r="15">
          <cell r="D15">
            <v>2.0225001952140609E-2</v>
          </cell>
          <cell r="E15">
            <v>8.6058519793459354E-3</v>
          </cell>
          <cell r="F15">
            <v>3.4982935153583528E-2</v>
          </cell>
          <cell r="G15">
            <v>7.8318219291014124E-2</v>
          </cell>
          <cell r="H15">
            <v>4.0519877675840865E-2</v>
          </cell>
          <cell r="I15">
            <v>2.4246877296105973E-2</v>
          </cell>
          <cell r="J15">
            <v>3.6999999999999998E-2</v>
          </cell>
        </row>
        <row r="25">
          <cell r="H25">
            <v>1.45425712680987E-2</v>
          </cell>
          <cell r="I25">
            <v>7.8732945610719401E-3</v>
          </cell>
          <cell r="J25">
            <v>8.1208180725738949E-3</v>
          </cell>
          <cell r="K25">
            <v>9.5505821675600702E-3</v>
          </cell>
          <cell r="L25">
            <v>1.1199334904118834E-2</v>
          </cell>
          <cell r="M25">
            <v>1.2274361918209275E-2</v>
          </cell>
          <cell r="N25">
            <v>1.2025416152939063E-2</v>
          </cell>
        </row>
        <row r="26">
          <cell r="H26">
            <v>1.45425712680987E-2</v>
          </cell>
          <cell r="I26">
            <v>7.8732945610719401E-3</v>
          </cell>
          <cell r="J26">
            <v>8.1208180725738949E-3</v>
          </cell>
          <cell r="K26">
            <v>9.5505821675600702E-3</v>
          </cell>
          <cell r="L26">
            <v>1.1199334904118834E-2</v>
          </cell>
          <cell r="M26">
            <v>1.2274361918209275E-2</v>
          </cell>
          <cell r="N26">
            <v>1.2025416152939063E-2</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ow r="8">
          <cell r="E8">
            <v>7.2001585239149915E-2</v>
          </cell>
          <cell r="F8">
            <v>6.9294897899731464E-2</v>
          </cell>
          <cell r="G8">
            <v>6.2631057581628652E-2</v>
          </cell>
          <cell r="H8">
            <v>7.1513980300364835E-2</v>
          </cell>
          <cell r="I8">
            <v>7.4849999421876645E-2</v>
          </cell>
        </row>
        <row r="9">
          <cell r="E9" t="str">
            <v/>
          </cell>
          <cell r="F9" t="str">
            <v/>
          </cell>
          <cell r="G9" t="str">
            <v/>
          </cell>
          <cell r="H9" t="str">
            <v/>
          </cell>
          <cell r="I9" t="str">
            <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Assumptions"/>
      <sheetName val="OHD_rates"/>
      <sheetName val="CPI"/>
      <sheetName val="Volumes"/>
      <sheetName val="Inputs-&gt;"/>
      <sheetName val="Direct_cost_estimates"/>
      <sheetName val="Gifted_Assets"/>
      <sheetName val="Projects_Forecast - $Direct"/>
      <sheetName val="Outputs-&gt;"/>
      <sheetName val="Projects_Forecast - $Gross"/>
      <sheetName val="Capex_Summary"/>
      <sheetName val="Revised_Type1_Capcons_Fcast"/>
      <sheetName val="Capcon_Summary"/>
      <sheetName val="Capex_Model_Inputs"/>
    </sheetNames>
    <sheetDataSet>
      <sheetData sheetId="0"/>
      <sheetData sheetId="1">
        <row r="5">
          <cell r="E5">
            <v>0.5</v>
          </cell>
          <cell r="F5">
            <v>0.5</v>
          </cell>
        </row>
      </sheetData>
      <sheetData sheetId="2"/>
      <sheetData sheetId="3"/>
      <sheetData sheetId="4">
        <row r="5">
          <cell r="F5">
            <v>0</v>
          </cell>
          <cell r="G5">
            <v>1</v>
          </cell>
          <cell r="H5">
            <v>1</v>
          </cell>
          <cell r="I5">
            <v>0</v>
          </cell>
          <cell r="J5">
            <v>2</v>
          </cell>
          <cell r="K5">
            <v>3</v>
          </cell>
          <cell r="L5">
            <v>5</v>
          </cell>
          <cell r="M5">
            <v>2</v>
          </cell>
          <cell r="N5">
            <v>3</v>
          </cell>
          <cell r="O5">
            <v>3</v>
          </cell>
        </row>
        <row r="6">
          <cell r="K6">
            <v>0</v>
          </cell>
          <cell r="L6">
            <v>0</v>
          </cell>
          <cell r="M6">
            <v>0</v>
          </cell>
          <cell r="N6">
            <v>0</v>
          </cell>
          <cell r="O6">
            <v>0</v>
          </cell>
        </row>
        <row r="9">
          <cell r="K9">
            <v>0</v>
          </cell>
          <cell r="L9">
            <v>0</v>
          </cell>
          <cell r="M9">
            <v>0</v>
          </cell>
          <cell r="N9">
            <v>1</v>
          </cell>
          <cell r="O9">
            <v>0</v>
          </cell>
        </row>
        <row r="15">
          <cell r="I15">
            <v>0</v>
          </cell>
          <cell r="J15">
            <v>1</v>
          </cell>
          <cell r="K15">
            <v>3</v>
          </cell>
          <cell r="L15">
            <v>0</v>
          </cell>
          <cell r="M15">
            <v>0</v>
          </cell>
          <cell r="N15">
            <v>0</v>
          </cell>
          <cell r="O15">
            <v>0</v>
          </cell>
        </row>
      </sheetData>
      <sheetData sheetId="5"/>
      <sheetData sheetId="6">
        <row r="87">
          <cell r="D87">
            <v>6.0091526495503068E-2</v>
          </cell>
          <cell r="E87">
            <v>0.12401797077026892</v>
          </cell>
          <cell r="F87">
            <v>6.3849083207253882E-2</v>
          </cell>
          <cell r="G87">
            <v>0.65415138534822959</v>
          </cell>
          <cell r="H87">
            <v>3.2186722749454486E-2</v>
          </cell>
          <cell r="I87">
            <v>1.0521388555502548E-2</v>
          </cell>
          <cell r="J87">
            <v>0</v>
          </cell>
          <cell r="K87">
            <v>5.5181922873787551E-2</v>
          </cell>
        </row>
      </sheetData>
      <sheetData sheetId="7">
        <row r="27">
          <cell r="E27">
            <v>0</v>
          </cell>
        </row>
      </sheetData>
      <sheetData sheetId="8"/>
      <sheetData sheetId="9"/>
      <sheetData sheetId="10"/>
      <sheetData sheetId="11">
        <row r="4">
          <cell r="E4">
            <v>1068415.94</v>
          </cell>
        </row>
      </sheetData>
      <sheetData sheetId="12"/>
      <sheetData sheetId="13">
        <row r="4">
          <cell r="H4">
            <v>17311568.76789096</v>
          </cell>
        </row>
        <row r="14">
          <cell r="H14">
            <v>0.85273170519660024</v>
          </cell>
          <cell r="I14">
            <v>0.83955958122165331</v>
          </cell>
          <cell r="J14">
            <v>1.0013965132349301</v>
          </cell>
          <cell r="K14">
            <v>0.82027912495306921</v>
          </cell>
          <cell r="L14">
            <v>0.88306272157533738</v>
          </cell>
          <cell r="M14">
            <v>0.59748516194777113</v>
          </cell>
        </row>
      </sheetData>
      <sheetData sheetId="14">
        <row r="8">
          <cell r="R8">
            <v>13511.002361239776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SD - AusNet - Community batter"/>
    </sheetNames>
    <sheetDataSet>
      <sheetData sheetId="0">
        <row r="84">
          <cell r="G84">
            <v>53</v>
          </cell>
          <cell r="H84">
            <v>21</v>
          </cell>
          <cell r="I84">
            <v>27</v>
          </cell>
          <cell r="J84">
            <v>27</v>
          </cell>
          <cell r="K84">
            <v>27</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utput"/>
      <sheetName val="Calcs &gt;&gt;&gt;"/>
      <sheetName val="Incremental Public Chargers"/>
      <sheetName val="Step Change Consumption"/>
      <sheetName val="Inputs &gt;&gt;&gt;"/>
      <sheetName val="Inflation"/>
      <sheetName val="Detailed EV Connections"/>
      <sheetName val="Historical EV Connections"/>
      <sheetName val="AusNet Forecasts &gt;"/>
      <sheetName val="# of EVs"/>
      <sheetName val="2025 IASR EV Forecasts &gt;"/>
      <sheetName val="BEV_Numbers"/>
      <sheetName val="PHEV_Numbers"/>
      <sheetName val="BEV_PHEV_Consumption (GWh)"/>
      <sheetName val="BEV_PHEV_Charge_Type (%)"/>
    </sheetNames>
    <sheetDataSet>
      <sheetData sheetId="0">
        <row r="14">
          <cell r="D14">
            <v>204.58532720223428</v>
          </cell>
          <cell r="E14">
            <v>260.97654542114475</v>
          </cell>
          <cell r="F14">
            <v>403.25098599402838</v>
          </cell>
          <cell r="G14">
            <v>528.41619662622531</v>
          </cell>
          <cell r="H14">
            <v>659.64594931916531</v>
          </cell>
          <cell r="I14">
            <v>767.51555430334247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P and draft decision changes"/>
      <sheetName val="RP and draft decision-Labour"/>
      <sheetName val="RP and draft decision-Fees"/>
      <sheetName val="Coversheet"/>
      <sheetName val="Index"/>
      <sheetName val="Output|Fee Based"/>
      <sheetName val="Output|Quoted"/>
      <sheetName val="Input|Setup"/>
      <sheetName val="Input|Escalations"/>
      <sheetName val="Input|Indirect Cost Rates"/>
      <sheetName val="Input|Fee Based Mapping"/>
      <sheetName val="Input|Labour Rates"/>
      <sheetName val="Input|Fee Based"/>
      <sheetName val="Calc|Tax"/>
      <sheetName val="Calc|Labour Rates"/>
      <sheetName val="Calc|Fee Based"/>
      <sheetName val="Model Validation"/>
      <sheetName val="Fcast_Revenue"/>
      <sheetName val="Fcast_Capex"/>
      <sheetName val="Fee based - 1 July 2025"/>
      <sheetName val="Quoted - 1 July 2025"/>
      <sheetName val="Rev. Prop ACS Pricing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D5">
            <v>61</v>
          </cell>
          <cell r="E5">
            <v>67</v>
          </cell>
          <cell r="F5">
            <v>68.302546709868878</v>
          </cell>
          <cell r="G5">
            <v>69.682840444538655</v>
          </cell>
          <cell r="H5">
            <v>71.075145201829031</v>
          </cell>
          <cell r="I5">
            <v>72.461850225600344</v>
          </cell>
          <cell r="J5">
            <v>73.84733791599794</v>
          </cell>
          <cell r="K5">
            <v>75.232987917512048</v>
          </cell>
        </row>
        <row r="6">
          <cell r="D6">
            <v>0</v>
          </cell>
          <cell r="E6">
            <v>1</v>
          </cell>
          <cell r="F6">
            <v>1.0194409956696848</v>
          </cell>
          <cell r="G6">
            <v>1.0400423946946069</v>
          </cell>
          <cell r="H6">
            <v>1.0608230627138662</v>
          </cell>
          <cell r="I6">
            <v>1.0815201526209006</v>
          </cell>
          <cell r="J6">
            <v>1.1021990733731035</v>
          </cell>
          <cell r="K6">
            <v>1.1228804166792841</v>
          </cell>
        </row>
        <row r="7">
          <cell r="D7">
            <v>9008</v>
          </cell>
          <cell r="E7">
            <v>9039</v>
          </cell>
          <cell r="F7">
            <v>9214.7271598582811</v>
          </cell>
          <cell r="G7">
            <v>9400.9432056445512</v>
          </cell>
          <cell r="H7">
            <v>9588.7796638706368</v>
          </cell>
          <cell r="I7">
            <v>9775.8606595403216</v>
          </cell>
          <cell r="J7">
            <v>9962.7774242194828</v>
          </cell>
          <cell r="K7">
            <v>10149.716086364049</v>
          </cell>
        </row>
        <row r="8">
          <cell r="D8">
            <v>2165</v>
          </cell>
          <cell r="E8">
            <v>2084</v>
          </cell>
          <cell r="F8">
            <v>2124.5150349756232</v>
          </cell>
          <cell r="G8">
            <v>2167.448350543561</v>
          </cell>
          <cell r="H8">
            <v>2210.7552626956976</v>
          </cell>
          <cell r="I8">
            <v>2253.8879980619577</v>
          </cell>
          <cell r="J8">
            <v>2296.9828689095484</v>
          </cell>
          <cell r="K8">
            <v>2340.0827883596289</v>
          </cell>
        </row>
        <row r="9">
          <cell r="D9">
            <v>28</v>
          </cell>
          <cell r="E9">
            <v>20</v>
          </cell>
          <cell r="F9">
            <v>20.388819913393696</v>
          </cell>
          <cell r="G9">
            <v>20.80084789389214</v>
          </cell>
          <cell r="H9">
            <v>21.216461254277327</v>
          </cell>
          <cell r="I9">
            <v>21.630403052418018</v>
          </cell>
          <cell r="J9">
            <v>22.043981467462075</v>
          </cell>
          <cell r="K9">
            <v>22.457608333585689</v>
          </cell>
        </row>
        <row r="10">
          <cell r="D10">
            <v>13</v>
          </cell>
          <cell r="E10">
            <v>10</v>
          </cell>
          <cell r="F10">
            <v>10.194409956696848</v>
          </cell>
          <cell r="G10">
            <v>10.40042394694607</v>
          </cell>
          <cell r="H10">
            <v>10.608230627138663</v>
          </cell>
          <cell r="I10">
            <v>10.815201526209009</v>
          </cell>
          <cell r="J10">
            <v>11.021990733731037</v>
          </cell>
          <cell r="K10">
            <v>11.228804166792845</v>
          </cell>
        </row>
        <row r="11">
          <cell r="D11">
            <v>44</v>
          </cell>
          <cell r="E11">
            <v>39</v>
          </cell>
          <cell r="F11">
            <v>39.75819883111771</v>
          </cell>
          <cell r="G11">
            <v>40.561653393089671</v>
          </cell>
          <cell r="H11">
            <v>41.372099445840782</v>
          </cell>
          <cell r="I11">
            <v>42.179285952215125</v>
          </cell>
          <cell r="J11">
            <v>42.985763861551035</v>
          </cell>
          <cell r="K11">
            <v>43.792336250492077</v>
          </cell>
        </row>
        <row r="12">
          <cell r="D12">
            <v>0</v>
          </cell>
          <cell r="E12">
            <v>0</v>
          </cell>
          <cell r="F12">
            <v>0</v>
          </cell>
          <cell r="G12">
            <v>0</v>
          </cell>
          <cell r="H12">
            <v>0</v>
          </cell>
          <cell r="I12">
            <v>0</v>
          </cell>
          <cell r="J12">
            <v>0</v>
          </cell>
          <cell r="K12">
            <v>0</v>
          </cell>
        </row>
        <row r="13">
          <cell r="D13">
            <v>22</v>
          </cell>
          <cell r="E13">
            <v>20</v>
          </cell>
          <cell r="F13">
            <v>20.388819913393696</v>
          </cell>
          <cell r="G13">
            <v>20.80084789389214</v>
          </cell>
          <cell r="H13">
            <v>21.216461254277327</v>
          </cell>
          <cell r="I13">
            <v>21.630403052418018</v>
          </cell>
          <cell r="J13">
            <v>22.043981467462075</v>
          </cell>
          <cell r="K13">
            <v>22.457608333585689</v>
          </cell>
        </row>
        <row r="14">
          <cell r="D14">
            <v>1</v>
          </cell>
          <cell r="E14">
            <v>1</v>
          </cell>
          <cell r="F14">
            <v>1.0194409956696848</v>
          </cell>
          <cell r="G14">
            <v>1.0400423946946069</v>
          </cell>
          <cell r="H14">
            <v>1.0608230627138662</v>
          </cell>
          <cell r="I14">
            <v>1.0815201526209006</v>
          </cell>
          <cell r="J14">
            <v>1.1021990733731035</v>
          </cell>
          <cell r="K14">
            <v>1.1228804166792841</v>
          </cell>
        </row>
        <row r="15">
          <cell r="D15">
            <v>3035</v>
          </cell>
          <cell r="E15">
            <v>3706</v>
          </cell>
          <cell r="F15">
            <v>3778.0483299518519</v>
          </cell>
          <cell r="G15">
            <v>3854.3971147382131</v>
          </cell>
          <cell r="H15">
            <v>3931.410270417588</v>
          </cell>
          <cell r="I15">
            <v>4008.1136856130579</v>
          </cell>
          <cell r="J15">
            <v>4084.749765920722</v>
          </cell>
          <cell r="K15">
            <v>4161.3948242134275</v>
          </cell>
        </row>
        <row r="16">
          <cell r="D16">
            <v>768</v>
          </cell>
          <cell r="E16">
            <v>652</v>
          </cell>
          <cell r="F16">
            <v>664.67552917663454</v>
          </cell>
          <cell r="G16">
            <v>678.10764134088379</v>
          </cell>
          <cell r="H16">
            <v>691.65663688944085</v>
          </cell>
          <cell r="I16">
            <v>705.15113950882733</v>
          </cell>
          <cell r="J16">
            <v>718.6337958392636</v>
          </cell>
          <cell r="K16">
            <v>732.11803167489336</v>
          </cell>
        </row>
        <row r="17">
          <cell r="D17">
            <v>18</v>
          </cell>
          <cell r="E17">
            <v>12</v>
          </cell>
          <cell r="F17">
            <v>12.233291948036218</v>
          </cell>
          <cell r="G17">
            <v>12.480508736335283</v>
          </cell>
          <cell r="H17">
            <v>12.729876752566396</v>
          </cell>
          <cell r="I17">
            <v>12.978241831450809</v>
          </cell>
          <cell r="J17">
            <v>13.226388880477243</v>
          </cell>
          <cell r="K17">
            <v>13.474565000151411</v>
          </cell>
        </row>
        <row r="18">
          <cell r="D18">
            <v>4</v>
          </cell>
          <cell r="E18">
            <v>3</v>
          </cell>
          <cell r="F18">
            <v>3.0583229870090545</v>
          </cell>
          <cell r="G18">
            <v>3.1201271840838207</v>
          </cell>
          <cell r="H18">
            <v>3.182469188141599</v>
          </cell>
          <cell r="I18">
            <v>3.2445604578627023</v>
          </cell>
          <cell r="J18">
            <v>3.3065972201193108</v>
          </cell>
          <cell r="K18">
            <v>3.3686412500378529</v>
          </cell>
        </row>
        <row r="19">
          <cell r="D19">
            <v>543</v>
          </cell>
          <cell r="E19">
            <v>588</v>
          </cell>
          <cell r="F19">
            <v>599.43130545377471</v>
          </cell>
          <cell r="G19">
            <v>611.54492808042892</v>
          </cell>
          <cell r="H19">
            <v>623.76396087575336</v>
          </cell>
          <cell r="I19">
            <v>635.9338497410896</v>
          </cell>
          <cell r="J19">
            <v>648.09305514338496</v>
          </cell>
          <cell r="K19">
            <v>660.25368500741922</v>
          </cell>
        </row>
        <row r="20">
          <cell r="D20">
            <v>115</v>
          </cell>
          <cell r="E20">
            <v>109</v>
          </cell>
          <cell r="F20">
            <v>111.11906852799565</v>
          </cell>
          <cell r="G20">
            <v>113.36462102171215</v>
          </cell>
          <cell r="H20">
            <v>115.62971383581142</v>
          </cell>
          <cell r="I20">
            <v>117.88569663567817</v>
          </cell>
          <cell r="J20">
            <v>120.13969899766829</v>
          </cell>
          <cell r="K20">
            <v>122.39396541804199</v>
          </cell>
        </row>
        <row r="21">
          <cell r="D21">
            <v>424</v>
          </cell>
          <cell r="E21">
            <v>563</v>
          </cell>
          <cell r="F21">
            <v>573.94528056203251</v>
          </cell>
          <cell r="G21">
            <v>585.54386821306366</v>
          </cell>
          <cell r="H21">
            <v>597.24338430790669</v>
          </cell>
          <cell r="I21">
            <v>608.89584592556707</v>
          </cell>
          <cell r="J21">
            <v>620.53807830905725</v>
          </cell>
          <cell r="K21">
            <v>632.18167459043696</v>
          </cell>
        </row>
        <row r="22">
          <cell r="D22">
            <v>0</v>
          </cell>
          <cell r="E22">
            <v>2</v>
          </cell>
          <cell r="F22">
            <v>2.0388819913393696</v>
          </cell>
          <cell r="G22">
            <v>2.0800847893892138</v>
          </cell>
          <cell r="H22">
            <v>2.1216461254277323</v>
          </cell>
          <cell r="I22">
            <v>2.1630403052418012</v>
          </cell>
          <cell r="J22">
            <v>2.204398146746207</v>
          </cell>
          <cell r="K22">
            <v>2.2457608333585681</v>
          </cell>
        </row>
        <row r="23">
          <cell r="D23">
            <v>0</v>
          </cell>
          <cell r="E23">
            <v>0</v>
          </cell>
          <cell r="F23">
            <v>0</v>
          </cell>
          <cell r="G23">
            <v>0</v>
          </cell>
          <cell r="H23">
            <v>0</v>
          </cell>
          <cell r="I23">
            <v>0</v>
          </cell>
          <cell r="J23">
            <v>0</v>
          </cell>
          <cell r="K23">
            <v>0</v>
          </cell>
        </row>
        <row r="24">
          <cell r="D24">
            <v>0</v>
          </cell>
          <cell r="E24">
            <v>0</v>
          </cell>
          <cell r="F24">
            <v>0</v>
          </cell>
          <cell r="G24">
            <v>0</v>
          </cell>
          <cell r="H24">
            <v>0</v>
          </cell>
          <cell r="I24">
            <v>0</v>
          </cell>
          <cell r="J24">
            <v>0</v>
          </cell>
          <cell r="K24">
            <v>0</v>
          </cell>
        </row>
        <row r="29">
          <cell r="D29">
            <v>702.55</v>
          </cell>
          <cell r="E29">
            <v>1339</v>
          </cell>
          <cell r="F29">
            <v>1365.0314932017079</v>
          </cell>
          <cell r="G29">
            <v>1392.6167664960785</v>
          </cell>
          <cell r="H29">
            <v>1420.4420809738667</v>
          </cell>
          <cell r="I29">
            <v>1448.1554843593858</v>
          </cell>
          <cell r="J29">
            <v>1475.8445592465855</v>
          </cell>
          <cell r="K29">
            <v>1503.5368779335613</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B67D-2952-4DF7-9990-FED306308E65}">
  <dimension ref="A2:C22"/>
  <sheetViews>
    <sheetView tabSelected="1" zoomScale="90" zoomScaleNormal="90" workbookViewId="0">
      <selection activeCell="C14" sqref="C14"/>
    </sheetView>
  </sheetViews>
  <sheetFormatPr defaultColWidth="9.109375" defaultRowHeight="12.75" x14ac:dyDescent="0.2"/>
  <cols>
    <col min="1" max="1" width="9" style="184" bestFit="1" customWidth="1"/>
    <col min="2" max="2" width="27" style="184" customWidth="1"/>
    <col min="3" max="3" width="158.5546875" style="184" customWidth="1"/>
    <col min="4" max="16384" width="9.109375" style="184"/>
  </cols>
  <sheetData>
    <row r="2" spans="1:3" ht="13.4" x14ac:dyDescent="0.25">
      <c r="B2" s="379" t="s">
        <v>401</v>
      </c>
    </row>
    <row r="4" spans="1:3" ht="13.4" x14ac:dyDescent="0.25">
      <c r="A4" s="183" t="s">
        <v>402</v>
      </c>
      <c r="B4" s="183" t="s">
        <v>171</v>
      </c>
      <c r="C4" s="183" t="s">
        <v>172</v>
      </c>
    </row>
    <row r="5" spans="1:3" ht="13.4" x14ac:dyDescent="0.25">
      <c r="A5" s="185">
        <v>1</v>
      </c>
      <c r="B5" s="186" t="s">
        <v>403</v>
      </c>
      <c r="C5" s="184" t="s">
        <v>410</v>
      </c>
    </row>
    <row r="6" spans="1:3" ht="13.4" x14ac:dyDescent="0.25">
      <c r="A6" s="185"/>
      <c r="B6" s="186"/>
    </row>
    <row r="7" spans="1:3" ht="13.4" x14ac:dyDescent="0.25">
      <c r="A7" s="185">
        <f>A5+1</f>
        <v>2</v>
      </c>
      <c r="B7" s="192" t="s">
        <v>58</v>
      </c>
      <c r="C7" s="194" t="s">
        <v>411</v>
      </c>
    </row>
    <row r="8" spans="1:3" ht="13.4" x14ac:dyDescent="0.25">
      <c r="A8" s="185"/>
      <c r="B8" s="186"/>
    </row>
    <row r="9" spans="1:3" ht="13.4" x14ac:dyDescent="0.25">
      <c r="A9" s="185">
        <f>A7+1</f>
        <v>3</v>
      </c>
      <c r="B9" s="186" t="s">
        <v>404</v>
      </c>
      <c r="C9" s="184" t="s">
        <v>412</v>
      </c>
    </row>
    <row r="11" spans="1:3" ht="13.4" x14ac:dyDescent="0.25">
      <c r="A11" s="185">
        <f>A9+1</f>
        <v>4</v>
      </c>
      <c r="B11" s="184" t="s">
        <v>405</v>
      </c>
      <c r="C11" s="184" t="s">
        <v>413</v>
      </c>
    </row>
    <row r="12" spans="1:3" x14ac:dyDescent="0.2">
      <c r="C12" s="184" t="s">
        <v>417</v>
      </c>
    </row>
    <row r="14" spans="1:3" ht="26.15" x14ac:dyDescent="0.25">
      <c r="A14" s="185">
        <f>A11+1</f>
        <v>5</v>
      </c>
      <c r="B14" s="386" t="s">
        <v>406</v>
      </c>
      <c r="C14" s="380" t="s">
        <v>415</v>
      </c>
    </row>
    <row r="16" spans="1:3" ht="13.4" x14ac:dyDescent="0.25">
      <c r="A16" s="185">
        <f>A14+1</f>
        <v>6</v>
      </c>
      <c r="B16" s="184" t="s">
        <v>407</v>
      </c>
      <c r="C16" s="184" t="s">
        <v>414</v>
      </c>
    </row>
    <row r="18" spans="1:3" ht="13.4" x14ac:dyDescent="0.25">
      <c r="A18" s="185">
        <f>A16+1</f>
        <v>7</v>
      </c>
      <c r="B18" s="184" t="s">
        <v>408</v>
      </c>
      <c r="C18" s="184" t="s">
        <v>414</v>
      </c>
    </row>
    <row r="20" spans="1:3" ht="13.4" x14ac:dyDescent="0.25">
      <c r="A20" s="185">
        <f>A18+1</f>
        <v>8</v>
      </c>
      <c r="B20" s="184" t="s">
        <v>409</v>
      </c>
      <c r="C20" s="184" t="s">
        <v>414</v>
      </c>
    </row>
    <row r="22" spans="1:3" x14ac:dyDescent="0.2">
      <c r="A22" s="190"/>
      <c r="B22" s="190"/>
      <c r="C22" s="190"/>
    </row>
  </sheetData>
  <pageMargins left="0.7" right="0.7" top="0.75" bottom="0.75" header="0.3" footer="0.3"/>
  <headerFooter>
    <oddFooter>&amp;C_x000D_&amp;1#&amp;"Century Gothic"&amp;7&amp;K7F7F7F BUSINESS USE ONLY</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V67"/>
  <sheetViews>
    <sheetView zoomScale="85" zoomScaleNormal="85" workbookViewId="0">
      <pane xSplit="2" topLeftCell="C1" activePane="topRight" state="frozen"/>
      <selection activeCell="AC23" sqref="AC23"/>
      <selection pane="topRight" activeCell="I24" sqref="I24"/>
    </sheetView>
  </sheetViews>
  <sheetFormatPr defaultRowHeight="14.65" outlineLevelCol="1" x14ac:dyDescent="0.3"/>
  <cols>
    <col min="1" max="1" width="7.21875" customWidth="1"/>
    <col min="2" max="2" width="46" customWidth="1"/>
    <col min="3" max="4" width="10.6640625" customWidth="1" outlineLevel="1"/>
    <col min="5" max="7" width="7.5546875" bestFit="1" customWidth="1"/>
    <col min="8" max="9" width="8.5546875" bestFit="1" customWidth="1"/>
    <col min="10" max="12" width="7.5546875" bestFit="1" customWidth="1"/>
    <col min="13" max="14" width="8.5546875" bestFit="1" customWidth="1"/>
    <col min="15" max="15" width="8.5546875" customWidth="1"/>
    <col min="16" max="16" width="20.21875" customWidth="1"/>
    <col min="22" max="22" width="10.5546875" customWidth="1"/>
    <col min="23" max="23" width="11.33203125" bestFit="1" customWidth="1"/>
  </cols>
  <sheetData>
    <row r="1" spans="1:16" x14ac:dyDescent="0.3">
      <c r="I1" s="462" t="s">
        <v>150</v>
      </c>
      <c r="J1" s="462"/>
    </row>
    <row r="2" spans="1:16" ht="18.5" x14ac:dyDescent="0.35">
      <c r="B2" s="39" t="s">
        <v>292</v>
      </c>
    </row>
    <row r="3" spans="1:16" x14ac:dyDescent="0.3">
      <c r="B3" s="40" t="s">
        <v>53</v>
      </c>
      <c r="J3" s="7"/>
      <c r="K3" s="7"/>
      <c r="L3" s="7"/>
      <c r="M3" s="7"/>
      <c r="N3" s="7"/>
      <c r="O3" s="7"/>
    </row>
    <row r="4" spans="1:16" x14ac:dyDescent="0.3">
      <c r="B4" s="40"/>
      <c r="J4" s="7"/>
      <c r="K4" s="7"/>
      <c r="L4" s="7"/>
      <c r="M4" s="7"/>
      <c r="N4" s="7"/>
      <c r="O4" s="7"/>
    </row>
    <row r="5" spans="1:16" x14ac:dyDescent="0.3">
      <c r="B5" t="s">
        <v>105</v>
      </c>
      <c r="C5" s="3">
        <v>2015</v>
      </c>
      <c r="D5" s="3">
        <v>2015</v>
      </c>
      <c r="E5" s="3">
        <v>2015</v>
      </c>
      <c r="F5" s="3">
        <v>2016</v>
      </c>
      <c r="G5" s="3">
        <v>2017</v>
      </c>
      <c r="H5" s="3">
        <v>2018</v>
      </c>
      <c r="I5" s="3">
        <v>2019</v>
      </c>
      <c r="J5" s="3">
        <v>2020</v>
      </c>
      <c r="K5" s="3" t="s">
        <v>123</v>
      </c>
      <c r="L5" s="3" t="s">
        <v>136</v>
      </c>
      <c r="M5" s="3" t="s">
        <v>135</v>
      </c>
      <c r="N5" s="3" t="s">
        <v>134</v>
      </c>
      <c r="O5" s="3" t="s">
        <v>133</v>
      </c>
    </row>
    <row r="6" spans="1:16" x14ac:dyDescent="0.3">
      <c r="B6" s="20" t="s">
        <v>381</v>
      </c>
      <c r="C6" s="7" t="s">
        <v>75</v>
      </c>
      <c r="D6" s="7" t="s">
        <v>76</v>
      </c>
      <c r="E6" s="7" t="s">
        <v>2</v>
      </c>
      <c r="F6" s="7" t="s">
        <v>2</v>
      </c>
      <c r="G6" s="7" t="s">
        <v>2</v>
      </c>
      <c r="H6" s="7" t="s">
        <v>2</v>
      </c>
      <c r="I6" s="7" t="s">
        <v>2</v>
      </c>
      <c r="J6" s="7" t="s">
        <v>2</v>
      </c>
      <c r="K6" s="7" t="s">
        <v>2</v>
      </c>
      <c r="L6" s="7" t="s">
        <v>2</v>
      </c>
      <c r="M6" s="7" t="s">
        <v>2</v>
      </c>
      <c r="N6" s="7" t="s">
        <v>2</v>
      </c>
      <c r="O6" s="7" t="s">
        <v>2</v>
      </c>
    </row>
    <row r="7" spans="1:16" x14ac:dyDescent="0.3">
      <c r="A7" s="7">
        <v>1012</v>
      </c>
      <c r="B7" t="s">
        <v>82</v>
      </c>
      <c r="C7" s="460"/>
      <c r="D7" s="460"/>
      <c r="E7" s="460"/>
      <c r="F7" s="460"/>
      <c r="G7" s="460"/>
      <c r="H7" s="460"/>
      <c r="I7" s="460"/>
      <c r="J7" s="460"/>
      <c r="K7" s="460"/>
      <c r="L7" s="460"/>
      <c r="M7" s="460"/>
      <c r="N7" s="460"/>
      <c r="O7" s="460"/>
    </row>
    <row r="8" spans="1:16" x14ac:dyDescent="0.3">
      <c r="A8" s="7">
        <v>1013</v>
      </c>
      <c r="B8" t="s">
        <v>83</v>
      </c>
      <c r="C8" s="460"/>
      <c r="D8" s="460"/>
      <c r="E8" s="460"/>
      <c r="F8" s="460"/>
      <c r="G8" s="460"/>
      <c r="H8" s="460"/>
      <c r="I8" s="460"/>
      <c r="J8" s="460"/>
      <c r="K8" s="460"/>
      <c r="L8" s="460"/>
      <c r="M8" s="460"/>
      <c r="N8" s="460"/>
      <c r="O8" s="460"/>
    </row>
    <row r="9" spans="1:16" x14ac:dyDescent="0.3">
      <c r="A9" s="7">
        <v>1014</v>
      </c>
      <c r="B9" t="s">
        <v>84</v>
      </c>
      <c r="C9" s="460"/>
      <c r="D9" s="460"/>
      <c r="E9" s="460"/>
      <c r="F9" s="460"/>
      <c r="G9" s="460"/>
      <c r="H9" s="460"/>
      <c r="I9" s="460"/>
      <c r="J9" s="460"/>
      <c r="K9" s="460"/>
      <c r="L9" s="460"/>
      <c r="M9" s="460"/>
      <c r="N9" s="460"/>
      <c r="O9" s="460"/>
    </row>
    <row r="10" spans="1:16" x14ac:dyDescent="0.3">
      <c r="A10" s="7">
        <v>1018</v>
      </c>
      <c r="B10" t="s">
        <v>85</v>
      </c>
      <c r="C10" s="460"/>
      <c r="D10" s="460"/>
      <c r="E10" s="460"/>
      <c r="F10" s="460"/>
      <c r="G10" s="460"/>
      <c r="H10" s="460"/>
      <c r="I10" s="460"/>
      <c r="J10" s="460"/>
      <c r="K10" s="460"/>
      <c r="L10" s="460"/>
      <c r="M10" s="460"/>
      <c r="N10" s="460"/>
      <c r="O10" s="460"/>
    </row>
    <row r="11" spans="1:16" x14ac:dyDescent="0.3">
      <c r="A11" s="7">
        <v>1019</v>
      </c>
      <c r="B11" s="24" t="s">
        <v>77</v>
      </c>
      <c r="C11" s="460"/>
      <c r="D11" s="460"/>
      <c r="E11" s="460"/>
      <c r="F11" s="460"/>
      <c r="G11" s="460"/>
      <c r="H11" s="460"/>
      <c r="I11" s="460"/>
      <c r="J11" s="460"/>
      <c r="K11" s="460"/>
      <c r="L11" s="460"/>
      <c r="M11" s="460"/>
      <c r="N11" s="460"/>
      <c r="O11" s="460"/>
    </row>
    <row r="12" spans="1:16" x14ac:dyDescent="0.3">
      <c r="A12" s="7">
        <v>1015</v>
      </c>
      <c r="B12" t="s">
        <v>268</v>
      </c>
      <c r="C12" s="460"/>
      <c r="D12" s="460"/>
      <c r="E12" s="460"/>
      <c r="F12" s="460"/>
      <c r="G12" s="460"/>
      <c r="H12" s="460"/>
      <c r="I12" s="460"/>
      <c r="J12" s="460"/>
      <c r="K12" s="460"/>
      <c r="L12" s="460"/>
      <c r="M12" s="460"/>
      <c r="N12" s="460"/>
      <c r="O12" s="460"/>
    </row>
    <row r="13" spans="1:16" x14ac:dyDescent="0.3">
      <c r="A13" s="7">
        <v>1016</v>
      </c>
      <c r="B13" t="s">
        <v>86</v>
      </c>
      <c r="C13" s="460"/>
      <c r="D13" s="460"/>
      <c r="E13" s="460"/>
      <c r="F13" s="460"/>
      <c r="G13" s="460"/>
      <c r="H13" s="460"/>
      <c r="I13" s="460"/>
      <c r="J13" s="460"/>
      <c r="K13" s="460"/>
      <c r="L13" s="460"/>
      <c r="M13" s="460"/>
      <c r="N13" s="460"/>
      <c r="O13" s="460"/>
    </row>
    <row r="14" spans="1:16" x14ac:dyDescent="0.3">
      <c r="A14" s="7">
        <v>1048</v>
      </c>
      <c r="B14" t="s">
        <v>207</v>
      </c>
      <c r="C14" s="460"/>
      <c r="D14" s="460"/>
      <c r="E14" s="460"/>
      <c r="F14" s="460"/>
      <c r="G14" s="460"/>
      <c r="H14" s="460"/>
      <c r="I14" s="460"/>
      <c r="J14" s="460"/>
      <c r="K14" s="460"/>
      <c r="L14" s="460"/>
      <c r="M14" s="460"/>
      <c r="N14" s="460"/>
      <c r="O14" s="460"/>
    </row>
    <row r="15" spans="1:16" ht="15.3" thickBot="1" x14ac:dyDescent="0.35">
      <c r="A15" s="7"/>
      <c r="B15" s="1" t="s">
        <v>2</v>
      </c>
      <c r="C15" s="461"/>
      <c r="D15" s="461"/>
      <c r="E15" s="461"/>
      <c r="F15" s="461"/>
      <c r="G15" s="461"/>
      <c r="H15" s="461"/>
      <c r="I15" s="461"/>
      <c r="J15" s="461"/>
      <c r="K15" s="461"/>
      <c r="L15" s="461"/>
      <c r="M15" s="461"/>
      <c r="N15" s="461"/>
      <c r="O15" s="461"/>
      <c r="P15" t="s">
        <v>288</v>
      </c>
    </row>
    <row r="16" spans="1:16" x14ac:dyDescent="0.3">
      <c r="A16" s="7">
        <v>1047</v>
      </c>
      <c r="B16" t="s">
        <v>226</v>
      </c>
      <c r="C16" s="460"/>
      <c r="D16" s="460"/>
      <c r="E16" s="460"/>
      <c r="F16" s="460"/>
      <c r="G16" s="460"/>
      <c r="H16" s="460"/>
      <c r="I16" s="460"/>
      <c r="J16" s="460"/>
      <c r="K16" s="460"/>
      <c r="L16" s="460"/>
      <c r="M16" s="460"/>
      <c r="N16" s="460"/>
      <c r="O16" s="460"/>
      <c r="P16" s="24" t="s">
        <v>364</v>
      </c>
    </row>
    <row r="17" spans="1:22" x14ac:dyDescent="0.3">
      <c r="A17" s="7"/>
      <c r="C17" s="60"/>
      <c r="D17" s="60"/>
      <c r="E17" s="60"/>
      <c r="F17" s="60"/>
      <c r="G17" s="60"/>
      <c r="H17" s="60"/>
      <c r="I17" s="60"/>
      <c r="J17" s="60"/>
      <c r="K17" s="60"/>
      <c r="L17" s="60"/>
      <c r="M17" s="60"/>
      <c r="N17" s="60"/>
      <c r="O17" s="60"/>
    </row>
    <row r="18" spans="1:22" x14ac:dyDescent="0.3">
      <c r="A18" s="7"/>
      <c r="B18" s="20" t="s">
        <v>382</v>
      </c>
      <c r="C18" s="3" t="s">
        <v>271</v>
      </c>
      <c r="D18" s="3" t="s">
        <v>272</v>
      </c>
      <c r="E18" s="3">
        <f>E$5</f>
        <v>2015</v>
      </c>
      <c r="F18" s="3">
        <f t="shared" ref="F18:N18" si="0">F$5</f>
        <v>2016</v>
      </c>
      <c r="G18" s="3">
        <f t="shared" si="0"/>
        <v>2017</v>
      </c>
      <c r="H18" s="3">
        <f t="shared" si="0"/>
        <v>2018</v>
      </c>
      <c r="I18" s="3">
        <f t="shared" si="0"/>
        <v>2019</v>
      </c>
      <c r="J18" s="3">
        <f t="shared" si="0"/>
        <v>2020</v>
      </c>
      <c r="K18" s="3" t="s">
        <v>123</v>
      </c>
      <c r="L18" s="3" t="str">
        <f t="shared" si="0"/>
        <v>2021-22</v>
      </c>
      <c r="M18" s="3" t="str">
        <f t="shared" si="0"/>
        <v>2022-23</v>
      </c>
      <c r="N18" s="3" t="str">
        <f t="shared" si="0"/>
        <v>2023-24</v>
      </c>
      <c r="O18" s="3" t="s">
        <v>133</v>
      </c>
    </row>
    <row r="19" spans="1:22" x14ac:dyDescent="0.3">
      <c r="A19" s="7">
        <v>1012</v>
      </c>
      <c r="B19" t="s">
        <v>82</v>
      </c>
      <c r="C19" s="463"/>
      <c r="D19" s="460"/>
      <c r="E19" s="460"/>
      <c r="F19" s="463"/>
      <c r="G19" s="463"/>
      <c r="H19" s="463"/>
      <c r="I19" s="463"/>
      <c r="J19" s="463"/>
      <c r="K19" s="463"/>
      <c r="L19" s="463"/>
      <c r="M19" s="463"/>
      <c r="N19" s="463"/>
      <c r="O19" s="463"/>
      <c r="P19" t="s">
        <v>115</v>
      </c>
      <c r="Q19" s="14"/>
    </row>
    <row r="20" spans="1:22" x14ac:dyDescent="0.3">
      <c r="A20" s="7">
        <v>1013</v>
      </c>
      <c r="B20" t="s">
        <v>83</v>
      </c>
      <c r="C20" s="463"/>
      <c r="D20" s="460"/>
      <c r="E20" s="460"/>
      <c r="F20" s="463"/>
      <c r="G20" s="463"/>
      <c r="H20" s="463"/>
      <c r="I20" s="463"/>
      <c r="J20" s="463"/>
      <c r="K20" s="463"/>
      <c r="L20" s="463"/>
      <c r="M20" s="463"/>
      <c r="N20" s="463"/>
      <c r="O20" s="463"/>
      <c r="P20" t="s">
        <v>115</v>
      </c>
      <c r="Q20" s="14"/>
    </row>
    <row r="21" spans="1:22" x14ac:dyDescent="0.3">
      <c r="A21" s="7">
        <v>1014</v>
      </c>
      <c r="B21" t="s">
        <v>84</v>
      </c>
      <c r="C21" s="463"/>
      <c r="D21" s="460"/>
      <c r="E21" s="460"/>
      <c r="F21" s="463"/>
      <c r="G21" s="463"/>
      <c r="H21" s="463"/>
      <c r="I21" s="463"/>
      <c r="J21" s="463"/>
      <c r="K21" s="463"/>
      <c r="L21" s="463"/>
      <c r="M21" s="463"/>
      <c r="N21" s="463"/>
      <c r="O21" s="463"/>
      <c r="P21" t="s">
        <v>115</v>
      </c>
      <c r="Q21" s="14"/>
    </row>
    <row r="22" spans="1:22" x14ac:dyDescent="0.3">
      <c r="A22" s="7">
        <v>1018</v>
      </c>
      <c r="B22" t="s">
        <v>85</v>
      </c>
      <c r="C22" s="463"/>
      <c r="D22" s="460"/>
      <c r="E22" s="460"/>
      <c r="F22" s="463"/>
      <c r="G22" s="463"/>
      <c r="H22" s="463"/>
      <c r="I22" s="463"/>
      <c r="J22" s="463"/>
      <c r="K22" s="463"/>
      <c r="L22" s="463"/>
      <c r="M22" s="463"/>
      <c r="N22" s="463"/>
      <c r="O22" s="463"/>
      <c r="P22" t="s">
        <v>115</v>
      </c>
      <c r="Q22" s="14"/>
    </row>
    <row r="23" spans="1:22" x14ac:dyDescent="0.3">
      <c r="A23" s="7">
        <v>1019</v>
      </c>
      <c r="B23" s="24" t="s">
        <v>77</v>
      </c>
      <c r="C23" s="463"/>
      <c r="D23" s="460"/>
      <c r="E23" s="460"/>
      <c r="F23" s="463"/>
      <c r="G23" s="463"/>
      <c r="H23" s="463"/>
      <c r="I23" s="463"/>
      <c r="J23" s="463"/>
      <c r="K23" s="463"/>
      <c r="L23" s="463"/>
      <c r="M23" s="463"/>
      <c r="N23" s="463"/>
      <c r="O23" s="463"/>
      <c r="P23" t="s">
        <v>115</v>
      </c>
      <c r="Q23" s="14"/>
    </row>
    <row r="24" spans="1:22" x14ac:dyDescent="0.3">
      <c r="A24" s="7">
        <v>1015</v>
      </c>
      <c r="B24" t="s">
        <v>268</v>
      </c>
      <c r="C24" s="463"/>
      <c r="D24" s="460"/>
      <c r="E24" s="460"/>
      <c r="F24" s="463"/>
      <c r="G24" s="463"/>
      <c r="H24" s="463"/>
      <c r="I24" s="463"/>
      <c r="J24" s="463"/>
      <c r="K24" s="463"/>
      <c r="L24" s="463"/>
      <c r="M24" s="463"/>
      <c r="N24" s="463"/>
      <c r="O24" s="463"/>
      <c r="P24" t="s">
        <v>115</v>
      </c>
      <c r="Q24" s="14"/>
    </row>
    <row r="25" spans="1:22" x14ac:dyDescent="0.3">
      <c r="A25" s="7">
        <v>1016</v>
      </c>
      <c r="B25" t="s">
        <v>86</v>
      </c>
      <c r="C25" s="463"/>
      <c r="D25" s="460"/>
      <c r="E25" s="460"/>
      <c r="F25" s="463"/>
      <c r="G25" s="463"/>
      <c r="H25" s="463"/>
      <c r="I25" s="463"/>
      <c r="J25" s="463"/>
      <c r="K25" s="463"/>
      <c r="L25" s="463"/>
      <c r="M25" s="463"/>
      <c r="N25" s="463"/>
      <c r="O25" s="463"/>
      <c r="P25" t="s">
        <v>115</v>
      </c>
      <c r="Q25" s="14"/>
    </row>
    <row r="26" spans="1:22" x14ac:dyDescent="0.3">
      <c r="A26" s="7">
        <v>1048</v>
      </c>
      <c r="B26" t="s">
        <v>207</v>
      </c>
      <c r="C26" s="463"/>
      <c r="D26" s="460"/>
      <c r="E26" s="460"/>
      <c r="F26" s="463"/>
      <c r="G26" s="463"/>
      <c r="H26" s="463"/>
      <c r="I26" s="463"/>
      <c r="J26" s="463"/>
      <c r="K26" s="463"/>
      <c r="L26" s="463"/>
      <c r="M26" s="463"/>
      <c r="N26" s="464"/>
      <c r="O26" s="464"/>
      <c r="P26" t="s">
        <v>115</v>
      </c>
    </row>
    <row r="27" spans="1:22" ht="15.3" thickBot="1" x14ac:dyDescent="0.35">
      <c r="A27" s="7"/>
      <c r="B27" s="1" t="s">
        <v>2</v>
      </c>
      <c r="C27" s="461"/>
      <c r="D27" s="461"/>
      <c r="E27" s="461"/>
      <c r="F27" s="461"/>
      <c r="G27" s="461"/>
      <c r="H27" s="461"/>
      <c r="I27" s="461"/>
      <c r="J27" s="461"/>
      <c r="K27" s="461"/>
      <c r="L27" s="461"/>
      <c r="M27" s="461"/>
      <c r="N27" s="461"/>
      <c r="O27" s="461"/>
      <c r="P27" t="s">
        <v>115</v>
      </c>
    </row>
    <row r="28" spans="1:22" x14ac:dyDescent="0.3">
      <c r="A28" s="7">
        <v>1047</v>
      </c>
      <c r="B28" t="s">
        <v>226</v>
      </c>
      <c r="C28" s="460"/>
      <c r="D28" s="460"/>
      <c r="E28" s="460"/>
      <c r="F28" s="460"/>
      <c r="G28" s="460"/>
      <c r="H28" s="460"/>
      <c r="I28" s="460"/>
      <c r="J28" s="460"/>
      <c r="K28" s="460"/>
      <c r="L28" s="460"/>
      <c r="M28" s="460"/>
      <c r="N28" s="460"/>
      <c r="O28" s="460"/>
      <c r="P28" t="s">
        <v>115</v>
      </c>
      <c r="S28" s="114"/>
      <c r="T28" s="114"/>
      <c r="U28" s="114"/>
      <c r="V28" s="11"/>
    </row>
    <row r="29" spans="1:22" x14ac:dyDescent="0.3">
      <c r="A29" s="7"/>
      <c r="C29" s="60"/>
      <c r="D29" s="60"/>
      <c r="E29" s="60"/>
      <c r="F29" s="60"/>
      <c r="G29" s="60"/>
      <c r="H29" s="60"/>
      <c r="I29" s="60"/>
      <c r="J29" s="60"/>
      <c r="K29" s="60"/>
      <c r="L29" s="60"/>
      <c r="M29" s="60"/>
      <c r="N29" s="60"/>
      <c r="O29" s="60"/>
      <c r="S29" s="114"/>
      <c r="T29" s="114"/>
      <c r="U29" s="114"/>
      <c r="V29" s="11"/>
    </row>
    <row r="30" spans="1:22" x14ac:dyDescent="0.3">
      <c r="A30" s="7"/>
      <c r="B30" s="20" t="s">
        <v>383</v>
      </c>
      <c r="C30" s="3" t="s">
        <v>271</v>
      </c>
      <c r="D30" s="3" t="s">
        <v>272</v>
      </c>
      <c r="E30" s="3">
        <f>E$5</f>
        <v>2015</v>
      </c>
      <c r="F30" s="3">
        <f t="shared" ref="F30:N30" si="1">F$5</f>
        <v>2016</v>
      </c>
      <c r="G30" s="3">
        <f t="shared" si="1"/>
        <v>2017</v>
      </c>
      <c r="H30" s="3">
        <f t="shared" si="1"/>
        <v>2018</v>
      </c>
      <c r="I30" s="3">
        <f t="shared" si="1"/>
        <v>2019</v>
      </c>
      <c r="J30" s="3">
        <f t="shared" si="1"/>
        <v>2020</v>
      </c>
      <c r="K30" s="3" t="s">
        <v>123</v>
      </c>
      <c r="L30" s="3" t="str">
        <f t="shared" si="1"/>
        <v>2021-22</v>
      </c>
      <c r="M30" s="3" t="str">
        <f t="shared" si="1"/>
        <v>2022-23</v>
      </c>
      <c r="N30" s="3" t="str">
        <f t="shared" si="1"/>
        <v>2023-24</v>
      </c>
      <c r="O30" s="3" t="s">
        <v>133</v>
      </c>
    </row>
    <row r="31" spans="1:22" x14ac:dyDescent="0.3">
      <c r="A31" s="7">
        <v>1012</v>
      </c>
      <c r="B31" t="s">
        <v>82</v>
      </c>
      <c r="C31" s="60">
        <v>5286.2036900000021</v>
      </c>
      <c r="D31" s="60">
        <v>7127.7134000000024</v>
      </c>
      <c r="E31" s="60">
        <f>SUM(C31:D31)</f>
        <v>12413.917090000004</v>
      </c>
      <c r="F31" s="85">
        <v>27424.690842015596</v>
      </c>
      <c r="G31" s="85">
        <v>22125.920894607705</v>
      </c>
      <c r="H31" s="85">
        <v>39195.811750000001</v>
      </c>
      <c r="I31" s="85">
        <v>48740.423960000007</v>
      </c>
      <c r="J31" s="85">
        <v>38790.077370000006</v>
      </c>
      <c r="K31" s="85">
        <v>38743.080010000005</v>
      </c>
      <c r="L31" s="85">
        <v>34087.615819999999</v>
      </c>
      <c r="M31" s="85">
        <v>44988.29303999999</v>
      </c>
      <c r="N31" s="85">
        <v>55556.544150000009</v>
      </c>
      <c r="O31" s="85">
        <v>46526.397599999997</v>
      </c>
    </row>
    <row r="32" spans="1:22" x14ac:dyDescent="0.3">
      <c r="A32" s="7">
        <v>1013</v>
      </c>
      <c r="B32" t="s">
        <v>83</v>
      </c>
      <c r="C32" s="60">
        <v>3483.2379299999993</v>
      </c>
      <c r="D32" s="60">
        <v>5541.0088499999993</v>
      </c>
      <c r="E32" s="60">
        <f t="shared" ref="E32:E36" si="2">SUM(C32:D32)</f>
        <v>9024.2467799999977</v>
      </c>
      <c r="F32" s="85">
        <v>11026.918443193479</v>
      </c>
      <c r="G32" s="85">
        <v>10303.302745382258</v>
      </c>
      <c r="H32" s="85">
        <v>11662.520239999998</v>
      </c>
      <c r="I32" s="85">
        <v>9843.1017899999933</v>
      </c>
      <c r="J32" s="85">
        <v>9659.5927300000076</v>
      </c>
      <c r="K32" s="85">
        <v>6074.8270499999999</v>
      </c>
      <c r="L32" s="85">
        <v>7436.8970199999994</v>
      </c>
      <c r="M32" s="85">
        <v>6864.4850699999988</v>
      </c>
      <c r="N32" s="85">
        <v>7719.7267900000006</v>
      </c>
      <c r="O32" s="85">
        <v>11480.254460000002</v>
      </c>
    </row>
    <row r="33" spans="1:18" x14ac:dyDescent="0.3">
      <c r="A33" s="7">
        <v>1014</v>
      </c>
      <c r="B33" t="s">
        <v>84</v>
      </c>
      <c r="C33" s="60">
        <v>5192.42659</v>
      </c>
      <c r="D33" s="60">
        <v>9259.6196199999995</v>
      </c>
      <c r="E33" s="60">
        <f t="shared" si="2"/>
        <v>14452.04621</v>
      </c>
      <c r="F33" s="85">
        <v>13561.935814521432</v>
      </c>
      <c r="G33" s="85">
        <v>19143.681197049449</v>
      </c>
      <c r="H33" s="85">
        <v>27575.948430000004</v>
      </c>
      <c r="I33" s="85">
        <v>32194.922419999995</v>
      </c>
      <c r="J33" s="85">
        <v>25183.795730000002</v>
      </c>
      <c r="K33" s="85">
        <v>28018.949430000001</v>
      </c>
      <c r="L33" s="85">
        <v>20434.403400000003</v>
      </c>
      <c r="M33" s="85">
        <v>35861.449800000009</v>
      </c>
      <c r="N33" s="85">
        <v>36944.382890000001</v>
      </c>
      <c r="O33" s="85">
        <v>62822.185750000011</v>
      </c>
    </row>
    <row r="34" spans="1:18" x14ac:dyDescent="0.3">
      <c r="A34" s="7">
        <v>1018</v>
      </c>
      <c r="B34" t="s">
        <v>85</v>
      </c>
      <c r="C34" s="60">
        <v>5747.3549499999917</v>
      </c>
      <c r="D34" s="60">
        <v>331.40764000000013</v>
      </c>
      <c r="E34" s="60">
        <f t="shared" si="2"/>
        <v>6078.7625899999921</v>
      </c>
      <c r="F34" s="85">
        <v>2825.6758471239596</v>
      </c>
      <c r="G34" s="85">
        <v>6159.880008597811</v>
      </c>
      <c r="H34" s="85">
        <v>7310.2184899999993</v>
      </c>
      <c r="I34" s="85">
        <v>7889.2887699999992</v>
      </c>
      <c r="J34" s="85">
        <v>6636.7625900000003</v>
      </c>
      <c r="K34" s="85">
        <v>7798.7848399999993</v>
      </c>
      <c r="L34" s="85">
        <v>9812.7232999999997</v>
      </c>
      <c r="M34" s="85">
        <v>8723.9271099999987</v>
      </c>
      <c r="N34" s="85">
        <v>7895.7670699999999</v>
      </c>
      <c r="O34" s="85">
        <v>11395.224140000002</v>
      </c>
    </row>
    <row r="35" spans="1:18" x14ac:dyDescent="0.3">
      <c r="A35" s="7">
        <v>1019</v>
      </c>
      <c r="B35" s="24" t="s">
        <v>77</v>
      </c>
      <c r="C35" s="60">
        <v>0</v>
      </c>
      <c r="D35" s="60">
        <v>8365.6878253068444</v>
      </c>
      <c r="E35" s="60">
        <f t="shared" si="2"/>
        <v>8365.6878253068444</v>
      </c>
      <c r="F35" s="85">
        <v>6681.6709663042202</v>
      </c>
      <c r="G35" s="85">
        <v>6583.498675170129</v>
      </c>
      <c r="H35" s="85">
        <v>4825.4054100000003</v>
      </c>
      <c r="I35" s="85">
        <v>5838.1483600000001</v>
      </c>
      <c r="J35" s="85">
        <v>5685.6688200000008</v>
      </c>
      <c r="K35" s="85">
        <v>4321.6626799999995</v>
      </c>
      <c r="L35" s="85">
        <v>3292.7727699999996</v>
      </c>
      <c r="M35" s="85">
        <v>6338.6652599999998</v>
      </c>
      <c r="N35" s="85">
        <v>5703.1810199999991</v>
      </c>
      <c r="O35" s="85">
        <v>7034.2067600000009</v>
      </c>
    </row>
    <row r="36" spans="1:18" x14ac:dyDescent="0.3">
      <c r="A36" s="7">
        <v>1015</v>
      </c>
      <c r="B36" t="s">
        <v>268</v>
      </c>
      <c r="C36" s="60">
        <v>2235.8541500000006</v>
      </c>
      <c r="D36" s="60">
        <v>18957.273880000004</v>
      </c>
      <c r="E36" s="60">
        <f t="shared" si="2"/>
        <v>21193.128030000003</v>
      </c>
      <c r="F36" s="85">
        <v>386.06555692662835</v>
      </c>
      <c r="G36" s="85">
        <v>126.15343307337135</v>
      </c>
      <c r="H36" s="85">
        <v>128.63875000000002</v>
      </c>
      <c r="I36" s="85">
        <v>4467.4474200000004</v>
      </c>
      <c r="J36" s="85">
        <v>3308.1330000000003</v>
      </c>
      <c r="K36" s="85">
        <v>1767.3468400000002</v>
      </c>
      <c r="L36" s="85">
        <v>3755.2606318047401</v>
      </c>
      <c r="M36" s="85">
        <v>2018.9976081952595</v>
      </c>
      <c r="N36" s="85">
        <v>2445.5557300000005</v>
      </c>
      <c r="O36" s="85">
        <v>2656.0141199999998</v>
      </c>
    </row>
    <row r="37" spans="1:18" x14ac:dyDescent="0.3">
      <c r="A37" s="7">
        <v>1016</v>
      </c>
      <c r="B37" t="s">
        <v>86</v>
      </c>
      <c r="C37" s="60">
        <v>397.03699999999998</v>
      </c>
      <c r="D37" s="60">
        <v>528.57722999999999</v>
      </c>
      <c r="E37" s="60">
        <f>SUM(C37:D37)</f>
        <v>925.61422999999991</v>
      </c>
      <c r="F37" s="85">
        <v>1097.3445713851438</v>
      </c>
      <c r="G37" s="85">
        <v>560.9968786148562</v>
      </c>
      <c r="H37" s="85">
        <v>1004.78701</v>
      </c>
      <c r="I37" s="85">
        <v>778.02085999999997</v>
      </c>
      <c r="J37" s="85">
        <v>373.20270999999997</v>
      </c>
      <c r="K37" s="85">
        <v>289.16324999999995</v>
      </c>
      <c r="L37" s="85">
        <v>592.81180000000006</v>
      </c>
      <c r="M37" s="85">
        <v>430.08153000000004</v>
      </c>
      <c r="N37" s="85">
        <v>307.83842000000004</v>
      </c>
      <c r="O37" s="85">
        <v>865.37089999999989</v>
      </c>
    </row>
    <row r="38" spans="1:18" x14ac:dyDescent="0.3">
      <c r="A38" s="7">
        <v>1048</v>
      </c>
      <c r="B38" t="s">
        <v>207</v>
      </c>
      <c r="C38" s="60"/>
      <c r="D38" s="60"/>
      <c r="E38" s="60"/>
      <c r="F38" s="85"/>
      <c r="G38" s="85"/>
      <c r="H38" s="85"/>
      <c r="I38" s="85"/>
      <c r="J38" s="85">
        <v>0</v>
      </c>
      <c r="K38" s="85">
        <v>0</v>
      </c>
      <c r="L38" s="85">
        <v>299.86367999999999</v>
      </c>
      <c r="M38" s="85">
        <v>1277.2551699999999</v>
      </c>
      <c r="N38" s="85">
        <v>1068.4159399999999</v>
      </c>
      <c r="O38" s="85">
        <v>2649.8943900000004</v>
      </c>
    </row>
    <row r="39" spans="1:18" ht="15.3" thickBot="1" x14ac:dyDescent="0.35">
      <c r="C39" s="177">
        <f>SUM(C31:C36)</f>
        <v>21945.077309999993</v>
      </c>
      <c r="D39" s="177">
        <f>SUM(D31:D36)</f>
        <v>49582.711215306859</v>
      </c>
      <c r="E39" s="177">
        <f t="shared" ref="E39:O39" si="3">SUM(E31:E38)</f>
        <v>72453.402755306844</v>
      </c>
      <c r="F39" s="177">
        <f t="shared" si="3"/>
        <v>63004.302041470459</v>
      </c>
      <c r="G39" s="177">
        <f t="shared" si="3"/>
        <v>65003.433832495582</v>
      </c>
      <c r="H39" s="177">
        <f t="shared" si="3"/>
        <v>91703.33008</v>
      </c>
      <c r="I39" s="177">
        <f t="shared" si="3"/>
        <v>109751.35358</v>
      </c>
      <c r="J39" s="177">
        <f t="shared" si="3"/>
        <v>89637.23295000002</v>
      </c>
      <c r="K39" s="177">
        <f t="shared" si="3"/>
        <v>87013.814099999989</v>
      </c>
      <c r="L39" s="177">
        <f t="shared" si="3"/>
        <v>79712.348421804738</v>
      </c>
      <c r="M39" s="177">
        <f t="shared" si="3"/>
        <v>106503.15458819525</v>
      </c>
      <c r="N39" s="177">
        <f t="shared" si="3"/>
        <v>117641.41201000003</v>
      </c>
      <c r="O39" s="177">
        <f t="shared" si="3"/>
        <v>145429.54812000002</v>
      </c>
      <c r="P39" t="s">
        <v>288</v>
      </c>
    </row>
    <row r="40" spans="1:18" x14ac:dyDescent="0.3">
      <c r="A40" s="7">
        <v>1047</v>
      </c>
      <c r="B40" t="s">
        <v>226</v>
      </c>
      <c r="F40" s="57"/>
      <c r="G40" s="90"/>
      <c r="H40" s="90"/>
      <c r="I40" s="90"/>
      <c r="J40" s="90"/>
      <c r="K40" s="90"/>
      <c r="L40" s="85">
        <v>4.3356600000000007</v>
      </c>
      <c r="M40" s="85">
        <v>843.84164999999996</v>
      </c>
      <c r="N40" s="85">
        <v>1317.7013900000002</v>
      </c>
      <c r="O40" s="85">
        <v>622.28534999999977</v>
      </c>
      <c r="P40" s="24" t="s">
        <v>364</v>
      </c>
    </row>
    <row r="41" spans="1:18" x14ac:dyDescent="0.3">
      <c r="A41" s="7"/>
      <c r="F41" s="57"/>
      <c r="G41" s="58"/>
      <c r="H41" s="58"/>
      <c r="I41" s="58"/>
      <c r="J41" s="58"/>
      <c r="K41" s="58"/>
      <c r="L41" s="94"/>
      <c r="M41" s="94"/>
      <c r="N41" s="94"/>
      <c r="O41" s="94"/>
    </row>
    <row r="42" spans="1:18" x14ac:dyDescent="0.3">
      <c r="B42" s="89"/>
      <c r="C42" s="89"/>
      <c r="D42" s="89"/>
      <c r="E42" s="89"/>
      <c r="F42" s="89"/>
      <c r="G42" s="89"/>
      <c r="H42" s="89"/>
      <c r="I42" s="89"/>
      <c r="J42" s="89"/>
      <c r="K42" s="89"/>
      <c r="L42" s="89"/>
      <c r="M42" s="89"/>
      <c r="N42" s="89"/>
      <c r="O42" s="89"/>
      <c r="Q42" s="1"/>
      <c r="R42" s="1"/>
    </row>
    <row r="43" spans="1:18" x14ac:dyDescent="0.3">
      <c r="B43" s="20" t="s">
        <v>210</v>
      </c>
      <c r="C43" s="3" t="s">
        <v>271</v>
      </c>
      <c r="D43" s="3" t="s">
        <v>272</v>
      </c>
      <c r="E43" s="3">
        <v>2015</v>
      </c>
      <c r="F43" s="3">
        <v>2016</v>
      </c>
      <c r="G43" s="3">
        <v>2017</v>
      </c>
      <c r="H43" s="3">
        <v>2018</v>
      </c>
      <c r="I43" s="3">
        <v>2019</v>
      </c>
      <c r="J43" s="3">
        <v>2020</v>
      </c>
      <c r="K43" s="3" t="s">
        <v>123</v>
      </c>
      <c r="L43" s="3" t="s">
        <v>136</v>
      </c>
      <c r="M43" s="3" t="s">
        <v>135</v>
      </c>
      <c r="N43" s="3" t="s">
        <v>134</v>
      </c>
      <c r="O43" s="3" t="s">
        <v>133</v>
      </c>
      <c r="Q43" s="3"/>
      <c r="R43" s="3"/>
    </row>
    <row r="44" spans="1:18" x14ac:dyDescent="0.3">
      <c r="A44" s="7">
        <v>1012</v>
      </c>
      <c r="B44" t="s">
        <v>82</v>
      </c>
      <c r="C44" s="94">
        <v>278.55505879290706</v>
      </c>
      <c r="D44" s="94">
        <v>1116.0288400000002</v>
      </c>
      <c r="E44" s="60">
        <f t="shared" ref="E44:E49" si="4">SUM(C44:D44)</f>
        <v>1394.5838987929073</v>
      </c>
      <c r="F44" s="85">
        <v>785.89760743952706</v>
      </c>
      <c r="G44" s="85">
        <v>2441.3998823089937</v>
      </c>
      <c r="H44" s="85">
        <v>3246.423318688333</v>
      </c>
      <c r="I44" s="85">
        <v>1185.7791104059822</v>
      </c>
      <c r="J44" s="85">
        <v>750.519230905688</v>
      </c>
      <c r="K44" s="85">
        <v>1282.1283941885106</v>
      </c>
      <c r="L44" s="60">
        <v>1044.81232604669</v>
      </c>
      <c r="M44" s="60">
        <v>2003.4095899999998</v>
      </c>
      <c r="N44" s="85">
        <v>2480.7571499999995</v>
      </c>
      <c r="O44" s="85">
        <v>1564.2940999999998</v>
      </c>
    </row>
    <row r="45" spans="1:18" x14ac:dyDescent="0.3">
      <c r="A45" s="7">
        <v>1013</v>
      </c>
      <c r="B45" t="s">
        <v>83</v>
      </c>
      <c r="C45" s="94">
        <v>1231.7008990929278</v>
      </c>
      <c r="D45" s="94">
        <v>1141.3188700000003</v>
      </c>
      <c r="E45" s="60">
        <f t="shared" si="4"/>
        <v>2373.0197690929281</v>
      </c>
      <c r="F45" s="85">
        <v>1105.7451645339115</v>
      </c>
      <c r="G45" s="85">
        <v>1419.3092075982597</v>
      </c>
      <c r="H45" s="85">
        <v>1305.1781561413127</v>
      </c>
      <c r="I45" s="85">
        <v>1127.0008276951671</v>
      </c>
      <c r="J45" s="85">
        <v>569.64152616351907</v>
      </c>
      <c r="K45" s="85">
        <v>701.94435156257521</v>
      </c>
      <c r="L45" s="60">
        <v>871.90328427715485</v>
      </c>
      <c r="M45" s="60">
        <v>976.91091000000006</v>
      </c>
      <c r="N45" s="85">
        <v>1125.8086200000002</v>
      </c>
      <c r="O45" s="85">
        <v>1003.9489699999999</v>
      </c>
    </row>
    <row r="46" spans="1:18" x14ac:dyDescent="0.3">
      <c r="A46" s="7">
        <v>1014</v>
      </c>
      <c r="B46" t="s">
        <v>84</v>
      </c>
      <c r="C46" s="94">
        <v>1007.6514113822991</v>
      </c>
      <c r="D46" s="94">
        <v>-322.70006000000001</v>
      </c>
      <c r="E46" s="60">
        <f t="shared" si="4"/>
        <v>684.95135138229909</v>
      </c>
      <c r="F46" s="85">
        <v>1641.7835912540222</v>
      </c>
      <c r="G46" s="85">
        <v>2506.8524562693015</v>
      </c>
      <c r="H46" s="85">
        <v>2871.5183360928149</v>
      </c>
      <c r="I46" s="85">
        <v>2253.6582968363273</v>
      </c>
      <c r="J46" s="85">
        <v>1696.5467370708545</v>
      </c>
      <c r="K46" s="85">
        <v>2348.5650805289374</v>
      </c>
      <c r="L46" s="60">
        <v>2063.6619960727371</v>
      </c>
      <c r="M46" s="60">
        <v>4217.0056100000002</v>
      </c>
      <c r="N46" s="85">
        <v>4459.3356699999995</v>
      </c>
      <c r="O46" s="85">
        <v>4222.6475000000009</v>
      </c>
      <c r="R46" s="315"/>
    </row>
    <row r="47" spans="1:18" x14ac:dyDescent="0.3">
      <c r="A47" s="7">
        <v>1018</v>
      </c>
      <c r="B47" t="s">
        <v>85</v>
      </c>
      <c r="C47" s="94">
        <v>1082.8833998216646</v>
      </c>
      <c r="D47" s="94">
        <v>53.226559999999999</v>
      </c>
      <c r="E47" s="60">
        <f t="shared" si="4"/>
        <v>1136.1099598216647</v>
      </c>
      <c r="F47" s="85">
        <v>319.01576359771144</v>
      </c>
      <c r="G47" s="85">
        <v>809.27374727057759</v>
      </c>
      <c r="H47" s="85">
        <v>788.19170542195161</v>
      </c>
      <c r="I47" s="85">
        <v>720.34685747215519</v>
      </c>
      <c r="J47" s="85">
        <v>527.88927710589292</v>
      </c>
      <c r="K47" s="85">
        <v>848.46958734039856</v>
      </c>
      <c r="L47" s="60">
        <v>1072.9935881095103</v>
      </c>
      <c r="M47" s="60">
        <v>1118.2434599999997</v>
      </c>
      <c r="N47" s="85">
        <v>1109.2554</v>
      </c>
      <c r="O47" s="85">
        <v>986.04503000000011</v>
      </c>
    </row>
    <row r="48" spans="1:18" x14ac:dyDescent="0.3">
      <c r="A48" s="7">
        <v>1019</v>
      </c>
      <c r="B48" s="24" t="s">
        <v>77</v>
      </c>
      <c r="C48" s="94">
        <v>0</v>
      </c>
      <c r="D48" s="94">
        <v>1337.2520799999998</v>
      </c>
      <c r="E48" s="60">
        <f t="shared" si="4"/>
        <v>1337.2520799999998</v>
      </c>
      <c r="F48" s="85">
        <v>590.73542061867317</v>
      </c>
      <c r="G48" s="85">
        <v>-60.061812869673595</v>
      </c>
      <c r="H48" s="85">
        <v>574.9676209488315</v>
      </c>
      <c r="I48" s="85">
        <v>351.07311703750224</v>
      </c>
      <c r="J48" s="85">
        <v>325.40109201366539</v>
      </c>
      <c r="K48" s="85">
        <v>236.0039056817339</v>
      </c>
      <c r="L48" s="60">
        <v>152.31826291693164</v>
      </c>
      <c r="M48" s="60">
        <v>304.41111999999998</v>
      </c>
      <c r="N48" s="85">
        <v>419.48905000000002</v>
      </c>
      <c r="O48" s="85">
        <v>229.71318999999997</v>
      </c>
    </row>
    <row r="49" spans="1:18" x14ac:dyDescent="0.3">
      <c r="A49" s="7">
        <v>1015</v>
      </c>
      <c r="B49" t="s">
        <v>268</v>
      </c>
      <c r="C49" s="94">
        <v>1194.1119310891322</v>
      </c>
      <c r="D49" s="94">
        <v>-76.724179999999905</v>
      </c>
      <c r="E49" s="60">
        <f t="shared" si="4"/>
        <v>1117.3877510891323</v>
      </c>
      <c r="F49" s="85">
        <v>10.745035529615437</v>
      </c>
      <c r="G49" s="85">
        <v>8.7793607122857207</v>
      </c>
      <c r="H49" s="85">
        <v>5.0254222815774989</v>
      </c>
      <c r="I49" s="85">
        <v>383.27630009255307</v>
      </c>
      <c r="J49" s="85">
        <v>260.7364276258694</v>
      </c>
      <c r="K49" s="85">
        <v>184.00200740344903</v>
      </c>
      <c r="L49" s="60">
        <v>43.892011066484649</v>
      </c>
      <c r="M49" s="60">
        <v>140.76760000000002</v>
      </c>
      <c r="N49" s="85">
        <v>321.71872000000002</v>
      </c>
      <c r="O49" s="85">
        <v>233.37971999999996</v>
      </c>
      <c r="R49" s="315"/>
    </row>
    <row r="50" spans="1:18" x14ac:dyDescent="0.3">
      <c r="A50" s="7">
        <v>1016</v>
      </c>
      <c r="B50" t="s">
        <v>86</v>
      </c>
      <c r="C50" s="94">
        <v>141.94431044627703</v>
      </c>
      <c r="D50" s="94">
        <v>109.65589</v>
      </c>
      <c r="E50" s="60">
        <f>SUM(C50:D50)</f>
        <v>251.60020044627703</v>
      </c>
      <c r="F50" s="85">
        <v>119.58074433804674</v>
      </c>
      <c r="G50" s="85">
        <v>54.74877781104739</v>
      </c>
      <c r="H50" s="85">
        <v>110.39623905137972</v>
      </c>
      <c r="I50" s="85">
        <v>67.033290448556457</v>
      </c>
      <c r="J50" s="85">
        <v>28.867050500063677</v>
      </c>
      <c r="K50" s="85">
        <v>31.737379039343061</v>
      </c>
      <c r="L50" s="60">
        <v>70.575759133067308</v>
      </c>
      <c r="M50" s="60">
        <v>60.175109999999997</v>
      </c>
      <c r="N50" s="85">
        <v>45.505240000000008</v>
      </c>
      <c r="O50" s="85">
        <v>76.91086</v>
      </c>
    </row>
    <row r="51" spans="1:18" x14ac:dyDescent="0.3">
      <c r="A51" s="7">
        <v>1048</v>
      </c>
      <c r="B51" t="s">
        <v>207</v>
      </c>
      <c r="C51" s="94"/>
      <c r="D51" s="94"/>
      <c r="E51" s="60"/>
      <c r="F51" s="85"/>
      <c r="G51" s="85"/>
      <c r="H51" s="85"/>
      <c r="I51" s="85"/>
      <c r="J51" s="85">
        <v>0</v>
      </c>
      <c r="K51" s="85">
        <v>0</v>
      </c>
      <c r="L51" s="85">
        <v>33.322519999999997</v>
      </c>
      <c r="M51" s="85">
        <v>150.28121999999999</v>
      </c>
      <c r="N51" s="85">
        <v>148.44015999999999</v>
      </c>
      <c r="O51" s="85">
        <v>221.54782999999998</v>
      </c>
      <c r="R51" s="315"/>
    </row>
    <row r="52" spans="1:18" ht="15.3" thickBot="1" x14ac:dyDescent="0.35">
      <c r="B52" s="1" t="s">
        <v>2</v>
      </c>
      <c r="C52" s="177">
        <f>SUM(C44:C49)</f>
        <v>4794.9027001789309</v>
      </c>
      <c r="D52" s="177">
        <f>SUM(D44:D49)</f>
        <v>3248.4021100000004</v>
      </c>
      <c r="E52" s="177">
        <f t="shared" ref="E52:O52" si="5">SUM(E44:E51)</f>
        <v>8294.9050106252089</v>
      </c>
      <c r="F52" s="177">
        <f t="shared" si="5"/>
        <v>4573.5033273115068</v>
      </c>
      <c r="G52" s="177">
        <f t="shared" si="5"/>
        <v>7180.3016191007928</v>
      </c>
      <c r="H52" s="177">
        <f t="shared" si="5"/>
        <v>8901.7007986262015</v>
      </c>
      <c r="I52" s="177">
        <f t="shared" si="5"/>
        <v>6088.167799988244</v>
      </c>
      <c r="J52" s="177">
        <f t="shared" si="5"/>
        <v>4159.6013413855526</v>
      </c>
      <c r="K52" s="177">
        <f t="shared" si="5"/>
        <v>5632.8507057449478</v>
      </c>
      <c r="L52" s="177">
        <f t="shared" si="5"/>
        <v>5353.4797476225758</v>
      </c>
      <c r="M52" s="177">
        <f t="shared" si="5"/>
        <v>8971.2046200000004</v>
      </c>
      <c r="N52" s="177">
        <f t="shared" si="5"/>
        <v>10110.310010000001</v>
      </c>
      <c r="O52" s="177">
        <f t="shared" si="5"/>
        <v>8538.4872000000014</v>
      </c>
      <c r="P52" t="s">
        <v>288</v>
      </c>
      <c r="R52" s="316"/>
    </row>
    <row r="53" spans="1:18" x14ac:dyDescent="0.3">
      <c r="A53" s="7">
        <v>1047</v>
      </c>
      <c r="B53" t="s">
        <v>226</v>
      </c>
      <c r="C53" s="60"/>
      <c r="D53" s="60"/>
      <c r="E53" s="60"/>
      <c r="F53" s="60"/>
      <c r="G53" s="60"/>
      <c r="H53" s="60"/>
      <c r="I53" s="60"/>
      <c r="J53" s="60"/>
      <c r="K53" s="60"/>
      <c r="L53" s="60">
        <v>0.52534999999999998</v>
      </c>
      <c r="M53" s="60">
        <v>156.42242999999996</v>
      </c>
      <c r="N53" s="85">
        <v>170.92273</v>
      </c>
      <c r="O53" s="85">
        <v>59.585320000000003</v>
      </c>
      <c r="P53" s="24" t="s">
        <v>364</v>
      </c>
      <c r="Q53" s="316"/>
      <c r="R53" s="316"/>
    </row>
    <row r="54" spans="1:18" x14ac:dyDescent="0.3">
      <c r="Q54" s="317"/>
      <c r="R54" s="317"/>
    </row>
    <row r="55" spans="1:18" x14ac:dyDescent="0.3">
      <c r="B55" s="1" t="s">
        <v>211</v>
      </c>
      <c r="C55" s="1"/>
      <c r="D55" s="1"/>
      <c r="E55" s="3">
        <v>2015</v>
      </c>
      <c r="F55" s="3">
        <v>2016</v>
      </c>
      <c r="G55" s="3">
        <v>2017</v>
      </c>
      <c r="H55" s="3">
        <v>2018</v>
      </c>
      <c r="I55" s="3">
        <v>2019</v>
      </c>
      <c r="J55" s="3">
        <v>2020</v>
      </c>
      <c r="K55" s="3" t="s">
        <v>123</v>
      </c>
      <c r="L55" s="3" t="s">
        <v>136</v>
      </c>
      <c r="M55" s="3" t="s">
        <v>135</v>
      </c>
      <c r="N55" s="3" t="s">
        <v>134</v>
      </c>
      <c r="O55" s="3" t="s">
        <v>133</v>
      </c>
      <c r="Q55" s="3"/>
      <c r="R55" s="3"/>
    </row>
    <row r="56" spans="1:18" x14ac:dyDescent="0.3">
      <c r="A56" s="7">
        <v>1012</v>
      </c>
      <c r="B56" t="s">
        <v>82</v>
      </c>
      <c r="E56" s="60">
        <f t="shared" ref="E56:G62" si="6">E31+E44</f>
        <v>13808.500988792912</v>
      </c>
      <c r="F56" s="60">
        <f t="shared" si="6"/>
        <v>28210.588449455125</v>
      </c>
      <c r="G56" s="60">
        <f t="shared" si="6"/>
        <v>24567.320776916698</v>
      </c>
      <c r="H56" s="60">
        <v>42442.235068688336</v>
      </c>
      <c r="I56" s="60">
        <v>49926.203070405987</v>
      </c>
      <c r="J56" s="60">
        <v>39540.596600905694</v>
      </c>
      <c r="K56" s="60">
        <v>40025.208404188517</v>
      </c>
      <c r="L56" s="60">
        <v>35132.428146046688</v>
      </c>
      <c r="M56" s="60">
        <v>46991.702629999992</v>
      </c>
      <c r="N56" s="60">
        <v>58037.301300000006</v>
      </c>
      <c r="O56" s="60">
        <v>48090.691699999996</v>
      </c>
    </row>
    <row r="57" spans="1:18" x14ac:dyDescent="0.3">
      <c r="A57" s="7">
        <v>1013</v>
      </c>
      <c r="B57" t="s">
        <v>83</v>
      </c>
      <c r="E57" s="60">
        <f t="shared" si="6"/>
        <v>11397.266549092925</v>
      </c>
      <c r="F57" s="60">
        <f t="shared" si="6"/>
        <v>12132.663607727391</v>
      </c>
      <c r="G57" s="60">
        <f t="shared" si="6"/>
        <v>11722.611952980518</v>
      </c>
      <c r="H57" s="60">
        <v>12967.69839614131</v>
      </c>
      <c r="I57" s="60">
        <v>10970.10261769516</v>
      </c>
      <c r="J57" s="60">
        <v>10229.234256163527</v>
      </c>
      <c r="K57" s="60">
        <v>6776.7714015625752</v>
      </c>
      <c r="L57" s="60">
        <v>8308.8003042771543</v>
      </c>
      <c r="M57" s="60">
        <v>7841.3959799999993</v>
      </c>
      <c r="N57" s="60">
        <v>8845.5354100000004</v>
      </c>
      <c r="O57" s="60">
        <v>12484.203430000001</v>
      </c>
    </row>
    <row r="58" spans="1:18" x14ac:dyDescent="0.3">
      <c r="A58" s="7">
        <v>1014</v>
      </c>
      <c r="B58" t="s">
        <v>84</v>
      </c>
      <c r="E58" s="60">
        <f t="shared" si="6"/>
        <v>15136.997561382299</v>
      </c>
      <c r="F58" s="60">
        <f t="shared" si="6"/>
        <v>15203.719405775453</v>
      </c>
      <c r="G58" s="60">
        <f t="shared" si="6"/>
        <v>21650.533653318751</v>
      </c>
      <c r="H58" s="60">
        <v>30447.466766092817</v>
      </c>
      <c r="I58" s="60">
        <v>34448.580716836324</v>
      </c>
      <c r="J58" s="60">
        <v>26880.342467070855</v>
      </c>
      <c r="K58" s="60">
        <v>30367.514510528938</v>
      </c>
      <c r="L58" s="60">
        <v>22498.06539607274</v>
      </c>
      <c r="M58" s="60">
        <v>40078.45541000001</v>
      </c>
      <c r="N58" s="60">
        <v>41403.718560000001</v>
      </c>
      <c r="O58" s="60">
        <v>67044.833250000011</v>
      </c>
      <c r="Q58" s="315"/>
      <c r="R58" s="315"/>
    </row>
    <row r="59" spans="1:18" x14ac:dyDescent="0.3">
      <c r="A59" s="7">
        <v>1018</v>
      </c>
      <c r="B59" t="s">
        <v>85</v>
      </c>
      <c r="E59" s="60">
        <f t="shared" si="6"/>
        <v>7214.8725498216572</v>
      </c>
      <c r="F59" s="60">
        <f t="shared" si="6"/>
        <v>3144.6916107216712</v>
      </c>
      <c r="G59" s="60">
        <f t="shared" si="6"/>
        <v>6969.1537558683885</v>
      </c>
      <c r="H59" s="60">
        <v>8098.4101954219514</v>
      </c>
      <c r="I59" s="60">
        <v>8609.6356274721547</v>
      </c>
      <c r="J59" s="60">
        <v>7164.651867105893</v>
      </c>
      <c r="K59" s="60">
        <v>8647.2544273403983</v>
      </c>
      <c r="L59" s="60">
        <v>10885.716888109509</v>
      </c>
      <c r="M59" s="60">
        <v>9842.1705699999984</v>
      </c>
      <c r="N59" s="60">
        <v>9005.0224699999999</v>
      </c>
      <c r="O59" s="60">
        <v>12381.269170000001</v>
      </c>
    </row>
    <row r="60" spans="1:18" x14ac:dyDescent="0.3">
      <c r="A60" s="7">
        <v>1019</v>
      </c>
      <c r="B60" s="24" t="s">
        <v>77</v>
      </c>
      <c r="E60" s="60">
        <f t="shared" si="6"/>
        <v>9702.9399053068446</v>
      </c>
      <c r="F60" s="60">
        <f t="shared" si="6"/>
        <v>7272.406386922893</v>
      </c>
      <c r="G60" s="60">
        <f t="shared" si="6"/>
        <v>6523.4368623004557</v>
      </c>
      <c r="H60" s="60">
        <v>5400.3730309488319</v>
      </c>
      <c r="I60" s="60">
        <v>6189.2214770375022</v>
      </c>
      <c r="J60" s="60">
        <v>6011.069912013666</v>
      </c>
      <c r="K60" s="60">
        <v>4557.6665856817335</v>
      </c>
      <c r="L60" s="60">
        <v>3445.0910329169315</v>
      </c>
      <c r="M60" s="60">
        <v>6643.0763799999995</v>
      </c>
      <c r="N60" s="60">
        <v>6122.6700699999992</v>
      </c>
      <c r="O60" s="60">
        <v>7263.9199500000013</v>
      </c>
    </row>
    <row r="61" spans="1:18" x14ac:dyDescent="0.3">
      <c r="A61" s="7">
        <v>1015</v>
      </c>
      <c r="B61" t="s">
        <v>268</v>
      </c>
      <c r="E61" s="60">
        <f t="shared" si="6"/>
        <v>22310.515781089136</v>
      </c>
      <c r="F61" s="60">
        <f t="shared" si="6"/>
        <v>396.8105924562438</v>
      </c>
      <c r="G61" s="60">
        <f t="shared" si="6"/>
        <v>134.93279378565705</v>
      </c>
      <c r="H61" s="60">
        <v>133.66417228157752</v>
      </c>
      <c r="I61" s="60">
        <v>4850.7237200925538</v>
      </c>
      <c r="J61" s="60">
        <v>3568.8694276258698</v>
      </c>
      <c r="K61" s="60">
        <v>1951.3488474034491</v>
      </c>
      <c r="L61" s="60">
        <v>3799.1526428712245</v>
      </c>
      <c r="M61" s="60">
        <v>2159.7652081952597</v>
      </c>
      <c r="N61" s="60">
        <v>2767.2744500000003</v>
      </c>
      <c r="O61" s="60">
        <v>2889.3938399999997</v>
      </c>
      <c r="Q61" s="318"/>
      <c r="R61" s="318"/>
    </row>
    <row r="62" spans="1:18" x14ac:dyDescent="0.3">
      <c r="A62" s="7">
        <v>1016</v>
      </c>
      <c r="B62" t="s">
        <v>86</v>
      </c>
      <c r="E62" s="60">
        <f t="shared" si="6"/>
        <v>1177.214430446277</v>
      </c>
      <c r="F62" s="60">
        <f t="shared" si="6"/>
        <v>1216.9253157231906</v>
      </c>
      <c r="G62" s="60">
        <f t="shared" si="6"/>
        <v>615.74565642590358</v>
      </c>
      <c r="H62" s="60">
        <v>1115.1832490513798</v>
      </c>
      <c r="I62" s="60">
        <v>845.05415044855647</v>
      </c>
      <c r="J62" s="60">
        <v>402.06976050006364</v>
      </c>
      <c r="K62" s="60">
        <v>320.90062903934302</v>
      </c>
      <c r="L62" s="60">
        <v>663.38755913306738</v>
      </c>
      <c r="M62" s="60">
        <v>490.25664000000006</v>
      </c>
      <c r="N62" s="60">
        <v>353.34366000000006</v>
      </c>
      <c r="O62" s="60">
        <v>942.28175999999985</v>
      </c>
    </row>
    <row r="63" spans="1:18" x14ac:dyDescent="0.3">
      <c r="A63" s="7">
        <v>1048</v>
      </c>
      <c r="B63" t="s">
        <v>207</v>
      </c>
      <c r="E63" s="60"/>
      <c r="F63" s="60"/>
      <c r="G63" s="60"/>
      <c r="H63" s="60"/>
      <c r="I63" s="60">
        <v>0</v>
      </c>
      <c r="J63" s="60">
        <v>0</v>
      </c>
      <c r="K63" s="60">
        <v>0</v>
      </c>
      <c r="L63" s="60">
        <v>333.18619999999999</v>
      </c>
      <c r="M63" s="60">
        <v>1427.53639</v>
      </c>
      <c r="N63" s="60">
        <v>1216.8561</v>
      </c>
      <c r="O63" s="60">
        <v>2871.4422200000004</v>
      </c>
      <c r="P63" s="14"/>
      <c r="Q63" s="60"/>
      <c r="R63" s="318"/>
    </row>
    <row r="64" spans="1:18" ht="15.3" thickBot="1" x14ac:dyDescent="0.35">
      <c r="E64" s="177">
        <f t="shared" ref="E64:O64" si="7">SUM(E56:E63)</f>
        <v>80748.307765932055</v>
      </c>
      <c r="F64" s="177">
        <f t="shared" si="7"/>
        <v>67577.805368781963</v>
      </c>
      <c r="G64" s="177">
        <f t="shared" si="7"/>
        <v>72183.735451596382</v>
      </c>
      <c r="H64" s="177">
        <f t="shared" si="7"/>
        <v>100605.03087862622</v>
      </c>
      <c r="I64" s="177">
        <f t="shared" si="7"/>
        <v>115839.52137998823</v>
      </c>
      <c r="J64" s="177">
        <f t="shared" si="7"/>
        <v>93796.834291385574</v>
      </c>
      <c r="K64" s="177">
        <f t="shared" si="7"/>
        <v>92646.664805744964</v>
      </c>
      <c r="L64" s="177">
        <f t="shared" si="7"/>
        <v>85065.828169427317</v>
      </c>
      <c r="M64" s="177">
        <f t="shared" si="7"/>
        <v>115474.35920819527</v>
      </c>
      <c r="N64" s="177">
        <f t="shared" si="7"/>
        <v>127751.72202</v>
      </c>
      <c r="O64" s="177">
        <f t="shared" si="7"/>
        <v>153968.03532000005</v>
      </c>
      <c r="P64" t="s">
        <v>288</v>
      </c>
      <c r="Q64" s="60"/>
      <c r="R64" s="60"/>
    </row>
    <row r="65" spans="1:18" x14ac:dyDescent="0.3">
      <c r="A65" s="7">
        <v>1047</v>
      </c>
      <c r="B65" t="s">
        <v>226</v>
      </c>
      <c r="L65" s="60">
        <v>4.8610100000000003</v>
      </c>
      <c r="M65" s="94">
        <v>1000.2640799999999</v>
      </c>
      <c r="N65" s="94">
        <v>1488.6241200000002</v>
      </c>
      <c r="O65" s="94">
        <v>681.87066999999979</v>
      </c>
      <c r="P65" s="24" t="s">
        <v>364</v>
      </c>
      <c r="Q65" s="60"/>
      <c r="R65" s="60"/>
    </row>
    <row r="66" spans="1:18" x14ac:dyDescent="0.3">
      <c r="A66" s="7"/>
      <c r="J66" s="60"/>
      <c r="K66" s="60"/>
      <c r="L66" s="60"/>
      <c r="M66" s="60"/>
      <c r="O66" s="57"/>
      <c r="Q66" s="317"/>
      <c r="R66" s="317"/>
    </row>
    <row r="67" spans="1:18" x14ac:dyDescent="0.3">
      <c r="L67" s="60"/>
      <c r="M67" s="60"/>
      <c r="N67" s="60"/>
      <c r="O67" s="60"/>
    </row>
  </sheetData>
  <mergeCells count="1">
    <mergeCell ref="I1:J1"/>
  </mergeCells>
  <hyperlinks>
    <hyperlink ref="B3" location="Contents!A1" display="Table of Contents" xr:uid="{8F16D336-C4E6-45FA-B17D-2A4017C8D6E3}"/>
  </hyperlinks>
  <pageMargins left="0.7" right="0.7" top="0.75" bottom="0.75" header="0.3" footer="0.3"/>
  <headerFooter>
    <oddFooter>&amp;C_x000D_&amp;1#&amp;"Century Gothic"&amp;7&amp;K7F7F7F BUSINESS USE ONLY</oddFooter>
  </headerFooter>
  <ignoredErrors>
    <ignoredError sqref="L39:N39" formula="1"/>
  </ignoredError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8BC15-701F-4C28-91A8-3252D1A9426A}">
  <sheetPr codeName="Sheet11"/>
  <dimension ref="B1:M55"/>
  <sheetViews>
    <sheetView zoomScale="85" zoomScaleNormal="85" workbookViewId="0">
      <selection activeCell="I14" sqref="I14"/>
    </sheetView>
  </sheetViews>
  <sheetFormatPr defaultRowHeight="14.65" x14ac:dyDescent="0.3"/>
  <cols>
    <col min="1" max="1" width="4.44140625" customWidth="1"/>
    <col min="3" max="3" width="49.6640625" bestFit="1" customWidth="1"/>
    <col min="4" max="9" width="11" bestFit="1" customWidth="1"/>
    <col min="10" max="10" width="18.21875" customWidth="1"/>
  </cols>
  <sheetData>
    <row r="1" spans="2:13" x14ac:dyDescent="0.3">
      <c r="B1" s="52" t="s">
        <v>53</v>
      </c>
    </row>
    <row r="2" spans="2:13" x14ac:dyDescent="0.3">
      <c r="B2" s="1" t="s">
        <v>265</v>
      </c>
    </row>
    <row r="3" spans="2:13" x14ac:dyDescent="0.3">
      <c r="B3" s="1" t="s">
        <v>347</v>
      </c>
      <c r="D3" s="3" t="str">
        <f>Allocations!F$53</f>
        <v>CY2020</v>
      </c>
      <c r="E3" s="3" t="str">
        <f>Allocations!G$53</f>
        <v>2020-21</v>
      </c>
      <c r="F3" s="3" t="str">
        <f>Allocations!H$53</f>
        <v>2021-22</v>
      </c>
      <c r="G3" s="3" t="str">
        <f>Allocations!I$53</f>
        <v>2022-23</v>
      </c>
      <c r="H3" s="3" t="str">
        <f>Allocations!J$53</f>
        <v>2023-24</v>
      </c>
      <c r="I3" s="3" t="s">
        <v>133</v>
      </c>
    </row>
    <row r="4" spans="2:13" x14ac:dyDescent="0.3">
      <c r="B4">
        <v>1012</v>
      </c>
      <c r="C4" t="s">
        <v>82</v>
      </c>
      <c r="D4" s="94">
        <v>1842448.2999999998</v>
      </c>
      <c r="E4" s="94">
        <v>1854851.1700000004</v>
      </c>
      <c r="F4" s="94">
        <v>1641356.88</v>
      </c>
      <c r="G4" s="94">
        <v>1902438.03</v>
      </c>
      <c r="H4" s="94">
        <v>2393045.92</v>
      </c>
      <c r="I4" s="85">
        <v>1935135.62</v>
      </c>
    </row>
    <row r="5" spans="2:13" x14ac:dyDescent="0.3">
      <c r="B5">
        <v>1013</v>
      </c>
      <c r="C5" t="s">
        <v>83</v>
      </c>
      <c r="D5" s="94">
        <v>4968460.1900000004</v>
      </c>
      <c r="E5" s="94">
        <v>5553294.0700000003</v>
      </c>
      <c r="F5" s="94">
        <v>4996907.5799999991</v>
      </c>
      <c r="G5" s="94">
        <v>5255690.6399999997</v>
      </c>
      <c r="H5" s="94">
        <v>4830111.59</v>
      </c>
      <c r="I5" s="85">
        <v>5120617.3</v>
      </c>
    </row>
    <row r="6" spans="2:13" x14ac:dyDescent="0.3">
      <c r="B6">
        <v>1014</v>
      </c>
      <c r="C6" t="s">
        <v>84</v>
      </c>
      <c r="D6" s="94">
        <v>6207556.6200000001</v>
      </c>
      <c r="E6" s="94">
        <v>6233621.6299999999</v>
      </c>
      <c r="F6" s="94">
        <v>5374567.2200000007</v>
      </c>
      <c r="G6" s="94">
        <v>8793909.3999999985</v>
      </c>
      <c r="H6" s="94">
        <v>7431700.1700000009</v>
      </c>
      <c r="I6" s="85">
        <v>13981595.77</v>
      </c>
    </row>
    <row r="7" spans="2:13" x14ac:dyDescent="0.3">
      <c r="B7">
        <v>1015</v>
      </c>
      <c r="C7" t="s">
        <v>300</v>
      </c>
      <c r="D7" s="94">
        <v>5822357.5300000003</v>
      </c>
      <c r="E7" s="94">
        <v>7250721.4500000002</v>
      </c>
      <c r="F7" s="94">
        <v>0</v>
      </c>
      <c r="G7" s="94">
        <v>186276</v>
      </c>
      <c r="H7" s="94">
        <v>82167.25</v>
      </c>
      <c r="I7" s="85">
        <v>5740049</v>
      </c>
    </row>
    <row r="8" spans="2:13" x14ac:dyDescent="0.3">
      <c r="B8">
        <v>1016</v>
      </c>
      <c r="C8" t="s">
        <v>86</v>
      </c>
      <c r="D8" s="94">
        <v>500</v>
      </c>
      <c r="E8" s="94">
        <v>0</v>
      </c>
      <c r="F8" s="94">
        <v>2400</v>
      </c>
      <c r="G8" s="94">
        <v>3073</v>
      </c>
      <c r="H8" s="94">
        <v>0</v>
      </c>
      <c r="I8" s="85">
        <v>500</v>
      </c>
    </row>
    <row r="9" spans="2:13" x14ac:dyDescent="0.3">
      <c r="B9">
        <v>1018</v>
      </c>
      <c r="C9" t="s">
        <v>85</v>
      </c>
      <c r="D9" s="94">
        <v>4235963.37</v>
      </c>
      <c r="E9" s="94">
        <v>5678362.7599999998</v>
      </c>
      <c r="F9" s="94">
        <v>5829933.8699999992</v>
      </c>
      <c r="G9" s="94">
        <v>5086589.28</v>
      </c>
      <c r="H9" s="94">
        <v>5271772.59</v>
      </c>
      <c r="I9" s="85">
        <v>5032284.05</v>
      </c>
    </row>
    <row r="10" spans="2:13" x14ac:dyDescent="0.3">
      <c r="B10">
        <v>1019</v>
      </c>
      <c r="C10" t="s">
        <v>77</v>
      </c>
      <c r="D10" s="94">
        <v>1618552.3800000004</v>
      </c>
      <c r="E10" s="94">
        <v>1312529.0999999999</v>
      </c>
      <c r="F10" s="94">
        <v>1251963.3199999998</v>
      </c>
      <c r="G10" s="94">
        <v>937391.8</v>
      </c>
      <c r="H10" s="94">
        <v>1524416.27</v>
      </c>
      <c r="I10" s="85">
        <v>911268.66999999993</v>
      </c>
    </row>
    <row r="11" spans="2:13" x14ac:dyDescent="0.3">
      <c r="B11">
        <v>1047</v>
      </c>
      <c r="C11" t="s">
        <v>263</v>
      </c>
      <c r="D11" s="94"/>
      <c r="E11" s="94"/>
      <c r="F11" s="94"/>
      <c r="G11" s="94">
        <v>0</v>
      </c>
      <c r="H11" s="94">
        <v>0</v>
      </c>
      <c r="I11" s="85">
        <v>0</v>
      </c>
      <c r="J11" s="24" t="s">
        <v>364</v>
      </c>
    </row>
    <row r="12" spans="2:13" x14ac:dyDescent="0.3">
      <c r="B12" s="16">
        <v>1048</v>
      </c>
      <c r="C12" s="16" t="s">
        <v>207</v>
      </c>
      <c r="D12" s="95"/>
      <c r="E12" s="95"/>
      <c r="F12" s="95"/>
      <c r="G12" s="95"/>
      <c r="H12" s="95">
        <v>78673</v>
      </c>
      <c r="I12" s="175">
        <v>4009936.96</v>
      </c>
      <c r="J12" s="14"/>
    </row>
    <row r="13" spans="2:13" x14ac:dyDescent="0.3">
      <c r="C13" s="1" t="s">
        <v>340</v>
      </c>
      <c r="D13" s="96">
        <f t="shared" ref="D13" si="0">SUM(D4:D12)</f>
        <v>24695838.390000001</v>
      </c>
      <c r="E13" s="96">
        <f t="shared" ref="E13:F13" si="1">SUM(E4:E12)</f>
        <v>27883380.18</v>
      </c>
      <c r="F13" s="96">
        <f t="shared" si="1"/>
        <v>19097128.869999997</v>
      </c>
      <c r="G13" s="96">
        <f>SUM(G4:G12)</f>
        <v>22165368.149999999</v>
      </c>
      <c r="H13" s="96">
        <f>SUM(H4:H12)</f>
        <v>21611886.789999999</v>
      </c>
      <c r="I13" s="96">
        <f>SUM(I4:I12)</f>
        <v>36731387.369999997</v>
      </c>
    </row>
    <row r="14" spans="2:13" x14ac:dyDescent="0.3">
      <c r="H14" s="60">
        <v>0</v>
      </c>
      <c r="I14" s="60"/>
    </row>
    <row r="15" spans="2:13" x14ac:dyDescent="0.3">
      <c r="B15" s="1" t="s">
        <v>348</v>
      </c>
    </row>
    <row r="16" spans="2:13" x14ac:dyDescent="0.3">
      <c r="D16" s="3" t="str">
        <f>Allocations!F$53</f>
        <v>CY2020</v>
      </c>
      <c r="E16" s="3" t="str">
        <f>Allocations!G$53</f>
        <v>2020-21</v>
      </c>
      <c r="F16" s="3" t="str">
        <f>Allocations!H$53</f>
        <v>2021-22</v>
      </c>
      <c r="G16" s="3" t="str">
        <f>Allocations!I$53</f>
        <v>2022-23</v>
      </c>
      <c r="H16" s="3" t="str">
        <f>Allocations!J$53</f>
        <v>2023-24</v>
      </c>
      <c r="I16" s="3" t="s">
        <v>133</v>
      </c>
      <c r="J16" s="1"/>
      <c r="K16" s="1"/>
      <c r="L16" s="1"/>
      <c r="M16" s="1"/>
    </row>
    <row r="17" spans="2:13" x14ac:dyDescent="0.3">
      <c r="B17">
        <v>1012</v>
      </c>
      <c r="C17" t="s">
        <v>82</v>
      </c>
      <c r="D17" s="94">
        <v>69577.541636300535</v>
      </c>
      <c r="E17" s="94">
        <v>50408.411267676507</v>
      </c>
      <c r="F17" s="94">
        <v>48916.869195967884</v>
      </c>
      <c r="G17" s="94">
        <v>82098.739349982148</v>
      </c>
      <c r="H17" s="94">
        <v>101152.51197453254</v>
      </c>
      <c r="I17" s="85">
        <v>62223.242961539181</v>
      </c>
      <c r="J17" s="228"/>
      <c r="K17" s="228"/>
      <c r="L17" s="228"/>
      <c r="M17" s="228"/>
    </row>
    <row r="18" spans="2:13" x14ac:dyDescent="0.3">
      <c r="B18">
        <v>1013</v>
      </c>
      <c r="C18" t="s">
        <v>83</v>
      </c>
      <c r="D18" s="94">
        <v>393433.56632974662</v>
      </c>
      <c r="E18" s="94">
        <v>435246.03637946525</v>
      </c>
      <c r="F18" s="94">
        <v>528580.25123038644</v>
      </c>
      <c r="G18" s="94">
        <v>641707.06108290737</v>
      </c>
      <c r="H18" s="94">
        <v>613963.43905119924</v>
      </c>
      <c r="I18" s="85">
        <v>411738.59403906338</v>
      </c>
      <c r="J18" s="228"/>
      <c r="K18" s="228"/>
      <c r="L18" s="228"/>
      <c r="M18" s="228"/>
    </row>
    <row r="19" spans="2:13" x14ac:dyDescent="0.3">
      <c r="B19">
        <v>1014</v>
      </c>
      <c r="C19" t="s">
        <v>84</v>
      </c>
      <c r="D19" s="94">
        <v>444626.29293201969</v>
      </c>
      <c r="E19" s="94">
        <v>504534.72198466677</v>
      </c>
      <c r="F19" s="94">
        <v>494858.46403493726</v>
      </c>
      <c r="G19" s="94">
        <v>854921.02112497611</v>
      </c>
      <c r="H19" s="94">
        <v>792639.96086051257</v>
      </c>
      <c r="I19" s="85">
        <v>896929.57323556952</v>
      </c>
      <c r="J19" s="228"/>
      <c r="K19" s="228"/>
      <c r="L19" s="228"/>
      <c r="M19" s="228"/>
    </row>
    <row r="20" spans="2:13" x14ac:dyDescent="0.3">
      <c r="B20">
        <v>1015</v>
      </c>
      <c r="C20" t="s">
        <v>300</v>
      </c>
      <c r="D20" s="94">
        <v>401872.83172012353</v>
      </c>
      <c r="E20" s="94">
        <v>605710.6382697816</v>
      </c>
      <c r="F20" s="94">
        <v>0</v>
      </c>
      <c r="G20" s="94">
        <v>52683.039699201632</v>
      </c>
      <c r="H20" s="94">
        <v>10464.300213024495</v>
      </c>
      <c r="I20" s="85">
        <v>487372.14583473693</v>
      </c>
      <c r="J20" s="228"/>
      <c r="K20" s="228"/>
      <c r="L20" s="228"/>
      <c r="M20" s="228"/>
    </row>
    <row r="21" spans="2:13" x14ac:dyDescent="0.3">
      <c r="B21">
        <v>1016</v>
      </c>
      <c r="C21" t="s">
        <v>86</v>
      </c>
      <c r="D21" s="94">
        <v>24.717750878058286</v>
      </c>
      <c r="E21" s="94">
        <v>0</v>
      </c>
      <c r="F21" s="94">
        <v>272.45053176029586</v>
      </c>
      <c r="G21" s="94">
        <v>383.26431820100402</v>
      </c>
      <c r="H21" s="94">
        <v>0</v>
      </c>
      <c r="I21" s="85">
        <v>42.017991167633411</v>
      </c>
      <c r="J21" s="228"/>
      <c r="K21" s="228"/>
      <c r="L21" s="228"/>
      <c r="M21" s="228"/>
    </row>
    <row r="22" spans="2:13" x14ac:dyDescent="0.3">
      <c r="B22">
        <v>1018</v>
      </c>
      <c r="C22" t="s">
        <v>85</v>
      </c>
      <c r="D22" s="94">
        <v>330020.67230078735</v>
      </c>
      <c r="E22" s="94">
        <v>548367.93761997437</v>
      </c>
      <c r="F22" s="94">
        <v>575712.17592879746</v>
      </c>
      <c r="G22" s="94">
        <v>580105.42925170343</v>
      </c>
      <c r="H22" s="94">
        <v>648434.22138402809</v>
      </c>
      <c r="I22" s="85">
        <v>400275.92003210942</v>
      </c>
      <c r="J22" s="228"/>
      <c r="K22" s="228"/>
      <c r="L22" s="228"/>
      <c r="M22" s="228"/>
    </row>
    <row r="23" spans="2:13" x14ac:dyDescent="0.3">
      <c r="B23">
        <v>1019</v>
      </c>
      <c r="C23" t="s">
        <v>77</v>
      </c>
      <c r="D23" s="94">
        <v>105587.67605909504</v>
      </c>
      <c r="E23" s="94">
        <v>85372.310264744039</v>
      </c>
      <c r="F23" s="94">
        <v>90662.168478151973</v>
      </c>
      <c r="G23" s="94">
        <v>43616.310566620952</v>
      </c>
      <c r="H23" s="94">
        <v>127439.88850667814</v>
      </c>
      <c r="I23" s="85">
        <v>31339.086018776896</v>
      </c>
      <c r="J23" s="228"/>
      <c r="K23" s="228"/>
      <c r="L23" s="228"/>
      <c r="M23" s="228"/>
    </row>
    <row r="24" spans="2:13" x14ac:dyDescent="0.3">
      <c r="B24">
        <v>1047</v>
      </c>
      <c r="C24" t="s">
        <v>263</v>
      </c>
      <c r="D24" s="94"/>
      <c r="E24" s="94"/>
      <c r="F24" s="94"/>
      <c r="G24" s="94">
        <v>0</v>
      </c>
      <c r="H24" s="85">
        <v>0</v>
      </c>
      <c r="I24" s="85">
        <v>0</v>
      </c>
      <c r="J24" s="24" t="s">
        <v>364</v>
      </c>
      <c r="K24" s="252"/>
      <c r="L24" s="252"/>
      <c r="M24" s="252"/>
    </row>
    <row r="25" spans="2:13" x14ac:dyDescent="0.3">
      <c r="B25" s="16">
        <v>1048</v>
      </c>
      <c r="C25" s="16" t="s">
        <v>207</v>
      </c>
      <c r="D25" s="95"/>
      <c r="E25" s="95"/>
      <c r="F25" s="95"/>
      <c r="G25" s="95"/>
      <c r="H25" s="95">
        <v>9279.5195305834168</v>
      </c>
      <c r="I25" s="175">
        <v>296883.66905748576</v>
      </c>
      <c r="J25" s="228"/>
      <c r="K25" s="228"/>
      <c r="L25" s="228"/>
      <c r="M25" s="228"/>
    </row>
    <row r="26" spans="2:13" x14ac:dyDescent="0.3">
      <c r="C26" s="1" t="s">
        <v>342</v>
      </c>
      <c r="D26" s="96">
        <f t="shared" ref="D26:F26" si="2">SUM(D17:D25)</f>
        <v>1745143.2987289508</v>
      </c>
      <c r="E26" s="96">
        <f t="shared" si="2"/>
        <v>2229640.0557863084</v>
      </c>
      <c r="F26" s="96">
        <f t="shared" si="2"/>
        <v>1739002.3794000011</v>
      </c>
      <c r="G26" s="96">
        <f>SUM(G17:G25)</f>
        <v>2255514.8653935925</v>
      </c>
      <c r="H26" s="96">
        <f>SUM(H17:H25)</f>
        <v>2303373.8415205586</v>
      </c>
      <c r="I26" s="96">
        <f>SUM(I17:I25)</f>
        <v>2586804.2491704491</v>
      </c>
    </row>
    <row r="28" spans="2:13" x14ac:dyDescent="0.3">
      <c r="B28" s="1" t="s">
        <v>266</v>
      </c>
    </row>
    <row r="29" spans="2:13" x14ac:dyDescent="0.3">
      <c r="B29" s="1" t="s">
        <v>349</v>
      </c>
      <c r="D29" s="3" t="str">
        <f>Allocations!F$53</f>
        <v>CY2020</v>
      </c>
      <c r="E29" s="3" t="str">
        <f>Allocations!G$53</f>
        <v>2020-21</v>
      </c>
      <c r="F29" s="3" t="str">
        <f>Allocations!H$53</f>
        <v>2021-22</v>
      </c>
      <c r="G29" s="3" t="str">
        <f>Allocations!I$53</f>
        <v>2022-23</v>
      </c>
      <c r="H29" s="3" t="str">
        <f>Allocations!J$53</f>
        <v>2023-24</v>
      </c>
      <c r="I29" s="3" t="s">
        <v>133</v>
      </c>
    </row>
    <row r="30" spans="2:13" x14ac:dyDescent="0.3">
      <c r="B30">
        <v>1012</v>
      </c>
      <c r="C30" t="s">
        <v>82</v>
      </c>
      <c r="D30" s="94">
        <v>26982467</v>
      </c>
      <c r="E30" s="94">
        <v>26609491</v>
      </c>
      <c r="F30" s="94">
        <v>24192470</v>
      </c>
      <c r="G30" s="94">
        <v>30182985</v>
      </c>
      <c r="H30" s="94">
        <v>38035239</v>
      </c>
      <c r="I30" s="85">
        <v>30732033</v>
      </c>
    </row>
    <row r="31" spans="2:13" x14ac:dyDescent="0.3">
      <c r="B31">
        <v>1013</v>
      </c>
      <c r="C31" t="s">
        <v>83</v>
      </c>
      <c r="D31" s="94">
        <v>2341</v>
      </c>
      <c r="E31" s="94">
        <v>18554</v>
      </c>
      <c r="F31" s="94">
        <v>5890</v>
      </c>
      <c r="G31" s="94">
        <v>9040</v>
      </c>
      <c r="H31" s="94">
        <v>0</v>
      </c>
      <c r="I31" s="85">
        <v>0</v>
      </c>
    </row>
    <row r="32" spans="2:13" x14ac:dyDescent="0.3">
      <c r="B32">
        <v>1014</v>
      </c>
      <c r="C32" t="s">
        <v>84</v>
      </c>
      <c r="D32" s="94">
        <v>3335266</v>
      </c>
      <c r="E32" s="94">
        <v>6894963</v>
      </c>
      <c r="F32" s="94">
        <v>2327148</v>
      </c>
      <c r="G32" s="94">
        <v>5462830</v>
      </c>
      <c r="H32" s="94">
        <v>5066483</v>
      </c>
      <c r="I32" s="85">
        <v>12302015</v>
      </c>
    </row>
    <row r="33" spans="2:10" x14ac:dyDescent="0.3">
      <c r="B33">
        <v>1015</v>
      </c>
      <c r="C33" t="s">
        <v>300</v>
      </c>
      <c r="D33" s="94">
        <v>36648</v>
      </c>
      <c r="E33" s="94">
        <v>36648</v>
      </c>
      <c r="F33" s="94">
        <v>3300000</v>
      </c>
      <c r="G33" s="94">
        <v>965165.21</v>
      </c>
      <c r="H33" s="94">
        <v>0</v>
      </c>
      <c r="I33" s="85">
        <v>0</v>
      </c>
    </row>
    <row r="34" spans="2:10" x14ac:dyDescent="0.3">
      <c r="B34">
        <v>1016</v>
      </c>
      <c r="C34" t="s">
        <v>86</v>
      </c>
      <c r="D34" s="94">
        <v>0</v>
      </c>
      <c r="E34" s="94">
        <v>0</v>
      </c>
      <c r="F34" s="94">
        <v>0</v>
      </c>
      <c r="G34" s="94">
        <v>0</v>
      </c>
      <c r="H34" s="94">
        <v>0</v>
      </c>
      <c r="I34" s="85">
        <v>0</v>
      </c>
    </row>
    <row r="35" spans="2:10" x14ac:dyDescent="0.3">
      <c r="B35">
        <v>1018</v>
      </c>
      <c r="C35" t="s">
        <v>85</v>
      </c>
      <c r="D35" s="94">
        <v>145167</v>
      </c>
      <c r="E35" s="94">
        <v>106876</v>
      </c>
      <c r="F35" s="94">
        <v>177584</v>
      </c>
      <c r="G35" s="94">
        <v>196576</v>
      </c>
      <c r="H35" s="94">
        <v>110318</v>
      </c>
      <c r="I35" s="85">
        <v>283360</v>
      </c>
    </row>
    <row r="36" spans="2:10" x14ac:dyDescent="0.3">
      <c r="B36">
        <v>1019</v>
      </c>
      <c r="C36" t="s">
        <v>77</v>
      </c>
      <c r="D36" s="94">
        <v>1796214</v>
      </c>
      <c r="E36" s="94">
        <v>2209774</v>
      </c>
      <c r="F36" s="94">
        <v>1974144</v>
      </c>
      <c r="G36" s="94">
        <v>3875821</v>
      </c>
      <c r="H36" s="94">
        <v>2817848</v>
      </c>
      <c r="I36" s="85">
        <v>4453254</v>
      </c>
    </row>
    <row r="37" spans="2:10" x14ac:dyDescent="0.3">
      <c r="B37">
        <v>1047</v>
      </c>
      <c r="C37" t="s">
        <v>263</v>
      </c>
      <c r="D37" s="94"/>
      <c r="E37" s="94"/>
      <c r="F37" s="94"/>
      <c r="G37" s="94">
        <v>0</v>
      </c>
      <c r="H37" s="85">
        <v>457017</v>
      </c>
      <c r="I37" s="85">
        <v>0</v>
      </c>
      <c r="J37" s="24" t="s">
        <v>364</v>
      </c>
    </row>
    <row r="38" spans="2:10" x14ac:dyDescent="0.3">
      <c r="B38" s="16">
        <v>1048</v>
      </c>
      <c r="C38" s="16" t="s">
        <v>207</v>
      </c>
      <c r="D38" s="95"/>
      <c r="E38" s="95"/>
      <c r="F38" s="95"/>
      <c r="G38" s="95"/>
      <c r="H38" s="95">
        <v>0</v>
      </c>
      <c r="I38" s="175">
        <v>0</v>
      </c>
    </row>
    <row r="39" spans="2:10" x14ac:dyDescent="0.3">
      <c r="C39" s="1" t="s">
        <v>341</v>
      </c>
      <c r="D39" s="96">
        <f t="shared" ref="D39" si="3">SUM(D30:D38)</f>
        <v>32298103</v>
      </c>
      <c r="E39" s="96">
        <f t="shared" ref="E39:F39" si="4">SUM(E30:E38)</f>
        <v>35876306</v>
      </c>
      <c r="F39" s="96">
        <f t="shared" si="4"/>
        <v>31977236</v>
      </c>
      <c r="G39" s="96">
        <f>SUM(G30:G38)</f>
        <v>40692417.210000001</v>
      </c>
      <c r="H39" s="96">
        <f>SUM(H30:H38)</f>
        <v>46486905</v>
      </c>
      <c r="I39" s="96">
        <f>SUM(I30:I38)</f>
        <v>47770662</v>
      </c>
      <c r="J39" s="24"/>
    </row>
    <row r="40" spans="2:10" x14ac:dyDescent="0.3">
      <c r="H40" s="60">
        <v>0</v>
      </c>
      <c r="I40" s="60"/>
    </row>
    <row r="41" spans="2:10" x14ac:dyDescent="0.3">
      <c r="H41" s="60"/>
      <c r="I41" s="60"/>
    </row>
    <row r="42" spans="2:10" x14ac:dyDescent="0.3">
      <c r="B42" s="1" t="s">
        <v>350</v>
      </c>
      <c r="D42" s="3" t="str">
        <f>Allocations!F$53</f>
        <v>CY2020</v>
      </c>
      <c r="E42" s="3" t="str">
        <f>Allocations!G$53</f>
        <v>2020-21</v>
      </c>
      <c r="F42" s="3" t="str">
        <f>Allocations!H$53</f>
        <v>2021-22</v>
      </c>
      <c r="G42" s="3" t="str">
        <f>Allocations!I$53</f>
        <v>2022-23</v>
      </c>
      <c r="H42" s="3" t="str">
        <f>Allocations!J$53</f>
        <v>2023-24</v>
      </c>
      <c r="I42" s="3" t="s">
        <v>133</v>
      </c>
    </row>
    <row r="43" spans="2:10" x14ac:dyDescent="0.3">
      <c r="B43">
        <v>1012</v>
      </c>
      <c r="C43" t="s">
        <v>82</v>
      </c>
      <c r="D43" s="60">
        <f>D4+D30</f>
        <v>28824915.300000001</v>
      </c>
      <c r="E43" s="60">
        <f t="shared" ref="E43:H43" si="5">E4+E30</f>
        <v>28464342.170000002</v>
      </c>
      <c r="F43" s="60">
        <f t="shared" si="5"/>
        <v>25833826.879999999</v>
      </c>
      <c r="G43" s="60">
        <f t="shared" si="5"/>
        <v>32085423.030000001</v>
      </c>
      <c r="H43" s="60">
        <f t="shared" si="5"/>
        <v>40428284.920000002</v>
      </c>
      <c r="I43" s="60">
        <f t="shared" ref="I43" si="6">I4+I30</f>
        <v>32667168.620000001</v>
      </c>
    </row>
    <row r="44" spans="2:10" x14ac:dyDescent="0.3">
      <c r="B44">
        <v>1013</v>
      </c>
      <c r="C44" t="s">
        <v>83</v>
      </c>
      <c r="D44" s="60">
        <f t="shared" ref="D44:H51" si="7">D5+D31</f>
        <v>4970801.1900000004</v>
      </c>
      <c r="E44" s="60">
        <f t="shared" si="7"/>
        <v>5571848.0700000003</v>
      </c>
      <c r="F44" s="60">
        <f t="shared" si="7"/>
        <v>5002797.5799999991</v>
      </c>
      <c r="G44" s="60">
        <f t="shared" si="7"/>
        <v>5264730.6399999997</v>
      </c>
      <c r="H44" s="60">
        <f t="shared" si="7"/>
        <v>4830111.59</v>
      </c>
      <c r="I44" s="60">
        <f t="shared" ref="I44" si="8">I5+I31</f>
        <v>5120617.3</v>
      </c>
    </row>
    <row r="45" spans="2:10" x14ac:dyDescent="0.3">
      <c r="B45">
        <v>1014</v>
      </c>
      <c r="C45" t="s">
        <v>84</v>
      </c>
      <c r="D45" s="60">
        <f t="shared" si="7"/>
        <v>9542822.620000001</v>
      </c>
      <c r="E45" s="60">
        <f t="shared" si="7"/>
        <v>13128584.629999999</v>
      </c>
      <c r="F45" s="60">
        <f t="shared" si="7"/>
        <v>7701715.2200000007</v>
      </c>
      <c r="G45" s="60">
        <f t="shared" si="7"/>
        <v>14256739.399999999</v>
      </c>
      <c r="H45" s="60">
        <f t="shared" si="7"/>
        <v>12498183.170000002</v>
      </c>
      <c r="I45" s="60">
        <f t="shared" ref="I45" si="9">I6+I32</f>
        <v>26283610.77</v>
      </c>
    </row>
    <row r="46" spans="2:10" x14ac:dyDescent="0.3">
      <c r="B46">
        <v>1015</v>
      </c>
      <c r="C46" t="s">
        <v>300</v>
      </c>
      <c r="D46" s="60">
        <f t="shared" si="7"/>
        <v>5859005.5300000003</v>
      </c>
      <c r="E46" s="60">
        <f t="shared" si="7"/>
        <v>7287369.4500000002</v>
      </c>
      <c r="F46" s="60">
        <f t="shared" si="7"/>
        <v>3300000</v>
      </c>
      <c r="G46" s="60">
        <f t="shared" si="7"/>
        <v>1151441.21</v>
      </c>
      <c r="H46" s="60">
        <f t="shared" si="7"/>
        <v>82167.25</v>
      </c>
      <c r="I46" s="60">
        <f t="shared" ref="I46" si="10">I7+I33</f>
        <v>5740049</v>
      </c>
    </row>
    <row r="47" spans="2:10" x14ac:dyDescent="0.3">
      <c r="B47">
        <v>1016</v>
      </c>
      <c r="C47" t="s">
        <v>86</v>
      </c>
      <c r="D47" s="60">
        <f t="shared" si="7"/>
        <v>500</v>
      </c>
      <c r="E47" s="60">
        <f t="shared" si="7"/>
        <v>0</v>
      </c>
      <c r="F47" s="60">
        <f t="shared" si="7"/>
        <v>2400</v>
      </c>
      <c r="G47" s="60">
        <f t="shared" si="7"/>
        <v>3073</v>
      </c>
      <c r="H47" s="60">
        <f t="shared" si="7"/>
        <v>0</v>
      </c>
      <c r="I47" s="60">
        <f t="shared" ref="I47" si="11">I8+I34</f>
        <v>500</v>
      </c>
    </row>
    <row r="48" spans="2:10" x14ac:dyDescent="0.3">
      <c r="B48">
        <v>1018</v>
      </c>
      <c r="C48" t="s">
        <v>85</v>
      </c>
      <c r="D48" s="60">
        <f t="shared" si="7"/>
        <v>4381130.37</v>
      </c>
      <c r="E48" s="60">
        <f t="shared" si="7"/>
        <v>5785238.7599999998</v>
      </c>
      <c r="F48" s="60">
        <f t="shared" si="7"/>
        <v>6007517.8699999992</v>
      </c>
      <c r="G48" s="60">
        <f t="shared" si="7"/>
        <v>5283165.28</v>
      </c>
      <c r="H48" s="60">
        <f t="shared" si="7"/>
        <v>5382090.5899999999</v>
      </c>
      <c r="I48" s="60">
        <f t="shared" ref="I48" si="12">I9+I35</f>
        <v>5315644.05</v>
      </c>
    </row>
    <row r="49" spans="2:10" x14ac:dyDescent="0.3">
      <c r="B49">
        <v>1019</v>
      </c>
      <c r="C49" t="s">
        <v>77</v>
      </c>
      <c r="D49" s="60">
        <f t="shared" si="7"/>
        <v>3414766.3800000004</v>
      </c>
      <c r="E49" s="60">
        <f t="shared" si="7"/>
        <v>3522303.0999999996</v>
      </c>
      <c r="F49" s="60">
        <f t="shared" si="7"/>
        <v>3226107.32</v>
      </c>
      <c r="G49" s="60">
        <f t="shared" si="7"/>
        <v>4813212.8</v>
      </c>
      <c r="H49" s="60">
        <f t="shared" si="7"/>
        <v>4342264.2699999996</v>
      </c>
      <c r="I49" s="60">
        <f t="shared" ref="I49" si="13">I10+I36</f>
        <v>5364522.67</v>
      </c>
    </row>
    <row r="50" spans="2:10" x14ac:dyDescent="0.3">
      <c r="B50">
        <v>1047</v>
      </c>
      <c r="C50" t="s">
        <v>263</v>
      </c>
      <c r="D50" s="60">
        <f t="shared" si="7"/>
        <v>0</v>
      </c>
      <c r="E50" s="60">
        <f t="shared" si="7"/>
        <v>0</v>
      </c>
      <c r="F50" s="60">
        <f t="shared" si="7"/>
        <v>0</v>
      </c>
      <c r="G50" s="60">
        <f t="shared" si="7"/>
        <v>0</v>
      </c>
      <c r="H50" s="60">
        <f t="shared" si="7"/>
        <v>457017</v>
      </c>
      <c r="I50" s="60">
        <f t="shared" ref="I50" si="14">I11+I37</f>
        <v>0</v>
      </c>
      <c r="J50" s="24" t="s">
        <v>364</v>
      </c>
    </row>
    <row r="51" spans="2:10" x14ac:dyDescent="0.3">
      <c r="B51" s="16">
        <v>1048</v>
      </c>
      <c r="C51" s="16" t="s">
        <v>207</v>
      </c>
      <c r="D51" s="222">
        <f t="shared" si="7"/>
        <v>0</v>
      </c>
      <c r="E51" s="222">
        <f t="shared" si="7"/>
        <v>0</v>
      </c>
      <c r="F51" s="222">
        <f t="shared" si="7"/>
        <v>0</v>
      </c>
      <c r="G51" s="222">
        <f t="shared" si="7"/>
        <v>0</v>
      </c>
      <c r="H51" s="222">
        <f t="shared" si="7"/>
        <v>78673</v>
      </c>
      <c r="I51" s="222">
        <f t="shared" ref="I51" si="15">I12+I38</f>
        <v>4009936.96</v>
      </c>
    </row>
    <row r="52" spans="2:10" x14ac:dyDescent="0.3">
      <c r="C52" s="1" t="s">
        <v>342</v>
      </c>
      <c r="D52" s="96">
        <f t="shared" ref="D52" si="16">SUM(D43:D51)</f>
        <v>56993941.390000001</v>
      </c>
      <c r="E52" s="96">
        <f t="shared" ref="E52:F52" si="17">SUM(E43:E51)</f>
        <v>63759686.180000007</v>
      </c>
      <c r="F52" s="96">
        <f t="shared" si="17"/>
        <v>51074364.869999997</v>
      </c>
      <c r="G52" s="96">
        <f>SUM(G43:G51)</f>
        <v>62857785.359999999</v>
      </c>
      <c r="H52" s="96">
        <f>SUM(H43:H51)</f>
        <v>68098791.790000007</v>
      </c>
      <c r="I52" s="96">
        <f>SUM(I43:I51)</f>
        <v>84502049.36999999</v>
      </c>
    </row>
    <row r="53" spans="2:10" x14ac:dyDescent="0.3">
      <c r="H53" s="60">
        <v>0</v>
      </c>
      <c r="I53" s="60"/>
    </row>
    <row r="55" spans="2:10" x14ac:dyDescent="0.3">
      <c r="D55" s="60"/>
      <c r="E55" s="60"/>
      <c r="F55" s="60"/>
      <c r="G55" s="60"/>
      <c r="H55" s="60"/>
      <c r="I55" s="60"/>
    </row>
  </sheetData>
  <hyperlinks>
    <hyperlink ref="B1" location="Contents!A1" display="Table of Contents" xr:uid="{2020A9A3-D6A7-498C-A265-318D382D4D9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2:X94"/>
  <sheetViews>
    <sheetView zoomScale="85" zoomScaleNormal="85" workbookViewId="0">
      <pane xSplit="2" ySplit="5" topLeftCell="C6" activePane="bottomRight" state="frozen"/>
      <selection activeCell="AC23" sqref="AC23"/>
      <selection pane="topRight" activeCell="AC23" sqref="AC23"/>
      <selection pane="bottomLeft" activeCell="AC23" sqref="AC23"/>
      <selection pane="bottomRight" activeCell="A6" sqref="A6"/>
    </sheetView>
  </sheetViews>
  <sheetFormatPr defaultColWidth="9.109375" defaultRowHeight="14.65" outlineLevelCol="1" x14ac:dyDescent="0.3"/>
  <cols>
    <col min="1" max="1" width="5.33203125" customWidth="1"/>
    <col min="2" max="2" width="54.6640625" customWidth="1"/>
    <col min="3" max="3" width="9" customWidth="1" outlineLevel="1" collapsed="1"/>
    <col min="4" max="5" width="9" customWidth="1" outlineLevel="1"/>
    <col min="6" max="11" width="9" customWidth="1"/>
    <col min="12" max="12" width="8.44140625" customWidth="1"/>
    <col min="13" max="13" width="8.5546875" bestFit="1" customWidth="1"/>
    <col min="14" max="14" width="9.21875" customWidth="1"/>
    <col min="15" max="16" width="8.5546875" customWidth="1"/>
    <col min="17" max="17" width="2.33203125" customWidth="1"/>
    <col min="18" max="18" width="17.6640625" bestFit="1" customWidth="1"/>
    <col min="19" max="22" width="13.5546875" bestFit="1" customWidth="1"/>
    <col min="23" max="23" width="10" customWidth="1"/>
    <col min="24" max="24" width="10.33203125" customWidth="1"/>
    <col min="25" max="25" width="3" customWidth="1"/>
    <col min="26" max="26" width="10.5546875" customWidth="1"/>
    <col min="27" max="27" width="4.44140625" customWidth="1"/>
    <col min="28" max="28" width="12" customWidth="1"/>
    <col min="29" max="29" width="10.44140625" customWidth="1"/>
    <col min="30" max="30" width="11.109375" customWidth="1"/>
    <col min="31" max="31" width="4" customWidth="1"/>
    <col min="32" max="32" width="10" customWidth="1"/>
    <col min="33" max="33" width="4.109375" customWidth="1"/>
    <col min="34" max="34" width="12" customWidth="1"/>
    <col min="35" max="35" width="10.5546875" customWidth="1"/>
    <col min="36" max="36" width="11" customWidth="1"/>
    <col min="37" max="37" width="4.44140625" customWidth="1"/>
    <col min="38" max="38" width="11.44140625" bestFit="1" customWidth="1"/>
    <col min="39" max="39" width="10" customWidth="1"/>
    <col min="40" max="40" width="9.6640625" bestFit="1" customWidth="1"/>
  </cols>
  <sheetData>
    <row r="2" spans="1:24" ht="18.5" x14ac:dyDescent="0.35">
      <c r="B2" s="39" t="s">
        <v>47</v>
      </c>
      <c r="N2" s="14"/>
      <c r="O2" s="14"/>
      <c r="P2" s="14"/>
    </row>
    <row r="3" spans="1:24" x14ac:dyDescent="0.3">
      <c r="B3" s="40" t="s">
        <v>53</v>
      </c>
      <c r="V3" s="10"/>
      <c r="W3" s="10"/>
      <c r="X3" s="11"/>
    </row>
    <row r="4" spans="1:24" x14ac:dyDescent="0.3">
      <c r="B4" t="s">
        <v>105</v>
      </c>
      <c r="O4" s="103"/>
    </row>
    <row r="5" spans="1:24" x14ac:dyDescent="0.3">
      <c r="C5" s="203" t="s">
        <v>15</v>
      </c>
      <c r="D5" s="203" t="s">
        <v>15</v>
      </c>
      <c r="E5" s="203" t="s">
        <v>15</v>
      </c>
      <c r="F5" s="203" t="s">
        <v>15</v>
      </c>
      <c r="G5" s="203" t="s">
        <v>15</v>
      </c>
      <c r="H5" s="203" t="s">
        <v>15</v>
      </c>
      <c r="I5" s="203" t="s">
        <v>15</v>
      </c>
      <c r="J5" s="203" t="s">
        <v>15</v>
      </c>
      <c r="K5" s="203" t="s">
        <v>15</v>
      </c>
      <c r="L5" s="203" t="s">
        <v>15</v>
      </c>
      <c r="M5" s="203" t="s">
        <v>15</v>
      </c>
      <c r="N5" s="203" t="s">
        <v>15</v>
      </c>
      <c r="O5" s="203" t="s">
        <v>15</v>
      </c>
      <c r="P5" s="204" t="s">
        <v>16</v>
      </c>
    </row>
    <row r="6" spans="1:24" x14ac:dyDescent="0.3">
      <c r="B6" s="1" t="s">
        <v>143</v>
      </c>
      <c r="C6" s="3">
        <v>2013</v>
      </c>
      <c r="D6" s="3">
        <v>2014</v>
      </c>
      <c r="E6" s="3">
        <v>2015</v>
      </c>
      <c r="F6" s="61">
        <v>2016</v>
      </c>
      <c r="G6" s="3">
        <v>2017</v>
      </c>
      <c r="H6" s="3">
        <v>2018</v>
      </c>
      <c r="I6" s="3">
        <v>2019</v>
      </c>
      <c r="J6" s="3">
        <v>2020</v>
      </c>
      <c r="K6" s="104" t="str">
        <f>Allocations!G$53</f>
        <v>2020-21</v>
      </c>
      <c r="L6" s="61" t="str">
        <f>Allocations!H$53</f>
        <v>2021-22</v>
      </c>
      <c r="M6" s="3" t="str">
        <f>Allocations!I$53</f>
        <v>2022-23</v>
      </c>
      <c r="N6" s="3" t="str">
        <f>Allocations!J$53</f>
        <v>2023-24</v>
      </c>
      <c r="O6" s="3" t="str">
        <f>Allocations!K$53</f>
        <v>2024-25</v>
      </c>
      <c r="P6" s="3" t="str">
        <f>Allocations!L$53</f>
        <v>2025-26</v>
      </c>
    </row>
    <row r="7" spans="1:24" x14ac:dyDescent="0.3">
      <c r="A7">
        <v>1012</v>
      </c>
      <c r="B7" t="s">
        <v>82</v>
      </c>
      <c r="C7" s="85">
        <v>16645.400089999996</v>
      </c>
      <c r="D7" s="85">
        <v>14457.178889999996</v>
      </c>
      <c r="E7" s="94">
        <f>INDEX(Historical_Cost!$E$56:$N$63,MATCH($B7,Historical_Cost!$B$56:$B$63,0),MATCH(E$6,Historical_Cost!$E$55:$N$55,0))</f>
        <v>13808.500988792912</v>
      </c>
      <c r="F7" s="97">
        <f>INDEX(Historical_Cost!$E$56:$N$63,MATCH($B7,Historical_Cost!$B$56:$B$63,0),MATCH(F$6,Historical_Cost!$E$55:$N$55,0))</f>
        <v>28210.588449455125</v>
      </c>
      <c r="G7" s="94">
        <f>INDEX(Historical_Cost!$E$56:$N$63,MATCH($B7,Historical_Cost!$B$56:$B$63,0),MATCH(G$6,Historical_Cost!$E$55:$N$55,0))</f>
        <v>24567.320776916698</v>
      </c>
      <c r="H7" s="94">
        <f>INDEX(Historical_Cost!$E$56:$N$63,MATCH($B7,Historical_Cost!$B$56:$B$63,0),MATCH(H$6,Historical_Cost!$E$55:$N$55,0))</f>
        <v>42442.235068688336</v>
      </c>
      <c r="I7" s="94">
        <f>INDEX(Historical_Cost!$E$56:$N$63,MATCH($B7,Historical_Cost!$B$56:$B$63,0),MATCH(I$6,Historical_Cost!$E$55:$N$55,0))</f>
        <v>49926.203070405987</v>
      </c>
      <c r="J7" s="85">
        <f>INDEX(Historical_Cost!$E$56:$N$63,MATCH($B7,Historical_Cost!$B$56:$B$63,0),MATCH(J$6,Historical_Cost!$E$55:$N$55,0))</f>
        <v>39540.596600905694</v>
      </c>
      <c r="K7" s="85">
        <f>INDEX(Historical_Cost!$E$56:$N$63,MATCH($B7,Historical_Cost!$B$56:$B$63,0),MATCH(K$6,Historical_Cost!$E$55:$N$55,0))</f>
        <v>40025.208404188517</v>
      </c>
      <c r="L7" s="176">
        <f>INDEX(Historical_Cost!$E$56:$N$63,MATCH($B7,Historical_Cost!$B$56:$B$63,0),MATCH(L$6,Historical_Cost!$E$55:$N$55,0))</f>
        <v>35132.428146046688</v>
      </c>
      <c r="M7" s="85">
        <f>INDEX(Historical_Cost!$E$56:$N$63,MATCH($B7,Historical_Cost!$B$56:$B$63,0),MATCH(M$6,Historical_Cost!$E$55:$N$55,0))</f>
        <v>46991.702629999992</v>
      </c>
      <c r="N7" s="85">
        <f>INDEX(Historical_Cost!$E$56:$O$63,MATCH($B7,Historical_Cost!$B$56:$B$63,0),MATCH(N$6,Historical_Cost!$E$55:$O$55,0))</f>
        <v>58037.301300000006</v>
      </c>
      <c r="O7" s="85">
        <f>INDEX(Historical_Cost!$E$56:$O$63,MATCH($B7,Historical_Cost!$B$56:$B$63,0),MATCH(O$6,Historical_Cost!$E$55:$O$55,0))</f>
        <v>48090.691699999996</v>
      </c>
      <c r="P7" s="85">
        <f>Capex_Fcast_Total!H52*(1+Allocations!I49)+P55</f>
        <v>57356.170358379219</v>
      </c>
      <c r="R7" s="85"/>
    </row>
    <row r="8" spans="1:24" x14ac:dyDescent="0.3">
      <c r="A8">
        <v>1013</v>
      </c>
      <c r="B8" t="s">
        <v>83</v>
      </c>
      <c r="C8" s="85">
        <v>11949.261109999994</v>
      </c>
      <c r="D8" s="85">
        <v>13978.67406000001</v>
      </c>
      <c r="E8" s="94">
        <f>INDEX(Historical_Cost!$E$56:$N$63,MATCH($B8,Historical_Cost!$B$56:$B$63,0),MATCH(E$6,Historical_Cost!$E$55:$N$55,0))</f>
        <v>11397.266549092925</v>
      </c>
      <c r="F8" s="97">
        <f>INDEX(Historical_Cost!$E$56:$N$63,MATCH($B8,Historical_Cost!$B$56:$B$63,0),MATCH(F$6,Historical_Cost!$E$55:$N$55,0))</f>
        <v>12132.663607727391</v>
      </c>
      <c r="G8" s="94">
        <f>INDEX(Historical_Cost!$E$56:$N$63,MATCH($B8,Historical_Cost!$B$56:$B$63,0),MATCH(G$6,Historical_Cost!$E$55:$N$55,0))</f>
        <v>11722.611952980518</v>
      </c>
      <c r="H8" s="94">
        <f>INDEX(Historical_Cost!$E$56:$N$63,MATCH($B8,Historical_Cost!$B$56:$B$63,0),MATCH(H$6,Historical_Cost!$E$55:$N$55,0))</f>
        <v>12967.69839614131</v>
      </c>
      <c r="I8" s="94">
        <f>INDEX(Historical_Cost!$E$56:$N$63,MATCH($B8,Historical_Cost!$B$56:$B$63,0),MATCH(I$6,Historical_Cost!$E$55:$N$55,0))</f>
        <v>10970.10261769516</v>
      </c>
      <c r="J8" s="85">
        <f>INDEX(Historical_Cost!$E$56:$N$63,MATCH($B8,Historical_Cost!$B$56:$B$63,0),MATCH(J$6,Historical_Cost!$E$55:$N$55,0))</f>
        <v>10229.234256163527</v>
      </c>
      <c r="K8" s="85">
        <f>INDEX(Historical_Cost!$E$56:$N$63,MATCH($B8,Historical_Cost!$B$56:$B$63,0),MATCH(K$6,Historical_Cost!$E$55:$N$55,0))</f>
        <v>6776.7714015625752</v>
      </c>
      <c r="L8" s="176">
        <f>INDEX(Historical_Cost!$E$56:$N$63,MATCH($B8,Historical_Cost!$B$56:$B$63,0),MATCH(L$6,Historical_Cost!$E$55:$N$55,0))</f>
        <v>8308.8003042771543</v>
      </c>
      <c r="M8" s="85">
        <f>INDEX(Historical_Cost!$E$56:$N$63,MATCH($B8,Historical_Cost!$B$56:$B$63,0),MATCH(M$6,Historical_Cost!$E$55:$N$55,0))</f>
        <v>7841.3959799999993</v>
      </c>
      <c r="N8" s="85">
        <f>INDEX(Historical_Cost!$E$56:$N$63,MATCH($B8,Historical_Cost!$B$56:$B$63,0),MATCH(N$6,Historical_Cost!$E$55:$N$55,0))</f>
        <v>8845.5354100000004</v>
      </c>
      <c r="O8" s="85">
        <f>INDEX(Historical_Cost!$E$56:$O$63,MATCH($B8,Historical_Cost!$B$56:$B$63,0),MATCH(O$6,Historical_Cost!$E$55:$O$55,0))</f>
        <v>12484.203430000001</v>
      </c>
      <c r="P8" s="85">
        <f>Capex_Fcast_Total!H53*(1+Allocations!I49)+P56</f>
        <v>8678.3523270391997</v>
      </c>
      <c r="R8" s="85"/>
    </row>
    <row r="9" spans="1:24" x14ac:dyDescent="0.3">
      <c r="A9">
        <v>1014</v>
      </c>
      <c r="B9" t="s">
        <v>84</v>
      </c>
      <c r="C9" s="85">
        <v>15375.707970000005</v>
      </c>
      <c r="D9" s="85">
        <v>14930.633029999997</v>
      </c>
      <c r="E9" s="94">
        <f>INDEX(Historical_Cost!$E$56:$N$63,MATCH($B9,Historical_Cost!$B$56:$B$63,0),MATCH(E$6,Historical_Cost!$E$55:$N$55,0))</f>
        <v>15136.997561382299</v>
      </c>
      <c r="F9" s="97">
        <f>INDEX(Historical_Cost!$E$56:$N$63,MATCH($B9,Historical_Cost!$B$56:$B$63,0),MATCH(F$6,Historical_Cost!$E$55:$N$55,0))</f>
        <v>15203.719405775453</v>
      </c>
      <c r="G9" s="94">
        <f>INDEX(Historical_Cost!$E$56:$N$63,MATCH($B9,Historical_Cost!$B$56:$B$63,0),MATCH(G$6,Historical_Cost!$E$55:$N$55,0))</f>
        <v>21650.533653318751</v>
      </c>
      <c r="H9" s="94">
        <f>INDEX(Historical_Cost!$E$56:$N$63,MATCH($B9,Historical_Cost!$B$56:$B$63,0),MATCH(H$6,Historical_Cost!$E$55:$N$55,0))</f>
        <v>30447.466766092817</v>
      </c>
      <c r="I9" s="94">
        <f>INDEX(Historical_Cost!$E$56:$N$63,MATCH($B9,Historical_Cost!$B$56:$B$63,0),MATCH(I$6,Historical_Cost!$E$55:$N$55,0))</f>
        <v>34448.580716836324</v>
      </c>
      <c r="J9" s="85">
        <f>INDEX(Historical_Cost!$E$56:$N$63,MATCH($B9,Historical_Cost!$B$56:$B$63,0),MATCH(J$6,Historical_Cost!$E$55:$N$55,0))</f>
        <v>26880.342467070855</v>
      </c>
      <c r="K9" s="85">
        <f>INDEX(Historical_Cost!$E$56:$N$63,MATCH($B9,Historical_Cost!$B$56:$B$63,0),MATCH(K$6,Historical_Cost!$E$55:$N$55,0))</f>
        <v>30367.514510528938</v>
      </c>
      <c r="L9" s="176">
        <f>INDEX(Historical_Cost!$E$56:$O$63,MATCH($B9,Historical_Cost!$B$56:$B$63,0),MATCH(L$6,Historical_Cost!$E$55:$O$55,0))-L10</f>
        <v>22498.06539607274</v>
      </c>
      <c r="M9" s="85">
        <f>INDEX(Historical_Cost!$E$56:$O$63,MATCH($B9,Historical_Cost!$B$56:$B$63,0),MATCH(M$6,Historical_Cost!$E$55:$O$55,0))-M10</f>
        <v>40051.57852000001</v>
      </c>
      <c r="N9" s="85">
        <f>INDEX(Historical_Cost!$E$56:$O$63,MATCH($B9,Historical_Cost!$B$56:$B$63,0),MATCH(N$6,Historical_Cost!$E$55:$O$55,0))-N10</f>
        <v>41032.793539999999</v>
      </c>
      <c r="O9" s="85">
        <f>INDEX(Historical_Cost!$E$56:$O$63,MATCH($B9,Historical_Cost!$B$56:$B$63,0),MATCH(O$6,Historical_Cost!$E$55:$O$55,0))-O10</f>
        <v>63069.695270000011</v>
      </c>
      <c r="P9" s="85">
        <f>Capex_Fcast_Total!H54*(1+Allocations!I49)+P57</f>
        <v>55523.29118380406</v>
      </c>
      <c r="R9" s="85"/>
    </row>
    <row r="10" spans="1:24" x14ac:dyDescent="0.3">
      <c r="B10" s="381" t="s">
        <v>393</v>
      </c>
      <c r="C10" s="85"/>
      <c r="D10" s="85"/>
      <c r="E10" s="94"/>
      <c r="F10" s="97"/>
      <c r="G10" s="94"/>
      <c r="H10" s="94"/>
      <c r="I10" s="94"/>
      <c r="J10" s="85"/>
      <c r="K10" s="85"/>
      <c r="L10" s="176">
        <v>0</v>
      </c>
      <c r="M10" s="85">
        <v>26.876889999999992</v>
      </c>
      <c r="N10" s="85">
        <v>370.92501999999985</v>
      </c>
      <c r="O10" s="85">
        <v>3975.1379800000009</v>
      </c>
      <c r="P10" s="85">
        <f>Capex_Fcast_Total!H55*(1+Allocations!I49)+P58</f>
        <v>7108.5829633224421</v>
      </c>
      <c r="R10" s="85"/>
    </row>
    <row r="11" spans="1:24" x14ac:dyDescent="0.3">
      <c r="A11">
        <v>1018</v>
      </c>
      <c r="B11" t="s">
        <v>85</v>
      </c>
      <c r="C11" s="85">
        <v>12519.772330000007</v>
      </c>
      <c r="D11" s="85">
        <v>15173.269189999995</v>
      </c>
      <c r="E11" s="94">
        <f>INDEX(Historical_Cost!$E$56:$N$63,MATCH($B11,Historical_Cost!$B$56:$B$63,0),MATCH(E$6,Historical_Cost!$E$55:$N$55,0))</f>
        <v>7214.8725498216572</v>
      </c>
      <c r="F11" s="97">
        <f>INDEX(Historical_Cost!$E$56:$N$63,MATCH($B11,Historical_Cost!$B$56:$B$63,0),MATCH(F$6,Historical_Cost!$E$55:$N$55,0))</f>
        <v>3144.6916107216712</v>
      </c>
      <c r="G11" s="94">
        <f>INDEX(Historical_Cost!$E$56:$N$63,MATCH($B11,Historical_Cost!$B$56:$B$63,0),MATCH(G$6,Historical_Cost!$E$55:$N$55,0))</f>
        <v>6969.1537558683885</v>
      </c>
      <c r="H11" s="94">
        <f>INDEX(Historical_Cost!$E$56:$N$63,MATCH($B11,Historical_Cost!$B$56:$B$63,0),MATCH(H$6,Historical_Cost!$E$55:$N$55,0))</f>
        <v>8098.4101954219514</v>
      </c>
      <c r="I11" s="94">
        <f>INDEX(Historical_Cost!$E$56:$N$63,MATCH($B11,Historical_Cost!$B$56:$B$63,0),MATCH(I$6,Historical_Cost!$E$55:$N$55,0))</f>
        <v>8609.6356274721547</v>
      </c>
      <c r="J11" s="85">
        <f>INDEX(Historical_Cost!$E$56:$N$63,MATCH($B11,Historical_Cost!$B$56:$B$63,0),MATCH(J$6,Historical_Cost!$E$55:$N$55,0))</f>
        <v>7164.651867105893</v>
      </c>
      <c r="K11" s="85">
        <f>INDEX(Historical_Cost!$E$56:$N$63,MATCH($B11,Historical_Cost!$B$56:$B$63,0),MATCH(K$6,Historical_Cost!$E$55:$N$55,0))</f>
        <v>8647.2544273403983</v>
      </c>
      <c r="L11" s="176">
        <f>INDEX(Historical_Cost!$E$56:$N$63,MATCH($B11,Historical_Cost!$B$56:$B$63,0),MATCH(L$6,Historical_Cost!$E$55:$N$55,0))</f>
        <v>10885.716888109509</v>
      </c>
      <c r="M11" s="85">
        <f>INDEX(Historical_Cost!$E$56:$N$63,MATCH($B11,Historical_Cost!$B$56:$B$63,0),MATCH(M$6,Historical_Cost!$E$55:$N$55,0))</f>
        <v>9842.1705699999984</v>
      </c>
      <c r="N11" s="85">
        <f>INDEX(Historical_Cost!$E$56:$N$63,MATCH($B11,Historical_Cost!$B$56:$B$63,0),MATCH(N$6,Historical_Cost!$E$55:$N$55,0))</f>
        <v>9005.0224699999999</v>
      </c>
      <c r="O11" s="85">
        <f>INDEX(Historical_Cost!$E$56:$O$63,MATCH($B11,Historical_Cost!$B$56:$B$63,0),MATCH(O$6,Historical_Cost!$E$55:$O$55,0))</f>
        <v>12381.269170000001</v>
      </c>
      <c r="P11" s="85">
        <f>Capex_Fcast_Total!H56*(1+Allocations!I49)+P59</f>
        <v>13721.363444547571</v>
      </c>
      <c r="R11" s="85"/>
    </row>
    <row r="12" spans="1:24" x14ac:dyDescent="0.3">
      <c r="A12">
        <v>1019</v>
      </c>
      <c r="B12" t="s">
        <v>77</v>
      </c>
      <c r="C12" s="85">
        <v>0</v>
      </c>
      <c r="D12" s="85">
        <v>0</v>
      </c>
      <c r="E12" s="94">
        <f>INDEX(Historical_Cost!$E$56:$N$63,MATCH($B12,Historical_Cost!$B$56:$B$63,0),MATCH(E$6,Historical_Cost!$E$55:$N$55,0))</f>
        <v>9702.9399053068446</v>
      </c>
      <c r="F12" s="97">
        <f>INDEX(Historical_Cost!$E$56:$N$63,MATCH($B12,Historical_Cost!$B$56:$B$63,0),MATCH(F$6,Historical_Cost!$E$55:$N$55,0))</f>
        <v>7272.406386922893</v>
      </c>
      <c r="G12" s="94">
        <f>INDEX(Historical_Cost!$E$56:$N$63,MATCH($B12,Historical_Cost!$B$56:$B$63,0),MATCH(G$6,Historical_Cost!$E$55:$N$55,0))</f>
        <v>6523.4368623004557</v>
      </c>
      <c r="H12" s="94">
        <f>INDEX(Historical_Cost!$E$56:$N$63,MATCH($B12,Historical_Cost!$B$56:$B$63,0),MATCH(H$6,Historical_Cost!$E$55:$N$55,0))</f>
        <v>5400.3730309488319</v>
      </c>
      <c r="I12" s="94">
        <f>INDEX(Historical_Cost!$E$56:$N$63,MATCH($B12,Historical_Cost!$B$56:$B$63,0),MATCH(I$6,Historical_Cost!$E$55:$N$55,0))</f>
        <v>6189.2214770375022</v>
      </c>
      <c r="J12" s="85">
        <f>INDEX(Historical_Cost!$E$56:$N$63,MATCH($B12,Historical_Cost!$B$56:$B$63,0),MATCH(J$6,Historical_Cost!$E$55:$N$55,0))</f>
        <v>6011.069912013666</v>
      </c>
      <c r="K12" s="85">
        <f>INDEX(Historical_Cost!$E$56:$N$63,MATCH($B12,Historical_Cost!$B$56:$B$63,0),MATCH(K$6,Historical_Cost!$E$55:$N$55,0))</f>
        <v>4557.6665856817335</v>
      </c>
      <c r="L12" s="176">
        <f>INDEX(Historical_Cost!$E$56:$N$63,MATCH($B12,Historical_Cost!$B$56:$B$63,0),MATCH(L$6,Historical_Cost!$E$55:$N$55,0))</f>
        <v>3445.0910329169315</v>
      </c>
      <c r="M12" s="85">
        <f>INDEX(Historical_Cost!$E$56:$N$63,MATCH($B12,Historical_Cost!$B$56:$B$63,0),MATCH(M$6,Historical_Cost!$E$55:$N$55,0))</f>
        <v>6643.0763799999995</v>
      </c>
      <c r="N12" s="85">
        <f>INDEX(Historical_Cost!$E$56:$N$63,MATCH($B12,Historical_Cost!$B$56:$B$63,0),MATCH(N$6,Historical_Cost!$E$55:$N$55,0))</f>
        <v>6122.6700699999992</v>
      </c>
      <c r="O12" s="85">
        <f>INDEX(Historical_Cost!$E$56:$O$63,MATCH($B12,Historical_Cost!$B$56:$B$63,0),MATCH(O$6,Historical_Cost!$E$55:$O$55,0))</f>
        <v>7263.9199500000013</v>
      </c>
      <c r="P12" s="85">
        <f>Capex_Fcast_Total!H57*(1+Allocations!I49)+P60</f>
        <v>5163.1617124736676</v>
      </c>
      <c r="R12" s="85"/>
    </row>
    <row r="13" spans="1:24" x14ac:dyDescent="0.3">
      <c r="A13">
        <v>1015</v>
      </c>
      <c r="B13" t="s">
        <v>268</v>
      </c>
      <c r="C13" s="85">
        <v>810.46006000000011</v>
      </c>
      <c r="D13" s="85">
        <v>6460.88184</v>
      </c>
      <c r="E13" s="94">
        <f>INDEX(Historical_Cost!$E$56:$N$63,MATCH($B13,Historical_Cost!$B$56:$B$63,0),MATCH(E$6,Historical_Cost!$E$55:$N$55,0))</f>
        <v>22310.515781089136</v>
      </c>
      <c r="F13" s="97">
        <f>INDEX(Historical_Cost!$E$56:$N$63,MATCH($B13,Historical_Cost!$B$56:$B$63,0),MATCH(F$6,Historical_Cost!$E$55:$N$55,0))</f>
        <v>396.8105924562438</v>
      </c>
      <c r="G13" s="94">
        <f>INDEX(Historical_Cost!$E$56:$N$63,MATCH($B13,Historical_Cost!$B$56:$B$63,0),MATCH(G$6,Historical_Cost!$E$55:$N$55,0))</f>
        <v>134.93279378565705</v>
      </c>
      <c r="H13" s="94">
        <f>INDEX(Historical_Cost!$E$56:$N$63,MATCH($B13,Historical_Cost!$B$56:$B$63,0),MATCH(H$6,Historical_Cost!$E$55:$N$55,0))</f>
        <v>133.66417228157752</v>
      </c>
      <c r="I13" s="94">
        <f>INDEX(Historical_Cost!$E$56:$N$63,MATCH($B13,Historical_Cost!$B$56:$B$63,0),MATCH(I$6,Historical_Cost!$E$55:$N$55,0))</f>
        <v>4850.7237200925538</v>
      </c>
      <c r="J13" s="85">
        <f>INDEX(Historical_Cost!$E$56:$N$63,MATCH($B13,Historical_Cost!$B$56:$B$63,0),MATCH(J$6,Historical_Cost!$E$55:$N$55,0))</f>
        <v>3568.8694276258698</v>
      </c>
      <c r="K13" s="85">
        <f>INDEX(Historical_Cost!$E$56:$N$63,MATCH($B13,Historical_Cost!$B$56:$B$63,0),MATCH(K$6,Historical_Cost!$E$55:$N$55,0))</f>
        <v>1951.3488474034491</v>
      </c>
      <c r="L13" s="176">
        <f>INDEX(Historical_Cost!$E$56:$N$63,MATCH($B13,Historical_Cost!$B$56:$B$63,0),MATCH(L$6,Historical_Cost!$E$55:$N$55,0))</f>
        <v>3799.1526428712245</v>
      </c>
      <c r="M13" s="85">
        <f>INDEX(Historical_Cost!$E$56:$N$63,MATCH($B13,Historical_Cost!$B$56:$B$63,0),MATCH(M$6,Historical_Cost!$E$55:$N$55,0))</f>
        <v>2159.7652081952597</v>
      </c>
      <c r="N13" s="85">
        <f>INDEX(Historical_Cost!$E$56:$N$63,MATCH($B13,Historical_Cost!$B$56:$B$63,0),MATCH(N$6,Historical_Cost!$E$55:$N$55,0))</f>
        <v>2767.2744500000003</v>
      </c>
      <c r="O13" s="85">
        <f>INDEX(Historical_Cost!$E$56:$O$63,MATCH($B13,Historical_Cost!$B$56:$B$63,0),MATCH(O$6,Historical_Cost!$E$55:$O$55,0))</f>
        <v>2889.3938399999997</v>
      </c>
      <c r="P13" s="85">
        <f>Capex_Fcast_Total!H58*(1+Allocations!I49)+P61</f>
        <v>6248.3331716964403</v>
      </c>
      <c r="R13" s="85"/>
    </row>
    <row r="14" spans="1:24" x14ac:dyDescent="0.3">
      <c r="A14">
        <v>1016</v>
      </c>
      <c r="B14" t="s">
        <v>86</v>
      </c>
      <c r="C14" s="85">
        <v>1225.5853800000011</v>
      </c>
      <c r="D14" s="85">
        <v>1658.3680799999913</v>
      </c>
      <c r="E14" s="94">
        <f>INDEX(Historical_Cost!$E$56:$N$63,MATCH($B14,Historical_Cost!$B$56:$B$63,0),MATCH(E$6,Historical_Cost!$E$55:$N$55,0))</f>
        <v>1177.214430446277</v>
      </c>
      <c r="F14" s="97">
        <f>INDEX(Historical_Cost!$E$56:$N$63,MATCH($B14,Historical_Cost!$B$56:$B$63,0),MATCH(F$6,Historical_Cost!$E$55:$N$55,0))</f>
        <v>1216.9253157231906</v>
      </c>
      <c r="G14" s="94">
        <f>INDEX(Historical_Cost!$E$56:$N$63,MATCH($B14,Historical_Cost!$B$56:$B$63,0),MATCH(G$6,Historical_Cost!$E$55:$N$55,0))</f>
        <v>615.74565642590358</v>
      </c>
      <c r="H14" s="94">
        <f>INDEX(Historical_Cost!$E$56:$N$63,MATCH($B14,Historical_Cost!$B$56:$B$63,0),MATCH(H$6,Historical_Cost!$E$55:$N$55,0))</f>
        <v>1115.1832490513798</v>
      </c>
      <c r="I14" s="94">
        <f>INDEX(Historical_Cost!$E$56:$N$63,MATCH($B14,Historical_Cost!$B$56:$B$63,0),MATCH(I$6,Historical_Cost!$E$55:$N$55,0))</f>
        <v>845.05415044855647</v>
      </c>
      <c r="J14" s="85">
        <f>INDEX(Historical_Cost!$E$56:$N$63,MATCH($B14,Historical_Cost!$B$56:$B$63,0),MATCH(J$6,Historical_Cost!$E$55:$N$55,0))</f>
        <v>402.06976050006364</v>
      </c>
      <c r="K14" s="85">
        <f>INDEX(Historical_Cost!$E$56:$N$63,MATCH($B14,Historical_Cost!$B$56:$B$63,0),MATCH(K$6,Historical_Cost!$E$55:$N$55,0))</f>
        <v>320.90062903934302</v>
      </c>
      <c r="L14" s="176">
        <f>INDEX(Historical_Cost!$E$56:$N$63,MATCH($B14,Historical_Cost!$B$56:$B$63,0),MATCH(L$6,Historical_Cost!$E$55:$N$55,0))</f>
        <v>663.38755913306738</v>
      </c>
      <c r="M14" s="85">
        <f>INDEX(Historical_Cost!$E$56:$N$63,MATCH($B14,Historical_Cost!$B$56:$B$63,0),MATCH(M$6,Historical_Cost!$E$55:$N$55,0))</f>
        <v>490.25664000000006</v>
      </c>
      <c r="N14" s="85">
        <f>INDEX(Historical_Cost!$E$56:$N$63,MATCH($B14,Historical_Cost!$B$56:$B$63,0),MATCH(N$6,Historical_Cost!$E$55:$N$55,0))</f>
        <v>353.34366000000006</v>
      </c>
      <c r="O14" s="85">
        <f>INDEX(Historical_Cost!$E$56:$O$63,MATCH($B14,Historical_Cost!$B$56:$B$63,0),MATCH(O$6,Historical_Cost!$E$55:$O$55,0))</f>
        <v>942.28175999999985</v>
      </c>
      <c r="P14" s="85">
        <f>Capex_Fcast_Total!H59*(1+Allocations!I49)+P62</f>
        <v>760.42706160706575</v>
      </c>
      <c r="R14" s="85"/>
    </row>
    <row r="15" spans="1:24" x14ac:dyDescent="0.3">
      <c r="A15">
        <v>1048</v>
      </c>
      <c r="B15" t="s">
        <v>207</v>
      </c>
      <c r="C15" s="175"/>
      <c r="D15" s="175"/>
      <c r="E15" s="95">
        <f>INDEX(Historical_Cost!$E$56:$N$63,MATCH($B15,Historical_Cost!$B$56:$B$63,0),MATCH(E$6,Historical_Cost!$E$55:$N$55,0))</f>
        <v>0</v>
      </c>
      <c r="F15" s="98">
        <f>INDEX(Historical_Cost!$E$56:$N$63,MATCH($B15,Historical_Cost!$B$56:$B$63,0),MATCH(F$6,Historical_Cost!$E$55:$N$55,0))</f>
        <v>0</v>
      </c>
      <c r="G15" s="95">
        <f>INDEX(Historical_Cost!$E$56:$N$63,MATCH($B15,Historical_Cost!$B$56:$B$63,0),MATCH(G$6,Historical_Cost!$E$55:$N$55,0))</f>
        <v>0</v>
      </c>
      <c r="H15" s="95">
        <f>INDEX(Historical_Cost!$E$56:$N$63,MATCH($B15,Historical_Cost!$B$56:$B$63,0),MATCH(H$6,Historical_Cost!$E$55:$N$55,0))</f>
        <v>0</v>
      </c>
      <c r="I15" s="95">
        <f>INDEX(Historical_Cost!$E$56:$N$63,MATCH($B15,Historical_Cost!$B$56:$B$63,0),MATCH(I$6,Historical_Cost!$E$55:$N$55,0))</f>
        <v>0</v>
      </c>
      <c r="J15" s="175">
        <f>INDEX(Historical_Cost!$E$56:$N$63,MATCH($B15,Historical_Cost!$B$56:$B$63,0),MATCH(J$6,Historical_Cost!$E$55:$N$55,0))</f>
        <v>0</v>
      </c>
      <c r="K15" s="175">
        <f>INDEX(Historical_Cost!$E$56:$N$63,MATCH($B15,Historical_Cost!$B$56:$B$63,0),MATCH(K$6,Historical_Cost!$E$55:$N$55,0))</f>
        <v>0</v>
      </c>
      <c r="L15" s="212">
        <f>INDEX(Historical_Cost!$E$56:$N$63,MATCH($B15,Historical_Cost!$B$56:$B$63,0),MATCH(L$6,Historical_Cost!$E$55:$N$55,0))</f>
        <v>333.18619999999999</v>
      </c>
      <c r="M15" s="175">
        <f>INDEX(Historical_Cost!$E$56:$N$63,MATCH($B15,Historical_Cost!$B$56:$B$63,0),MATCH(M$6,Historical_Cost!$E$55:$N$55,0))</f>
        <v>1427.53639</v>
      </c>
      <c r="N15" s="175">
        <f>INDEX(Historical_Cost!$E$56:$N$63,MATCH($B15,Historical_Cost!$B$56:$B$63,0),MATCH(N$6,Historical_Cost!$E$55:$N$55,0))</f>
        <v>1216.8561</v>
      </c>
      <c r="O15" s="175">
        <f>INDEX(Historical_Cost!$E$56:$O$63,MATCH($B15,Historical_Cost!$B$56:$B$63,0),MATCH(O$6,Historical_Cost!$E$55:$O$55,0))</f>
        <v>2871.4422200000004</v>
      </c>
      <c r="P15" s="175">
        <f>Capex_Fcast_Total!H60*(1+Allocations!I49)+P63</f>
        <v>25301.3077412194</v>
      </c>
      <c r="R15" s="85"/>
    </row>
    <row r="16" spans="1:24" x14ac:dyDescent="0.3">
      <c r="B16" s="1" t="s">
        <v>257</v>
      </c>
      <c r="C16" s="96">
        <f>SUM(C7:C15)</f>
        <v>58526.18694</v>
      </c>
      <c r="D16" s="208">
        <f t="shared" ref="D16:P16" si="0">SUM(D7:D15)</f>
        <v>66659.005089999991</v>
      </c>
      <c r="E16" s="96">
        <f t="shared" si="0"/>
        <v>80748.307765932055</v>
      </c>
      <c r="F16" s="99">
        <f t="shared" si="0"/>
        <v>67577.805368781963</v>
      </c>
      <c r="G16" s="96">
        <f t="shared" si="0"/>
        <v>72183.735451596382</v>
      </c>
      <c r="H16" s="96">
        <f t="shared" si="0"/>
        <v>100605.03087862622</v>
      </c>
      <c r="I16" s="96">
        <f t="shared" si="0"/>
        <v>115839.52137998823</v>
      </c>
      <c r="J16" s="96">
        <f t="shared" si="0"/>
        <v>93796.834291385574</v>
      </c>
      <c r="K16" s="96">
        <f t="shared" si="0"/>
        <v>92646.664805744964</v>
      </c>
      <c r="L16" s="99">
        <f t="shared" si="0"/>
        <v>85065.828169427317</v>
      </c>
      <c r="M16" s="96">
        <f t="shared" si="0"/>
        <v>115474.35920819525</v>
      </c>
      <c r="N16" s="96">
        <f t="shared" si="0"/>
        <v>127751.72201999999</v>
      </c>
      <c r="O16" s="96">
        <f t="shared" si="0"/>
        <v>153968.03532000005</v>
      </c>
      <c r="P16" s="96">
        <f t="shared" si="0"/>
        <v>179860.98996408907</v>
      </c>
    </row>
    <row r="17" spans="1:16" x14ac:dyDescent="0.3">
      <c r="C17" s="94"/>
      <c r="D17" s="85"/>
      <c r="E17" s="94">
        <f>E16-Historical_Cost!E64</f>
        <v>0</v>
      </c>
      <c r="F17" s="94">
        <f>F16-Historical_Cost!F64</f>
        <v>0</v>
      </c>
      <c r="G17" s="94">
        <f>G16-Historical_Cost!G64</f>
        <v>0</v>
      </c>
      <c r="H17" s="94">
        <f>H16-Historical_Cost!H64</f>
        <v>0</v>
      </c>
      <c r="I17" s="94">
        <f>I16-Historical_Cost!I64</f>
        <v>0</v>
      </c>
      <c r="J17" s="94">
        <f>J16-Historical_Cost!J64</f>
        <v>0</v>
      </c>
      <c r="K17" s="94">
        <f>K16-Historical_Cost!K64</f>
        <v>0</v>
      </c>
      <c r="L17" s="94">
        <f>L16-Historical_Cost!L64</f>
        <v>0</v>
      </c>
      <c r="M17" s="94">
        <f>M16-Historical_Cost!M64</f>
        <v>0</v>
      </c>
      <c r="N17" s="94">
        <f>N16-Historical_Cost!N64</f>
        <v>0</v>
      </c>
      <c r="O17" s="94">
        <f>O16-Historical_Cost!O64</f>
        <v>0</v>
      </c>
      <c r="P17" s="94">
        <f>P16-(Capex_Fcast_Total!H61*(1+Allocations!I49)+Capex_Fcast_Total!U29)</f>
        <v>0</v>
      </c>
    </row>
    <row r="18" spans="1:16" x14ac:dyDescent="0.3">
      <c r="B18" s="1" t="s">
        <v>144</v>
      </c>
      <c r="C18" s="3">
        <v>2013</v>
      </c>
      <c r="D18" s="3">
        <v>2014</v>
      </c>
      <c r="E18" s="3">
        <v>2015</v>
      </c>
      <c r="F18" s="61">
        <v>2016</v>
      </c>
      <c r="G18" s="3">
        <v>2017</v>
      </c>
      <c r="H18" s="3">
        <v>2018</v>
      </c>
      <c r="I18" s="3">
        <v>2019</v>
      </c>
      <c r="J18" s="3">
        <v>2020</v>
      </c>
      <c r="K18" s="3" t="s">
        <v>123</v>
      </c>
      <c r="L18" s="61" t="s">
        <v>136</v>
      </c>
      <c r="M18" s="3" t="s">
        <v>135</v>
      </c>
      <c r="N18" s="3" t="s">
        <v>134</v>
      </c>
      <c r="O18" s="3" t="s">
        <v>133</v>
      </c>
      <c r="P18" s="3" t="s">
        <v>132</v>
      </c>
    </row>
    <row r="19" spans="1:16" x14ac:dyDescent="0.3">
      <c r="A19">
        <v>1012</v>
      </c>
      <c r="B19" t="s">
        <v>82</v>
      </c>
      <c r="C19" s="94">
        <v>2292.1901400000002</v>
      </c>
      <c r="D19" s="85">
        <v>2673.31097</v>
      </c>
      <c r="E19" s="94">
        <v>2971.9120200000002</v>
      </c>
      <c r="F19" s="97">
        <v>2299.99046</v>
      </c>
      <c r="G19" s="94">
        <v>4092.3551699999989</v>
      </c>
      <c r="H19" s="94">
        <v>26978.417690000002</v>
      </c>
      <c r="I19" s="94">
        <v>38213.416440000001</v>
      </c>
      <c r="J19" s="85">
        <f t="shared" ref="J19:N19" si="1">J55+J67</f>
        <v>28824.915300000001</v>
      </c>
      <c r="K19" s="85">
        <f t="shared" si="1"/>
        <v>28464.342170000004</v>
      </c>
      <c r="L19" s="176">
        <f t="shared" si="1"/>
        <v>25833.826880000001</v>
      </c>
      <c r="M19" s="85">
        <f t="shared" si="1"/>
        <v>32085.423030000002</v>
      </c>
      <c r="N19" s="85">
        <f t="shared" si="1"/>
        <v>40428.284919999998</v>
      </c>
      <c r="O19" s="85">
        <f t="shared" ref="O19:P19" si="2">O55+O67</f>
        <v>32667.16862</v>
      </c>
      <c r="P19" s="94">
        <f t="shared" si="2"/>
        <v>37662.79207015576</v>
      </c>
    </row>
    <row r="20" spans="1:16" x14ac:dyDescent="0.3">
      <c r="A20">
        <v>1013</v>
      </c>
      <c r="B20" t="s">
        <v>83</v>
      </c>
      <c r="C20" s="94">
        <v>1936.22209</v>
      </c>
      <c r="D20" s="85">
        <v>1877.19021</v>
      </c>
      <c r="E20" s="94">
        <v>654.77161999999998</v>
      </c>
      <c r="F20" s="97">
        <v>1841.6381399999996</v>
      </c>
      <c r="G20" s="94">
        <v>3675.8516499999996</v>
      </c>
      <c r="H20" s="94">
        <v>5295.525529999999</v>
      </c>
      <c r="I20" s="94">
        <v>5550.7914000000001</v>
      </c>
      <c r="J20" s="85">
        <f t="shared" ref="J20:N20" si="3">J56+J68</f>
        <v>4970.801190000001</v>
      </c>
      <c r="K20" s="85">
        <f t="shared" si="3"/>
        <v>5571.84807</v>
      </c>
      <c r="L20" s="176">
        <f t="shared" si="3"/>
        <v>5002.7975799999995</v>
      </c>
      <c r="M20" s="85">
        <f t="shared" si="3"/>
        <v>5264.7306399999998</v>
      </c>
      <c r="N20" s="85">
        <f t="shared" si="3"/>
        <v>4830.1115899999995</v>
      </c>
      <c r="O20" s="85">
        <f t="shared" ref="O20:P20" si="4">O56+O68</f>
        <v>5120.6172999999999</v>
      </c>
      <c r="P20" s="94">
        <f t="shared" si="4"/>
        <v>5261.6843687994096</v>
      </c>
    </row>
    <row r="21" spans="1:16" x14ac:dyDescent="0.3">
      <c r="A21">
        <v>1014</v>
      </c>
      <c r="B21" t="s">
        <v>84</v>
      </c>
      <c r="C21" s="94">
        <v>5252.119200000001</v>
      </c>
      <c r="D21" s="85">
        <v>4459.55627</v>
      </c>
      <c r="E21" s="94">
        <v>3243.3672000000001</v>
      </c>
      <c r="F21" s="97">
        <v>4743.1096899999993</v>
      </c>
      <c r="G21" s="94">
        <v>9878.6837899999991</v>
      </c>
      <c r="H21" s="94">
        <v>9462.3607800000009</v>
      </c>
      <c r="I21" s="94">
        <v>15563.210660000001</v>
      </c>
      <c r="J21" s="85">
        <f t="shared" ref="J21:N22" si="5">J57+J69</f>
        <v>9542.8226200000008</v>
      </c>
      <c r="K21" s="85">
        <f t="shared" si="5"/>
        <v>13128.584629999999</v>
      </c>
      <c r="L21" s="176">
        <f t="shared" si="5"/>
        <v>7701.715220000001</v>
      </c>
      <c r="M21" s="85">
        <f t="shared" si="5"/>
        <v>14256.739399999999</v>
      </c>
      <c r="N21" s="85">
        <f t="shared" si="5"/>
        <v>12498.18317</v>
      </c>
      <c r="O21" s="85">
        <f t="shared" ref="M21:P22" si="6">O57+O69</f>
        <v>26192.61177</v>
      </c>
      <c r="P21" s="94">
        <f t="shared" si="6"/>
        <v>19320.661532816881</v>
      </c>
    </row>
    <row r="22" spans="1:16" x14ac:dyDescent="0.3">
      <c r="B22" s="381" t="s">
        <v>393</v>
      </c>
      <c r="C22" s="94"/>
      <c r="D22" s="85"/>
      <c r="E22" s="94"/>
      <c r="F22" s="97"/>
      <c r="G22" s="94"/>
      <c r="H22" s="94"/>
      <c r="I22" s="94"/>
      <c r="J22" s="85"/>
      <c r="K22" s="85"/>
      <c r="L22" s="176">
        <f t="shared" si="5"/>
        <v>0</v>
      </c>
      <c r="M22" s="94">
        <f t="shared" si="6"/>
        <v>0</v>
      </c>
      <c r="N22" s="94">
        <f t="shared" si="6"/>
        <v>0</v>
      </c>
      <c r="O22" s="94">
        <f t="shared" si="6"/>
        <v>90.998999999999995</v>
      </c>
      <c r="P22" s="94">
        <f t="shared" si="6"/>
        <v>0</v>
      </c>
    </row>
    <row r="23" spans="1:16" x14ac:dyDescent="0.3">
      <c r="A23">
        <v>1018</v>
      </c>
      <c r="B23" t="s">
        <v>85</v>
      </c>
      <c r="C23" s="94">
        <v>5246.7403600000007</v>
      </c>
      <c r="D23" s="85">
        <v>6775.21432</v>
      </c>
      <c r="E23" s="94">
        <v>193.904</v>
      </c>
      <c r="F23" s="97">
        <v>815.68687000000011</v>
      </c>
      <c r="G23" s="94">
        <v>3207.4331099999999</v>
      </c>
      <c r="H23" s="94">
        <v>3527.9896699999999</v>
      </c>
      <c r="I23" s="94">
        <v>4243.1697300000005</v>
      </c>
      <c r="J23" s="85">
        <f t="shared" ref="J23:N23" si="7">J59+J71</f>
        <v>4381.1303700000008</v>
      </c>
      <c r="K23" s="85">
        <f t="shared" si="7"/>
        <v>5785.2387600000002</v>
      </c>
      <c r="L23" s="176">
        <f t="shared" si="7"/>
        <v>6007.5178699999988</v>
      </c>
      <c r="M23" s="85">
        <f t="shared" si="7"/>
        <v>5283.1652800000002</v>
      </c>
      <c r="N23" s="85">
        <f t="shared" si="7"/>
        <v>5382.0905899999998</v>
      </c>
      <c r="O23" s="85">
        <f t="shared" ref="O23:P23" si="8">O59+O71</f>
        <v>5315.6440499999999</v>
      </c>
      <c r="P23" s="94">
        <f t="shared" si="8"/>
        <v>7612.9550425914795</v>
      </c>
    </row>
    <row r="24" spans="1:16" x14ac:dyDescent="0.3">
      <c r="A24">
        <v>1019</v>
      </c>
      <c r="B24" t="s">
        <v>77</v>
      </c>
      <c r="C24" s="94">
        <v>0</v>
      </c>
      <c r="D24" s="85">
        <v>0</v>
      </c>
      <c r="E24" s="94">
        <v>5875.1197499999998</v>
      </c>
      <c r="F24" s="97">
        <v>3889.2808300000002</v>
      </c>
      <c r="G24" s="94">
        <v>4588.9421400000001</v>
      </c>
      <c r="H24" s="94">
        <v>3043.6164199999994</v>
      </c>
      <c r="I24" s="94">
        <v>4397.606859999999</v>
      </c>
      <c r="J24" s="85">
        <f t="shared" ref="J24:N24" si="9">J60+J72</f>
        <v>3414.76638</v>
      </c>
      <c r="K24" s="85">
        <f t="shared" si="9"/>
        <v>3522.3031000000001</v>
      </c>
      <c r="L24" s="176">
        <f t="shared" si="9"/>
        <v>3226.1073200000001</v>
      </c>
      <c r="M24" s="85">
        <f t="shared" si="9"/>
        <v>4813.2128000000002</v>
      </c>
      <c r="N24" s="85">
        <f t="shared" si="9"/>
        <v>4342.2642699999997</v>
      </c>
      <c r="O24" s="85">
        <f t="shared" ref="O24:P24" si="10">O60+O72</f>
        <v>5364.5226700000003</v>
      </c>
      <c r="P24" s="94">
        <f t="shared" si="10"/>
        <v>4070.0974094967073</v>
      </c>
    </row>
    <row r="25" spans="1:16" x14ac:dyDescent="0.3">
      <c r="A25">
        <v>1015</v>
      </c>
      <c r="B25" t="s">
        <v>268</v>
      </c>
      <c r="C25" s="94">
        <v>104.919</v>
      </c>
      <c r="D25" s="85">
        <v>6866.64635</v>
      </c>
      <c r="E25" s="94">
        <v>23788.959320000002</v>
      </c>
      <c r="F25" s="97">
        <v>134.25000000000003</v>
      </c>
      <c r="G25" s="94">
        <v>335.24520000000001</v>
      </c>
      <c r="H25" s="94">
        <v>236.71700000000001</v>
      </c>
      <c r="I25" s="94">
        <v>59.794150000000002</v>
      </c>
      <c r="J25" s="85">
        <f t="shared" ref="J25:N25" si="11">J61+J73</f>
        <v>5859.0055300000004</v>
      </c>
      <c r="K25" s="85">
        <f t="shared" si="11"/>
        <v>7287.3694500000001</v>
      </c>
      <c r="L25" s="176">
        <f t="shared" si="11"/>
        <v>3300</v>
      </c>
      <c r="M25" s="85">
        <f t="shared" si="11"/>
        <v>1151.44121</v>
      </c>
      <c r="N25" s="85">
        <f t="shared" si="11"/>
        <v>82.167249999999996</v>
      </c>
      <c r="O25" s="85">
        <f t="shared" ref="O25:P25" si="12">O61+O73</f>
        <v>5740.049</v>
      </c>
      <c r="P25" s="94">
        <f t="shared" si="12"/>
        <v>5529.9147456854216</v>
      </c>
    </row>
    <row r="26" spans="1:16" x14ac:dyDescent="0.3">
      <c r="A26">
        <v>1016</v>
      </c>
      <c r="B26" t="s">
        <v>86</v>
      </c>
      <c r="C26" s="94">
        <v>7.99</v>
      </c>
      <c r="D26" s="85">
        <v>2.2800000000000002</v>
      </c>
      <c r="E26" s="94">
        <v>0.5</v>
      </c>
      <c r="F26" s="97">
        <v>325.93799999999999</v>
      </c>
      <c r="G26" s="94">
        <v>49.964730000000003</v>
      </c>
      <c r="H26" s="94">
        <v>31.336099999999998</v>
      </c>
      <c r="I26" s="94">
        <v>6.0510000000000002</v>
      </c>
      <c r="J26" s="85">
        <f t="shared" ref="J26:N26" si="13">J62+J74</f>
        <v>0.5</v>
      </c>
      <c r="K26" s="85">
        <f t="shared" si="13"/>
        <v>0</v>
      </c>
      <c r="L26" s="176">
        <f t="shared" si="13"/>
        <v>2.4</v>
      </c>
      <c r="M26" s="85">
        <f t="shared" si="13"/>
        <v>3.073</v>
      </c>
      <c r="N26" s="85">
        <f t="shared" si="13"/>
        <v>0</v>
      </c>
      <c r="O26" s="85">
        <f>O62+O74</f>
        <v>0.5</v>
      </c>
      <c r="P26" s="94">
        <f>P62+P74</f>
        <v>0</v>
      </c>
    </row>
    <row r="27" spans="1:16" x14ac:dyDescent="0.3">
      <c r="A27">
        <v>1048</v>
      </c>
      <c r="B27" t="s">
        <v>207</v>
      </c>
      <c r="C27" s="95"/>
      <c r="D27" s="175"/>
      <c r="E27" s="95"/>
      <c r="F27" s="98"/>
      <c r="G27" s="95"/>
      <c r="H27" s="95"/>
      <c r="I27" s="95"/>
      <c r="J27" s="175">
        <f t="shared" ref="J27:N27" si="14">J63+J75</f>
        <v>0</v>
      </c>
      <c r="K27" s="175">
        <f t="shared" si="14"/>
        <v>0</v>
      </c>
      <c r="L27" s="212">
        <f t="shared" si="14"/>
        <v>0</v>
      </c>
      <c r="M27" s="175">
        <f t="shared" si="14"/>
        <v>0</v>
      </c>
      <c r="N27" s="175">
        <f t="shared" si="14"/>
        <v>78.673000000000002</v>
      </c>
      <c r="O27" s="175">
        <f>O63+O75</f>
        <v>4009.93696</v>
      </c>
      <c r="P27" s="175">
        <f>P63+P75</f>
        <v>22311.56876789096</v>
      </c>
    </row>
    <row r="28" spans="1:16" x14ac:dyDescent="0.3">
      <c r="B28" s="1" t="s">
        <v>2</v>
      </c>
      <c r="C28" s="96">
        <f>SUM(C19:C27)</f>
        <v>14840.180790000002</v>
      </c>
      <c r="D28" s="208">
        <f t="shared" ref="D28:P28" si="15">SUM(D19:D27)</f>
        <v>22654.198119999997</v>
      </c>
      <c r="E28" s="96">
        <f t="shared" si="15"/>
        <v>36728.533909999998</v>
      </c>
      <c r="F28" s="99">
        <f t="shared" si="15"/>
        <v>14049.893989999999</v>
      </c>
      <c r="G28" s="96">
        <f t="shared" si="15"/>
        <v>25828.47579</v>
      </c>
      <c r="H28" s="96">
        <f t="shared" si="15"/>
        <v>48575.963190000002</v>
      </c>
      <c r="I28" s="96">
        <f t="shared" si="15"/>
        <v>68034.040240000002</v>
      </c>
      <c r="J28" s="96">
        <f t="shared" si="15"/>
        <v>56993.94139</v>
      </c>
      <c r="K28" s="96">
        <f t="shared" si="15"/>
        <v>63759.686179999997</v>
      </c>
      <c r="L28" s="99">
        <f t="shared" si="15"/>
        <v>51074.364869999998</v>
      </c>
      <c r="M28" s="96">
        <f t="shared" si="15"/>
        <v>62857.785359999994</v>
      </c>
      <c r="N28" s="96">
        <f t="shared" si="15"/>
        <v>67641.774789999981</v>
      </c>
      <c r="O28" s="96">
        <f t="shared" si="15"/>
        <v>84502.049370000008</v>
      </c>
      <c r="P28" s="96">
        <f t="shared" si="15"/>
        <v>101769.67393743663</v>
      </c>
    </row>
    <row r="29" spans="1:16" x14ac:dyDescent="0.3">
      <c r="C29" s="94"/>
      <c r="D29" s="94"/>
      <c r="E29" s="94">
        <v>0.68800000000192085</v>
      </c>
      <c r="F29" s="94">
        <f>F28-(F64+F76)</f>
        <v>0</v>
      </c>
      <c r="G29" s="94">
        <f t="shared" ref="G29:P29" si="16">G28-(G64+G76)</f>
        <v>0</v>
      </c>
      <c r="H29" s="94">
        <f t="shared" si="16"/>
        <v>0</v>
      </c>
      <c r="I29" s="94">
        <f t="shared" si="16"/>
        <v>0</v>
      </c>
      <c r="J29" s="94">
        <f t="shared" si="16"/>
        <v>0</v>
      </c>
      <c r="K29" s="94">
        <f t="shared" si="16"/>
        <v>0</v>
      </c>
      <c r="L29" s="94">
        <f t="shared" si="16"/>
        <v>0</v>
      </c>
      <c r="M29" s="94">
        <f t="shared" si="16"/>
        <v>0</v>
      </c>
      <c r="N29" s="94">
        <f t="shared" si="16"/>
        <v>0</v>
      </c>
      <c r="O29" s="94">
        <f t="shared" si="16"/>
        <v>0</v>
      </c>
      <c r="P29" s="94">
        <f t="shared" si="16"/>
        <v>0</v>
      </c>
    </row>
    <row r="30" spans="1:16" x14ac:dyDescent="0.3">
      <c r="B30" s="30" t="s">
        <v>139</v>
      </c>
      <c r="C30" s="3">
        <v>2013</v>
      </c>
      <c r="D30" s="3">
        <v>2014</v>
      </c>
      <c r="E30" s="3">
        <v>2015</v>
      </c>
      <c r="F30" s="61">
        <v>2016</v>
      </c>
      <c r="G30" s="3">
        <v>2017</v>
      </c>
      <c r="H30" s="3">
        <v>2018</v>
      </c>
      <c r="I30" s="3">
        <v>2019</v>
      </c>
      <c r="J30" s="3">
        <v>2020</v>
      </c>
      <c r="K30" s="3" t="s">
        <v>123</v>
      </c>
      <c r="L30" s="61" t="s">
        <v>136</v>
      </c>
      <c r="M30" s="3" t="s">
        <v>135</v>
      </c>
      <c r="N30" s="3" t="s">
        <v>134</v>
      </c>
      <c r="O30" s="3" t="s">
        <v>133</v>
      </c>
      <c r="P30" s="3" t="s">
        <v>132</v>
      </c>
    </row>
    <row r="31" spans="1:16" x14ac:dyDescent="0.3">
      <c r="A31">
        <v>1012</v>
      </c>
      <c r="B31" t="s">
        <v>82</v>
      </c>
      <c r="C31" s="11">
        <f t="shared" ref="C31:J33" si="17">IF(C19=0,0,C19/C7)</f>
        <v>0.1377071219439821</v>
      </c>
      <c r="D31" s="11">
        <f t="shared" si="17"/>
        <v>0.18491235325649352</v>
      </c>
      <c r="E31" s="11">
        <f t="shared" si="17"/>
        <v>0.21522336294229383</v>
      </c>
      <c r="F31" s="64">
        <f t="shared" si="17"/>
        <v>8.1529333006324561E-2</v>
      </c>
      <c r="G31" s="11">
        <f t="shared" si="17"/>
        <v>0.16657718630210383</v>
      </c>
      <c r="H31" s="11">
        <f t="shared" si="17"/>
        <v>0.63565025843568901</v>
      </c>
      <c r="I31" s="11">
        <f t="shared" si="17"/>
        <v>0.76539800926001522</v>
      </c>
      <c r="J31" s="11">
        <f t="shared" si="17"/>
        <v>0.72899545727491011</v>
      </c>
      <c r="K31" s="11">
        <f t="shared" ref="K31" si="18">IF(K19=0,0,K19/K7)</f>
        <v>0.71116037379636221</v>
      </c>
      <c r="L31" s="64">
        <f t="shared" ref="L31:M31" si="19">IF(L19=0,0,L19/L7)</f>
        <v>0.73532711068554413</v>
      </c>
      <c r="M31" s="11">
        <f t="shared" si="19"/>
        <v>0.6827891145513918</v>
      </c>
      <c r="N31" s="11">
        <f t="shared" ref="N31:P31" si="20">IF(N19=0,0,N19/N7)</f>
        <v>0.69659139922827518</v>
      </c>
      <c r="O31" s="11">
        <f t="shared" si="20"/>
        <v>0.67928256935426867</v>
      </c>
      <c r="P31" s="11">
        <f t="shared" si="20"/>
        <v>0.65664760800497846</v>
      </c>
    </row>
    <row r="32" spans="1:16" x14ac:dyDescent="0.3">
      <c r="A32">
        <v>1013</v>
      </c>
      <c r="B32" t="s">
        <v>83</v>
      </c>
      <c r="C32" s="11">
        <f t="shared" si="17"/>
        <v>0.16203697217559596</v>
      </c>
      <c r="D32" s="11">
        <f t="shared" si="17"/>
        <v>0.13428957581689252</v>
      </c>
      <c r="E32" s="11">
        <f t="shared" si="17"/>
        <v>5.7449882143197864E-2</v>
      </c>
      <c r="F32" s="64">
        <f t="shared" si="17"/>
        <v>0.15179174166067255</v>
      </c>
      <c r="G32" s="11">
        <f t="shared" si="17"/>
        <v>0.31356933631718487</v>
      </c>
      <c r="H32" s="11">
        <f t="shared" si="17"/>
        <v>0.40836279255043012</v>
      </c>
      <c r="I32" s="11">
        <f t="shared" si="17"/>
        <v>0.50599265963532369</v>
      </c>
      <c r="J32" s="11">
        <f t="shared" si="17"/>
        <v>0.48594069365503995</v>
      </c>
      <c r="K32" s="11">
        <f t="shared" ref="K32" si="21">IF(K20=0,0,K20/K8)</f>
        <v>0.82219802614490634</v>
      </c>
      <c r="L32" s="64">
        <f t="shared" ref="L32:M32" si="22">IF(L20=0,0,L20/L8)</f>
        <v>0.60210829443387748</v>
      </c>
      <c r="M32" s="11">
        <f t="shared" si="22"/>
        <v>0.67140221631812047</v>
      </c>
      <c r="N32" s="11">
        <f t="shared" ref="N32:P32" si="23">IF(N20=0,0,N20/N8)</f>
        <v>0.54605078902736526</v>
      </c>
      <c r="O32" s="11">
        <f t="shared" si="23"/>
        <v>0.41016772345242047</v>
      </c>
      <c r="P32" s="11">
        <f t="shared" si="23"/>
        <v>0.60629992543694555</v>
      </c>
    </row>
    <row r="33" spans="1:16" x14ac:dyDescent="0.3">
      <c r="A33">
        <v>1014</v>
      </c>
      <c r="B33" t="s">
        <v>84</v>
      </c>
      <c r="C33" s="11">
        <f t="shared" si="17"/>
        <v>0.34158551985037466</v>
      </c>
      <c r="D33" s="11">
        <f t="shared" si="17"/>
        <v>0.29868500960672267</v>
      </c>
      <c r="E33" s="11">
        <f t="shared" si="17"/>
        <v>0.21426753798748835</v>
      </c>
      <c r="F33" s="64">
        <f t="shared" si="17"/>
        <v>0.3119703516889577</v>
      </c>
      <c r="G33" s="11">
        <f t="shared" si="17"/>
        <v>0.45627899746876321</v>
      </c>
      <c r="H33" s="11">
        <f t="shared" si="17"/>
        <v>0.31077661904331433</v>
      </c>
      <c r="I33" s="11">
        <f t="shared" si="17"/>
        <v>0.45178089593669879</v>
      </c>
      <c r="J33" s="11">
        <f t="shared" si="17"/>
        <v>0.35501119941794701</v>
      </c>
      <c r="K33" s="11">
        <f t="shared" ref="K33" si="24">IF(K21=0,0,K21/K9)</f>
        <v>0.43232331791421696</v>
      </c>
      <c r="L33" s="64">
        <f t="shared" ref="L33:M34" si="25">IF(L21=0,0,L21/L9)</f>
        <v>0.34232788839454664</v>
      </c>
      <c r="M33" s="11">
        <f t="shared" si="25"/>
        <v>0.35595948841019598</v>
      </c>
      <c r="N33" s="11">
        <f t="shared" ref="M33:P34" si="26">IF(N21=0,0,N21/N9)</f>
        <v>0.30459011175576911</v>
      </c>
      <c r="O33" s="11">
        <f t="shared" si="26"/>
        <v>0.4152963108172632</v>
      </c>
      <c r="P33" s="11">
        <f t="shared" si="26"/>
        <v>0.3479739965136045</v>
      </c>
    </row>
    <row r="34" spans="1:16" x14ac:dyDescent="0.3">
      <c r="B34" s="381" t="s">
        <v>393</v>
      </c>
      <c r="C34" s="11"/>
      <c r="D34" s="11"/>
      <c r="E34" s="11"/>
      <c r="F34" s="64"/>
      <c r="G34" s="11"/>
      <c r="H34" s="11"/>
      <c r="I34" s="11"/>
      <c r="J34" s="11"/>
      <c r="K34" s="11"/>
      <c r="L34" s="64">
        <f t="shared" si="25"/>
        <v>0</v>
      </c>
      <c r="M34" s="11">
        <f t="shared" si="26"/>
        <v>0</v>
      </c>
      <c r="N34" s="11">
        <f t="shared" si="26"/>
        <v>0</v>
      </c>
      <c r="O34" s="11">
        <f t="shared" si="26"/>
        <v>2.2892035561492628E-2</v>
      </c>
      <c r="P34" s="11">
        <f t="shared" si="26"/>
        <v>0</v>
      </c>
    </row>
    <row r="35" spans="1:16" x14ac:dyDescent="0.3">
      <c r="A35">
        <v>1018</v>
      </c>
      <c r="B35" t="s">
        <v>85</v>
      </c>
      <c r="C35" s="11">
        <f t="shared" ref="C35:J38" si="27">IF(C23=0,0,C23/C11)</f>
        <v>0.41907633954554491</v>
      </c>
      <c r="D35" s="11">
        <f t="shared" si="27"/>
        <v>0.44652304227656042</v>
      </c>
      <c r="E35" s="11">
        <f t="shared" si="27"/>
        <v>2.6875596022107564E-2</v>
      </c>
      <c r="F35" s="64">
        <f t="shared" si="27"/>
        <v>0.25938532961990801</v>
      </c>
      <c r="G35" s="11">
        <f t="shared" si="27"/>
        <v>0.46023279473482342</v>
      </c>
      <c r="H35" s="11">
        <f t="shared" si="27"/>
        <v>0.43563978421275573</v>
      </c>
      <c r="I35" s="11">
        <f t="shared" si="27"/>
        <v>0.49283964079276871</v>
      </c>
      <c r="J35" s="11">
        <f t="shared" si="27"/>
        <v>0.61149242855950869</v>
      </c>
      <c r="K35" s="11">
        <f t="shared" ref="K35" si="28">IF(K23=0,0,K23/K11)</f>
        <v>0.66902608320492574</v>
      </c>
      <c r="L35" s="64">
        <f t="shared" ref="L35:M35" si="29">IF(L23=0,0,L23/L11)</f>
        <v>0.55187158840792772</v>
      </c>
      <c r="M35" s="11">
        <f t="shared" si="29"/>
        <v>0.53678863238802832</v>
      </c>
      <c r="N35" s="11">
        <f t="shared" ref="N35:P35" si="30">IF(N23=0,0,N23/N11)</f>
        <v>0.59767653083935057</v>
      </c>
      <c r="O35" s="11">
        <f t="shared" si="30"/>
        <v>0.429329495790293</v>
      </c>
      <c r="P35" s="11">
        <f t="shared" si="30"/>
        <v>0.55482496862340769</v>
      </c>
    </row>
    <row r="36" spans="1:16" x14ac:dyDescent="0.3">
      <c r="A36">
        <v>1019</v>
      </c>
      <c r="B36" t="s">
        <v>77</v>
      </c>
      <c r="C36" s="11">
        <f t="shared" si="27"/>
        <v>0</v>
      </c>
      <c r="D36" s="11">
        <f t="shared" si="27"/>
        <v>0</v>
      </c>
      <c r="E36" s="11">
        <f t="shared" si="27"/>
        <v>0.60549893200788674</v>
      </c>
      <c r="F36" s="64">
        <f t="shared" si="27"/>
        <v>0.53479971044984964</v>
      </c>
      <c r="G36" s="11">
        <f t="shared" si="27"/>
        <v>0.70345467226331582</v>
      </c>
      <c r="H36" s="11">
        <f t="shared" si="27"/>
        <v>0.56359373742469854</v>
      </c>
      <c r="I36" s="11">
        <f t="shared" si="27"/>
        <v>0.71052665934083403</v>
      </c>
      <c r="J36" s="11">
        <f t="shared" si="27"/>
        <v>0.56807963141058815</v>
      </c>
      <c r="K36" s="11">
        <f t="shared" ref="K36" si="31">IF(K24=0,0,K24/K12)</f>
        <v>0.77283035820689283</v>
      </c>
      <c r="L36" s="64">
        <f t="shared" ref="L36:M36" si="32">IF(L24=0,0,L24/L12)</f>
        <v>0.93643601552916889</v>
      </c>
      <c r="M36" s="11">
        <f t="shared" si="32"/>
        <v>0.72454575631418539</v>
      </c>
      <c r="N36" s="11">
        <f t="shared" ref="N36:P36" si="33">IF(N24=0,0,N24/N12)</f>
        <v>0.70921088681167499</v>
      </c>
      <c r="O36" s="11">
        <f t="shared" si="33"/>
        <v>0.73851621533907452</v>
      </c>
      <c r="P36" s="11">
        <f t="shared" si="33"/>
        <v>0.78829555147648589</v>
      </c>
    </row>
    <row r="37" spans="1:16" x14ac:dyDescent="0.3">
      <c r="A37">
        <v>1015</v>
      </c>
      <c r="B37" t="s">
        <v>268</v>
      </c>
      <c r="C37" s="11">
        <f t="shared" si="27"/>
        <v>0.12945610176027672</v>
      </c>
      <c r="D37" s="11">
        <f t="shared" si="27"/>
        <v>1.0628032705207313</v>
      </c>
      <c r="E37" s="11">
        <f t="shared" si="27"/>
        <v>1.0662666678537314</v>
      </c>
      <c r="F37" s="64">
        <f t="shared" si="27"/>
        <v>0.33832262180552486</v>
      </c>
      <c r="G37" s="11">
        <f t="shared" si="27"/>
        <v>2.4845346382773523</v>
      </c>
      <c r="H37" s="11">
        <f t="shared" si="27"/>
        <v>1.7709831734216028</v>
      </c>
      <c r="I37" s="11">
        <f t="shared" si="27"/>
        <v>1.2326851301038251E-2</v>
      </c>
      <c r="J37" s="11">
        <f t="shared" si="27"/>
        <v>1.6416979238989993</v>
      </c>
      <c r="K37" s="11">
        <f t="shared" ref="K37" si="34">IF(K25=0,0,K25/K13)</f>
        <v>3.7345293024857629</v>
      </c>
      <c r="L37" s="64">
        <f t="shared" ref="L37:M37" si="35">IF(L25=0,0,L25/L13)</f>
        <v>0.86861474391984739</v>
      </c>
      <c r="M37" s="11">
        <f t="shared" si="35"/>
        <v>0.53313258572313327</v>
      </c>
      <c r="N37" s="11">
        <f t="shared" ref="N37:P37" si="36">IF(N25=0,0,N25/N13)</f>
        <v>2.9692483157931802E-2</v>
      </c>
      <c r="O37" s="11">
        <f t="shared" si="36"/>
        <v>1.9865928003778124</v>
      </c>
      <c r="P37" s="11">
        <f t="shared" si="36"/>
        <v>0.88502238816820866</v>
      </c>
    </row>
    <row r="38" spans="1:16" x14ac:dyDescent="0.3">
      <c r="A38">
        <v>1016</v>
      </c>
      <c r="B38" t="s">
        <v>86</v>
      </c>
      <c r="C38" s="11">
        <f t="shared" si="27"/>
        <v>6.5193336428344085E-3</v>
      </c>
      <c r="D38" s="11">
        <f t="shared" si="27"/>
        <v>1.3748455650448917E-3</v>
      </c>
      <c r="E38" s="11">
        <f t="shared" si="27"/>
        <v>4.2473145679199E-4</v>
      </c>
      <c r="F38" s="64">
        <f t="shared" si="27"/>
        <v>0.26783730750666696</v>
      </c>
      <c r="G38" s="11">
        <f t="shared" si="27"/>
        <v>8.1145079106234128E-2</v>
      </c>
      <c r="H38" s="11">
        <f t="shared" si="27"/>
        <v>2.8099507436697743E-2</v>
      </c>
      <c r="I38" s="11">
        <f t="shared" si="27"/>
        <v>7.160487877360424E-3</v>
      </c>
      <c r="J38" s="11">
        <f t="shared" si="27"/>
        <v>1.2435652941871038E-3</v>
      </c>
      <c r="K38" s="11">
        <f t="shared" ref="K38" si="37">IF(K26=0,0,K26/K14)</f>
        <v>0</v>
      </c>
      <c r="L38" s="64">
        <f t="shared" ref="L38:P39" si="38">IF(L26=0,0,L26/L14)</f>
        <v>3.6177947068172099E-3</v>
      </c>
      <c r="M38" s="11">
        <f t="shared" si="38"/>
        <v>6.2681455981911834E-3</v>
      </c>
      <c r="N38" s="11">
        <f t="shared" si="38"/>
        <v>0</v>
      </c>
      <c r="O38" s="11">
        <f t="shared" si="38"/>
        <v>5.3062684774880927E-4</v>
      </c>
      <c r="P38" s="11">
        <f t="shared" si="38"/>
        <v>0</v>
      </c>
    </row>
    <row r="39" spans="1:16" x14ac:dyDescent="0.3">
      <c r="A39">
        <v>1048</v>
      </c>
      <c r="B39" t="s">
        <v>207</v>
      </c>
      <c r="C39" s="131"/>
      <c r="D39" s="131"/>
      <c r="E39" s="131"/>
      <c r="F39" s="201"/>
      <c r="G39" s="131"/>
      <c r="H39" s="131"/>
      <c r="I39" s="131"/>
      <c r="J39" s="131"/>
      <c r="K39" s="131"/>
      <c r="L39" s="201">
        <f t="shared" si="38"/>
        <v>0</v>
      </c>
      <c r="M39" s="131">
        <f t="shared" si="38"/>
        <v>0</v>
      </c>
      <c r="N39" s="131">
        <f t="shared" si="38"/>
        <v>6.4652673393345364E-2</v>
      </c>
      <c r="O39" s="131">
        <f t="shared" si="38"/>
        <v>1.3964888208685597</v>
      </c>
      <c r="P39" s="131">
        <f t="shared" si="38"/>
        <v>0.88183460697338845</v>
      </c>
    </row>
    <row r="40" spans="1:16" x14ac:dyDescent="0.3">
      <c r="B40" s="1" t="s">
        <v>2</v>
      </c>
      <c r="C40" s="209">
        <f t="shared" ref="C40:K40" si="39">IF(C28=0,0,C28/C16)</f>
        <v>0.25356479835622797</v>
      </c>
      <c r="D40" s="209">
        <f t="shared" si="39"/>
        <v>0.33985202883561372</v>
      </c>
      <c r="E40" s="209">
        <f t="shared" si="39"/>
        <v>0.45485205728974881</v>
      </c>
      <c r="F40" s="210">
        <f t="shared" si="39"/>
        <v>0.20790692910679287</v>
      </c>
      <c r="G40" s="209">
        <f t="shared" si="39"/>
        <v>0.35781572716362919</v>
      </c>
      <c r="H40" s="209">
        <f t="shared" si="39"/>
        <v>0.48283831102446473</v>
      </c>
      <c r="I40" s="209">
        <f t="shared" si="39"/>
        <v>0.58731285686884038</v>
      </c>
      <c r="J40" s="209">
        <f t="shared" si="39"/>
        <v>0.6076318227643468</v>
      </c>
      <c r="K40" s="209">
        <f t="shared" si="39"/>
        <v>0.68820271419037959</v>
      </c>
      <c r="L40" s="210">
        <f t="shared" ref="L40:M40" si="40">IF(L28=0,0,L28/L16)</f>
        <v>0.60040989395029642</v>
      </c>
      <c r="M40" s="209">
        <f t="shared" si="40"/>
        <v>0.54434409327762656</v>
      </c>
      <c r="N40" s="209">
        <f t="shared" ref="N40:P40" si="41">IF(N28=0,0,N28/N16)</f>
        <v>0.52947837978583512</v>
      </c>
      <c r="O40" s="209">
        <f t="shared" si="41"/>
        <v>0.54882852271495741</v>
      </c>
      <c r="P40" s="209">
        <f t="shared" si="41"/>
        <v>0.56582405088371801</v>
      </c>
    </row>
    <row r="42" spans="1:16" x14ac:dyDescent="0.3">
      <c r="B42" s="1" t="s">
        <v>145</v>
      </c>
      <c r="C42" s="3">
        <v>2013</v>
      </c>
      <c r="D42" s="3">
        <v>2014</v>
      </c>
      <c r="E42" s="3">
        <v>2015</v>
      </c>
      <c r="F42" s="61">
        <v>2016</v>
      </c>
      <c r="G42" s="3">
        <v>2017</v>
      </c>
      <c r="H42" s="3">
        <v>2018</v>
      </c>
      <c r="I42" s="3">
        <v>2019</v>
      </c>
      <c r="J42" s="3">
        <v>2020</v>
      </c>
      <c r="K42" s="3" t="s">
        <v>123</v>
      </c>
      <c r="L42" s="61" t="s">
        <v>136</v>
      </c>
      <c r="M42" s="3" t="s">
        <v>135</v>
      </c>
      <c r="N42" s="3" t="s">
        <v>134</v>
      </c>
      <c r="O42" s="3" t="s">
        <v>133</v>
      </c>
      <c r="P42" s="3" t="s">
        <v>132</v>
      </c>
    </row>
    <row r="43" spans="1:16" x14ac:dyDescent="0.3">
      <c r="A43">
        <v>1012</v>
      </c>
      <c r="B43" t="s">
        <v>82</v>
      </c>
      <c r="C43" s="94">
        <f>C7-C55</f>
        <v>16256.632279999996</v>
      </c>
      <c r="D43" s="94">
        <f t="shared" ref="D43:J43" si="42">D7-D55</f>
        <v>13850.742889999996</v>
      </c>
      <c r="E43" s="94">
        <f t="shared" si="42"/>
        <v>13289.626228792911</v>
      </c>
      <c r="F43" s="97">
        <f t="shared" si="42"/>
        <v>28051.493449455123</v>
      </c>
      <c r="G43" s="94">
        <f t="shared" si="42"/>
        <v>23416.437776916697</v>
      </c>
      <c r="H43" s="94">
        <f t="shared" si="42"/>
        <v>18494.790068688337</v>
      </c>
      <c r="I43" s="94">
        <f t="shared" si="42"/>
        <v>14120.761350405992</v>
      </c>
      <c r="J43" s="94">
        <f t="shared" si="42"/>
        <v>12558.129600905693</v>
      </c>
      <c r="K43" s="94">
        <f t="shared" ref="K43" si="43">K7-K55</f>
        <v>13415.717404188516</v>
      </c>
      <c r="L43" s="97">
        <f t="shared" ref="L43:M43" si="44">L7-L55</f>
        <v>10939.958146046687</v>
      </c>
      <c r="M43" s="94">
        <f t="shared" si="44"/>
        <v>16808.717629999992</v>
      </c>
      <c r="N43" s="94">
        <f t="shared" ref="N43:P43" si="45">N7-N55</f>
        <v>20002.062300000005</v>
      </c>
      <c r="O43" s="94">
        <f t="shared" si="45"/>
        <v>17358.658699999996</v>
      </c>
      <c r="P43" s="94">
        <f t="shared" si="45"/>
        <v>22574.266985214352</v>
      </c>
    </row>
    <row r="44" spans="1:16" x14ac:dyDescent="0.3">
      <c r="A44">
        <v>1013</v>
      </c>
      <c r="B44" t="s">
        <v>83</v>
      </c>
      <c r="C44" s="94">
        <f t="shared" ref="C44:J44" si="46">C8-C56</f>
        <v>11949.261109999994</v>
      </c>
      <c r="D44" s="94">
        <f t="shared" si="46"/>
        <v>13978.67406000001</v>
      </c>
      <c r="E44" s="94">
        <f t="shared" si="46"/>
        <v>11397.266549092925</v>
      </c>
      <c r="F44" s="97">
        <f t="shared" si="46"/>
        <v>12132.663607727391</v>
      </c>
      <c r="G44" s="94">
        <f t="shared" si="46"/>
        <v>11686.365952980519</v>
      </c>
      <c r="H44" s="94">
        <f t="shared" si="46"/>
        <v>12867.69839614131</v>
      </c>
      <c r="I44" s="94">
        <f t="shared" si="46"/>
        <v>10916.96061769516</v>
      </c>
      <c r="J44" s="94">
        <f t="shared" si="46"/>
        <v>10226.893256163527</v>
      </c>
      <c r="K44" s="94">
        <f t="shared" ref="K44" si="47">K8-K56</f>
        <v>6758.2174015625751</v>
      </c>
      <c r="L44" s="97">
        <f t="shared" ref="L44:M44" si="48">L8-L56</f>
        <v>8302.9103042771549</v>
      </c>
      <c r="M44" s="94">
        <f t="shared" si="48"/>
        <v>7832.3559799999994</v>
      </c>
      <c r="N44" s="94">
        <f t="shared" ref="N44:P44" si="49">N8-N56</f>
        <v>8845.5354100000004</v>
      </c>
      <c r="O44" s="94">
        <f t="shared" si="49"/>
        <v>12484.203430000001</v>
      </c>
      <c r="P44" s="94">
        <f t="shared" si="49"/>
        <v>8678.3523270391997</v>
      </c>
    </row>
    <row r="45" spans="1:16" x14ac:dyDescent="0.3">
      <c r="A45">
        <v>1014</v>
      </c>
      <c r="B45" t="s">
        <v>84</v>
      </c>
      <c r="C45" s="94">
        <f t="shared" ref="C45:J45" si="50">C9-C57</f>
        <v>13492.624970000004</v>
      </c>
      <c r="D45" s="94">
        <f t="shared" si="50"/>
        <v>12919.318029999997</v>
      </c>
      <c r="E45" s="94">
        <f t="shared" si="50"/>
        <v>14170.3755613823</v>
      </c>
      <c r="F45" s="97">
        <f t="shared" si="50"/>
        <v>14867.056405775453</v>
      </c>
      <c r="G45" s="94">
        <f t="shared" si="50"/>
        <v>17430.310653318753</v>
      </c>
      <c r="H45" s="94">
        <f t="shared" si="50"/>
        <v>26646.544766092818</v>
      </c>
      <c r="I45" s="94">
        <f t="shared" si="50"/>
        <v>26255.891716836326</v>
      </c>
      <c r="J45" s="94">
        <f t="shared" si="50"/>
        <v>23545.076467070856</v>
      </c>
      <c r="K45" s="94">
        <f t="shared" ref="K45" si="51">K9-K57</f>
        <v>23472.551510528938</v>
      </c>
      <c r="L45" s="97">
        <f t="shared" ref="L45:M46" si="52">L9-L57</f>
        <v>20170.917396072738</v>
      </c>
      <c r="M45" s="94">
        <f t="shared" si="52"/>
        <v>34588.748520000008</v>
      </c>
      <c r="N45" s="94">
        <f t="shared" ref="N45:P46" si="53">N9-N57</f>
        <v>35966.310539999999</v>
      </c>
      <c r="O45" s="94">
        <f t="shared" si="53"/>
        <v>50858.679270000008</v>
      </c>
      <c r="P45" s="94">
        <f t="shared" si="53"/>
        <v>47788.521782911113</v>
      </c>
    </row>
    <row r="46" spans="1:16" x14ac:dyDescent="0.3">
      <c r="B46" s="381" t="s">
        <v>393</v>
      </c>
      <c r="C46" s="94"/>
      <c r="D46" s="94"/>
      <c r="E46" s="94"/>
      <c r="F46" s="97"/>
      <c r="G46" s="94"/>
      <c r="H46" s="94"/>
      <c r="I46" s="94"/>
      <c r="J46" s="94"/>
      <c r="K46" s="94"/>
      <c r="L46" s="97">
        <f t="shared" si="52"/>
        <v>0</v>
      </c>
      <c r="M46" s="94">
        <f t="shared" si="52"/>
        <v>26.876889999999992</v>
      </c>
      <c r="N46" s="94">
        <f t="shared" si="53"/>
        <v>370.92501999999985</v>
      </c>
      <c r="O46" s="94">
        <f t="shared" si="53"/>
        <v>3884.1389800000011</v>
      </c>
      <c r="P46" s="94">
        <f t="shared" si="53"/>
        <v>7108.5829633224421</v>
      </c>
    </row>
    <row r="47" spans="1:16" x14ac:dyDescent="0.3">
      <c r="A47">
        <v>1018</v>
      </c>
      <c r="B47" t="s">
        <v>85</v>
      </c>
      <c r="C47" s="94">
        <f t="shared" ref="C47:J47" si="54">C11-C59</f>
        <v>11829.483330000006</v>
      </c>
      <c r="D47" s="94">
        <f t="shared" si="54"/>
        <v>14721.353189999996</v>
      </c>
      <c r="E47" s="94">
        <f t="shared" si="54"/>
        <v>7197.9305498216572</v>
      </c>
      <c r="F47" s="97">
        <f t="shared" si="54"/>
        <v>3139.3556107216714</v>
      </c>
      <c r="G47" s="94">
        <f t="shared" si="54"/>
        <v>6959.4447558683887</v>
      </c>
      <c r="H47" s="94">
        <f t="shared" si="54"/>
        <v>8004.1241954219513</v>
      </c>
      <c r="I47" s="94">
        <f t="shared" si="54"/>
        <v>8412.3686274721549</v>
      </c>
      <c r="J47" s="94">
        <f t="shared" si="54"/>
        <v>7019.4848671058926</v>
      </c>
      <c r="K47" s="94">
        <f t="shared" ref="K47" si="55">K11-K59</f>
        <v>8540.378427340398</v>
      </c>
      <c r="L47" s="97">
        <f t="shared" ref="L47:M47" si="56">L11-L59</f>
        <v>10708.132888109509</v>
      </c>
      <c r="M47" s="94">
        <f t="shared" si="56"/>
        <v>9645.5945699999993</v>
      </c>
      <c r="N47" s="94">
        <f t="shared" ref="N47:P47" si="57">N11-N59</f>
        <v>8894.7044700000006</v>
      </c>
      <c r="O47" s="94">
        <f t="shared" si="57"/>
        <v>12097.909170000001</v>
      </c>
      <c r="P47" s="94">
        <f t="shared" si="57"/>
        <v>13721.363444547571</v>
      </c>
    </row>
    <row r="48" spans="1:16" x14ac:dyDescent="0.3">
      <c r="A48">
        <v>1019</v>
      </c>
      <c r="B48" t="s">
        <v>77</v>
      </c>
      <c r="C48" s="94">
        <f t="shared" ref="C48:J48" si="58">C12-C60</f>
        <v>0</v>
      </c>
      <c r="D48" s="94">
        <f t="shared" si="58"/>
        <v>0</v>
      </c>
      <c r="E48" s="94">
        <f t="shared" si="58"/>
        <v>8609.4229053068448</v>
      </c>
      <c r="F48" s="97">
        <f t="shared" si="58"/>
        <v>6855.1913869228929</v>
      </c>
      <c r="G48" s="94">
        <f t="shared" si="58"/>
        <v>5497.0208623004555</v>
      </c>
      <c r="H48" s="94">
        <f t="shared" si="58"/>
        <v>4785.4040309488319</v>
      </c>
      <c r="I48" s="94">
        <f t="shared" si="58"/>
        <v>4150.4514770375026</v>
      </c>
      <c r="J48" s="94">
        <f t="shared" si="58"/>
        <v>4214.8559120136661</v>
      </c>
      <c r="K48" s="94">
        <f t="shared" ref="K48" si="59">K12-K60</f>
        <v>2347.8925856817336</v>
      </c>
      <c r="L48" s="97">
        <f t="shared" ref="L48:M48" si="60">L12-L60</f>
        <v>1470.9470329169314</v>
      </c>
      <c r="M48" s="94">
        <f t="shared" si="60"/>
        <v>2767.2553799999996</v>
      </c>
      <c r="N48" s="94">
        <f t="shared" ref="N48:P48" si="61">N12-N60</f>
        <v>3304.8220699999993</v>
      </c>
      <c r="O48" s="94">
        <f t="shared" si="61"/>
        <v>2810.6659500000014</v>
      </c>
      <c r="P48" s="94">
        <f t="shared" si="61"/>
        <v>2431.0881802502076</v>
      </c>
    </row>
    <row r="49" spans="1:16" x14ac:dyDescent="0.3">
      <c r="A49">
        <v>1015</v>
      </c>
      <c r="B49" t="s">
        <v>268</v>
      </c>
      <c r="C49" s="94">
        <f t="shared" ref="C49:J49" si="62">C13-C61</f>
        <v>810.46006000000011</v>
      </c>
      <c r="D49" s="94">
        <f t="shared" si="62"/>
        <v>6460.88184</v>
      </c>
      <c r="E49" s="94">
        <f t="shared" si="62"/>
        <v>2368.6064810891367</v>
      </c>
      <c r="F49" s="97">
        <f t="shared" si="62"/>
        <v>268.0605924562438</v>
      </c>
      <c r="G49" s="94">
        <f t="shared" si="62"/>
        <v>134.93279378565705</v>
      </c>
      <c r="H49" s="94">
        <f t="shared" si="62"/>
        <v>133.66417228157752</v>
      </c>
      <c r="I49" s="94">
        <f t="shared" si="62"/>
        <v>4850.7237200925538</v>
      </c>
      <c r="J49" s="94">
        <f t="shared" si="62"/>
        <v>3532.2214276258696</v>
      </c>
      <c r="K49" s="94">
        <f t="shared" ref="K49" si="63">K13-K61</f>
        <v>1914.7008474034492</v>
      </c>
      <c r="L49" s="97">
        <f t="shared" ref="L49:M49" si="64">L13-L61</f>
        <v>499.15264287122454</v>
      </c>
      <c r="M49" s="94">
        <f t="shared" si="64"/>
        <v>1194.5999981952596</v>
      </c>
      <c r="N49" s="94">
        <f t="shared" ref="N49:P49" si="65">N13-N61</f>
        <v>2767.2744500000003</v>
      </c>
      <c r="O49" s="94">
        <f t="shared" si="65"/>
        <v>2889.3938399999997</v>
      </c>
      <c r="P49" s="94">
        <f t="shared" si="65"/>
        <v>948.33317169644033</v>
      </c>
    </row>
    <row r="50" spans="1:16" x14ac:dyDescent="0.3">
      <c r="A50">
        <v>1016</v>
      </c>
      <c r="B50" t="s">
        <v>86</v>
      </c>
      <c r="C50" s="94">
        <f t="shared" ref="C50:J50" si="66">C14-C62</f>
        <v>1225.5853800000011</v>
      </c>
      <c r="D50" s="94">
        <f t="shared" si="66"/>
        <v>1658.3680799999913</v>
      </c>
      <c r="E50" s="94">
        <f t="shared" si="66"/>
        <v>1177.214430446277</v>
      </c>
      <c r="F50" s="97">
        <f t="shared" si="66"/>
        <v>1216.9253157231906</v>
      </c>
      <c r="G50" s="94">
        <f t="shared" si="66"/>
        <v>615.74565642590358</v>
      </c>
      <c r="H50" s="94">
        <f t="shared" si="66"/>
        <v>1115.1832490513798</v>
      </c>
      <c r="I50" s="94">
        <f t="shared" si="66"/>
        <v>845.05415044855647</v>
      </c>
      <c r="J50" s="94">
        <f t="shared" si="66"/>
        <v>402.06976050006364</v>
      </c>
      <c r="K50" s="94">
        <f t="shared" ref="K50" si="67">K14-K62</f>
        <v>320.90062903934302</v>
      </c>
      <c r="L50" s="97">
        <f t="shared" ref="L50:P51" si="68">L14-L62</f>
        <v>663.38755913306738</v>
      </c>
      <c r="M50" s="94">
        <f t="shared" si="68"/>
        <v>490.25664000000006</v>
      </c>
      <c r="N50" s="94">
        <f t="shared" si="68"/>
        <v>353.34366000000006</v>
      </c>
      <c r="O50" s="94">
        <f t="shared" si="68"/>
        <v>942.28175999999985</v>
      </c>
      <c r="P50" s="94">
        <f t="shared" si="68"/>
        <v>760.42706160706575</v>
      </c>
    </row>
    <row r="51" spans="1:16" x14ac:dyDescent="0.3">
      <c r="A51">
        <v>1048</v>
      </c>
      <c r="B51" t="s">
        <v>207</v>
      </c>
      <c r="C51" s="95"/>
      <c r="D51" s="95"/>
      <c r="E51" s="95"/>
      <c r="F51" s="98"/>
      <c r="G51" s="95"/>
      <c r="H51" s="95"/>
      <c r="I51" s="95"/>
      <c r="J51" s="95"/>
      <c r="K51" s="95"/>
      <c r="L51" s="98">
        <f t="shared" si="68"/>
        <v>333.18619999999999</v>
      </c>
      <c r="M51" s="95">
        <f t="shared" si="68"/>
        <v>1427.53639</v>
      </c>
      <c r="N51" s="95">
        <f t="shared" si="68"/>
        <v>1216.8561</v>
      </c>
      <c r="O51" s="95">
        <f t="shared" si="68"/>
        <v>2871.4422200000004</v>
      </c>
      <c r="P51" s="95">
        <f t="shared" si="68"/>
        <v>20301.3077412194</v>
      </c>
    </row>
    <row r="52" spans="1:16" x14ac:dyDescent="0.3">
      <c r="B52" s="1" t="s">
        <v>2</v>
      </c>
      <c r="C52" s="96">
        <f t="shared" ref="C52:P52" si="69">SUM(C43:C51)</f>
        <v>55564.047130000006</v>
      </c>
      <c r="D52" s="208">
        <f t="shared" si="69"/>
        <v>63589.33808999999</v>
      </c>
      <c r="E52" s="96">
        <f t="shared" si="69"/>
        <v>58210.442705932051</v>
      </c>
      <c r="F52" s="99">
        <f t="shared" si="69"/>
        <v>66530.746368781969</v>
      </c>
      <c r="G52" s="96">
        <f t="shared" si="69"/>
        <v>65740.258451596383</v>
      </c>
      <c r="H52" s="96">
        <f t="shared" si="69"/>
        <v>72047.4088786262</v>
      </c>
      <c r="I52" s="96">
        <f t="shared" si="69"/>
        <v>69552.211659988243</v>
      </c>
      <c r="J52" s="96">
        <f t="shared" si="69"/>
        <v>61498.731291385557</v>
      </c>
      <c r="K52" s="96">
        <f t="shared" si="69"/>
        <v>56770.358805744967</v>
      </c>
      <c r="L52" s="99">
        <f t="shared" si="69"/>
        <v>53088.592169427313</v>
      </c>
      <c r="M52" s="96">
        <f t="shared" si="69"/>
        <v>74781.941998195267</v>
      </c>
      <c r="N52" s="96">
        <f t="shared" si="69"/>
        <v>81721.834020000009</v>
      </c>
      <c r="O52" s="96">
        <f t="shared" si="69"/>
        <v>106197.37332</v>
      </c>
      <c r="P52" s="96">
        <f t="shared" si="69"/>
        <v>124312.2436578078</v>
      </c>
    </row>
    <row r="54" spans="1:16" x14ac:dyDescent="0.3">
      <c r="B54" s="1" t="s">
        <v>146</v>
      </c>
      <c r="C54" s="3">
        <v>2013</v>
      </c>
      <c r="D54" s="3">
        <v>2014</v>
      </c>
      <c r="E54" s="3">
        <v>2015</v>
      </c>
      <c r="F54" s="61">
        <v>2016</v>
      </c>
      <c r="G54" s="3">
        <v>2017</v>
      </c>
      <c r="H54" s="3">
        <v>2018</v>
      </c>
      <c r="I54" s="3">
        <v>2019</v>
      </c>
      <c r="J54" s="3">
        <v>2020</v>
      </c>
      <c r="K54" s="3" t="s">
        <v>123</v>
      </c>
      <c r="L54" s="61" t="s">
        <v>136</v>
      </c>
      <c r="M54" s="3" t="s">
        <v>135</v>
      </c>
      <c r="N54" s="3" t="s">
        <v>134</v>
      </c>
      <c r="O54" s="3" t="s">
        <v>133</v>
      </c>
      <c r="P54" s="3" t="s">
        <v>132</v>
      </c>
    </row>
    <row r="55" spans="1:16" x14ac:dyDescent="0.3">
      <c r="A55">
        <v>1012</v>
      </c>
      <c r="B55" t="s">
        <v>82</v>
      </c>
      <c r="C55" s="94">
        <v>388.76781</v>
      </c>
      <c r="D55" s="94">
        <v>606.43600000000004</v>
      </c>
      <c r="E55" s="94">
        <v>518.87476000000004</v>
      </c>
      <c r="F55" s="97">
        <v>159.095</v>
      </c>
      <c r="G55" s="94">
        <v>1150.883</v>
      </c>
      <c r="H55" s="94">
        <v>23947.445</v>
      </c>
      <c r="I55" s="94">
        <v>35805.441719999995</v>
      </c>
      <c r="J55" s="85">
        <f>_xlfn.XLOOKUP($A55,Historical_Cap_Cons!$B$30:$B$38,Historical_Cap_Cons!D$30:D$38,0,0,1)/Thousands</f>
        <v>26982.467000000001</v>
      </c>
      <c r="K55" s="85">
        <f>_xlfn.XLOOKUP($A55,Historical_Cap_Cons!$B$30:$B$38,Historical_Cap_Cons!E$30:E$38,0,0,1)/Thousands</f>
        <v>26609.491000000002</v>
      </c>
      <c r="L55" s="176">
        <f>_xlfn.XLOOKUP($A55,Historical_Cap_Cons!$B$30:$B$38,Historical_Cap_Cons!F$30:F$38,0,0,1)/Thousands</f>
        <v>24192.47</v>
      </c>
      <c r="M55" s="85">
        <f>_xlfn.XLOOKUP($A55,Historical_Cap_Cons!$B$30:$B$38,Historical_Cap_Cons!G$30:G$38,0,0,1)/Thousands</f>
        <v>30182.985000000001</v>
      </c>
      <c r="N55" s="85">
        <f>_xlfn.XLOOKUP($A55,Historical_Cap_Cons!$B$30:$B$38,Historical_Cap_Cons!H$30:H$38,0,0,1)/Thousands</f>
        <v>38035.239000000001</v>
      </c>
      <c r="O55" s="85">
        <f>_xlfn.XLOOKUP($A55,Historical_Cap_Cons!$B$30:$B$38,Historical_Cap_Cons!I$30:I$38,0,0,1)/Thousands</f>
        <v>30732.032999999999</v>
      </c>
      <c r="P55" s="85">
        <f>Capex_Fcast_Total!U20</f>
        <v>34781.903373164867</v>
      </c>
    </row>
    <row r="56" spans="1:16" x14ac:dyDescent="0.3">
      <c r="A56">
        <v>1013</v>
      </c>
      <c r="B56" t="s">
        <v>83</v>
      </c>
      <c r="C56" s="94">
        <v>0</v>
      </c>
      <c r="D56" s="94">
        <v>0</v>
      </c>
      <c r="E56" s="94">
        <v>0</v>
      </c>
      <c r="F56" s="97">
        <v>0</v>
      </c>
      <c r="G56" s="94">
        <v>36.246000000000002</v>
      </c>
      <c r="H56" s="94">
        <v>100</v>
      </c>
      <c r="I56" s="94">
        <v>53.142000000000003</v>
      </c>
      <c r="J56" s="85">
        <f>_xlfn.XLOOKUP($A56,Historical_Cap_Cons!$B$30:$B$38,Historical_Cap_Cons!D$30:D$38,0,0,1)/Thousands</f>
        <v>2.3410000000000002</v>
      </c>
      <c r="K56" s="85">
        <f>_xlfn.XLOOKUP($A56,Historical_Cap_Cons!$B$30:$B$38,Historical_Cap_Cons!E$30:E$38,0,0,1)/Thousands</f>
        <v>18.553999999999998</v>
      </c>
      <c r="L56" s="176">
        <f>_xlfn.XLOOKUP($A56,Historical_Cap_Cons!$B$30:$B$38,Historical_Cap_Cons!F$30:F$38,0,0,1)/Thousands</f>
        <v>5.89</v>
      </c>
      <c r="M56" s="85">
        <f>_xlfn.XLOOKUP($A56,Historical_Cap_Cons!$B$30:$B$38,Historical_Cap_Cons!G$30:G$38,0,0,1)/Thousands</f>
        <v>9.0399999999999991</v>
      </c>
      <c r="N56" s="85">
        <f>_xlfn.XLOOKUP($A56,Historical_Cap_Cons!$B$30:$B$38,Historical_Cap_Cons!H$30:H$38,0,0,1)/Thousands</f>
        <v>0</v>
      </c>
      <c r="O56" s="85">
        <f>_xlfn.XLOOKUP($A56,Historical_Cap_Cons!$B$30:$B$38,Historical_Cap_Cons!I$30:I$38,0,0,1)/Thousands</f>
        <v>0</v>
      </c>
      <c r="P56" s="85">
        <f>Capex_Fcast_Total!U21</f>
        <v>0</v>
      </c>
    </row>
    <row r="57" spans="1:16" x14ac:dyDescent="0.3">
      <c r="A57">
        <v>1014</v>
      </c>
      <c r="B57" t="s">
        <v>84</v>
      </c>
      <c r="C57" s="94">
        <v>1883.0830000000001</v>
      </c>
      <c r="D57" s="94">
        <v>2011.3150000000001</v>
      </c>
      <c r="E57" s="94">
        <v>966.62199999999996</v>
      </c>
      <c r="F57" s="97">
        <v>336.66300000000001</v>
      </c>
      <c r="G57" s="94">
        <v>4220.223</v>
      </c>
      <c r="H57" s="94">
        <v>3800.922</v>
      </c>
      <c r="I57" s="94">
        <v>8192.6890000000003</v>
      </c>
      <c r="J57" s="85">
        <f>_xlfn.XLOOKUP($A57,Historical_Cap_Cons!$B$30:$B$38,Historical_Cap_Cons!D$30:D$38,0,0,1)/Thousands</f>
        <v>3335.2660000000001</v>
      </c>
      <c r="K57" s="85">
        <f>_xlfn.XLOOKUP($A57,Historical_Cap_Cons!$B$30:$B$38,Historical_Cap_Cons!E$30:E$38,0,0,1)/Thousands</f>
        <v>6894.9629999999997</v>
      </c>
      <c r="L57" s="176">
        <f>_xlfn.XLOOKUP($A57,Historical_Cap_Cons!$B$30:$B$38,Historical_Cap_Cons!F$30:F$38,0,0,1)/Thousands</f>
        <v>2327.1480000000001</v>
      </c>
      <c r="M57" s="85">
        <f>_xlfn.XLOOKUP($A57,Historical_Cap_Cons!$B$30:$B$38,Historical_Cap_Cons!G$30:G$38,0,0,1)/Thousands</f>
        <v>5462.83</v>
      </c>
      <c r="N57" s="85">
        <f>_xlfn.XLOOKUP($A57,Historical_Cap_Cons!$B$30:$B$38,Historical_Cap_Cons!H$30:H$38,0,0,1)/Thousands</f>
        <v>5066.4830000000002</v>
      </c>
      <c r="O57" s="85">
        <f>_xlfn.XLOOKUP($A57,Historical_Cap_Cons!$B$30:$B$38,Historical_Cap_Cons!I$30:I$38,0,0,1)/Thousands-O58</f>
        <v>12211.016</v>
      </c>
      <c r="P57" s="85">
        <f>Capex_Fcast_Total!U22</f>
        <v>7734.7694008929457</v>
      </c>
    </row>
    <row r="58" spans="1:16" x14ac:dyDescent="0.3">
      <c r="B58" s="381" t="s">
        <v>393</v>
      </c>
      <c r="C58" s="94"/>
      <c r="D58" s="94"/>
      <c r="E58" s="94"/>
      <c r="F58" s="97"/>
      <c r="G58" s="94"/>
      <c r="H58" s="94"/>
      <c r="I58" s="94"/>
      <c r="J58" s="85"/>
      <c r="K58" s="85"/>
      <c r="L58" s="176">
        <f>Capex_Fcast_Total!Q23</f>
        <v>0</v>
      </c>
      <c r="M58" s="85">
        <f>Capex_Fcast_Total!R23</f>
        <v>0</v>
      </c>
      <c r="N58" s="85">
        <f>Capex_Fcast_Total!S23</f>
        <v>0</v>
      </c>
      <c r="O58" s="85">
        <f>Capex_Fcast_Total!T23</f>
        <v>90.998999999999995</v>
      </c>
      <c r="P58" s="85">
        <f>Capex_Fcast_Total!U23</f>
        <v>0</v>
      </c>
    </row>
    <row r="59" spans="1:16" x14ac:dyDescent="0.3">
      <c r="A59">
        <v>1018</v>
      </c>
      <c r="B59" t="s">
        <v>85</v>
      </c>
      <c r="C59" s="94">
        <v>690.28899999999999</v>
      </c>
      <c r="D59" s="94">
        <v>451.916</v>
      </c>
      <c r="E59" s="94">
        <v>16.942</v>
      </c>
      <c r="F59" s="97">
        <v>5.3360000000000003</v>
      </c>
      <c r="G59" s="94">
        <v>9.7089999999999996</v>
      </c>
      <c r="H59" s="94">
        <v>94.286000000000001</v>
      </c>
      <c r="I59" s="94">
        <v>197.267</v>
      </c>
      <c r="J59" s="85">
        <f>_xlfn.XLOOKUP($A59,Historical_Cap_Cons!$B$30:$B$38,Historical_Cap_Cons!D$30:D$38,0,0,1)/Thousands</f>
        <v>145.167</v>
      </c>
      <c r="K59" s="85">
        <f>_xlfn.XLOOKUP($A59,Historical_Cap_Cons!$B$30:$B$38,Historical_Cap_Cons!E$30:E$38,0,0,1)/Thousands</f>
        <v>106.876</v>
      </c>
      <c r="L59" s="176">
        <f>_xlfn.XLOOKUP($A59,Historical_Cap_Cons!$B$30:$B$38,Historical_Cap_Cons!F$30:F$38,0,0,1)/Thousands</f>
        <v>177.584</v>
      </c>
      <c r="M59" s="85">
        <f>_xlfn.XLOOKUP($A59,Historical_Cap_Cons!$B$30:$B$38,Historical_Cap_Cons!G$30:G$38,0,0,1)/Thousands</f>
        <v>196.57599999999999</v>
      </c>
      <c r="N59" s="85">
        <f>_xlfn.XLOOKUP($A59,Historical_Cap_Cons!$B$30:$B$38,Historical_Cap_Cons!H$30:H$38,0,0,1)/Thousands</f>
        <v>110.318</v>
      </c>
      <c r="O59" s="85">
        <f>_xlfn.XLOOKUP($A59,Historical_Cap_Cons!$B$30:$B$38,Historical_Cap_Cons!I$30:I$38,0,0,1)/Thousands</f>
        <v>283.36</v>
      </c>
      <c r="P59" s="85">
        <f>Capex_Fcast_Total!U24</f>
        <v>0</v>
      </c>
    </row>
    <row r="60" spans="1:16" x14ac:dyDescent="0.3">
      <c r="A60">
        <v>1019</v>
      </c>
      <c r="B60" t="s">
        <v>77</v>
      </c>
      <c r="C60" s="94">
        <v>0</v>
      </c>
      <c r="D60" s="94">
        <v>0</v>
      </c>
      <c r="E60" s="94">
        <v>1093.5170000000001</v>
      </c>
      <c r="F60" s="97">
        <v>417.21499999999997</v>
      </c>
      <c r="G60" s="94">
        <v>1026.4159999999999</v>
      </c>
      <c r="H60" s="94">
        <v>614.96900000000005</v>
      </c>
      <c r="I60" s="94">
        <v>2038.77</v>
      </c>
      <c r="J60" s="85">
        <f>_xlfn.XLOOKUP($A60,Historical_Cap_Cons!$B$30:$B$38,Historical_Cap_Cons!D$30:D$38,0,0,1)/Thousands</f>
        <v>1796.2139999999999</v>
      </c>
      <c r="K60" s="85">
        <f>_xlfn.XLOOKUP($A60,Historical_Cap_Cons!$B$30:$B$38,Historical_Cap_Cons!E$30:E$38,0,0,1)/Thousands</f>
        <v>2209.7739999999999</v>
      </c>
      <c r="L60" s="176">
        <f>_xlfn.XLOOKUP($A60,Historical_Cap_Cons!$B$30:$B$38,Historical_Cap_Cons!F$30:F$38,0,0,1)/Thousands</f>
        <v>1974.144</v>
      </c>
      <c r="M60" s="85">
        <f>_xlfn.XLOOKUP($A60,Historical_Cap_Cons!$B$30:$B$38,Historical_Cap_Cons!G$30:G$38,0,0,1)/Thousands</f>
        <v>3875.8209999999999</v>
      </c>
      <c r="N60" s="85">
        <f>_xlfn.XLOOKUP($A60,Historical_Cap_Cons!$B$30:$B$38,Historical_Cap_Cons!H$30:H$38,0,0,1)/Thousands</f>
        <v>2817.848</v>
      </c>
      <c r="O60" s="85">
        <f>_xlfn.XLOOKUP($A60,Historical_Cap_Cons!$B$30:$B$38,Historical_Cap_Cons!I$30:I$38,0,0,1)/Thousands</f>
        <v>4453.2539999999999</v>
      </c>
      <c r="P60" s="85">
        <f>Capex_Fcast_Total!U25</f>
        <v>2732.07353222346</v>
      </c>
    </row>
    <row r="61" spans="1:16" x14ac:dyDescent="0.3">
      <c r="A61">
        <v>1015</v>
      </c>
      <c r="B61" t="s">
        <v>268</v>
      </c>
      <c r="C61" s="94">
        <v>0</v>
      </c>
      <c r="D61" s="94">
        <v>0</v>
      </c>
      <c r="E61" s="94">
        <v>19941.909299999999</v>
      </c>
      <c r="F61" s="97">
        <v>128.75</v>
      </c>
      <c r="G61" s="94">
        <v>0</v>
      </c>
      <c r="H61" s="94">
        <v>0</v>
      </c>
      <c r="I61" s="94">
        <v>0</v>
      </c>
      <c r="J61" s="85">
        <f>_xlfn.XLOOKUP($A61,Historical_Cap_Cons!$B$30:$B$38,Historical_Cap_Cons!D$30:D$38,0,0,1)/Thousands</f>
        <v>36.648000000000003</v>
      </c>
      <c r="K61" s="85">
        <f>_xlfn.XLOOKUP($A61,Historical_Cap_Cons!$B$30:$B$38,Historical_Cap_Cons!E$30:E$38,0,0,1)/Thousands</f>
        <v>36.648000000000003</v>
      </c>
      <c r="L61" s="176">
        <f>_xlfn.XLOOKUP($A61,Historical_Cap_Cons!$B$30:$B$38,Historical_Cap_Cons!F$30:F$38,0,0,1)/Thousands</f>
        <v>3300</v>
      </c>
      <c r="M61" s="85">
        <f>_xlfn.XLOOKUP($A61,Historical_Cap_Cons!$B$30:$B$38,Historical_Cap_Cons!G$30:G$38,0,0,1)/Thousands</f>
        <v>965.16521</v>
      </c>
      <c r="N61" s="85">
        <f>_xlfn.XLOOKUP($A61,Historical_Cap_Cons!$B$30:$B$38,Historical_Cap_Cons!H$30:H$38,0,0,1)/Thousands</f>
        <v>0</v>
      </c>
      <c r="O61" s="85">
        <f>_xlfn.XLOOKUP($A61,Historical_Cap_Cons!$B$30:$B$38,Historical_Cap_Cons!I$30:I$38,0,0,1)/Thousands</f>
        <v>0</v>
      </c>
      <c r="P61" s="85">
        <f>Capex_Fcast_Total!U26</f>
        <v>5300</v>
      </c>
    </row>
    <row r="62" spans="1:16" x14ac:dyDescent="0.3">
      <c r="A62">
        <v>1016</v>
      </c>
      <c r="B62" t="s">
        <v>86</v>
      </c>
      <c r="C62" s="94">
        <v>0</v>
      </c>
      <c r="D62" s="94">
        <v>0</v>
      </c>
      <c r="E62" s="94">
        <v>0</v>
      </c>
      <c r="F62" s="97">
        <v>0</v>
      </c>
      <c r="G62" s="94">
        <v>0</v>
      </c>
      <c r="H62" s="94">
        <v>0</v>
      </c>
      <c r="I62" s="94">
        <v>0</v>
      </c>
      <c r="J62" s="85">
        <f>_xlfn.XLOOKUP($A62,Historical_Cap_Cons!$B$30:$B$38,Historical_Cap_Cons!D$30:D$38,0,0,1)/Thousands</f>
        <v>0</v>
      </c>
      <c r="K62" s="85">
        <f>_xlfn.XLOOKUP($A62,Historical_Cap_Cons!$B$30:$B$38,Historical_Cap_Cons!E$30:E$38,0,0,1)/Thousands</f>
        <v>0</v>
      </c>
      <c r="L62" s="176">
        <f>_xlfn.XLOOKUP($A62,Historical_Cap_Cons!$B$30:$B$38,Historical_Cap_Cons!F$30:F$38,0,0,1)/Thousands</f>
        <v>0</v>
      </c>
      <c r="M62" s="85">
        <f>_xlfn.XLOOKUP($A62,Historical_Cap_Cons!$B$30:$B$38,Historical_Cap_Cons!G$30:G$38,0,0,1)/Thousands</f>
        <v>0</v>
      </c>
      <c r="N62" s="85">
        <f>_xlfn.XLOOKUP($A62,Historical_Cap_Cons!$B$30:$B$38,Historical_Cap_Cons!H$30:H$38,0,0,1)/Thousands</f>
        <v>0</v>
      </c>
      <c r="O62" s="85">
        <f>_xlfn.XLOOKUP($A62,Historical_Cap_Cons!$B$30:$B$38,Historical_Cap_Cons!I$30:I$38,0,0,1)/Thousands</f>
        <v>0</v>
      </c>
      <c r="P62" s="85">
        <f>Capex_Fcast_Total!U27</f>
        <v>0</v>
      </c>
    </row>
    <row r="63" spans="1:16" x14ac:dyDescent="0.3">
      <c r="A63">
        <v>1048</v>
      </c>
      <c r="B63" t="s">
        <v>207</v>
      </c>
      <c r="C63" s="95"/>
      <c r="D63" s="95"/>
      <c r="E63" s="95"/>
      <c r="F63" s="98"/>
      <c r="G63" s="95"/>
      <c r="H63" s="95"/>
      <c r="I63" s="95"/>
      <c r="J63" s="175">
        <f>_xlfn.XLOOKUP($A63,Historical_Cap_Cons!$B$30:$B$38,Historical_Cap_Cons!D$30:D$38,0,0,1)/Thousands</f>
        <v>0</v>
      </c>
      <c r="K63" s="175">
        <f>_xlfn.XLOOKUP($A63,Historical_Cap_Cons!$B$30:$B$38,Historical_Cap_Cons!E$30:E$38,0,0,1)/Thousands</f>
        <v>0</v>
      </c>
      <c r="L63" s="212">
        <f>_xlfn.XLOOKUP($A63,Historical_Cap_Cons!$B$30:$B$38,Historical_Cap_Cons!F$30:F$38,0,0,1)/Thousands</f>
        <v>0</v>
      </c>
      <c r="M63" s="175">
        <f>_xlfn.XLOOKUP($A63,Historical_Cap_Cons!$B$30:$B$38,Historical_Cap_Cons!G$30:G$38,0,0,1)/Thousands</f>
        <v>0</v>
      </c>
      <c r="N63" s="175">
        <f>_xlfn.XLOOKUP($A63,Historical_Cap_Cons!$B$30:$B$38,Historical_Cap_Cons!H$30:H$38,0,0,1)/Thousands</f>
        <v>0</v>
      </c>
      <c r="O63" s="175">
        <f>_xlfn.XLOOKUP($A63,Historical_Cap_Cons!$B$30:$B$38,Historical_Cap_Cons!I$30:I$38,0,0,1)/Thousands</f>
        <v>0</v>
      </c>
      <c r="P63" s="175">
        <f>Capex_Fcast_Total!U28</f>
        <v>4999.9999999999991</v>
      </c>
    </row>
    <row r="64" spans="1:16" x14ac:dyDescent="0.3">
      <c r="B64" s="1" t="s">
        <v>294</v>
      </c>
      <c r="C64" s="96">
        <f t="shared" ref="C64:P64" si="70">SUM(C55:C63)</f>
        <v>2962.1398099999997</v>
      </c>
      <c r="D64" s="208">
        <f t="shared" si="70"/>
        <v>3069.6670000000004</v>
      </c>
      <c r="E64" s="96">
        <f t="shared" si="70"/>
        <v>22537.86506</v>
      </c>
      <c r="F64" s="99">
        <f t="shared" si="70"/>
        <v>1047.059</v>
      </c>
      <c r="G64" s="96">
        <f t="shared" si="70"/>
        <v>6443.4769999999999</v>
      </c>
      <c r="H64" s="96">
        <f t="shared" si="70"/>
        <v>28557.621999999999</v>
      </c>
      <c r="I64" s="96">
        <f t="shared" si="70"/>
        <v>46287.30971999999</v>
      </c>
      <c r="J64" s="96">
        <f t="shared" si="70"/>
        <v>32298.103000000003</v>
      </c>
      <c r="K64" s="96">
        <f t="shared" si="70"/>
        <v>35876.305999999997</v>
      </c>
      <c r="L64" s="99">
        <f t="shared" si="70"/>
        <v>31977.236000000001</v>
      </c>
      <c r="M64" s="96">
        <f t="shared" si="70"/>
        <v>40692.417210000007</v>
      </c>
      <c r="N64" s="96">
        <f t="shared" si="70"/>
        <v>46029.887999999999</v>
      </c>
      <c r="O64" s="96">
        <f t="shared" si="70"/>
        <v>47770.662000000004</v>
      </c>
      <c r="P64" s="96">
        <f t="shared" si="70"/>
        <v>55548.746306281275</v>
      </c>
    </row>
    <row r="65" spans="1:22" x14ac:dyDescent="0.3">
      <c r="C65" s="10"/>
      <c r="D65" s="10"/>
      <c r="E65" s="10"/>
      <c r="F65" s="58">
        <v>0</v>
      </c>
      <c r="G65" s="58">
        <v>0</v>
      </c>
      <c r="H65" s="58">
        <v>0</v>
      </c>
      <c r="I65" s="58">
        <v>0</v>
      </c>
      <c r="J65" s="58">
        <v>0</v>
      </c>
      <c r="K65" s="58"/>
      <c r="L65" s="58">
        <v>0</v>
      </c>
      <c r="M65" s="58">
        <v>0</v>
      </c>
      <c r="N65" s="58">
        <v>0</v>
      </c>
      <c r="O65" s="60">
        <f>O64-Capex_Fcast_Total!T29</f>
        <v>0</v>
      </c>
      <c r="P65" s="60">
        <f>P64-Capex_Fcast_Total!U29</f>
        <v>0</v>
      </c>
      <c r="R65" s="7"/>
      <c r="S65" s="7"/>
      <c r="T65" s="7"/>
    </row>
    <row r="66" spans="1:22" x14ac:dyDescent="0.3">
      <c r="B66" s="1" t="s">
        <v>147</v>
      </c>
      <c r="C66" s="3">
        <v>2013</v>
      </c>
      <c r="D66" s="3">
        <v>2014</v>
      </c>
      <c r="E66" s="3">
        <v>2015</v>
      </c>
      <c r="F66" s="61">
        <v>2016</v>
      </c>
      <c r="G66" s="3">
        <v>2017</v>
      </c>
      <c r="H66" s="3">
        <v>2018</v>
      </c>
      <c r="I66" s="3">
        <v>2019</v>
      </c>
      <c r="J66" s="3">
        <v>2020</v>
      </c>
      <c r="K66" s="3" t="s">
        <v>123</v>
      </c>
      <c r="L66" s="61" t="s">
        <v>136</v>
      </c>
      <c r="M66" s="3" t="s">
        <v>135</v>
      </c>
      <c r="N66" s="3" t="s">
        <v>134</v>
      </c>
      <c r="O66" s="3" t="s">
        <v>133</v>
      </c>
      <c r="P66" s="3" t="s">
        <v>132</v>
      </c>
      <c r="R66" s="7"/>
      <c r="S66" s="7"/>
      <c r="T66" s="7"/>
    </row>
    <row r="67" spans="1:22" x14ac:dyDescent="0.3">
      <c r="A67">
        <v>1012</v>
      </c>
      <c r="B67" t="s">
        <v>82</v>
      </c>
      <c r="C67" s="94">
        <f t="shared" ref="C67:I69" si="71">C19-C55</f>
        <v>1903.4223300000001</v>
      </c>
      <c r="D67" s="94">
        <f t="shared" si="71"/>
        <v>2066.8749699999998</v>
      </c>
      <c r="E67" s="94">
        <f t="shared" si="71"/>
        <v>2453.0372600000001</v>
      </c>
      <c r="F67" s="97">
        <f t="shared" si="71"/>
        <v>2140.8954600000002</v>
      </c>
      <c r="G67" s="94">
        <f t="shared" si="71"/>
        <v>2941.4721699999991</v>
      </c>
      <c r="H67" s="94">
        <f t="shared" si="71"/>
        <v>3030.9726900000023</v>
      </c>
      <c r="I67" s="94">
        <f t="shared" si="71"/>
        <v>2407.9747200000056</v>
      </c>
      <c r="J67" s="85">
        <f>_xlfn.XLOOKUP($A67,Historical_Cap_Cons!$B$4:$B$12,Historical_Cap_Cons!D$4:D$12,0,0,1)/Thousands</f>
        <v>1842.4482999999998</v>
      </c>
      <c r="K67" s="85">
        <f>_xlfn.XLOOKUP($A67,Historical_Cap_Cons!$B$4:$B$12,Historical_Cap_Cons!E$4:E$12,0,0,1)/Thousands</f>
        <v>1854.8511700000004</v>
      </c>
      <c r="L67" s="176">
        <f>_xlfn.XLOOKUP($A67,Historical_Cap_Cons!$B$4:$B$12,Historical_Cap_Cons!F$4:F$12,0,0,1)/Thousands</f>
        <v>1641.3568799999998</v>
      </c>
      <c r="M67" s="85">
        <f>_xlfn.XLOOKUP($A67,Historical_Cap_Cons!$B$4:$B$12,Historical_Cap_Cons!G$4:G$12,0,0,1)/Thousands</f>
        <v>1902.43803</v>
      </c>
      <c r="N67" s="85">
        <f>_xlfn.XLOOKUP($A67,Historical_Cap_Cons!$B$4:$B$12,Historical_Cap_Cons!H$4:H$12,0,0,1)/Thousands</f>
        <v>2393.04592</v>
      </c>
      <c r="O67" s="85">
        <f>_xlfn.XLOOKUP($A67,Historical_Cap_Cons!$B$4:$B$12,Historical_Cap_Cons!I$4:I$12,0,0,1)/Thousands</f>
        <v>1935.13562</v>
      </c>
      <c r="P67" s="85">
        <f>AVERAGE($L79:$N79)*P43</f>
        <v>2880.8886969908945</v>
      </c>
      <c r="R67" s="7"/>
      <c r="S67" s="7"/>
      <c r="T67" s="263"/>
      <c r="U67" s="264"/>
      <c r="V67" s="263"/>
    </row>
    <row r="68" spans="1:22" x14ac:dyDescent="0.3">
      <c r="A68">
        <v>1013</v>
      </c>
      <c r="B68" t="s">
        <v>83</v>
      </c>
      <c r="C68" s="94">
        <f t="shared" si="71"/>
        <v>1936.22209</v>
      </c>
      <c r="D68" s="94">
        <f t="shared" si="71"/>
        <v>1877.19021</v>
      </c>
      <c r="E68" s="94">
        <f t="shared" si="71"/>
        <v>654.77161999999998</v>
      </c>
      <c r="F68" s="97">
        <f t="shared" si="71"/>
        <v>1841.6381399999996</v>
      </c>
      <c r="G68" s="94">
        <f t="shared" si="71"/>
        <v>3639.6056499999995</v>
      </c>
      <c r="H68" s="94">
        <f t="shared" si="71"/>
        <v>5195.525529999999</v>
      </c>
      <c r="I68" s="94">
        <f t="shared" si="71"/>
        <v>5497.6494000000002</v>
      </c>
      <c r="J68" s="85">
        <f>_xlfn.XLOOKUP($A68,Historical_Cap_Cons!$B$4:$B$12,Historical_Cap_Cons!D$4:D$12,0,0,1)/Thousands</f>
        <v>4968.4601900000007</v>
      </c>
      <c r="K68" s="85">
        <f>_xlfn.XLOOKUP($A68,Historical_Cap_Cons!$B$4:$B$12,Historical_Cap_Cons!E$4:E$12,0,0,1)/Thousands</f>
        <v>5553.2940699999999</v>
      </c>
      <c r="L68" s="176">
        <f>_xlfn.XLOOKUP($A68,Historical_Cap_Cons!$B$4:$B$12,Historical_Cap_Cons!F$4:F$12,0,0,1)/Thousands</f>
        <v>4996.9075799999991</v>
      </c>
      <c r="M68" s="85">
        <f>_xlfn.XLOOKUP($A68,Historical_Cap_Cons!$B$4:$B$12,Historical_Cap_Cons!G$4:G$12,0,0,1)/Thousands</f>
        <v>5255.6906399999998</v>
      </c>
      <c r="N68" s="85">
        <f>_xlfn.XLOOKUP($A68,Historical_Cap_Cons!$B$4:$B$12,Historical_Cap_Cons!H$4:H$12,0,0,1)/Thousands</f>
        <v>4830.1115899999995</v>
      </c>
      <c r="O68" s="85">
        <f>_xlfn.XLOOKUP($A68,Historical_Cap_Cons!$B$4:$B$12,Historical_Cap_Cons!I$4:I$12,0,0,1)/Thousands</f>
        <v>5120.6172999999999</v>
      </c>
      <c r="P68" s="85">
        <f>AVERAGE($L80:$N80)*P44</f>
        <v>5261.6843687994096</v>
      </c>
      <c r="R68" s="7"/>
      <c r="S68" s="7"/>
      <c r="T68" s="263"/>
      <c r="U68" s="264"/>
      <c r="V68" s="263"/>
    </row>
    <row r="69" spans="1:22" x14ac:dyDescent="0.3">
      <c r="A69">
        <v>1014</v>
      </c>
      <c r="B69" t="s">
        <v>84</v>
      </c>
      <c r="C69" s="94">
        <f t="shared" si="71"/>
        <v>3369.0362000000009</v>
      </c>
      <c r="D69" s="94">
        <f t="shared" si="71"/>
        <v>2448.24127</v>
      </c>
      <c r="E69" s="94">
        <f t="shared" si="71"/>
        <v>2276.7452000000003</v>
      </c>
      <c r="F69" s="97">
        <f t="shared" si="71"/>
        <v>4406.4466899999989</v>
      </c>
      <c r="G69" s="94">
        <f t="shared" si="71"/>
        <v>5658.4607899999992</v>
      </c>
      <c r="H69" s="94">
        <f t="shared" si="71"/>
        <v>5661.4387800000004</v>
      </c>
      <c r="I69" s="94">
        <f t="shared" si="71"/>
        <v>7370.5216600000003</v>
      </c>
      <c r="J69" s="85">
        <f>_xlfn.XLOOKUP($A69,Historical_Cap_Cons!$B$4:$B$12,Historical_Cap_Cons!D$4:D$12,0,0,1)/Thousands</f>
        <v>6207.5566200000003</v>
      </c>
      <c r="K69" s="85">
        <f>_xlfn.XLOOKUP($A69,Historical_Cap_Cons!$B$4:$B$12,Historical_Cap_Cons!E$4:E$12,0,0,1)/Thousands</f>
        <v>6233.6216299999996</v>
      </c>
      <c r="L69" s="176">
        <f>_xlfn.XLOOKUP($A69,Historical_Cap_Cons!$B$4:$B$12,Historical_Cap_Cons!F$4:F$12,0,0,1)/Thousands</f>
        <v>5374.5672200000008</v>
      </c>
      <c r="M69" s="85">
        <f>_xlfn.XLOOKUP($A69,Historical_Cap_Cons!$B$4:$B$12,Historical_Cap_Cons!G$4:G$12,0,0,1)/Thousands</f>
        <v>8793.9093999999986</v>
      </c>
      <c r="N69" s="85">
        <f>_xlfn.XLOOKUP($A69,Historical_Cap_Cons!$B$4:$B$12,Historical_Cap_Cons!H$4:H$12,0,0,1)/Thousands</f>
        <v>7431.700170000001</v>
      </c>
      <c r="O69" s="85">
        <f>_xlfn.XLOOKUP($A69,Historical_Cap_Cons!$B$4:$B$12,Historical_Cap_Cons!I$4:I$12,0,0,1)/Thousands</f>
        <v>13981.59577</v>
      </c>
      <c r="P69" s="85">
        <f>AVERAGE($L81:$N81)*P45</f>
        <v>11585.892131923934</v>
      </c>
      <c r="R69" s="7"/>
      <c r="S69" s="7"/>
      <c r="T69" s="263"/>
      <c r="U69" s="264"/>
      <c r="V69" s="263"/>
    </row>
    <row r="70" spans="1:22" x14ac:dyDescent="0.3">
      <c r="B70" s="381" t="s">
        <v>393</v>
      </c>
      <c r="C70" s="94"/>
      <c r="D70" s="94"/>
      <c r="E70" s="94"/>
      <c r="F70" s="97"/>
      <c r="G70" s="94"/>
      <c r="H70" s="94"/>
      <c r="I70" s="94"/>
      <c r="J70" s="85"/>
      <c r="K70" s="85"/>
      <c r="L70" s="176">
        <v>0</v>
      </c>
      <c r="M70" s="85">
        <v>0</v>
      </c>
      <c r="N70" s="85">
        <v>0</v>
      </c>
      <c r="O70" s="85">
        <v>0</v>
      </c>
      <c r="P70" s="85">
        <v>0</v>
      </c>
      <c r="R70" s="7"/>
      <c r="S70" s="7"/>
      <c r="T70" s="263"/>
      <c r="U70" s="264"/>
      <c r="V70" s="263"/>
    </row>
    <row r="71" spans="1:22" x14ac:dyDescent="0.3">
      <c r="A71">
        <v>1018</v>
      </c>
      <c r="B71" t="s">
        <v>85</v>
      </c>
      <c r="C71" s="94">
        <f t="shared" ref="C71:I74" si="72">C23-C59</f>
        <v>4556.4513600000009</v>
      </c>
      <c r="D71" s="94">
        <f t="shared" si="72"/>
        <v>6323.2983199999999</v>
      </c>
      <c r="E71" s="94">
        <f t="shared" si="72"/>
        <v>176.96199999999999</v>
      </c>
      <c r="F71" s="97">
        <f t="shared" si="72"/>
        <v>810.3508700000001</v>
      </c>
      <c r="G71" s="94">
        <f t="shared" si="72"/>
        <v>3197.7241100000001</v>
      </c>
      <c r="H71" s="94">
        <f t="shared" si="72"/>
        <v>3433.7036699999999</v>
      </c>
      <c r="I71" s="94">
        <f t="shared" si="72"/>
        <v>4045.9027300000007</v>
      </c>
      <c r="J71" s="85">
        <f>_xlfn.XLOOKUP($A71,Historical_Cap_Cons!$B$4:$B$12,Historical_Cap_Cons!D$4:D$12,0,0,1)/Thousands</f>
        <v>4235.9633700000004</v>
      </c>
      <c r="K71" s="85">
        <f>_xlfn.XLOOKUP($A71,Historical_Cap_Cons!$B$4:$B$12,Historical_Cap_Cons!E$4:E$12,0,0,1)/Thousands</f>
        <v>5678.36276</v>
      </c>
      <c r="L71" s="176">
        <f>_xlfn.XLOOKUP($A71,Historical_Cap_Cons!$B$4:$B$12,Historical_Cap_Cons!F$4:F$12,0,0,1)/Thousands</f>
        <v>5829.9338699999989</v>
      </c>
      <c r="M71" s="85">
        <f>_xlfn.XLOOKUP($A71,Historical_Cap_Cons!$B$4:$B$12,Historical_Cap_Cons!G$4:G$12,0,0,1)/Thousands</f>
        <v>5086.5892800000001</v>
      </c>
      <c r="N71" s="85">
        <f>_xlfn.XLOOKUP($A71,Historical_Cap_Cons!$B$4:$B$12,Historical_Cap_Cons!H$4:H$12,0,0,1)/Thousands</f>
        <v>5271.7725899999996</v>
      </c>
      <c r="O71" s="85">
        <f>_xlfn.XLOOKUP($A71,Historical_Cap_Cons!$B$4:$B$12,Historical_Cap_Cons!I$4:I$12,0,0,1)/Thousands</f>
        <v>5032.2840500000002</v>
      </c>
      <c r="P71" s="85">
        <f>AVERAGE($L83:$N83)*P47</f>
        <v>7612.9550425914795</v>
      </c>
      <c r="R71" s="7"/>
      <c r="S71" s="7"/>
      <c r="T71" s="263"/>
      <c r="U71" s="264"/>
      <c r="V71" s="263"/>
    </row>
    <row r="72" spans="1:22" x14ac:dyDescent="0.3">
      <c r="A72">
        <v>1019</v>
      </c>
      <c r="B72" t="s">
        <v>77</v>
      </c>
      <c r="C72" s="94">
        <f t="shared" si="72"/>
        <v>0</v>
      </c>
      <c r="D72" s="94">
        <f t="shared" si="72"/>
        <v>0</v>
      </c>
      <c r="E72" s="94">
        <f t="shared" si="72"/>
        <v>4781.60275</v>
      </c>
      <c r="F72" s="97">
        <f t="shared" si="72"/>
        <v>3472.06583</v>
      </c>
      <c r="G72" s="94">
        <f t="shared" si="72"/>
        <v>3562.5261399999999</v>
      </c>
      <c r="H72" s="94">
        <f t="shared" si="72"/>
        <v>2428.6474199999993</v>
      </c>
      <c r="I72" s="94">
        <f t="shared" si="72"/>
        <v>2358.836859999999</v>
      </c>
      <c r="J72" s="85">
        <f>_xlfn.XLOOKUP($A72,Historical_Cap_Cons!$B$4:$B$12,Historical_Cap_Cons!D$4:D$12,0,0,1)/Thousands</f>
        <v>1618.5523800000003</v>
      </c>
      <c r="K72" s="85">
        <f>_xlfn.XLOOKUP($A72,Historical_Cap_Cons!$B$4:$B$12,Historical_Cap_Cons!E$4:E$12,0,0,1)/Thousands</f>
        <v>1312.5291</v>
      </c>
      <c r="L72" s="176">
        <f>_xlfn.XLOOKUP($A72,Historical_Cap_Cons!$B$4:$B$12,Historical_Cap_Cons!F$4:F$12,0,0,1)/Thousands</f>
        <v>1251.9633199999998</v>
      </c>
      <c r="M72" s="85">
        <f>_xlfn.XLOOKUP($A72,Historical_Cap_Cons!$B$4:$B$12,Historical_Cap_Cons!G$4:G$12,0,0,1)/Thousands</f>
        <v>937.3918000000001</v>
      </c>
      <c r="N72" s="85">
        <f>_xlfn.XLOOKUP($A72,Historical_Cap_Cons!$B$4:$B$12,Historical_Cap_Cons!H$4:H$12,0,0,1)/Thousands</f>
        <v>1524.4162699999999</v>
      </c>
      <c r="O72" s="85">
        <f>_xlfn.XLOOKUP($A72,Historical_Cap_Cons!$B$4:$B$12,Historical_Cap_Cons!I$4:I$12,0,0,1)/Thousands</f>
        <v>911.26866999999993</v>
      </c>
      <c r="P72" s="85">
        <f>AVERAGE($L84:$N84)*P48</f>
        <v>1338.0238772732473</v>
      </c>
      <c r="R72" s="7"/>
      <c r="S72" s="7"/>
      <c r="T72" s="263"/>
      <c r="U72" s="264"/>
      <c r="V72" s="263"/>
    </row>
    <row r="73" spans="1:22" x14ac:dyDescent="0.3">
      <c r="A73">
        <v>1015</v>
      </c>
      <c r="B73" t="s">
        <v>268</v>
      </c>
      <c r="C73" s="94">
        <f t="shared" si="72"/>
        <v>104.919</v>
      </c>
      <c r="D73" s="94">
        <f t="shared" si="72"/>
        <v>6866.64635</v>
      </c>
      <c r="E73" s="94">
        <f t="shared" si="72"/>
        <v>3847.0500200000024</v>
      </c>
      <c r="F73" s="97">
        <f t="shared" si="72"/>
        <v>5.5000000000000284</v>
      </c>
      <c r="G73" s="94">
        <f t="shared" si="72"/>
        <v>335.24520000000001</v>
      </c>
      <c r="H73" s="94">
        <f t="shared" si="72"/>
        <v>236.71700000000001</v>
      </c>
      <c r="I73" s="94">
        <f t="shared" si="72"/>
        <v>59.794150000000002</v>
      </c>
      <c r="J73" s="85">
        <f>_xlfn.XLOOKUP($A73,Historical_Cap_Cons!$B$4:$B$12,Historical_Cap_Cons!D$4:D$12,0,0,1)/Thousands</f>
        <v>5822.3575300000002</v>
      </c>
      <c r="K73" s="85">
        <f>_xlfn.XLOOKUP($A73,Historical_Cap_Cons!$B$4:$B$12,Historical_Cap_Cons!E$4:E$12,0,0,1)/Thousands</f>
        <v>7250.72145</v>
      </c>
      <c r="L73" s="176">
        <f>_xlfn.XLOOKUP($A73,Historical_Cap_Cons!$B$4:$B$12,Historical_Cap_Cons!F$4:F$12,0,0,1)/Thousands</f>
        <v>0</v>
      </c>
      <c r="M73" s="85">
        <f>_xlfn.XLOOKUP($A73,Historical_Cap_Cons!$B$4:$B$12,Historical_Cap_Cons!G$4:G$12,0,0,1)/Thousands</f>
        <v>186.27600000000001</v>
      </c>
      <c r="N73" s="85">
        <f>_xlfn.XLOOKUP($A73,Historical_Cap_Cons!$B$4:$B$12,Historical_Cap_Cons!H$4:H$12,0,0,1)/Thousands</f>
        <v>82.167249999999996</v>
      </c>
      <c r="O73" s="85">
        <f>_xlfn.XLOOKUP($A73,Historical_Cap_Cons!$B$4:$B$12,Historical_Cap_Cons!I$4:I$12,0,0,1)/Thousands</f>
        <v>5740.049</v>
      </c>
      <c r="P73" s="85">
        <f>AVERAGE($L81:$N81)*P49</f>
        <v>229.91474568542199</v>
      </c>
      <c r="R73" s="7"/>
      <c r="S73" s="7"/>
      <c r="T73" s="263"/>
      <c r="U73" s="264"/>
      <c r="V73" s="264"/>
    </row>
    <row r="74" spans="1:22" x14ac:dyDescent="0.3">
      <c r="A74">
        <v>1016</v>
      </c>
      <c r="B74" t="s">
        <v>86</v>
      </c>
      <c r="C74" s="94">
        <f t="shared" si="72"/>
        <v>7.99</v>
      </c>
      <c r="D74" s="94">
        <f t="shared" si="72"/>
        <v>2.2800000000000002</v>
      </c>
      <c r="E74" s="94">
        <f t="shared" si="72"/>
        <v>0.5</v>
      </c>
      <c r="F74" s="97">
        <f t="shared" si="72"/>
        <v>325.93799999999999</v>
      </c>
      <c r="G74" s="94">
        <f t="shared" si="72"/>
        <v>49.964730000000003</v>
      </c>
      <c r="H74" s="94">
        <f t="shared" si="72"/>
        <v>31.336099999999998</v>
      </c>
      <c r="I74" s="94">
        <f t="shared" si="72"/>
        <v>6.0510000000000002</v>
      </c>
      <c r="J74" s="85">
        <f>_xlfn.XLOOKUP($A74,Historical_Cap_Cons!$B$4:$B$12,Historical_Cap_Cons!D$4:D$12,0,0,1)/Thousands</f>
        <v>0.5</v>
      </c>
      <c r="K74" s="85">
        <f>_xlfn.XLOOKUP($A74,Historical_Cap_Cons!$B$4:$B$12,Historical_Cap_Cons!E$4:E$12,0,0,1)/Thousands</f>
        <v>0</v>
      </c>
      <c r="L74" s="176">
        <f>_xlfn.XLOOKUP($A74,Historical_Cap_Cons!$B$4:$B$12,Historical_Cap_Cons!F$4:F$12,0,0,1)/Thousands</f>
        <v>2.4</v>
      </c>
      <c r="M74" s="85">
        <f>_xlfn.XLOOKUP($A74,Historical_Cap_Cons!$B$4:$B$12,Historical_Cap_Cons!G$4:G$12,0,0,1)/Thousands</f>
        <v>3.073</v>
      </c>
      <c r="N74" s="85">
        <f>_xlfn.XLOOKUP($A74,Historical_Cap_Cons!$B$4:$B$12,Historical_Cap_Cons!H$4:H$12,0,0,1)/Thousands</f>
        <v>0</v>
      </c>
      <c r="O74" s="85">
        <f>_xlfn.XLOOKUP($A74,Historical_Cap_Cons!$B$4:$B$12,Historical_Cap_Cons!I$4:I$12,0,0,1)/Thousands</f>
        <v>0.5</v>
      </c>
      <c r="P74" s="85">
        <v>0</v>
      </c>
      <c r="R74" s="7"/>
      <c r="S74" s="7"/>
      <c r="T74" s="263"/>
      <c r="U74" s="264"/>
      <c r="V74" s="264"/>
    </row>
    <row r="75" spans="1:22" x14ac:dyDescent="0.3">
      <c r="A75">
        <v>1048</v>
      </c>
      <c r="B75" t="s">
        <v>207</v>
      </c>
      <c r="C75" s="95"/>
      <c r="D75" s="95"/>
      <c r="E75" s="95"/>
      <c r="F75" s="98"/>
      <c r="G75" s="95"/>
      <c r="H75" s="95"/>
      <c r="I75" s="95">
        <f>I27-I63</f>
        <v>0</v>
      </c>
      <c r="J75" s="175">
        <f>_xlfn.XLOOKUP($A75,Historical_Cap_Cons!$B$4:$B$12,Historical_Cap_Cons!D$4:D$12,0,0,1)/Thousands</f>
        <v>0</v>
      </c>
      <c r="K75" s="175">
        <f>_xlfn.XLOOKUP($A75,Historical_Cap_Cons!$B$4:$B$12,Historical_Cap_Cons!E$4:E$12,0,0,1)/Thousands</f>
        <v>0</v>
      </c>
      <c r="L75" s="212">
        <f>_xlfn.XLOOKUP($A75,Historical_Cap_Cons!$B$4:$B$12,Historical_Cap_Cons!F$4:F$12,0,0,1)/Thousands</f>
        <v>0</v>
      </c>
      <c r="M75" s="175">
        <f>_xlfn.XLOOKUP($A75,Historical_Cap_Cons!$B$4:$B$12,Historical_Cap_Cons!G$4:G$12,0,0,1)/Thousands</f>
        <v>0</v>
      </c>
      <c r="N75" s="175">
        <f>_xlfn.XLOOKUP($A75,Historical_Cap_Cons!$B$4:$B$12,Historical_Cap_Cons!H$4:H$12,0,0,1)/Thousands</f>
        <v>78.673000000000002</v>
      </c>
      <c r="O75" s="175">
        <f>_xlfn.XLOOKUP($A75,Historical_Cap_Cons!$B$4:$B$12,Historical_Cap_Cons!I$4:I$12,0,0,1)/Thousands</f>
        <v>4009.93696</v>
      </c>
      <c r="P75" s="340">
        <f>[2]Capcon_Summary!H$4/Thousands</f>
        <v>17311.56876789096</v>
      </c>
      <c r="R75" s="7"/>
      <c r="S75" s="7"/>
      <c r="T75" s="263"/>
      <c r="U75" s="264"/>
      <c r="V75" s="264"/>
    </row>
    <row r="76" spans="1:22" x14ac:dyDescent="0.3">
      <c r="B76" s="1" t="s">
        <v>293</v>
      </c>
      <c r="C76" s="96">
        <f t="shared" ref="C76:P76" si="73">SUM(C67:C75)</f>
        <v>11878.040980000002</v>
      </c>
      <c r="D76" s="208">
        <f t="shared" si="73"/>
        <v>19584.53112</v>
      </c>
      <c r="E76" s="96">
        <f t="shared" si="73"/>
        <v>14190.668850000002</v>
      </c>
      <c r="F76" s="99">
        <f t="shared" si="73"/>
        <v>13002.834989999999</v>
      </c>
      <c r="G76" s="96">
        <f t="shared" si="73"/>
        <v>19384.998790000001</v>
      </c>
      <c r="H76" s="96">
        <f t="shared" si="73"/>
        <v>20018.341190000003</v>
      </c>
      <c r="I76" s="96">
        <f t="shared" si="73"/>
        <v>21746.730520000008</v>
      </c>
      <c r="J76" s="96">
        <f t="shared" si="73"/>
        <v>24695.838390000004</v>
      </c>
      <c r="K76" s="96">
        <f t="shared" si="73"/>
        <v>27883.38018</v>
      </c>
      <c r="L76" s="99">
        <f t="shared" si="73"/>
        <v>19097.128869999997</v>
      </c>
      <c r="M76" s="96">
        <f t="shared" si="73"/>
        <v>22165.368150000002</v>
      </c>
      <c r="N76" s="96">
        <f t="shared" si="73"/>
        <v>21611.88679</v>
      </c>
      <c r="O76" s="96">
        <f t="shared" si="73"/>
        <v>36731.387370000004</v>
      </c>
      <c r="P76" s="96">
        <f t="shared" si="73"/>
        <v>46220.927631155348</v>
      </c>
      <c r="R76" s="7"/>
      <c r="S76" s="7"/>
      <c r="T76" s="96"/>
    </row>
    <row r="77" spans="1:22" x14ac:dyDescent="0.3">
      <c r="C77" s="60"/>
      <c r="D77" s="60"/>
      <c r="E77" s="60"/>
      <c r="F77" s="60">
        <v>0</v>
      </c>
      <c r="G77" s="60">
        <v>0</v>
      </c>
      <c r="H77" s="60">
        <v>0</v>
      </c>
      <c r="I77" s="60">
        <v>0</v>
      </c>
      <c r="J77" s="57">
        <f>J76-Historical_Cap_Cons!D13/Thousands</f>
        <v>0</v>
      </c>
      <c r="K77" s="57">
        <f>K76-Historical_Cap_Cons!E13/Thousands</f>
        <v>0</v>
      </c>
      <c r="L77" s="57">
        <f>L76-Historical_Cap_Cons!F13/Thousands</f>
        <v>0</v>
      </c>
      <c r="M77" s="57">
        <f>M76-Historical_Cap_Cons!G13/Thousands</f>
        <v>0</v>
      </c>
      <c r="N77" s="60">
        <f>N76-Historical_Cap_Cons!H13/Thousands</f>
        <v>0</v>
      </c>
      <c r="O77" s="60">
        <f>O76-Contr_Fcast!M19</f>
        <v>0</v>
      </c>
      <c r="P77" s="60">
        <f>P76-Contr_Fcast!N19</f>
        <v>0</v>
      </c>
      <c r="R77" s="7"/>
      <c r="S77" s="7"/>
    </row>
    <row r="78" spans="1:22" x14ac:dyDescent="0.3">
      <c r="B78" s="30" t="s">
        <v>138</v>
      </c>
      <c r="C78" s="3">
        <v>2013</v>
      </c>
      <c r="D78" s="3">
        <v>2014</v>
      </c>
      <c r="E78" s="3">
        <v>2015</v>
      </c>
      <c r="F78" s="61">
        <v>2016</v>
      </c>
      <c r="G78" s="3">
        <v>2017</v>
      </c>
      <c r="H78" s="3">
        <v>2018</v>
      </c>
      <c r="I78" s="3">
        <v>2019</v>
      </c>
      <c r="J78" s="3">
        <v>2020</v>
      </c>
      <c r="K78" s="3" t="s">
        <v>123</v>
      </c>
      <c r="L78" s="61" t="s">
        <v>136</v>
      </c>
      <c r="M78" s="3" t="s">
        <v>135</v>
      </c>
      <c r="N78" s="3" t="s">
        <v>134</v>
      </c>
      <c r="O78" s="3" t="s">
        <v>133</v>
      </c>
      <c r="P78" s="3" t="s">
        <v>132</v>
      </c>
      <c r="R78" s="7"/>
      <c r="S78" s="7"/>
    </row>
    <row r="79" spans="1:22" x14ac:dyDescent="0.3">
      <c r="A79">
        <v>1012</v>
      </c>
      <c r="B79" t="s">
        <v>82</v>
      </c>
      <c r="C79" s="11">
        <f>IF(C67=0,0,C67/C43)</f>
        <v>0.11708589437319797</v>
      </c>
      <c r="D79" s="11">
        <f t="shared" ref="D79:J79" si="74">IF(D67=0,0,D67/D43)</f>
        <v>0.14922484565735813</v>
      </c>
      <c r="E79" s="11">
        <f t="shared" si="74"/>
        <v>0.18458286318732742</v>
      </c>
      <c r="F79" s="64">
        <f t="shared" si="74"/>
        <v>7.6320195352792719E-2</v>
      </c>
      <c r="G79" s="11">
        <f t="shared" si="74"/>
        <v>0.12561569774287465</v>
      </c>
      <c r="H79" s="11">
        <f t="shared" si="74"/>
        <v>0.16388251387245734</v>
      </c>
      <c r="I79" s="11">
        <f t="shared" si="74"/>
        <v>0.17052725842794397</v>
      </c>
      <c r="J79" s="11">
        <f t="shared" si="74"/>
        <v>0.14671359179691235</v>
      </c>
      <c r="K79" s="11">
        <f t="shared" ref="K79" si="75">IF(K67=0,0,K67/K43)</f>
        <v>0.13825955885302846</v>
      </c>
      <c r="L79" s="64">
        <f t="shared" ref="L79:M79" si="76">IF(L67=0,0,L67/L43)</f>
        <v>0.15003319556511538</v>
      </c>
      <c r="M79" s="11">
        <f t="shared" si="76"/>
        <v>0.11318162824060725</v>
      </c>
      <c r="N79" s="11">
        <f t="shared" ref="N79:P79" si="77">IF(N67=0,0,N67/N43)</f>
        <v>0.11963995932559411</v>
      </c>
      <c r="O79" s="11">
        <f t="shared" si="77"/>
        <v>0.11147955918967405</v>
      </c>
      <c r="P79" s="11">
        <f t="shared" si="77"/>
        <v>0.12761826104377225</v>
      </c>
    </row>
    <row r="80" spans="1:22" x14ac:dyDescent="0.3">
      <c r="A80">
        <v>1013</v>
      </c>
      <c r="B80" t="s">
        <v>83</v>
      </c>
      <c r="C80" s="11">
        <f>IF(C68=0,0,C68/C44)</f>
        <v>0.16203697217559596</v>
      </c>
      <c r="D80" s="11">
        <f t="shared" ref="D80:J81" si="78">IF(D68=0,0,D68/D44)</f>
        <v>0.13428957581689252</v>
      </c>
      <c r="E80" s="11">
        <f t="shared" si="78"/>
        <v>5.7449882143197864E-2</v>
      </c>
      <c r="F80" s="64">
        <f t="shared" si="78"/>
        <v>0.15179174166067255</v>
      </c>
      <c r="G80" s="11">
        <f t="shared" si="78"/>
        <v>0.31144032838298596</v>
      </c>
      <c r="H80" s="11">
        <f t="shared" si="78"/>
        <v>0.40376494459630813</v>
      </c>
      <c r="I80" s="11">
        <f t="shared" si="78"/>
        <v>0.50358791173881601</v>
      </c>
      <c r="J80" s="11">
        <f t="shared" si="78"/>
        <v>0.48582302225611063</v>
      </c>
      <c r="K80" s="11">
        <f t="shared" ref="K80" si="79">IF(K68=0,0,K68/K44)</f>
        <v>0.82170988887040186</v>
      </c>
      <c r="L80" s="64">
        <f t="shared" ref="L80:M80" si="80">IF(L68=0,0,L68/L44)</f>
        <v>0.60182603411070168</v>
      </c>
      <c r="M80" s="11">
        <f t="shared" si="80"/>
        <v>0.67102295317276939</v>
      </c>
      <c r="N80" s="11">
        <f t="shared" ref="N80:P80" si="81">IF(N68=0,0,N68/N44)</f>
        <v>0.54605078902736526</v>
      </c>
      <c r="O80" s="11">
        <f t="shared" si="81"/>
        <v>0.41016772345242047</v>
      </c>
      <c r="P80" s="11">
        <f t="shared" si="81"/>
        <v>0.60629992543694555</v>
      </c>
    </row>
    <row r="81" spans="1:16" x14ac:dyDescent="0.3">
      <c r="A81">
        <v>1014</v>
      </c>
      <c r="B81" t="s">
        <v>84</v>
      </c>
      <c r="C81" s="11">
        <f>IF(C69=0,0,C69/C45)</f>
        <v>0.24969464485160145</v>
      </c>
      <c r="D81" s="11">
        <f t="shared" si="78"/>
        <v>0.18950236106231999</v>
      </c>
      <c r="E81" s="11">
        <f t="shared" si="78"/>
        <v>0.16066936194723599</v>
      </c>
      <c r="F81" s="64">
        <f t="shared" si="78"/>
        <v>0.29638998936522581</v>
      </c>
      <c r="G81" s="11">
        <f t="shared" si="78"/>
        <v>0.3246333873528881</v>
      </c>
      <c r="H81" s="11">
        <f t="shared" si="78"/>
        <v>0.21246427368714854</v>
      </c>
      <c r="I81" s="11">
        <f t="shared" si="78"/>
        <v>0.28071877121864147</v>
      </c>
      <c r="J81" s="11">
        <f t="shared" si="78"/>
        <v>0.26364563430837124</v>
      </c>
      <c r="K81" s="11">
        <f t="shared" ref="K81" si="82">IF(K69=0,0,K69/K45)</f>
        <v>0.26557068698747227</v>
      </c>
      <c r="L81" s="64">
        <f t="shared" ref="L81:M81" si="83">IF(L69=0,0,L69/L45)</f>
        <v>0.2664513028567766</v>
      </c>
      <c r="M81" s="11">
        <f t="shared" si="83"/>
        <v>0.25424190744904107</v>
      </c>
      <c r="N81" s="11">
        <f t="shared" ref="L81:P82" si="84">IF(N69=0,0,N69/N45)</f>
        <v>0.20662948349219257</v>
      </c>
      <c r="O81" s="11">
        <f t="shared" si="84"/>
        <v>0.27491071279641582</v>
      </c>
      <c r="P81" s="11">
        <f t="shared" si="84"/>
        <v>0.2424408979326701</v>
      </c>
    </row>
    <row r="82" spans="1:16" x14ac:dyDescent="0.3">
      <c r="B82" s="381" t="s">
        <v>393</v>
      </c>
      <c r="C82" s="11"/>
      <c r="D82" s="11"/>
      <c r="E82" s="11"/>
      <c r="F82" s="64"/>
      <c r="G82" s="11"/>
      <c r="H82" s="11"/>
      <c r="I82" s="11"/>
      <c r="J82" s="11"/>
      <c r="K82" s="11"/>
      <c r="L82" s="64">
        <f t="shared" si="84"/>
        <v>0</v>
      </c>
      <c r="M82" s="11">
        <f t="shared" si="84"/>
        <v>0</v>
      </c>
      <c r="N82" s="11">
        <f t="shared" si="84"/>
        <v>0</v>
      </c>
      <c r="O82" s="11">
        <f t="shared" si="84"/>
        <v>0</v>
      </c>
      <c r="P82" s="11">
        <f t="shared" si="84"/>
        <v>0</v>
      </c>
    </row>
    <row r="83" spans="1:16" x14ac:dyDescent="0.3">
      <c r="A83">
        <v>1018</v>
      </c>
      <c r="B83" t="s">
        <v>85</v>
      </c>
      <c r="C83" s="11">
        <f t="shared" ref="C83:J86" si="85">IF(C71=0,0,C71/C47)</f>
        <v>0.38517754604249471</v>
      </c>
      <c r="D83" s="11">
        <f t="shared" si="85"/>
        <v>0.42953241039657453</v>
      </c>
      <c r="E83" s="11">
        <f t="shared" si="85"/>
        <v>2.4585121900680823E-2</v>
      </c>
      <c r="F83" s="64">
        <f t="shared" si="85"/>
        <v>0.25812649807255111</v>
      </c>
      <c r="G83" s="11">
        <f t="shared" si="85"/>
        <v>0.45947977492077857</v>
      </c>
      <c r="H83" s="11">
        <f t="shared" si="85"/>
        <v>0.4289918029962535</v>
      </c>
      <c r="I83" s="11">
        <f t="shared" si="85"/>
        <v>0.48094691390333899</v>
      </c>
      <c r="J83" s="11">
        <f t="shared" si="85"/>
        <v>0.60345786766351017</v>
      </c>
      <c r="K83" s="11">
        <f t="shared" ref="K83" si="86">IF(K71=0,0,K71/K47)</f>
        <v>0.66488420955935645</v>
      </c>
      <c r="L83" s="64">
        <f t="shared" ref="L83:M83" si="87">IF(L71=0,0,L71/L47)</f>
        <v>0.54443981326321189</v>
      </c>
      <c r="M83" s="11">
        <f t="shared" si="87"/>
        <v>0.52734844317637541</v>
      </c>
      <c r="N83" s="11">
        <f t="shared" ref="N83:P83" si="88">IF(N71=0,0,N71/N47)</f>
        <v>0.59268664943063576</v>
      </c>
      <c r="O83" s="11">
        <f t="shared" si="88"/>
        <v>0.41596312051002116</v>
      </c>
      <c r="P83" s="11">
        <f t="shared" si="88"/>
        <v>0.55482496862340769</v>
      </c>
    </row>
    <row r="84" spans="1:16" x14ac:dyDescent="0.3">
      <c r="A84">
        <v>1019</v>
      </c>
      <c r="B84" t="s">
        <v>77</v>
      </c>
      <c r="C84" s="11">
        <f t="shared" si="85"/>
        <v>0</v>
      </c>
      <c r="D84" s="11">
        <f t="shared" si="85"/>
        <v>0</v>
      </c>
      <c r="E84" s="11">
        <f t="shared" si="85"/>
        <v>0.55539178439621339</v>
      </c>
      <c r="F84" s="64">
        <f t="shared" si="85"/>
        <v>0.50648707439786234</v>
      </c>
      <c r="G84" s="11">
        <f t="shared" si="85"/>
        <v>0.64808306703589869</v>
      </c>
      <c r="H84" s="11">
        <f t="shared" si="85"/>
        <v>0.50751146701367578</v>
      </c>
      <c r="I84" s="11">
        <f t="shared" si="85"/>
        <v>0.56833259539361791</v>
      </c>
      <c r="J84" s="11">
        <f t="shared" si="85"/>
        <v>0.38401131943481542</v>
      </c>
      <c r="K84" s="11">
        <f t="shared" ref="K84" si="89">IF(K72=0,0,K72/K48)</f>
        <v>0.55902433867897505</v>
      </c>
      <c r="L84" s="64">
        <f t="shared" ref="L84:M84" si="90">IF(L72=0,0,L72/L48)</f>
        <v>0.85112739750888211</v>
      </c>
      <c r="M84" s="11">
        <f t="shared" si="90"/>
        <v>0.33874423256157882</v>
      </c>
      <c r="N84" s="11">
        <f t="shared" ref="N84:P84" si="91">IF(N72=0,0,N72/N48)</f>
        <v>0.46127030070335989</v>
      </c>
      <c r="O84" s="11">
        <f t="shared" si="91"/>
        <v>0.32421806298254668</v>
      </c>
      <c r="P84" s="11">
        <f t="shared" si="91"/>
        <v>0.55038064359127359</v>
      </c>
    </row>
    <row r="85" spans="1:16" x14ac:dyDescent="0.3">
      <c r="A85">
        <v>1015</v>
      </c>
      <c r="B85" t="s">
        <v>268</v>
      </c>
      <c r="C85" s="11">
        <f t="shared" si="85"/>
        <v>0.12945610176027672</v>
      </c>
      <c r="D85" s="11">
        <f t="shared" si="85"/>
        <v>1.0628032705207313</v>
      </c>
      <c r="E85" s="11">
        <f t="shared" si="85"/>
        <v>1.624182847895884</v>
      </c>
      <c r="F85" s="64">
        <f t="shared" si="85"/>
        <v>2.0517749176047977E-2</v>
      </c>
      <c r="G85" s="11">
        <f t="shared" si="85"/>
        <v>2.4845346382773523</v>
      </c>
      <c r="H85" s="11">
        <f t="shared" si="85"/>
        <v>1.7709831734216028</v>
      </c>
      <c r="I85" s="11">
        <f t="shared" si="85"/>
        <v>1.2326851301038251E-2</v>
      </c>
      <c r="J85" s="11">
        <f t="shared" si="85"/>
        <v>1.6483557583515969</v>
      </c>
      <c r="K85" s="11">
        <f t="shared" ref="K85" si="92">IF(K73=0,0,K73/K49)</f>
        <v>3.7868690870601527</v>
      </c>
      <c r="L85" s="64">
        <f t="shared" ref="L85:M85" si="93">IF(L73=0,0,L73/L49)</f>
        <v>0</v>
      </c>
      <c r="M85" s="11">
        <f t="shared" si="93"/>
        <v>0.15593169285234912</v>
      </c>
      <c r="N85" s="11">
        <f t="shared" ref="N85:P85" si="94">IF(N73=0,0,N73/N49)</f>
        <v>2.9692483157931802E-2</v>
      </c>
      <c r="O85" s="11">
        <f t="shared" si="94"/>
        <v>1.9865928003778124</v>
      </c>
      <c r="P85" s="11">
        <f t="shared" si="94"/>
        <v>0.2424408979326701</v>
      </c>
    </row>
    <row r="86" spans="1:16" x14ac:dyDescent="0.3">
      <c r="A86">
        <v>1016</v>
      </c>
      <c r="B86" t="s">
        <v>86</v>
      </c>
      <c r="C86" s="11">
        <f t="shared" si="85"/>
        <v>6.5193336428344085E-3</v>
      </c>
      <c r="D86" s="11">
        <f t="shared" si="85"/>
        <v>1.3748455650448917E-3</v>
      </c>
      <c r="E86" s="11">
        <f t="shared" si="85"/>
        <v>4.2473145679199E-4</v>
      </c>
      <c r="F86" s="64">
        <f t="shared" si="85"/>
        <v>0.26783730750666696</v>
      </c>
      <c r="G86" s="11">
        <f t="shared" si="85"/>
        <v>8.1145079106234128E-2</v>
      </c>
      <c r="H86" s="11">
        <f t="shared" si="85"/>
        <v>2.8099507436697743E-2</v>
      </c>
      <c r="I86" s="11">
        <f t="shared" si="85"/>
        <v>7.160487877360424E-3</v>
      </c>
      <c r="J86" s="11">
        <f t="shared" si="85"/>
        <v>1.2435652941871038E-3</v>
      </c>
      <c r="K86" s="11">
        <f t="shared" ref="K86" si="95">IF(K74=0,0,K74/K50)</f>
        <v>0</v>
      </c>
      <c r="L86" s="64">
        <f t="shared" ref="L86:P87" si="96">IF(L74=0,0,L74/L50)</f>
        <v>3.6177947068172099E-3</v>
      </c>
      <c r="M86" s="11">
        <f t="shared" si="96"/>
        <v>6.2681455981911834E-3</v>
      </c>
      <c r="N86" s="11">
        <f t="shared" si="96"/>
        <v>0</v>
      </c>
      <c r="O86" s="11">
        <f t="shared" si="96"/>
        <v>5.3062684774880927E-4</v>
      </c>
      <c r="P86" s="11">
        <f t="shared" si="96"/>
        <v>0</v>
      </c>
    </row>
    <row r="87" spans="1:16" x14ac:dyDescent="0.3">
      <c r="A87">
        <v>1048</v>
      </c>
      <c r="B87" t="s">
        <v>207</v>
      </c>
      <c r="C87" s="131"/>
      <c r="D87" s="131"/>
      <c r="E87" s="131"/>
      <c r="F87" s="243"/>
      <c r="G87" s="244"/>
      <c r="H87" s="244"/>
      <c r="I87" s="244"/>
      <c r="J87" s="244"/>
      <c r="K87" s="244"/>
      <c r="L87" s="201">
        <f t="shared" si="96"/>
        <v>0</v>
      </c>
      <c r="M87" s="131">
        <f t="shared" si="96"/>
        <v>0</v>
      </c>
      <c r="N87" s="131">
        <f t="shared" si="96"/>
        <v>6.4652673393345364E-2</v>
      </c>
      <c r="O87" s="131">
        <f t="shared" si="96"/>
        <v>1.3964888208685597</v>
      </c>
      <c r="P87" s="131">
        <f t="shared" si="96"/>
        <v>0.85273170519660024</v>
      </c>
    </row>
    <row r="88" spans="1:16" x14ac:dyDescent="0.3">
      <c r="B88" s="1" t="s">
        <v>2</v>
      </c>
      <c r="C88" s="209">
        <f t="shared" ref="C88:K88" si="97">IF(C76=0,0,C76/C52)</f>
        <v>0.213772062935042</v>
      </c>
      <c r="D88" s="209">
        <f t="shared" si="97"/>
        <v>0.30798450979756065</v>
      </c>
      <c r="E88" s="209">
        <f t="shared" si="97"/>
        <v>0.2437821839233989</v>
      </c>
      <c r="F88" s="210">
        <f t="shared" si="97"/>
        <v>0.19544099081535754</v>
      </c>
      <c r="G88" s="209">
        <f t="shared" si="97"/>
        <v>0.29487256738232781</v>
      </c>
      <c r="H88" s="209">
        <f t="shared" si="97"/>
        <v>0.27784956463491506</v>
      </c>
      <c r="I88" s="209">
        <f t="shared" si="97"/>
        <v>0.31266770676266492</v>
      </c>
      <c r="J88" s="209">
        <f t="shared" si="97"/>
        <v>0.40156663188691305</v>
      </c>
      <c r="K88" s="209">
        <f t="shared" si="97"/>
        <v>0.49116089393428841</v>
      </c>
      <c r="L88" s="210">
        <f t="shared" ref="L88:M88" si="98">IF(L76=0,0,L76/L52)</f>
        <v>0.35972189296437329</v>
      </c>
      <c r="M88" s="209">
        <f t="shared" si="98"/>
        <v>0.29640000724419441</v>
      </c>
      <c r="N88" s="209">
        <f t="shared" ref="N88:P88" si="99">IF(N76=0,0,N76/N52)</f>
        <v>0.26445670302395397</v>
      </c>
      <c r="O88" s="209">
        <f t="shared" si="99"/>
        <v>0.34587849229866435</v>
      </c>
      <c r="P88" s="209">
        <f t="shared" si="99"/>
        <v>0.37181315589787683</v>
      </c>
    </row>
    <row r="90" spans="1:16" x14ac:dyDescent="0.3">
      <c r="L90" s="60"/>
    </row>
    <row r="91" spans="1:16" x14ac:dyDescent="0.3">
      <c r="L91" s="60"/>
    </row>
    <row r="94" spans="1:16" x14ac:dyDescent="0.3">
      <c r="J94" s="60"/>
      <c r="K94" s="60"/>
      <c r="L94" s="60"/>
      <c r="M94" s="60"/>
    </row>
  </sheetData>
  <hyperlinks>
    <hyperlink ref="B3" location="Contents!A1" display="Table of Contents" xr:uid="{00000000-0004-0000-0F00-000000000000}"/>
  </hyperlinks>
  <pageMargins left="0.7" right="0.7" top="0.75" bottom="0.75" header="0.3" footer="0.3"/>
  <pageSetup paperSize="9" orientation="portrait" r:id="rId1"/>
  <headerFooter>
    <oddFooter>&amp;C_x000D_&amp;1#&amp;"Century Gothic"&amp;7&amp;K7F7F7F BUSINESS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E5255-8521-4C0E-82A4-F69346984CB2}">
  <sheetPr codeName="Sheet15">
    <tabColor theme="8" tint="-0.249977111117893"/>
  </sheetPr>
  <dimension ref="C3:C4"/>
  <sheetViews>
    <sheetView workbookViewId="0">
      <selection activeCell="C4" sqref="C4"/>
    </sheetView>
  </sheetViews>
  <sheetFormatPr defaultColWidth="9.109375" defaultRowHeight="14.65" x14ac:dyDescent="0.3"/>
  <cols>
    <col min="1" max="16384" width="9.109375" style="26"/>
  </cols>
  <sheetData>
    <row r="3" spans="3:3" ht="18.5" x14ac:dyDescent="0.35">
      <c r="C3" s="27" t="s">
        <v>31</v>
      </c>
    </row>
    <row r="4" spans="3:3" x14ac:dyDescent="0.3">
      <c r="C4" s="41" t="s">
        <v>53</v>
      </c>
    </row>
  </sheetData>
  <hyperlinks>
    <hyperlink ref="C4" location="Contents!A1" display="Table of Contents" xr:uid="{CF7ED07B-4A82-4956-AC30-44E200A27615}"/>
  </hyperlinks>
  <pageMargins left="0.7" right="0.7" top="0.75" bottom="0.75" header="0.3" footer="0.3"/>
  <headerFooter>
    <oddFooter>&amp;C_x000D_&amp;1#&amp;"Century Gothic"&amp;7&amp;K7F7F7F BUSINESS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96B9-5765-4751-94C4-610C0B3B27E6}">
  <sheetPr codeName="Sheet13"/>
  <dimension ref="B1:I25"/>
  <sheetViews>
    <sheetView zoomScale="85" zoomScaleNormal="85" workbookViewId="0">
      <selection activeCell="C17" sqref="B17:C17"/>
    </sheetView>
  </sheetViews>
  <sheetFormatPr defaultRowHeight="14.65" x14ac:dyDescent="0.3"/>
  <cols>
    <col min="1" max="1" width="3.44140625" customWidth="1"/>
    <col min="3" max="3" width="48.33203125" customWidth="1"/>
    <col min="4" max="4" width="23.109375" customWidth="1"/>
    <col min="5" max="5" width="12.77734375" customWidth="1"/>
    <col min="6" max="6" width="13.21875" customWidth="1"/>
    <col min="7" max="7" width="13.109375" customWidth="1"/>
    <col min="8" max="8" width="12.44140625" customWidth="1"/>
    <col min="9" max="9" width="8.5546875" customWidth="1"/>
  </cols>
  <sheetData>
    <row r="1" spans="2:9" x14ac:dyDescent="0.3">
      <c r="F1" s="462" t="s">
        <v>150</v>
      </c>
      <c r="G1" s="462"/>
      <c r="H1" s="7"/>
    </row>
    <row r="2" spans="2:9" ht="18.5" x14ac:dyDescent="0.35">
      <c r="B2" s="39" t="s">
        <v>310</v>
      </c>
    </row>
    <row r="3" spans="2:9" x14ac:dyDescent="0.3">
      <c r="B3" s="40" t="s">
        <v>53</v>
      </c>
    </row>
    <row r="5" spans="2:9" ht="23.6" customHeight="1" x14ac:dyDescent="0.3">
      <c r="B5" s="20"/>
      <c r="E5" s="489" t="s">
        <v>290</v>
      </c>
      <c r="F5" s="490"/>
      <c r="G5" s="490"/>
      <c r="H5" s="490"/>
      <c r="I5" s="491"/>
    </row>
    <row r="6" spans="2:9" x14ac:dyDescent="0.3">
      <c r="E6" s="492"/>
      <c r="F6" s="492"/>
      <c r="G6" s="493" t="s">
        <v>235</v>
      </c>
      <c r="H6" s="494"/>
      <c r="I6" s="492"/>
    </row>
    <row r="7" spans="2:9" ht="44.6" customHeight="1" x14ac:dyDescent="0.3">
      <c r="B7" s="136" t="s">
        <v>18</v>
      </c>
      <c r="C7" s="137"/>
      <c r="D7" s="29" t="s">
        <v>172</v>
      </c>
      <c r="E7" s="495"/>
      <c r="F7" s="495"/>
      <c r="G7" s="496"/>
      <c r="H7" s="496"/>
      <c r="I7" s="229" t="s">
        <v>236</v>
      </c>
    </row>
    <row r="8" spans="2:9" x14ac:dyDescent="0.3">
      <c r="B8" s="408">
        <v>1012</v>
      </c>
      <c r="C8" s="93" t="s">
        <v>82</v>
      </c>
      <c r="D8" s="230" t="s">
        <v>87</v>
      </c>
      <c r="E8" s="497"/>
      <c r="F8" s="497"/>
      <c r="G8" s="497"/>
      <c r="H8" s="497"/>
      <c r="I8" s="231">
        <f t="shared" ref="I8:I9" si="0">SUM(E8:H8)</f>
        <v>0</v>
      </c>
    </row>
    <row r="9" spans="2:9" x14ac:dyDescent="0.3">
      <c r="B9" s="411"/>
      <c r="C9" s="93" t="s">
        <v>90</v>
      </c>
      <c r="D9" s="230" t="s">
        <v>110</v>
      </c>
      <c r="E9" s="497"/>
      <c r="F9" s="497"/>
      <c r="G9" s="497"/>
      <c r="H9" s="497"/>
      <c r="I9" s="231">
        <f t="shared" si="0"/>
        <v>0</v>
      </c>
    </row>
    <row r="10" spans="2:9" x14ac:dyDescent="0.3">
      <c r="B10" s="411"/>
      <c r="C10" s="93" t="s">
        <v>118</v>
      </c>
      <c r="D10" s="230"/>
      <c r="E10" s="498"/>
      <c r="F10" s="498"/>
      <c r="G10" s="497"/>
      <c r="H10" s="497"/>
      <c r="I10" s="231">
        <f>SUM(E10:H10)</f>
        <v>0</v>
      </c>
    </row>
    <row r="11" spans="2:9" x14ac:dyDescent="0.3">
      <c r="B11" s="411"/>
      <c r="C11" s="93" t="s">
        <v>91</v>
      </c>
      <c r="D11" s="230"/>
      <c r="E11" s="497"/>
      <c r="F11" s="497"/>
      <c r="G11" s="497"/>
      <c r="H11" s="497"/>
      <c r="I11" s="231">
        <f t="shared" ref="I11:I25" si="1">SUM(E11:H11)</f>
        <v>0</v>
      </c>
    </row>
    <row r="12" spans="2:9" x14ac:dyDescent="0.3">
      <c r="B12" s="411"/>
      <c r="C12" s="93" t="s">
        <v>238</v>
      </c>
      <c r="D12" s="230"/>
      <c r="E12" s="497"/>
      <c r="F12" s="497"/>
      <c r="G12" s="497"/>
      <c r="H12" s="497"/>
      <c r="I12" s="231">
        <f t="shared" si="1"/>
        <v>0</v>
      </c>
    </row>
    <row r="13" spans="2:9" x14ac:dyDescent="0.3">
      <c r="B13" s="409"/>
      <c r="C13" s="93" t="s">
        <v>153</v>
      </c>
      <c r="D13" s="230"/>
      <c r="E13" s="498"/>
      <c r="F13" s="498"/>
      <c r="G13" s="497"/>
      <c r="H13" s="497"/>
      <c r="I13" s="231">
        <f t="shared" si="1"/>
        <v>0</v>
      </c>
    </row>
    <row r="14" spans="2:9" x14ac:dyDescent="0.3">
      <c r="B14" s="81">
        <v>1013</v>
      </c>
      <c r="C14" s="67" t="s">
        <v>83</v>
      </c>
      <c r="D14" s="230"/>
      <c r="E14" s="497"/>
      <c r="F14" s="497"/>
      <c r="G14" s="497"/>
      <c r="H14" s="497"/>
      <c r="I14" s="231">
        <f t="shared" si="1"/>
        <v>0</v>
      </c>
    </row>
    <row r="15" spans="2:9" x14ac:dyDescent="0.3">
      <c r="B15" s="408">
        <v>1014</v>
      </c>
      <c r="C15" s="67" t="s">
        <v>84</v>
      </c>
      <c r="D15" s="230"/>
      <c r="E15" s="497"/>
      <c r="F15" s="497"/>
      <c r="G15" s="497"/>
      <c r="H15" s="497"/>
      <c r="I15" s="231">
        <f t="shared" si="1"/>
        <v>0</v>
      </c>
    </row>
    <row r="16" spans="2:9" x14ac:dyDescent="0.3">
      <c r="B16" s="409"/>
      <c r="C16" s="230" t="s">
        <v>149</v>
      </c>
      <c r="D16" s="230" t="s">
        <v>110</v>
      </c>
      <c r="E16" s="497"/>
      <c r="F16" s="497"/>
      <c r="G16" s="497"/>
      <c r="H16" s="497"/>
      <c r="I16" s="231">
        <f t="shared" si="1"/>
        <v>0</v>
      </c>
    </row>
    <row r="17" spans="2:9" x14ac:dyDescent="0.3">
      <c r="B17" s="389" t="s">
        <v>394</v>
      </c>
      <c r="C17" s="390" t="s">
        <v>393</v>
      </c>
      <c r="D17" s="230"/>
      <c r="E17" s="497"/>
      <c r="F17" s="497"/>
      <c r="G17" s="497"/>
      <c r="H17" s="497"/>
      <c r="I17" s="231">
        <f t="shared" si="1"/>
        <v>0</v>
      </c>
    </row>
    <row r="18" spans="2:9" x14ac:dyDescent="0.3">
      <c r="B18" s="81">
        <v>1018</v>
      </c>
      <c r="C18" s="67" t="s">
        <v>85</v>
      </c>
      <c r="D18" s="67"/>
      <c r="E18" s="497"/>
      <c r="F18" s="497"/>
      <c r="G18" s="497"/>
      <c r="H18" s="497"/>
      <c r="I18" s="231">
        <f t="shared" si="1"/>
        <v>0</v>
      </c>
    </row>
    <row r="19" spans="2:9" x14ac:dyDescent="0.3">
      <c r="B19" s="81">
        <v>1019</v>
      </c>
      <c r="C19" s="67" t="s">
        <v>77</v>
      </c>
      <c r="D19" s="230"/>
      <c r="E19" s="497"/>
      <c r="F19" s="497"/>
      <c r="G19" s="497"/>
      <c r="H19" s="497"/>
      <c r="I19" s="231">
        <f t="shared" si="1"/>
        <v>0</v>
      </c>
    </row>
    <row r="20" spans="2:9" x14ac:dyDescent="0.3">
      <c r="B20" s="81"/>
      <c r="C20" s="67" t="s">
        <v>188</v>
      </c>
      <c r="D20" s="230" t="s">
        <v>110</v>
      </c>
      <c r="E20" s="497"/>
      <c r="F20" s="497"/>
      <c r="G20" s="497"/>
      <c r="H20" s="497"/>
      <c r="I20" s="231">
        <f t="shared" si="1"/>
        <v>0</v>
      </c>
    </row>
    <row r="21" spans="2:9" x14ac:dyDescent="0.3">
      <c r="B21" s="81">
        <v>1015</v>
      </c>
      <c r="C21" s="67" t="s">
        <v>268</v>
      </c>
      <c r="D21" s="230"/>
      <c r="E21" s="497"/>
      <c r="F21" s="497"/>
      <c r="G21" s="497"/>
      <c r="H21" s="497"/>
      <c r="I21" s="231">
        <f t="shared" si="1"/>
        <v>0</v>
      </c>
    </row>
    <row r="22" spans="2:9" x14ac:dyDescent="0.3">
      <c r="B22" s="81"/>
      <c r="C22" s="67" t="s">
        <v>216</v>
      </c>
      <c r="D22" s="230" t="s">
        <v>110</v>
      </c>
      <c r="E22" s="497"/>
      <c r="F22" s="497"/>
      <c r="G22" s="497"/>
      <c r="H22" s="497"/>
      <c r="I22" s="231">
        <f t="shared" si="1"/>
        <v>0</v>
      </c>
    </row>
    <row r="23" spans="2:9" x14ac:dyDescent="0.3">
      <c r="B23" s="81">
        <v>1048</v>
      </c>
      <c r="C23" s="67" t="s">
        <v>207</v>
      </c>
      <c r="D23" s="230"/>
      <c r="E23" s="497"/>
      <c r="F23" s="497"/>
      <c r="G23" s="497"/>
      <c r="H23" s="497"/>
      <c r="I23" s="231">
        <f t="shared" si="1"/>
        <v>0</v>
      </c>
    </row>
    <row r="24" spans="2:9" x14ac:dyDescent="0.3">
      <c r="B24" s="81"/>
      <c r="C24" s="67" t="s">
        <v>384</v>
      </c>
      <c r="D24" s="230"/>
      <c r="E24" s="497"/>
      <c r="F24" s="497"/>
      <c r="G24" s="497"/>
      <c r="H24" s="497"/>
      <c r="I24" s="231">
        <f t="shared" si="1"/>
        <v>0</v>
      </c>
    </row>
    <row r="25" spans="2:9" x14ac:dyDescent="0.3">
      <c r="B25" s="81">
        <v>1016</v>
      </c>
      <c r="C25" s="67" t="s">
        <v>86</v>
      </c>
      <c r="D25" s="67"/>
      <c r="E25" s="497"/>
      <c r="F25" s="497"/>
      <c r="G25" s="497"/>
      <c r="H25" s="497"/>
      <c r="I25" s="231">
        <f t="shared" si="1"/>
        <v>0</v>
      </c>
    </row>
  </sheetData>
  <mergeCells count="5">
    <mergeCell ref="B15:B16"/>
    <mergeCell ref="B8:B13"/>
    <mergeCell ref="E5:I5"/>
    <mergeCell ref="F1:G1"/>
    <mergeCell ref="G6:H6"/>
  </mergeCells>
  <hyperlinks>
    <hyperlink ref="B3" location="Contents!A1" display="Table of Contents" xr:uid="{4C9E5739-3CB8-40F6-A0C3-8B689FF799FE}"/>
  </hyperlinks>
  <pageMargins left="0.7" right="0.7" top="0.75" bottom="0.75" header="0.3" footer="0.3"/>
  <headerFooter>
    <oddFooter>&amp;C_x000D_&amp;1#&amp;"Century Gothic"&amp;7&amp;K7F7F7F BUSINESS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DE813-F50C-4256-8449-8B2C5EE4E5C4}">
  <sheetPr codeName="Sheet34"/>
  <dimension ref="B1:N34"/>
  <sheetViews>
    <sheetView zoomScale="85" zoomScaleNormal="85" workbookViewId="0">
      <selection activeCell="G1" sqref="G1:H1"/>
    </sheetView>
  </sheetViews>
  <sheetFormatPr defaultRowHeight="14.65" x14ac:dyDescent="0.3"/>
  <cols>
    <col min="1" max="1" width="3.77734375" customWidth="1"/>
    <col min="2" max="2" width="56.21875" customWidth="1"/>
    <col min="3" max="5" width="9" bestFit="1" customWidth="1"/>
    <col min="6" max="6" width="9.88671875" bestFit="1" customWidth="1"/>
    <col min="7" max="13" width="8.33203125" customWidth="1"/>
  </cols>
  <sheetData>
    <row r="1" spans="2:14" x14ac:dyDescent="0.3">
      <c r="G1" s="462" t="s">
        <v>150</v>
      </c>
      <c r="H1" s="462"/>
    </row>
    <row r="2" spans="2:14" ht="18.5" x14ac:dyDescent="0.35">
      <c r="B2" s="39" t="s">
        <v>281</v>
      </c>
    </row>
    <row r="3" spans="2:14" x14ac:dyDescent="0.3">
      <c r="B3" s="40" t="s">
        <v>53</v>
      </c>
    </row>
    <row r="4" spans="2:14" x14ac:dyDescent="0.3">
      <c r="C4" s="415" t="s">
        <v>296</v>
      </c>
      <c r="D4" s="416"/>
      <c r="E4" s="416"/>
      <c r="F4" s="416"/>
      <c r="G4" s="417"/>
      <c r="H4" s="412" t="s">
        <v>378</v>
      </c>
      <c r="I4" s="413"/>
      <c r="J4" s="413"/>
      <c r="K4" s="413"/>
      <c r="L4" s="413"/>
      <c r="M4" s="414"/>
    </row>
    <row r="5" spans="2:14" x14ac:dyDescent="0.3">
      <c r="B5" s="1" t="s">
        <v>282</v>
      </c>
      <c r="C5" s="107" t="str">
        <f>Allocations!G53</f>
        <v>2020-21</v>
      </c>
      <c r="D5" s="104" t="str">
        <f>Allocations!H53</f>
        <v>2021-22</v>
      </c>
      <c r="E5" s="104" t="str">
        <f>Allocations!I53</f>
        <v>2022-23</v>
      </c>
      <c r="F5" s="104" t="str">
        <f>Allocations!J53</f>
        <v>2023-24</v>
      </c>
      <c r="G5" s="368" t="str">
        <f>Allocations!K53</f>
        <v>2024-25</v>
      </c>
      <c r="H5" s="367" t="str">
        <f>Allocations!L53</f>
        <v>2025-26</v>
      </c>
      <c r="I5" s="104" t="str">
        <f>Allocations!M53</f>
        <v>2026-27</v>
      </c>
      <c r="J5" s="104" t="str">
        <f>Allocations!N53</f>
        <v>2027–28</v>
      </c>
      <c r="K5" s="104" t="str">
        <f>Allocations!O53</f>
        <v>2028–29</v>
      </c>
      <c r="L5" s="104" t="str">
        <f>Allocations!P53</f>
        <v>2029–30</v>
      </c>
      <c r="M5" s="266" t="str">
        <f>Allocations!Q53</f>
        <v>2030–31</v>
      </c>
    </row>
    <row r="6" spans="2:14" x14ac:dyDescent="0.3">
      <c r="B6" t="s">
        <v>259</v>
      </c>
      <c r="C6" s="483"/>
      <c r="D6" s="484"/>
      <c r="E6" s="484"/>
      <c r="F6" s="484"/>
      <c r="G6" s="485"/>
      <c r="H6" s="483"/>
      <c r="I6" s="484"/>
      <c r="J6" s="484"/>
      <c r="K6" s="484"/>
      <c r="L6" s="484"/>
      <c r="M6" s="485"/>
    </row>
    <row r="7" spans="2:14" x14ac:dyDescent="0.3">
      <c r="B7" t="s">
        <v>298</v>
      </c>
      <c r="C7" s="126">
        <f>Connections!O11</f>
        <v>7442</v>
      </c>
      <c r="D7" s="10">
        <f>Connections!P11</f>
        <v>6985</v>
      </c>
      <c r="E7" s="10">
        <f>Connections!Q11</f>
        <v>8330</v>
      </c>
      <c r="F7" s="10">
        <f>Connections!R11</f>
        <v>9635</v>
      </c>
      <c r="G7" s="118">
        <f>Connections!S11</f>
        <v>8507</v>
      </c>
      <c r="H7" s="126">
        <f t="shared" ref="H7:M7" si="0">0.7*H10</f>
        <v>9311.8798867456007</v>
      </c>
      <c r="I7" s="10">
        <f t="shared" si="0"/>
        <v>9500.0592458589472</v>
      </c>
      <c r="J7" s="10">
        <f t="shared" si="0"/>
        <v>9689.8761017472661</v>
      </c>
      <c r="K7" s="10">
        <f t="shared" si="0"/>
        <v>9878.9295300850918</v>
      </c>
      <c r="L7" s="10">
        <f t="shared" si="0"/>
        <v>10067.816995911939</v>
      </c>
      <c r="M7" s="118">
        <f t="shared" si="0"/>
        <v>10256.726590073584</v>
      </c>
      <c r="N7" t="s">
        <v>297</v>
      </c>
    </row>
    <row r="8" spans="2:14" x14ac:dyDescent="0.3">
      <c r="B8" t="s">
        <v>251</v>
      </c>
      <c r="C8" s="486"/>
      <c r="D8" s="487"/>
      <c r="E8" s="487"/>
      <c r="F8" s="487"/>
      <c r="G8" s="488"/>
      <c r="H8" s="486"/>
      <c r="I8" s="487"/>
      <c r="J8" s="487"/>
      <c r="K8" s="487"/>
      <c r="L8" s="487"/>
      <c r="M8" s="488"/>
    </row>
    <row r="9" spans="2:14" x14ac:dyDescent="0.3">
      <c r="C9" s="62"/>
      <c r="G9" s="267"/>
      <c r="H9" s="62"/>
      <c r="M9" s="267"/>
    </row>
    <row r="10" spans="2:14" x14ac:dyDescent="0.3">
      <c r="B10" t="s">
        <v>258</v>
      </c>
      <c r="C10" s="126">
        <f>Connections!O37</f>
        <v>10705</v>
      </c>
      <c r="D10" s="10">
        <f>Connections!P37</f>
        <v>9652</v>
      </c>
      <c r="E10" s="10">
        <f>Connections!Q37</f>
        <v>11797</v>
      </c>
      <c r="F10" s="10">
        <f>Connections!R37</f>
        <v>13569</v>
      </c>
      <c r="G10" s="118">
        <f>Connections!S37</f>
        <v>10030</v>
      </c>
      <c r="H10" s="126">
        <f>Connections!T37</f>
        <v>13302.685552493716</v>
      </c>
      <c r="I10" s="10">
        <f>Connections!U37</f>
        <v>13571.513208369925</v>
      </c>
      <c r="J10" s="10">
        <f>Connections!V37</f>
        <v>13842.680145353239</v>
      </c>
      <c r="K10" s="10">
        <f>Connections!W37</f>
        <v>14112.756471550132</v>
      </c>
      <c r="L10" s="10">
        <f>Connections!X37</f>
        <v>14382.595708445628</v>
      </c>
      <c r="M10" s="118">
        <f>Connections!Y37</f>
        <v>14652.466557247979</v>
      </c>
    </row>
    <row r="11" spans="2:14" x14ac:dyDescent="0.3">
      <c r="B11" t="s">
        <v>285</v>
      </c>
      <c r="C11" s="62"/>
      <c r="G11" s="267"/>
      <c r="H11" s="62"/>
      <c r="M11" s="267"/>
    </row>
    <row r="12" spans="2:14" x14ac:dyDescent="0.3">
      <c r="B12" s="49" t="s">
        <v>262</v>
      </c>
      <c r="C12" s="62"/>
      <c r="F12" s="10"/>
      <c r="G12" s="118"/>
      <c r="H12" s="126">
        <f t="shared" ref="H12:M12" si="1">H$10*H16</f>
        <v>2660.5371104987435</v>
      </c>
      <c r="I12" s="10">
        <f t="shared" si="1"/>
        <v>2714.3026416739849</v>
      </c>
      <c r="J12" s="10">
        <f t="shared" si="1"/>
        <v>2768.5360290706481</v>
      </c>
      <c r="K12" s="10">
        <f t="shared" si="1"/>
        <v>2822.5512943100266</v>
      </c>
      <c r="L12" s="10">
        <f t="shared" si="1"/>
        <v>2876.5191416891257</v>
      </c>
      <c r="M12" s="118">
        <f t="shared" si="1"/>
        <v>2930.4933114495961</v>
      </c>
    </row>
    <row r="13" spans="2:14" x14ac:dyDescent="0.3">
      <c r="B13" s="49" t="s">
        <v>260</v>
      </c>
      <c r="C13" s="62"/>
      <c r="F13" s="10"/>
      <c r="G13" s="118"/>
      <c r="H13" s="126">
        <f t="shared" ref="H13:M13" si="2">H$10*H17</f>
        <v>10642.148441994974</v>
      </c>
      <c r="I13" s="10">
        <f t="shared" si="2"/>
        <v>10857.21056669594</v>
      </c>
      <c r="J13" s="10">
        <f t="shared" si="2"/>
        <v>11074.144116282592</v>
      </c>
      <c r="K13" s="10">
        <f t="shared" si="2"/>
        <v>11290.205177240106</v>
      </c>
      <c r="L13" s="10">
        <f t="shared" si="2"/>
        <v>11506.076566756503</v>
      </c>
      <c r="M13" s="118">
        <f t="shared" si="2"/>
        <v>11721.973245798385</v>
      </c>
    </row>
    <row r="14" spans="2:14" x14ac:dyDescent="0.3">
      <c r="C14" s="62"/>
      <c r="G14" s="267"/>
      <c r="H14" s="62"/>
      <c r="M14" s="267"/>
    </row>
    <row r="15" spans="2:14" x14ac:dyDescent="0.3">
      <c r="B15" t="s">
        <v>283</v>
      </c>
      <c r="C15" s="62"/>
      <c r="G15" s="267"/>
      <c r="H15" s="62"/>
      <c r="M15" s="267"/>
    </row>
    <row r="16" spans="2:14" x14ac:dyDescent="0.3">
      <c r="B16" s="49" t="s">
        <v>262</v>
      </c>
      <c r="C16" s="62"/>
      <c r="F16" s="21"/>
      <c r="G16" s="268"/>
      <c r="H16" s="141">
        <f>Allocations!$D65</f>
        <v>0.2</v>
      </c>
      <c r="I16" s="21">
        <f>Allocations!$D65</f>
        <v>0.2</v>
      </c>
      <c r="J16" s="21">
        <f>Allocations!$D65</f>
        <v>0.2</v>
      </c>
      <c r="K16" s="21">
        <f>Allocations!$D65</f>
        <v>0.2</v>
      </c>
      <c r="L16" s="21">
        <f>Allocations!$D65</f>
        <v>0.2</v>
      </c>
      <c r="M16" s="268">
        <f>Allocations!$D65</f>
        <v>0.2</v>
      </c>
    </row>
    <row r="17" spans="2:13" x14ac:dyDescent="0.3">
      <c r="B17" s="49" t="s">
        <v>260</v>
      </c>
      <c r="C17" s="62"/>
      <c r="F17" s="21"/>
      <c r="G17" s="268"/>
      <c r="H17" s="141">
        <f>Allocations!$D66</f>
        <v>0.8</v>
      </c>
      <c r="I17" s="21">
        <f>Allocations!$D66</f>
        <v>0.8</v>
      </c>
      <c r="J17" s="21">
        <f>Allocations!$D66</f>
        <v>0.8</v>
      </c>
      <c r="K17" s="21">
        <f>Allocations!$D66</f>
        <v>0.8</v>
      </c>
      <c r="L17" s="21">
        <f>Allocations!$D66</f>
        <v>0.8</v>
      </c>
      <c r="M17" s="268">
        <f>Allocations!$D66</f>
        <v>0.8</v>
      </c>
    </row>
    <row r="18" spans="2:13" x14ac:dyDescent="0.3">
      <c r="C18" s="62"/>
      <c r="F18" s="21"/>
      <c r="G18" s="268"/>
      <c r="H18" s="141"/>
      <c r="I18" s="21"/>
      <c r="J18" s="21"/>
      <c r="K18" s="21"/>
      <c r="L18" s="21"/>
      <c r="M18" s="268"/>
    </row>
    <row r="19" spans="2:13" x14ac:dyDescent="0.3">
      <c r="B19" t="s">
        <v>284</v>
      </c>
      <c r="C19" s="62"/>
      <c r="G19" s="267"/>
      <c r="H19" s="62"/>
      <c r="M19" s="267"/>
    </row>
    <row r="20" spans="2:13" x14ac:dyDescent="0.3">
      <c r="B20" s="49" t="s">
        <v>262</v>
      </c>
      <c r="C20" s="62"/>
      <c r="F20" s="21"/>
      <c r="G20" s="268"/>
      <c r="H20" s="141">
        <v>1</v>
      </c>
      <c r="I20" s="21">
        <v>1</v>
      </c>
      <c r="J20" s="21">
        <v>1</v>
      </c>
      <c r="K20" s="21">
        <v>1</v>
      </c>
      <c r="L20" s="21">
        <v>1</v>
      </c>
      <c r="M20" s="268">
        <v>1</v>
      </c>
    </row>
    <row r="21" spans="2:13" x14ac:dyDescent="0.3">
      <c r="B21" s="49" t="s">
        <v>260</v>
      </c>
      <c r="C21" s="62"/>
      <c r="F21" s="21"/>
      <c r="G21" s="269"/>
      <c r="H21" s="141">
        <v>1</v>
      </c>
      <c r="I21" s="21">
        <v>1</v>
      </c>
      <c r="J21" s="21">
        <v>1</v>
      </c>
      <c r="K21" s="21">
        <v>1</v>
      </c>
      <c r="L21" s="21">
        <v>1</v>
      </c>
      <c r="M21" s="268">
        <v>1</v>
      </c>
    </row>
    <row r="22" spans="2:13" x14ac:dyDescent="0.3">
      <c r="C22" s="62"/>
      <c r="F22" s="108"/>
      <c r="G22" s="267"/>
      <c r="H22" s="62"/>
      <c r="M22" s="267"/>
    </row>
    <row r="23" spans="2:13" x14ac:dyDescent="0.3">
      <c r="B23" s="1" t="s">
        <v>295</v>
      </c>
      <c r="C23" s="486"/>
      <c r="D23" s="487"/>
      <c r="E23" s="487"/>
      <c r="F23" s="487"/>
      <c r="G23" s="488"/>
      <c r="H23" s="486"/>
      <c r="I23" s="487"/>
      <c r="J23" s="487"/>
      <c r="K23" s="487"/>
      <c r="L23" s="487"/>
      <c r="M23" s="488"/>
    </row>
    <row r="24" spans="2:13" x14ac:dyDescent="0.3">
      <c r="C24" t="b">
        <f>C23=Capex_Fcast_Direct!N32</f>
        <v>1</v>
      </c>
      <c r="D24" t="b">
        <f>D23=Capex_Fcast_Direct!O32</f>
        <v>1</v>
      </c>
      <c r="E24" t="b">
        <f>E23=Capex_Fcast_Direct!P32</f>
        <v>1</v>
      </c>
      <c r="F24" t="b">
        <f>F23=Capex_Fcast_Direct!Q32</f>
        <v>1</v>
      </c>
      <c r="G24" t="b">
        <f>G23=Capex_Fcast_Direct!R32</f>
        <v>1</v>
      </c>
    </row>
    <row r="27" spans="2:13" x14ac:dyDescent="0.3">
      <c r="G27" s="242"/>
    </row>
    <row r="28" spans="2:13" x14ac:dyDescent="0.3">
      <c r="G28" s="242"/>
    </row>
    <row r="30" spans="2:13" x14ac:dyDescent="0.3">
      <c r="G30" s="242"/>
    </row>
    <row r="31" spans="2:13" x14ac:dyDescent="0.3">
      <c r="G31" s="242"/>
    </row>
    <row r="32" spans="2:13" x14ac:dyDescent="0.3">
      <c r="G32" s="242"/>
    </row>
    <row r="34" spans="7:7" x14ac:dyDescent="0.3">
      <c r="G34" s="242"/>
    </row>
  </sheetData>
  <mergeCells count="3">
    <mergeCell ref="G1:H1"/>
    <mergeCell ref="H4:M4"/>
    <mergeCell ref="C4:G4"/>
  </mergeCells>
  <hyperlinks>
    <hyperlink ref="B3" location="Contents!A1" display="Table of Contents" xr:uid="{24920A8B-474F-4422-B25D-FF19D9E2742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E137"/>
  <sheetViews>
    <sheetView zoomScale="70" zoomScaleNormal="70" workbookViewId="0">
      <pane xSplit="2" ySplit="6" topLeftCell="C7" activePane="bottomRight" state="frozen"/>
      <selection activeCell="O29" sqref="O29"/>
      <selection pane="topRight" activeCell="O29" sqref="O29"/>
      <selection pane="bottomLeft" activeCell="O29" sqref="O29"/>
      <selection pane="bottomRight" activeCell="A7" sqref="A7"/>
    </sheetView>
  </sheetViews>
  <sheetFormatPr defaultColWidth="9.109375" defaultRowHeight="14.65" outlineLevelCol="1" x14ac:dyDescent="0.3"/>
  <cols>
    <col min="1" max="1" width="7.5546875" customWidth="1"/>
    <col min="2" max="2" width="53.77734375" customWidth="1"/>
    <col min="3" max="5" width="12.44140625" customWidth="1" outlineLevel="1"/>
    <col min="6" max="6" width="12.44140625" customWidth="1" outlineLevel="1" collapsed="1"/>
    <col min="7" max="7" width="12.44140625" customWidth="1" outlineLevel="1"/>
    <col min="8" max="18" width="9.6640625" customWidth="1"/>
    <col min="19" max="19" width="10.88671875" customWidth="1"/>
    <col min="20" max="21" width="9.6640625" customWidth="1"/>
    <col min="22" max="24" width="9.88671875" customWidth="1"/>
    <col min="25" max="25" width="10.21875" bestFit="1" customWidth="1"/>
    <col min="26" max="26" width="10.44140625" bestFit="1" customWidth="1"/>
    <col min="27" max="27" width="10.6640625" customWidth="1"/>
    <col min="28" max="28" width="10.44140625" bestFit="1" customWidth="1"/>
    <col min="29" max="29" width="10.6640625" bestFit="1" customWidth="1"/>
    <col min="30" max="32" width="10.44140625" bestFit="1" customWidth="1"/>
    <col min="33" max="33" width="11.109375" customWidth="1"/>
    <col min="34" max="35" width="8.77734375" bestFit="1" customWidth="1"/>
    <col min="36" max="36" width="9.109375" bestFit="1" customWidth="1"/>
    <col min="37" max="37" width="9.44140625" customWidth="1"/>
    <col min="38" max="39" width="9.88671875" bestFit="1" customWidth="1"/>
    <col min="40" max="41" width="9.88671875" customWidth="1"/>
    <col min="42" max="42" width="11" customWidth="1"/>
    <col min="43" max="44" width="9.88671875" customWidth="1"/>
    <col min="46" max="47" width="7.77734375" bestFit="1" customWidth="1"/>
    <col min="48" max="49" width="7.5546875" bestFit="1" customWidth="1"/>
    <col min="50" max="53" width="7.88671875" bestFit="1" customWidth="1"/>
    <col min="56" max="57" width="10.5546875" bestFit="1" customWidth="1"/>
  </cols>
  <sheetData>
    <row r="1" spans="1:57" ht="18.5" x14ac:dyDescent="0.35">
      <c r="B1" s="38" t="s">
        <v>23</v>
      </c>
      <c r="M1" s="53"/>
      <c r="P1" s="462" t="s">
        <v>150</v>
      </c>
      <c r="Q1" s="462"/>
      <c r="R1" s="7"/>
      <c r="W1" s="350"/>
      <c r="X1" s="350"/>
      <c r="Y1" s="351"/>
      <c r="Z1" s="351"/>
      <c r="AA1" s="351"/>
      <c r="AB1" s="351"/>
      <c r="AC1" s="351"/>
      <c r="AD1" s="351"/>
      <c r="AE1" s="351"/>
      <c r="AF1" s="351"/>
    </row>
    <row r="2" spans="1:57" x14ac:dyDescent="0.3">
      <c r="B2" s="40" t="s">
        <v>53</v>
      </c>
      <c r="F2" s="70"/>
      <c r="G2" s="18"/>
      <c r="H2" s="18"/>
      <c r="I2" s="18"/>
      <c r="J2" s="18"/>
      <c r="S2" s="12"/>
      <c r="T2" s="12"/>
      <c r="U2" s="352"/>
      <c r="V2" s="350"/>
      <c r="W2" s="66"/>
      <c r="X2" s="66"/>
      <c r="Y2" s="133"/>
      <c r="Z2" s="133"/>
      <c r="AA2" s="133"/>
      <c r="AB2" s="133"/>
      <c r="AC2" s="133"/>
      <c r="AD2" s="133"/>
      <c r="AE2" s="133"/>
      <c r="AF2" s="133"/>
      <c r="AH2" s="4"/>
      <c r="AI2" s="4"/>
      <c r="AJ2" s="4"/>
      <c r="AK2" s="4"/>
      <c r="AL2" s="4"/>
      <c r="AM2" s="4"/>
      <c r="AN2" s="4"/>
      <c r="AO2" s="4"/>
      <c r="AP2" s="4"/>
      <c r="AQ2" s="4"/>
      <c r="AR2" s="4"/>
    </row>
    <row r="3" spans="1:57" x14ac:dyDescent="0.3">
      <c r="C3" s="5"/>
      <c r="D3" s="5"/>
      <c r="E3" s="5"/>
      <c r="F3" s="5"/>
      <c r="G3" s="5"/>
      <c r="R3" s="4"/>
      <c r="W3" s="66"/>
      <c r="X3" s="66"/>
      <c r="Y3" s="133"/>
      <c r="Z3" s="133"/>
      <c r="AA3" s="108"/>
      <c r="AB3" s="133"/>
      <c r="AC3" s="133"/>
      <c r="AD3" s="133"/>
      <c r="AE3" s="133"/>
      <c r="AF3" s="133"/>
      <c r="AI3" s="180"/>
      <c r="AL3" s="25"/>
      <c r="AM3" s="25"/>
    </row>
    <row r="4" spans="1:57" x14ac:dyDescent="0.3">
      <c r="C4" s="174"/>
      <c r="D4" s="174"/>
      <c r="E4" s="174"/>
      <c r="F4" s="174"/>
      <c r="G4" s="174"/>
      <c r="AH4" s="7">
        <v>1</v>
      </c>
      <c r="AI4" s="7">
        <v>2</v>
      </c>
      <c r="AJ4" s="7">
        <v>3</v>
      </c>
      <c r="AK4" s="7">
        <v>4</v>
      </c>
      <c r="AL4" s="7">
        <v>5</v>
      </c>
      <c r="AM4" s="7">
        <v>6</v>
      </c>
      <c r="AN4" s="7">
        <v>7</v>
      </c>
      <c r="AO4" s="7">
        <v>8</v>
      </c>
      <c r="AP4" s="7">
        <v>9</v>
      </c>
      <c r="AQ4" s="7">
        <v>10</v>
      </c>
      <c r="AR4" s="7">
        <v>11</v>
      </c>
    </row>
    <row r="5" spans="1:57" x14ac:dyDescent="0.3">
      <c r="B5" s="8" t="s">
        <v>39</v>
      </c>
      <c r="C5" s="423" t="s">
        <v>280</v>
      </c>
      <c r="D5" s="423"/>
      <c r="E5" s="423"/>
      <c r="F5" s="423"/>
      <c r="G5" s="423"/>
      <c r="H5" s="419" t="s">
        <v>223</v>
      </c>
      <c r="I5" s="419"/>
      <c r="J5" s="419"/>
      <c r="K5" s="419"/>
      <c r="L5" s="419"/>
      <c r="M5" s="419"/>
      <c r="N5" s="419"/>
      <c r="O5" s="419"/>
      <c r="P5" s="419"/>
      <c r="Q5" s="419"/>
      <c r="R5" s="338"/>
      <c r="S5" s="424" t="s">
        <v>289</v>
      </c>
      <c r="T5" s="424"/>
      <c r="U5" s="424"/>
      <c r="V5" s="424"/>
      <c r="W5" s="424"/>
      <c r="X5" s="3"/>
      <c r="Y5" s="418" t="s">
        <v>278</v>
      </c>
      <c r="Z5" s="418"/>
      <c r="AA5" s="418"/>
      <c r="AB5" s="418"/>
      <c r="AC5" s="418"/>
      <c r="AD5" s="418"/>
      <c r="AE5" s="418"/>
      <c r="AF5" s="418"/>
      <c r="AG5" s="7"/>
      <c r="AH5" s="422" t="s">
        <v>225</v>
      </c>
      <c r="AI5" s="422"/>
      <c r="AJ5" s="422"/>
      <c r="AK5" s="422"/>
      <c r="AL5" s="422"/>
      <c r="AM5" s="421" t="s">
        <v>250</v>
      </c>
      <c r="AN5" s="421"/>
      <c r="AO5" s="421"/>
      <c r="AP5" s="421"/>
      <c r="AQ5" s="421"/>
      <c r="AR5" s="421"/>
    </row>
    <row r="6" spans="1:57" x14ac:dyDescent="0.3">
      <c r="C6" s="3" t="s">
        <v>10</v>
      </c>
      <c r="D6" s="3" t="s">
        <v>11</v>
      </c>
      <c r="E6" s="3" t="s">
        <v>12</v>
      </c>
      <c r="F6" s="3" t="s">
        <v>13</v>
      </c>
      <c r="G6" s="3" t="s">
        <v>14</v>
      </c>
      <c r="H6" s="3" t="s">
        <v>4</v>
      </c>
      <c r="I6" s="3" t="s">
        <v>5</v>
      </c>
      <c r="J6" s="3" t="s">
        <v>6</v>
      </c>
      <c r="K6" s="3" t="s">
        <v>7</v>
      </c>
      <c r="L6" s="3" t="s">
        <v>8</v>
      </c>
      <c r="M6" s="3" t="s">
        <v>9</v>
      </c>
      <c r="N6" s="3" t="s">
        <v>123</v>
      </c>
      <c r="O6" s="3" t="s">
        <v>136</v>
      </c>
      <c r="P6" s="3" t="s">
        <v>135</v>
      </c>
      <c r="Q6" s="3" t="s">
        <v>134</v>
      </c>
      <c r="R6" s="3" t="s">
        <v>133</v>
      </c>
      <c r="S6" s="3" t="str">
        <f>Allocations!F53</f>
        <v>CY2020</v>
      </c>
      <c r="T6" s="3" t="str">
        <f>Allocations!G53</f>
        <v>2020-21</v>
      </c>
      <c r="U6" s="3" t="str">
        <f>Allocations!H53</f>
        <v>2021-22</v>
      </c>
      <c r="V6" s="3" t="str">
        <f>Allocations!I53</f>
        <v>2022-23</v>
      </c>
      <c r="W6" s="3" t="str">
        <f>Allocations!J53</f>
        <v>2023-24</v>
      </c>
      <c r="X6" s="3" t="str">
        <f>Allocations!K53</f>
        <v>2024-25</v>
      </c>
      <c r="Y6" s="3" t="str">
        <f>Allocations!J53</f>
        <v>2023-24</v>
      </c>
      <c r="Z6" s="104" t="str">
        <f>Allocations!K53</f>
        <v>2024-25</v>
      </c>
      <c r="AA6" s="104" t="str">
        <f>Allocations!L53</f>
        <v>2025-26</v>
      </c>
      <c r="AB6" s="104" t="str">
        <f>Allocations!M53</f>
        <v>2026-27</v>
      </c>
      <c r="AC6" s="104" t="str">
        <f>Allocations!N53</f>
        <v>2027–28</v>
      </c>
      <c r="AD6" s="104" t="str">
        <f>Allocations!O53</f>
        <v>2028–29</v>
      </c>
      <c r="AE6" s="104" t="str">
        <f>Allocations!P53</f>
        <v>2029–30</v>
      </c>
      <c r="AF6" s="104" t="str">
        <f>Allocations!Q53</f>
        <v>2030–31</v>
      </c>
      <c r="AG6" s="3"/>
      <c r="AH6" s="104" t="str">
        <f>Allocations!G53</f>
        <v>2020-21</v>
      </c>
      <c r="AI6" s="104" t="str">
        <f>Allocations!H53</f>
        <v>2021-22</v>
      </c>
      <c r="AJ6" s="104" t="str">
        <f>Allocations!I53</f>
        <v>2022-23</v>
      </c>
      <c r="AK6" s="104" t="str">
        <f>Allocations!J53</f>
        <v>2023-24</v>
      </c>
      <c r="AL6" s="104" t="str">
        <f>Allocations!K53</f>
        <v>2024-25</v>
      </c>
      <c r="AM6" s="104" t="str">
        <f>Allocations!L53</f>
        <v>2025-26</v>
      </c>
      <c r="AN6" s="104" t="str">
        <f>Allocations!M53</f>
        <v>2026-27</v>
      </c>
      <c r="AO6" s="104" t="str">
        <f>Allocations!N53</f>
        <v>2027–28</v>
      </c>
      <c r="AP6" s="104" t="str">
        <f>Allocations!O53</f>
        <v>2028–29</v>
      </c>
      <c r="AQ6" s="104" t="str">
        <f>Allocations!P53</f>
        <v>2029–30</v>
      </c>
      <c r="AR6" s="104" t="str">
        <f>Allocations!Q53</f>
        <v>2030–31</v>
      </c>
      <c r="AT6" s="104" t="str">
        <f>AK6</f>
        <v>2023-24</v>
      </c>
      <c r="AU6" s="104" t="str">
        <f t="shared" ref="AU6:BA6" si="0">AL6</f>
        <v>2024-25</v>
      </c>
      <c r="AV6" s="104" t="str">
        <f t="shared" si="0"/>
        <v>2025-26</v>
      </c>
      <c r="AW6" s="104" t="str">
        <f t="shared" si="0"/>
        <v>2026-27</v>
      </c>
      <c r="AX6" s="104" t="str">
        <f t="shared" si="0"/>
        <v>2027–28</v>
      </c>
      <c r="AY6" s="104" t="str">
        <f t="shared" si="0"/>
        <v>2028–29</v>
      </c>
      <c r="AZ6" s="104" t="str">
        <f t="shared" si="0"/>
        <v>2029–30</v>
      </c>
      <c r="BA6" s="104" t="str">
        <f t="shared" si="0"/>
        <v>2030–31</v>
      </c>
      <c r="BB6" s="105"/>
    </row>
    <row r="7" spans="1:57" x14ac:dyDescent="0.3">
      <c r="B7" s="1" t="s">
        <v>277</v>
      </c>
      <c r="C7" s="7"/>
      <c r="D7" s="7"/>
      <c r="E7" s="7"/>
      <c r="F7" s="7"/>
      <c r="G7" s="7"/>
      <c r="H7" s="5">
        <v>1</v>
      </c>
      <c r="I7" s="5">
        <v>1</v>
      </c>
      <c r="J7" s="5">
        <v>1</v>
      </c>
      <c r="K7" s="5">
        <f>Escalation!I8</f>
        <v>1</v>
      </c>
      <c r="L7" s="5">
        <v>1</v>
      </c>
      <c r="M7" s="5">
        <v>1</v>
      </c>
      <c r="N7" s="5">
        <v>1</v>
      </c>
      <c r="O7" s="5">
        <v>1</v>
      </c>
      <c r="P7" s="5">
        <v>1</v>
      </c>
      <c r="Q7" s="5">
        <v>1</v>
      </c>
      <c r="R7" s="5">
        <v>1</v>
      </c>
      <c r="S7" s="5">
        <f>Escalation!K11</f>
        <v>1.1393728222996515</v>
      </c>
      <c r="T7" s="5">
        <f>Escalation!L11</f>
        <v>1.1256454388984509</v>
      </c>
      <c r="U7" s="5">
        <f>Escalation!M11</f>
        <v>1.1160409556313993</v>
      </c>
      <c r="V7" s="5">
        <f>Escalation!N11</f>
        <v>1.0783182192910141</v>
      </c>
      <c r="W7" s="5">
        <f>Escalation!O11</f>
        <v>1</v>
      </c>
      <c r="X7" s="5">
        <f>Escalation!P11</f>
        <v>0.96105804555473928</v>
      </c>
      <c r="Y7" s="7"/>
      <c r="Z7" s="7"/>
      <c r="AA7" s="7"/>
      <c r="AB7" s="7"/>
      <c r="AC7" s="7"/>
      <c r="AD7" s="7"/>
      <c r="AE7" s="7"/>
    </row>
    <row r="8" spans="1:57" x14ac:dyDescent="0.3">
      <c r="A8">
        <v>1012</v>
      </c>
      <c r="B8" t="s">
        <v>82</v>
      </c>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73"/>
      <c r="AH8" s="448"/>
      <c r="AI8" s="448"/>
      <c r="AJ8" s="448"/>
      <c r="AK8" s="448"/>
      <c r="AL8" s="449"/>
      <c r="AM8" s="447"/>
      <c r="AN8" s="447"/>
      <c r="AO8" s="448"/>
      <c r="AP8" s="448"/>
      <c r="AQ8" s="448"/>
      <c r="AR8" s="448"/>
      <c r="AT8" s="139">
        <f t="shared" ref="AT8:AT25" si="1">IF(ISERROR((AK8-Y8)/Y8),0,(AK8-Y8)/Y8)</f>
        <v>0</v>
      </c>
      <c r="AU8" s="139">
        <f t="shared" ref="AU8:AU25" si="2">IF(ISERROR((AL8-Z8)/Z8),0,(AL8-Z8)/Z8)</f>
        <v>0</v>
      </c>
      <c r="AV8" s="139">
        <f t="shared" ref="AV8:AV25" si="3">IF(ISERROR((AM8-AA8)/AA8),0,(AM8-AA8)/AA8)</f>
        <v>0</v>
      </c>
      <c r="AW8" s="139">
        <f t="shared" ref="AW8:AW10" si="4">IF(ISERROR((AN8-AB8)/AB8),0,(AN8-AB8)/AB8)</f>
        <v>0</v>
      </c>
      <c r="AX8" s="139">
        <f t="shared" ref="AX8:AX25" si="5">IF(ISERROR((AO8-AC8)/AC8),0,(AO8-AC8)/AC8)</f>
        <v>0</v>
      </c>
      <c r="AY8" s="139">
        <f t="shared" ref="AY8:AY25" si="6">IF(ISERROR((AP8-AD8)/AD8),0,(AP8-AD8)/AD8)</f>
        <v>0</v>
      </c>
      <c r="AZ8" s="139">
        <f t="shared" ref="AZ8:AZ25" si="7">IF(ISERROR((AQ8-AE8)/AE8),0,(AQ8-AE8)/AE8)</f>
        <v>0</v>
      </c>
      <c r="BA8" s="139">
        <f t="shared" ref="BA8:BA25" si="8">IF(ISERROR((AR8-AF8)/AF8),0,(AR8-AF8)/AF8)</f>
        <v>0</v>
      </c>
      <c r="BB8" s="12"/>
      <c r="BD8" s="15"/>
      <c r="BE8" s="15"/>
    </row>
    <row r="9" spans="1:57" x14ac:dyDescent="0.3">
      <c r="A9">
        <v>1012</v>
      </c>
      <c r="B9" s="49" t="s">
        <v>90</v>
      </c>
      <c r="C9" s="448"/>
      <c r="D9" s="448"/>
      <c r="E9" s="448"/>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73"/>
      <c r="AH9" s="448"/>
      <c r="AI9" s="448"/>
      <c r="AJ9" s="448"/>
      <c r="AK9" s="448"/>
      <c r="AL9" s="449"/>
      <c r="AM9" s="447"/>
      <c r="AN9" s="447"/>
      <c r="AO9" s="448"/>
      <c r="AP9" s="448"/>
      <c r="AQ9" s="448"/>
      <c r="AR9" s="448"/>
      <c r="AT9" s="139">
        <f t="shared" si="1"/>
        <v>0</v>
      </c>
      <c r="AU9" s="139">
        <f t="shared" si="2"/>
        <v>0</v>
      </c>
      <c r="AV9" s="139">
        <f t="shared" si="3"/>
        <v>0</v>
      </c>
      <c r="AW9" s="139">
        <f t="shared" si="4"/>
        <v>0</v>
      </c>
      <c r="AX9" s="139">
        <f t="shared" si="5"/>
        <v>0</v>
      </c>
      <c r="AY9" s="139">
        <f t="shared" si="6"/>
        <v>0</v>
      </c>
      <c r="AZ9" s="139">
        <f t="shared" si="7"/>
        <v>0</v>
      </c>
      <c r="BA9" s="139">
        <f t="shared" si="8"/>
        <v>0</v>
      </c>
      <c r="BB9" s="12"/>
      <c r="BD9" s="15"/>
      <c r="BE9" s="15"/>
    </row>
    <row r="10" spans="1:57" x14ac:dyDescent="0.3">
      <c r="A10">
        <v>1012</v>
      </c>
      <c r="B10" s="49" t="s">
        <v>118</v>
      </c>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73"/>
      <c r="AH10" s="448"/>
      <c r="AI10" s="448"/>
      <c r="AJ10" s="448"/>
      <c r="AK10" s="448"/>
      <c r="AL10" s="449"/>
      <c r="AM10" s="447"/>
      <c r="AN10" s="447"/>
      <c r="AO10" s="448"/>
      <c r="AP10" s="448"/>
      <c r="AQ10" s="448"/>
      <c r="AR10" s="448"/>
      <c r="AT10" s="139">
        <f t="shared" si="1"/>
        <v>0</v>
      </c>
      <c r="AU10" s="139">
        <f t="shared" si="2"/>
        <v>0</v>
      </c>
      <c r="AV10" s="139">
        <f t="shared" si="3"/>
        <v>0</v>
      </c>
      <c r="AW10" s="139">
        <f t="shared" si="4"/>
        <v>0</v>
      </c>
      <c r="AX10" s="139">
        <f t="shared" si="5"/>
        <v>0</v>
      </c>
      <c r="AY10" s="139">
        <f t="shared" si="6"/>
        <v>0</v>
      </c>
      <c r="AZ10" s="139">
        <f t="shared" si="7"/>
        <v>0</v>
      </c>
      <c r="BA10" s="139">
        <f t="shared" si="8"/>
        <v>0</v>
      </c>
      <c r="BB10" s="12"/>
      <c r="BD10" s="15"/>
      <c r="BE10" s="15"/>
    </row>
    <row r="11" spans="1:57" x14ac:dyDescent="0.3">
      <c r="A11">
        <v>1012</v>
      </c>
      <c r="B11" s="173" t="s">
        <v>245</v>
      </c>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73"/>
      <c r="AH11" s="448"/>
      <c r="AI11" s="448"/>
      <c r="AJ11" s="448"/>
      <c r="AK11" s="448"/>
      <c r="AL11" s="449"/>
      <c r="AM11" s="447"/>
      <c r="AN11" s="447"/>
      <c r="AO11" s="448"/>
      <c r="AP11" s="448"/>
      <c r="AQ11" s="448"/>
      <c r="AR11" s="448"/>
      <c r="AT11" s="139">
        <f t="shared" si="1"/>
        <v>0</v>
      </c>
      <c r="AU11" s="139">
        <f t="shared" si="2"/>
        <v>0</v>
      </c>
      <c r="AV11" s="139">
        <f t="shared" si="3"/>
        <v>0</v>
      </c>
      <c r="AW11" s="139">
        <f>IF(ISERROR((AN11-AB11)/AB11),0,(AN11-AB11)/AB11)</f>
        <v>0</v>
      </c>
      <c r="AX11" s="139">
        <f t="shared" si="5"/>
        <v>0</v>
      </c>
      <c r="AY11" s="139">
        <f t="shared" si="6"/>
        <v>0</v>
      </c>
      <c r="AZ11" s="139">
        <f t="shared" si="7"/>
        <v>0</v>
      </c>
      <c r="BA11" s="139">
        <f t="shared" si="8"/>
        <v>0</v>
      </c>
      <c r="BB11" s="12"/>
      <c r="BD11" s="15"/>
      <c r="BE11" s="15"/>
    </row>
    <row r="12" spans="1:57" x14ac:dyDescent="0.3">
      <c r="A12">
        <v>1012</v>
      </c>
      <c r="B12" s="173" t="s">
        <v>244</v>
      </c>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73"/>
      <c r="AH12" s="448"/>
      <c r="AI12" s="448"/>
      <c r="AJ12" s="448"/>
      <c r="AK12" s="448"/>
      <c r="AL12" s="449"/>
      <c r="AM12" s="447"/>
      <c r="AN12" s="447"/>
      <c r="AO12" s="448"/>
      <c r="AP12" s="448"/>
      <c r="AQ12" s="448"/>
      <c r="AR12" s="448"/>
      <c r="AT12" s="139">
        <f t="shared" si="1"/>
        <v>0</v>
      </c>
      <c r="AU12" s="139">
        <f t="shared" si="2"/>
        <v>0</v>
      </c>
      <c r="AV12" s="139">
        <f t="shared" si="3"/>
        <v>0</v>
      </c>
      <c r="AW12" s="139">
        <f t="shared" ref="AW12:AW25" si="9">IF(ISERROR((AN12-AB12)/AB12),0,(AN12-AB12)/AB12)</f>
        <v>0</v>
      </c>
      <c r="AX12" s="139">
        <f t="shared" si="5"/>
        <v>0</v>
      </c>
      <c r="AY12" s="139">
        <f t="shared" si="6"/>
        <v>0</v>
      </c>
      <c r="AZ12" s="139">
        <f t="shared" si="7"/>
        <v>0</v>
      </c>
      <c r="BA12" s="139">
        <f t="shared" si="8"/>
        <v>0</v>
      </c>
      <c r="BB12" s="12"/>
      <c r="BD12" s="15"/>
      <c r="BE12" s="15"/>
    </row>
    <row r="13" spans="1:57" x14ac:dyDescent="0.3">
      <c r="A13" s="381">
        <v>1012</v>
      </c>
      <c r="B13" s="382" t="s">
        <v>246</v>
      </c>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73"/>
      <c r="AH13" s="448"/>
      <c r="AI13" s="448"/>
      <c r="AJ13" s="448"/>
      <c r="AK13" s="448"/>
      <c r="AL13" s="449"/>
      <c r="AM13" s="447"/>
      <c r="AN13" s="447"/>
      <c r="AO13" s="448"/>
      <c r="AP13" s="448"/>
      <c r="AQ13" s="448"/>
      <c r="AR13" s="448"/>
      <c r="AT13" s="139">
        <f t="shared" si="1"/>
        <v>0</v>
      </c>
      <c r="AU13" s="139">
        <f t="shared" si="2"/>
        <v>0</v>
      </c>
      <c r="AV13" s="139">
        <f t="shared" si="3"/>
        <v>0</v>
      </c>
      <c r="AW13" s="139">
        <f t="shared" si="9"/>
        <v>0</v>
      </c>
      <c r="AX13" s="139">
        <f t="shared" si="5"/>
        <v>0</v>
      </c>
      <c r="AY13" s="139">
        <f t="shared" si="6"/>
        <v>0</v>
      </c>
      <c r="AZ13" s="139">
        <f t="shared" si="7"/>
        <v>0</v>
      </c>
      <c r="BA13" s="139">
        <f t="shared" si="8"/>
        <v>0</v>
      </c>
      <c r="BB13" s="139"/>
      <c r="BD13" s="15"/>
      <c r="BE13" s="15"/>
    </row>
    <row r="14" spans="1:57" x14ac:dyDescent="0.3">
      <c r="A14">
        <v>1012</v>
      </c>
      <c r="B14" s="173" t="s">
        <v>153</v>
      </c>
      <c r="C14" s="448"/>
      <c r="D14" s="448"/>
      <c r="E14" s="448"/>
      <c r="F14" s="448"/>
      <c r="G14" s="448"/>
      <c r="H14" s="448"/>
      <c r="I14" s="448"/>
      <c r="J14" s="448"/>
      <c r="K14" s="448"/>
      <c r="L14" s="448"/>
      <c r="M14" s="448"/>
      <c r="N14" s="448"/>
      <c r="O14" s="448"/>
      <c r="P14" s="448"/>
      <c r="Q14" s="448"/>
      <c r="R14" s="448"/>
      <c r="S14" s="448"/>
      <c r="T14" s="448"/>
      <c r="U14" s="448"/>
      <c r="V14" s="448"/>
      <c r="W14" s="448"/>
      <c r="X14" s="448"/>
      <c r="Y14" s="448"/>
      <c r="Z14" s="448"/>
      <c r="AA14" s="448"/>
      <c r="AB14" s="448"/>
      <c r="AC14" s="448"/>
      <c r="AD14" s="448"/>
      <c r="AE14" s="448"/>
      <c r="AF14" s="448"/>
      <c r="AG14" s="473"/>
      <c r="AH14" s="448"/>
      <c r="AI14" s="448"/>
      <c r="AJ14" s="448"/>
      <c r="AK14" s="448"/>
      <c r="AL14" s="449"/>
      <c r="AM14" s="447"/>
      <c r="AN14" s="447"/>
      <c r="AO14" s="448"/>
      <c r="AP14" s="448"/>
      <c r="AQ14" s="448"/>
      <c r="AR14" s="448"/>
      <c r="AT14" s="139">
        <f t="shared" si="1"/>
        <v>0</v>
      </c>
      <c r="AU14" s="139">
        <f t="shared" si="2"/>
        <v>0</v>
      </c>
      <c r="AV14" s="139">
        <f t="shared" si="3"/>
        <v>0</v>
      </c>
      <c r="AW14" s="139">
        <f t="shared" si="9"/>
        <v>0</v>
      </c>
      <c r="AX14" s="139">
        <f t="shared" si="5"/>
        <v>0</v>
      </c>
      <c r="AY14" s="139">
        <f t="shared" si="6"/>
        <v>0</v>
      </c>
      <c r="AZ14" s="139">
        <f t="shared" si="7"/>
        <v>0</v>
      </c>
      <c r="BA14" s="139">
        <f t="shared" si="8"/>
        <v>0</v>
      </c>
      <c r="BB14" s="377"/>
      <c r="BC14" s="2"/>
      <c r="BD14" s="15"/>
      <c r="BE14" s="15"/>
    </row>
    <row r="15" spans="1:57" x14ac:dyDescent="0.3">
      <c r="A15">
        <v>1013</v>
      </c>
      <c r="B15" t="s">
        <v>83</v>
      </c>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73"/>
      <c r="AH15" s="448"/>
      <c r="AI15" s="448"/>
      <c r="AJ15" s="448"/>
      <c r="AK15" s="448"/>
      <c r="AL15" s="449"/>
      <c r="AM15" s="447"/>
      <c r="AN15" s="447"/>
      <c r="AO15" s="448"/>
      <c r="AP15" s="448"/>
      <c r="AQ15" s="448"/>
      <c r="AR15" s="448"/>
      <c r="AT15" s="139">
        <f t="shared" si="1"/>
        <v>0</v>
      </c>
      <c r="AU15" s="139">
        <f t="shared" si="2"/>
        <v>0</v>
      </c>
      <c r="AV15" s="139">
        <f t="shared" si="3"/>
        <v>0</v>
      </c>
      <c r="AW15" s="139">
        <f t="shared" si="9"/>
        <v>0</v>
      </c>
      <c r="AX15" s="139">
        <f t="shared" si="5"/>
        <v>0</v>
      </c>
      <c r="AY15" s="139">
        <f t="shared" si="6"/>
        <v>0</v>
      </c>
      <c r="AZ15" s="139">
        <f t="shared" si="7"/>
        <v>0</v>
      </c>
      <c r="BA15" s="139">
        <f t="shared" si="8"/>
        <v>0</v>
      </c>
      <c r="BB15" s="139"/>
      <c r="BD15" s="15"/>
      <c r="BE15" s="15"/>
    </row>
    <row r="16" spans="1:57" x14ac:dyDescent="0.3">
      <c r="A16">
        <v>1014</v>
      </c>
      <c r="B16" t="s">
        <v>84</v>
      </c>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73"/>
      <c r="AH16" s="448"/>
      <c r="AI16" s="448"/>
      <c r="AJ16" s="448"/>
      <c r="AK16" s="448"/>
      <c r="AL16" s="449"/>
      <c r="AM16" s="447"/>
      <c r="AN16" s="447"/>
      <c r="AO16" s="448"/>
      <c r="AP16" s="448"/>
      <c r="AQ16" s="448"/>
      <c r="AR16" s="448"/>
      <c r="AT16" s="139">
        <f t="shared" si="1"/>
        <v>0</v>
      </c>
      <c r="AU16" s="139">
        <f t="shared" si="2"/>
        <v>0</v>
      </c>
      <c r="AV16" s="139">
        <f t="shared" si="3"/>
        <v>0</v>
      </c>
      <c r="AW16" s="139">
        <f t="shared" si="9"/>
        <v>0</v>
      </c>
      <c r="AX16" s="139">
        <f t="shared" si="5"/>
        <v>0</v>
      </c>
      <c r="AY16" s="139">
        <f t="shared" si="6"/>
        <v>0</v>
      </c>
      <c r="AZ16" s="139">
        <f t="shared" si="7"/>
        <v>0</v>
      </c>
      <c r="BA16" s="139">
        <f t="shared" si="8"/>
        <v>0</v>
      </c>
      <c r="BB16" s="139"/>
      <c r="BD16" s="15"/>
      <c r="BE16" s="15"/>
    </row>
    <row r="17" spans="1:57" x14ac:dyDescent="0.3">
      <c r="B17" s="49" t="s">
        <v>149</v>
      </c>
      <c r="C17" s="448"/>
      <c r="D17" s="448"/>
      <c r="E17" s="448"/>
      <c r="F17" s="448"/>
      <c r="G17" s="448"/>
      <c r="H17" s="448"/>
      <c r="I17" s="448"/>
      <c r="J17" s="448"/>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73"/>
      <c r="AH17" s="448"/>
      <c r="AI17" s="448"/>
      <c r="AJ17" s="448"/>
      <c r="AK17" s="448"/>
      <c r="AL17" s="449"/>
      <c r="AM17" s="447"/>
      <c r="AN17" s="447"/>
      <c r="AO17" s="448"/>
      <c r="AP17" s="448"/>
      <c r="AQ17" s="448"/>
      <c r="AR17" s="448"/>
      <c r="AT17" s="139">
        <f t="shared" si="1"/>
        <v>0</v>
      </c>
      <c r="AU17" s="139">
        <f t="shared" si="2"/>
        <v>0</v>
      </c>
      <c r="AV17" s="139">
        <f t="shared" si="3"/>
        <v>0</v>
      </c>
      <c r="AW17" s="139">
        <f t="shared" si="9"/>
        <v>0</v>
      </c>
      <c r="AX17" s="139">
        <f t="shared" si="5"/>
        <v>0</v>
      </c>
      <c r="AY17" s="139">
        <f t="shared" si="6"/>
        <v>0</v>
      </c>
      <c r="AZ17" s="139">
        <f t="shared" si="7"/>
        <v>0</v>
      </c>
      <c r="BA17" s="139">
        <f t="shared" si="8"/>
        <v>0</v>
      </c>
      <c r="BB17" s="139"/>
      <c r="BD17" s="15"/>
      <c r="BE17" s="15"/>
    </row>
    <row r="18" spans="1:57" x14ac:dyDescent="0.3">
      <c r="A18" s="383" t="s">
        <v>394</v>
      </c>
      <c r="B18" s="382" t="s">
        <v>393</v>
      </c>
      <c r="C18" s="448"/>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73"/>
      <c r="AH18" s="448"/>
      <c r="AI18" s="448"/>
      <c r="AJ18" s="448"/>
      <c r="AK18" s="448"/>
      <c r="AL18" s="449"/>
      <c r="AM18" s="447"/>
      <c r="AN18" s="447"/>
      <c r="AO18" s="448"/>
      <c r="AP18" s="448"/>
      <c r="AQ18" s="448"/>
      <c r="AR18" s="448"/>
      <c r="AT18" s="139">
        <f t="shared" si="1"/>
        <v>0</v>
      </c>
      <c r="AU18" s="139">
        <f t="shared" si="2"/>
        <v>0</v>
      </c>
      <c r="AV18" s="139">
        <f t="shared" si="3"/>
        <v>0</v>
      </c>
      <c r="AW18" s="139">
        <f t="shared" si="9"/>
        <v>0</v>
      </c>
      <c r="AX18" s="139">
        <f t="shared" si="5"/>
        <v>0</v>
      </c>
      <c r="AY18" s="139">
        <f t="shared" si="6"/>
        <v>0</v>
      </c>
      <c r="AZ18" s="139">
        <f t="shared" si="7"/>
        <v>0</v>
      </c>
      <c r="BA18" s="139">
        <f t="shared" si="8"/>
        <v>0</v>
      </c>
      <c r="BB18" s="139"/>
      <c r="BD18" s="15"/>
      <c r="BE18" s="15"/>
    </row>
    <row r="19" spans="1:57" x14ac:dyDescent="0.3">
      <c r="A19">
        <v>1018</v>
      </c>
      <c r="B19" t="s">
        <v>85</v>
      </c>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473"/>
      <c r="AH19" s="448"/>
      <c r="AI19" s="448"/>
      <c r="AJ19" s="448"/>
      <c r="AK19" s="448"/>
      <c r="AL19" s="449"/>
      <c r="AM19" s="447"/>
      <c r="AN19" s="447"/>
      <c r="AO19" s="448"/>
      <c r="AP19" s="448"/>
      <c r="AQ19" s="448"/>
      <c r="AR19" s="448"/>
      <c r="AT19" s="139">
        <f t="shared" si="1"/>
        <v>0</v>
      </c>
      <c r="AU19" s="139">
        <f t="shared" si="2"/>
        <v>0</v>
      </c>
      <c r="AV19" s="139">
        <f t="shared" si="3"/>
        <v>0</v>
      </c>
      <c r="AW19" s="139">
        <f t="shared" si="9"/>
        <v>0</v>
      </c>
      <c r="AX19" s="139">
        <f t="shared" si="5"/>
        <v>0</v>
      </c>
      <c r="AY19" s="139">
        <f t="shared" si="6"/>
        <v>0</v>
      </c>
      <c r="AZ19" s="139">
        <f t="shared" si="7"/>
        <v>0</v>
      </c>
      <c r="BA19" s="139">
        <f t="shared" si="8"/>
        <v>0</v>
      </c>
      <c r="BB19" s="12"/>
      <c r="BD19" s="15"/>
      <c r="BE19" s="15"/>
    </row>
    <row r="20" spans="1:57" x14ac:dyDescent="0.3">
      <c r="A20">
        <v>1019</v>
      </c>
      <c r="B20" t="s">
        <v>77</v>
      </c>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73"/>
      <c r="AH20" s="448"/>
      <c r="AI20" s="448"/>
      <c r="AJ20" s="448"/>
      <c r="AK20" s="448"/>
      <c r="AL20" s="449"/>
      <c r="AM20" s="447"/>
      <c r="AN20" s="447"/>
      <c r="AO20" s="448"/>
      <c r="AP20" s="448"/>
      <c r="AQ20" s="448"/>
      <c r="AR20" s="448"/>
      <c r="AT20" s="139">
        <f t="shared" si="1"/>
        <v>0</v>
      </c>
      <c r="AU20" s="139">
        <f t="shared" si="2"/>
        <v>0</v>
      </c>
      <c r="AV20" s="139">
        <f t="shared" si="3"/>
        <v>0</v>
      </c>
      <c r="AW20" s="139">
        <f t="shared" si="9"/>
        <v>0</v>
      </c>
      <c r="AX20" s="139">
        <f t="shared" si="5"/>
        <v>0</v>
      </c>
      <c r="AY20" s="139">
        <f t="shared" si="6"/>
        <v>0</v>
      </c>
      <c r="AZ20" s="139">
        <f t="shared" si="7"/>
        <v>0</v>
      </c>
      <c r="BA20" s="139">
        <f t="shared" si="8"/>
        <v>0</v>
      </c>
      <c r="BB20" s="12"/>
      <c r="BD20" s="4"/>
      <c r="BE20" s="4"/>
    </row>
    <row r="21" spans="1:57" x14ac:dyDescent="0.3">
      <c r="B21" s="49" t="s">
        <v>188</v>
      </c>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73"/>
      <c r="AH21" s="448"/>
      <c r="AI21" s="448"/>
      <c r="AJ21" s="448"/>
      <c r="AK21" s="448"/>
      <c r="AL21" s="449"/>
      <c r="AM21" s="447"/>
      <c r="AN21" s="447"/>
      <c r="AO21" s="448"/>
      <c r="AP21" s="448"/>
      <c r="AQ21" s="448"/>
      <c r="AR21" s="448"/>
      <c r="AT21" s="139">
        <f t="shared" si="1"/>
        <v>0</v>
      </c>
      <c r="AU21" s="139">
        <f t="shared" si="2"/>
        <v>0</v>
      </c>
      <c r="AV21" s="139">
        <f t="shared" si="3"/>
        <v>0</v>
      </c>
      <c r="AW21" s="139">
        <f t="shared" si="9"/>
        <v>0</v>
      </c>
      <c r="AX21" s="139">
        <f t="shared" si="5"/>
        <v>0</v>
      </c>
      <c r="AY21" s="139">
        <f t="shared" si="6"/>
        <v>0</v>
      </c>
      <c r="AZ21" s="139">
        <f t="shared" si="7"/>
        <v>0</v>
      </c>
      <c r="BA21" s="139">
        <f t="shared" si="8"/>
        <v>0</v>
      </c>
      <c r="BB21" s="139"/>
      <c r="BD21" s="4"/>
      <c r="BE21" s="4"/>
    </row>
    <row r="22" spans="1:57" x14ac:dyDescent="0.3">
      <c r="A22">
        <v>1015</v>
      </c>
      <c r="B22" t="s">
        <v>268</v>
      </c>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73"/>
      <c r="AH22" s="448"/>
      <c r="AI22" s="448"/>
      <c r="AJ22" s="448"/>
      <c r="AK22" s="448"/>
      <c r="AL22" s="449"/>
      <c r="AM22" s="447"/>
      <c r="AN22" s="447"/>
      <c r="AO22" s="448"/>
      <c r="AP22" s="448"/>
      <c r="AQ22" s="448"/>
      <c r="AR22" s="448"/>
      <c r="AT22" s="139">
        <f t="shared" si="1"/>
        <v>0</v>
      </c>
      <c r="AU22" s="139">
        <f t="shared" si="2"/>
        <v>0</v>
      </c>
      <c r="AV22" s="139">
        <f t="shared" si="3"/>
        <v>0</v>
      </c>
      <c r="AW22" s="139">
        <f t="shared" si="9"/>
        <v>0</v>
      </c>
      <c r="AX22" s="139">
        <f t="shared" si="5"/>
        <v>0</v>
      </c>
      <c r="AY22" s="139">
        <f t="shared" si="6"/>
        <v>0</v>
      </c>
      <c r="AZ22" s="139">
        <f t="shared" si="7"/>
        <v>0</v>
      </c>
      <c r="BA22" s="139">
        <f t="shared" si="8"/>
        <v>0</v>
      </c>
      <c r="BB22" s="12"/>
      <c r="BD22" s="4"/>
      <c r="BE22" s="4"/>
    </row>
    <row r="23" spans="1:57" x14ac:dyDescent="0.3">
      <c r="B23" s="49" t="s">
        <v>216</v>
      </c>
      <c r="C23" s="448"/>
      <c r="D23" s="448"/>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8"/>
      <c r="AE23" s="448"/>
      <c r="AF23" s="448"/>
      <c r="AG23" s="473"/>
      <c r="AH23" s="448"/>
      <c r="AI23" s="448"/>
      <c r="AJ23" s="448"/>
      <c r="AK23" s="448"/>
      <c r="AL23" s="449"/>
      <c r="AM23" s="447"/>
      <c r="AN23" s="447"/>
      <c r="AO23" s="448"/>
      <c r="AP23" s="448"/>
      <c r="AQ23" s="448"/>
      <c r="AR23" s="448"/>
      <c r="AT23" s="139">
        <f t="shared" si="1"/>
        <v>0</v>
      </c>
      <c r="AU23" s="139">
        <f t="shared" si="2"/>
        <v>0</v>
      </c>
      <c r="AV23" s="139">
        <f t="shared" si="3"/>
        <v>0</v>
      </c>
      <c r="AW23" s="139">
        <f t="shared" si="9"/>
        <v>0</v>
      </c>
      <c r="AX23" s="139">
        <f t="shared" si="5"/>
        <v>0</v>
      </c>
      <c r="AY23" s="139">
        <f t="shared" si="6"/>
        <v>0</v>
      </c>
      <c r="AZ23" s="139">
        <f t="shared" si="7"/>
        <v>0</v>
      </c>
      <c r="BA23" s="139">
        <f t="shared" si="8"/>
        <v>0</v>
      </c>
      <c r="BB23" s="12"/>
      <c r="BD23" s="4"/>
      <c r="BE23" s="4"/>
    </row>
    <row r="24" spans="1:57" x14ac:dyDescent="0.3">
      <c r="A24">
        <v>1048</v>
      </c>
      <c r="B24" t="s">
        <v>253</v>
      </c>
      <c r="C24" s="448"/>
      <c r="D24" s="448"/>
      <c r="E24" s="448"/>
      <c r="F24" s="448"/>
      <c r="G24" s="448"/>
      <c r="H24" s="448"/>
      <c r="I24" s="448"/>
      <c r="J24" s="448"/>
      <c r="K24" s="448"/>
      <c r="L24" s="448"/>
      <c r="M24" s="448"/>
      <c r="N24" s="448"/>
      <c r="O24" s="448"/>
      <c r="P24" s="448"/>
      <c r="Q24" s="448"/>
      <c r="R24" s="448"/>
      <c r="S24" s="448"/>
      <c r="T24" s="448"/>
      <c r="U24" s="448"/>
      <c r="V24" s="448"/>
      <c r="W24" s="448"/>
      <c r="X24" s="448"/>
      <c r="Y24" s="471"/>
      <c r="Z24" s="471"/>
      <c r="AA24" s="471"/>
      <c r="AB24" s="471"/>
      <c r="AC24" s="471"/>
      <c r="AD24" s="471"/>
      <c r="AE24" s="471"/>
      <c r="AF24" s="471"/>
      <c r="AG24" s="473"/>
      <c r="AH24" s="448"/>
      <c r="AI24" s="448"/>
      <c r="AJ24" s="448"/>
      <c r="AK24" s="448"/>
      <c r="AL24" s="449"/>
      <c r="AM24" s="447"/>
      <c r="AN24" s="447"/>
      <c r="AO24" s="448"/>
      <c r="AP24" s="448"/>
      <c r="AQ24" s="448"/>
      <c r="AR24" s="448"/>
      <c r="AT24" s="139">
        <f t="shared" si="1"/>
        <v>0</v>
      </c>
      <c r="AU24" s="139">
        <f t="shared" si="2"/>
        <v>0</v>
      </c>
      <c r="AV24" s="139">
        <f t="shared" si="3"/>
        <v>0</v>
      </c>
      <c r="AW24" s="139">
        <f t="shared" si="9"/>
        <v>0</v>
      </c>
      <c r="AX24" s="139">
        <f t="shared" si="5"/>
        <v>0</v>
      </c>
      <c r="AY24" s="139">
        <f t="shared" si="6"/>
        <v>0</v>
      </c>
      <c r="AZ24" s="139">
        <f t="shared" si="7"/>
        <v>0</v>
      </c>
      <c r="BA24" s="139">
        <f t="shared" si="8"/>
        <v>0</v>
      </c>
      <c r="BB24" s="12"/>
      <c r="BD24" s="4"/>
      <c r="BE24" s="4"/>
    </row>
    <row r="25" spans="1:57" x14ac:dyDescent="0.3">
      <c r="B25" s="49" t="s">
        <v>384</v>
      </c>
      <c r="C25" s="448"/>
      <c r="D25" s="448"/>
      <c r="E25" s="448"/>
      <c r="F25" s="448"/>
      <c r="G25" s="448"/>
      <c r="H25" s="448"/>
      <c r="I25" s="448"/>
      <c r="J25" s="448"/>
      <c r="K25" s="448"/>
      <c r="L25" s="448"/>
      <c r="M25" s="448"/>
      <c r="N25" s="448"/>
      <c r="O25" s="448"/>
      <c r="P25" s="448"/>
      <c r="Q25" s="448"/>
      <c r="R25" s="448"/>
      <c r="S25" s="448"/>
      <c r="T25" s="448"/>
      <c r="U25" s="448"/>
      <c r="V25" s="448"/>
      <c r="W25" s="448"/>
      <c r="X25" s="448"/>
      <c r="Y25" s="472"/>
      <c r="Z25" s="472"/>
      <c r="AA25" s="472"/>
      <c r="AB25" s="472"/>
      <c r="AC25" s="472"/>
      <c r="AD25" s="472"/>
      <c r="AE25" s="472"/>
      <c r="AF25" s="472"/>
      <c r="AG25" s="473"/>
      <c r="AH25" s="448"/>
      <c r="AI25" s="448"/>
      <c r="AJ25" s="456"/>
      <c r="AK25" s="448"/>
      <c r="AL25" s="449"/>
      <c r="AM25" s="447"/>
      <c r="AN25" s="447"/>
      <c r="AO25" s="448"/>
      <c r="AP25" s="448"/>
      <c r="AQ25" s="448"/>
      <c r="AR25" s="448"/>
      <c r="AT25" s="139">
        <f t="shared" si="1"/>
        <v>0</v>
      </c>
      <c r="AU25" s="139">
        <f t="shared" si="2"/>
        <v>0</v>
      </c>
      <c r="AV25" s="139">
        <f t="shared" si="3"/>
        <v>0</v>
      </c>
      <c r="AW25" s="139">
        <f t="shared" si="9"/>
        <v>0</v>
      </c>
      <c r="AX25" s="139">
        <f t="shared" si="5"/>
        <v>0</v>
      </c>
      <c r="AY25" s="139">
        <f t="shared" si="6"/>
        <v>0</v>
      </c>
      <c r="AZ25" s="139">
        <f t="shared" si="7"/>
        <v>0</v>
      </c>
      <c r="BA25" s="139">
        <f t="shared" si="8"/>
        <v>0</v>
      </c>
      <c r="BB25" s="12"/>
      <c r="BD25" s="4"/>
      <c r="BE25" s="4"/>
    </row>
    <row r="26" spans="1:57" x14ac:dyDescent="0.3">
      <c r="C26" s="470"/>
      <c r="D26" s="470"/>
      <c r="E26" s="470"/>
      <c r="F26" s="470"/>
      <c r="G26" s="470"/>
      <c r="H26" s="470"/>
      <c r="I26" s="470"/>
      <c r="J26" s="470"/>
      <c r="K26" s="470"/>
      <c r="L26" s="470"/>
      <c r="M26" s="470"/>
      <c r="N26" s="470"/>
      <c r="O26" s="470"/>
      <c r="P26" s="470"/>
      <c r="Q26" s="470"/>
      <c r="R26" s="470"/>
      <c r="S26" s="448"/>
      <c r="T26" s="448"/>
      <c r="U26" s="448"/>
      <c r="V26" s="448"/>
      <c r="W26" s="448"/>
      <c r="X26" s="448"/>
      <c r="Y26" s="470"/>
      <c r="Z26" s="470"/>
      <c r="AA26" s="470"/>
      <c r="AB26" s="470"/>
      <c r="AC26" s="470"/>
      <c r="AD26" s="470"/>
      <c r="AE26" s="470"/>
      <c r="AF26" s="470"/>
      <c r="AG26" s="473"/>
      <c r="AH26" s="470"/>
      <c r="AI26" s="470"/>
      <c r="AJ26" s="470"/>
      <c r="AK26" s="470"/>
      <c r="AL26" s="474"/>
      <c r="AM26" s="475"/>
      <c r="AN26" s="475"/>
      <c r="AO26" s="470"/>
      <c r="AP26" s="470"/>
      <c r="AQ26" s="470"/>
      <c r="AR26" s="470"/>
      <c r="BD26" s="4"/>
      <c r="BE26" s="4"/>
    </row>
    <row r="27" spans="1:57" x14ac:dyDescent="0.3">
      <c r="B27" t="s">
        <v>60</v>
      </c>
      <c r="F27" s="25"/>
      <c r="H27" s="58">
        <f>H26-(Historical_Cost!E15-Historical_Cost!E13)</f>
        <v>0</v>
      </c>
      <c r="I27" s="58">
        <f>I26-(Historical_Cost!F15-Historical_Cost!F13)</f>
        <v>0</v>
      </c>
      <c r="J27" s="58">
        <f>J26-(Historical_Cost!G15-Historical_Cost!G13)</f>
        <v>0</v>
      </c>
      <c r="K27" s="58">
        <f>K26-(Historical_Cost!H15-Historical_Cost!H13)</f>
        <v>0</v>
      </c>
      <c r="L27" s="58">
        <f>L26-(Historical_Cost!I15-Historical_Cost!I13)</f>
        <v>0</v>
      </c>
      <c r="M27" s="57">
        <f>M26-(Historical_Cost!J15-Historical_Cost!J13)</f>
        <v>0</v>
      </c>
      <c r="N27" s="57">
        <f>N26-(Historical_Cost!K15-Historical_Cost!K13)</f>
        <v>0</v>
      </c>
      <c r="O27" s="57">
        <f>O26-(Historical_Cost!L15-Historical_Cost!L13)</f>
        <v>0</v>
      </c>
      <c r="P27" s="57">
        <f>P26-(Historical_Cost!M15-Historical_Cost!M13)</f>
        <v>0</v>
      </c>
      <c r="Q27" s="57">
        <f>Q26-(Historical_Cost!N15-Historical_Cost!N13)</f>
        <v>0</v>
      </c>
      <c r="R27" s="57">
        <f>R26-(Historical_Cost!O15-Historical_Cost!O13)</f>
        <v>0</v>
      </c>
      <c r="AG27" s="216" t="s">
        <v>418</v>
      </c>
      <c r="AH27" s="476"/>
      <c r="AI27" s="476"/>
      <c r="AJ27" s="476"/>
      <c r="AK27" s="476"/>
      <c r="AL27" s="476"/>
      <c r="AM27" s="476"/>
      <c r="AN27" s="476"/>
      <c r="AO27" s="476"/>
      <c r="AP27" s="476"/>
      <c r="AQ27" s="476"/>
      <c r="AR27" s="476"/>
    </row>
    <row r="28" spans="1:57" x14ac:dyDescent="0.3">
      <c r="F28" s="25"/>
      <c r="H28" s="419" t="s">
        <v>224</v>
      </c>
      <c r="I28" s="419"/>
      <c r="J28" s="419"/>
      <c r="K28" s="419"/>
      <c r="L28" s="419"/>
      <c r="M28" s="419"/>
      <c r="N28" s="419"/>
      <c r="O28" s="419"/>
      <c r="P28" s="419"/>
      <c r="Q28" s="419"/>
      <c r="R28" s="338"/>
      <c r="S28" s="420" t="s">
        <v>248</v>
      </c>
      <c r="T28" s="420"/>
      <c r="U28" s="420"/>
      <c r="V28" s="420"/>
      <c r="W28" s="420"/>
      <c r="X28" s="342"/>
      <c r="Y28" s="418" t="s">
        <v>249</v>
      </c>
      <c r="Z28" s="418"/>
      <c r="AA28" s="418"/>
      <c r="AB28" s="418"/>
      <c r="AC28" s="418"/>
      <c r="AD28" s="418"/>
      <c r="AE28" s="418"/>
      <c r="AF28" s="418"/>
      <c r="AG28" s="216"/>
      <c r="AH28" s="226"/>
      <c r="AI28" s="226"/>
      <c r="AJ28" s="226"/>
      <c r="AK28" s="239"/>
      <c r="AL28" s="239"/>
      <c r="AM28" s="239"/>
      <c r="AN28" s="239"/>
      <c r="AO28" s="239"/>
      <c r="AP28" s="239"/>
      <c r="AQ28" s="239"/>
      <c r="AR28" s="239"/>
    </row>
    <row r="29" spans="1:57" x14ac:dyDescent="0.3">
      <c r="B29" s="1" t="s">
        <v>17</v>
      </c>
      <c r="C29" s="14"/>
      <c r="H29" s="3" t="str">
        <f t="shared" ref="H29:AF29" si="10">H6</f>
        <v>CY2015</v>
      </c>
      <c r="I29" s="3" t="str">
        <f t="shared" si="10"/>
        <v>CY2016</v>
      </c>
      <c r="J29" s="3" t="str">
        <f t="shared" si="10"/>
        <v>CY2017</v>
      </c>
      <c r="K29" s="3" t="str">
        <f t="shared" si="10"/>
        <v>CY2018</v>
      </c>
      <c r="L29" s="3" t="str">
        <f t="shared" si="10"/>
        <v>CY2019</v>
      </c>
      <c r="M29" s="3" t="str">
        <f t="shared" si="10"/>
        <v>CY2020</v>
      </c>
      <c r="N29" s="3" t="str">
        <f t="shared" si="10"/>
        <v>2020-21</v>
      </c>
      <c r="O29" s="3" t="str">
        <f t="shared" si="10"/>
        <v>2021-22</v>
      </c>
      <c r="P29" s="3" t="str">
        <f t="shared" si="10"/>
        <v>2022-23</v>
      </c>
      <c r="Q29" s="3" t="s">
        <v>134</v>
      </c>
      <c r="R29" s="3" t="s">
        <v>133</v>
      </c>
      <c r="S29" s="3" t="str">
        <f t="shared" si="10"/>
        <v>CY2020</v>
      </c>
      <c r="T29" s="3" t="str">
        <f t="shared" si="10"/>
        <v>2020-21</v>
      </c>
      <c r="U29" s="3" t="str">
        <f t="shared" si="10"/>
        <v>2021-22</v>
      </c>
      <c r="V29" s="3" t="str">
        <f t="shared" si="10"/>
        <v>2022-23</v>
      </c>
      <c r="W29" s="3" t="str">
        <f t="shared" si="10"/>
        <v>2023-24</v>
      </c>
      <c r="X29" s="3" t="str">
        <f t="shared" si="10"/>
        <v>2024-25</v>
      </c>
      <c r="Y29" s="3" t="str">
        <f t="shared" si="10"/>
        <v>2023-24</v>
      </c>
      <c r="Z29" s="3" t="str">
        <f t="shared" si="10"/>
        <v>2024-25</v>
      </c>
      <c r="AA29" s="3" t="str">
        <f t="shared" si="10"/>
        <v>2025-26</v>
      </c>
      <c r="AB29" s="3" t="str">
        <f t="shared" si="10"/>
        <v>2026-27</v>
      </c>
      <c r="AC29" s="3" t="str">
        <f t="shared" si="10"/>
        <v>2027–28</v>
      </c>
      <c r="AD29" s="3" t="str">
        <f t="shared" si="10"/>
        <v>2028–29</v>
      </c>
      <c r="AE29" s="3" t="str">
        <f t="shared" si="10"/>
        <v>2029–30</v>
      </c>
      <c r="AF29" s="3" t="str">
        <f t="shared" si="10"/>
        <v>2030–31</v>
      </c>
    </row>
    <row r="30" spans="1:57" x14ac:dyDescent="0.3">
      <c r="A30">
        <v>1012</v>
      </c>
      <c r="B30" t="s">
        <v>82</v>
      </c>
      <c r="C30" s="467"/>
      <c r="D30" s="467"/>
      <c r="E30" s="467"/>
      <c r="F30" s="467"/>
      <c r="G30" s="467"/>
      <c r="H30" s="467"/>
      <c r="I30" s="467"/>
      <c r="J30" s="467"/>
      <c r="K30" s="467"/>
      <c r="L30" s="467"/>
      <c r="M30" s="467"/>
      <c r="N30" s="467"/>
      <c r="O30" s="467"/>
      <c r="P30" s="467"/>
      <c r="Q30" s="467"/>
      <c r="R30" s="467"/>
      <c r="S30" s="466"/>
      <c r="T30" s="466"/>
      <c r="U30" s="466"/>
      <c r="V30" s="466"/>
      <c r="W30" s="466"/>
      <c r="X30" s="466"/>
      <c r="Y30" s="466"/>
      <c r="Z30" s="466"/>
      <c r="AA30" s="466"/>
      <c r="AB30" s="466"/>
      <c r="AC30" s="466"/>
      <c r="AD30" s="466"/>
      <c r="AE30" s="466"/>
      <c r="AF30" s="466"/>
      <c r="AG30" s="15"/>
      <c r="AH30" s="15"/>
      <c r="AI30" s="15"/>
      <c r="AJ30" s="15"/>
      <c r="AK30" s="466"/>
      <c r="AL30" s="466"/>
      <c r="AM30" s="466"/>
      <c r="AN30" s="466"/>
      <c r="AO30" s="466"/>
      <c r="AP30" s="466"/>
      <c r="AQ30" s="466"/>
      <c r="AR30" s="466"/>
      <c r="AS30" s="15"/>
      <c r="AT30" s="139">
        <f t="shared" ref="AT30:AT47" si="11">IF(ISERROR((AK30-Y30)/Y30),0,(AK30-Y30)/Y30)</f>
        <v>0</v>
      </c>
      <c r="AU30" s="139">
        <f t="shared" ref="AU30:AU47" si="12">IF(ISERROR((AL30-Z30)/Z30),0,(AL30-Z30)/Z30)</f>
        <v>0</v>
      </c>
      <c r="AV30" s="139">
        <f t="shared" ref="AV30:AV47" si="13">IF(ISERROR((AM30-AA30)/AA30),0,(AM30-AA30)/AA30)</f>
        <v>0</v>
      </c>
      <c r="AW30" s="139">
        <f t="shared" ref="AW30:AW47" si="14">IF(ISERROR((AN30-AB30)/AB30),0,(AN30-AB30)/AB30)</f>
        <v>0</v>
      </c>
      <c r="AX30" s="139">
        <f t="shared" ref="AX30:AX47" si="15">IF(ISERROR((AO30-AC30)/AC30),0,(AO30-AC30)/AC30)</f>
        <v>0</v>
      </c>
      <c r="AY30" s="139">
        <f t="shared" ref="AY30:AY47" si="16">IF(ISERROR((AP30-AD30)/AD30),0,(AP30-AD30)/AD30)</f>
        <v>0</v>
      </c>
      <c r="AZ30" s="139">
        <f t="shared" ref="AZ30:AZ47" si="17">IF(ISERROR((AQ30-AE30)/AE30),0,(AQ30-AE30)/AE30)</f>
        <v>0</v>
      </c>
      <c r="BA30" s="139">
        <f t="shared" ref="BA30:BA47" si="18">IF(ISERROR((AR30-AF30)/AF30),0,(AR30-AF30)/AF30)</f>
        <v>0</v>
      </c>
      <c r="BB30" s="12"/>
      <c r="BC30" s="4"/>
    </row>
    <row r="31" spans="1:57" x14ac:dyDescent="0.3">
      <c r="A31">
        <v>1012</v>
      </c>
      <c r="B31" t="s">
        <v>90</v>
      </c>
      <c r="C31" s="467"/>
      <c r="D31" s="467"/>
      <c r="E31" s="467"/>
      <c r="F31" s="467"/>
      <c r="G31" s="467"/>
      <c r="H31" s="467"/>
      <c r="I31" s="467"/>
      <c r="J31" s="467"/>
      <c r="K31" s="467"/>
      <c r="L31" s="467"/>
      <c r="M31" s="467"/>
      <c r="N31" s="467"/>
      <c r="O31" s="467"/>
      <c r="P31" s="467"/>
      <c r="Q31" s="467"/>
      <c r="R31" s="467"/>
      <c r="S31" s="466"/>
      <c r="T31" s="466"/>
      <c r="U31" s="466"/>
      <c r="V31" s="466"/>
      <c r="W31" s="466"/>
      <c r="X31" s="466"/>
      <c r="Y31" s="466"/>
      <c r="Z31" s="466"/>
      <c r="AA31" s="466"/>
      <c r="AB31" s="466"/>
      <c r="AC31" s="466"/>
      <c r="AD31" s="466"/>
      <c r="AE31" s="466"/>
      <c r="AF31" s="466"/>
      <c r="AG31" s="15"/>
      <c r="AH31" s="15"/>
      <c r="AI31" s="15"/>
      <c r="AJ31" s="15"/>
      <c r="AK31" s="466"/>
      <c r="AL31" s="466"/>
      <c r="AM31" s="466"/>
      <c r="AN31" s="466"/>
      <c r="AO31" s="466"/>
      <c r="AP31" s="466"/>
      <c r="AQ31" s="466"/>
      <c r="AR31" s="466"/>
      <c r="AS31" s="15"/>
      <c r="AT31" s="139">
        <f t="shared" si="11"/>
        <v>0</v>
      </c>
      <c r="AU31" s="139">
        <f t="shared" si="12"/>
        <v>0</v>
      </c>
      <c r="AV31" s="139">
        <f t="shared" si="13"/>
        <v>0</v>
      </c>
      <c r="AW31" s="139">
        <f t="shared" si="14"/>
        <v>0</v>
      </c>
      <c r="AX31" s="139">
        <f t="shared" si="15"/>
        <v>0</v>
      </c>
      <c r="AY31" s="139">
        <f t="shared" si="16"/>
        <v>0</v>
      </c>
      <c r="AZ31" s="139">
        <f t="shared" si="17"/>
        <v>0</v>
      </c>
      <c r="BA31" s="139">
        <f t="shared" si="18"/>
        <v>0</v>
      </c>
      <c r="BB31" s="12"/>
      <c r="BC31" s="4"/>
    </row>
    <row r="32" spans="1:57" x14ac:dyDescent="0.3">
      <c r="A32">
        <v>1012</v>
      </c>
      <c r="B32" t="s">
        <v>118</v>
      </c>
      <c r="C32" s="467"/>
      <c r="D32" s="467"/>
      <c r="E32" s="467"/>
      <c r="F32" s="467"/>
      <c r="G32" s="467"/>
      <c r="H32" s="467"/>
      <c r="I32" s="467"/>
      <c r="J32" s="467"/>
      <c r="K32" s="467"/>
      <c r="L32" s="467"/>
      <c r="M32" s="467"/>
      <c r="N32" s="467"/>
      <c r="O32" s="467"/>
      <c r="P32" s="467"/>
      <c r="Q32" s="467"/>
      <c r="R32" s="467"/>
      <c r="S32" s="466"/>
      <c r="T32" s="466"/>
      <c r="U32" s="466"/>
      <c r="V32" s="466"/>
      <c r="W32" s="466"/>
      <c r="X32" s="466"/>
      <c r="Y32" s="466"/>
      <c r="Z32" s="466"/>
      <c r="AA32" s="466"/>
      <c r="AB32" s="466"/>
      <c r="AC32" s="466"/>
      <c r="AD32" s="466"/>
      <c r="AE32" s="466"/>
      <c r="AF32" s="466"/>
      <c r="AG32" s="15"/>
      <c r="AH32" s="15"/>
      <c r="AI32" s="15"/>
      <c r="AJ32" s="15"/>
      <c r="AK32" s="466"/>
      <c r="AL32" s="466"/>
      <c r="AM32" s="466"/>
      <c r="AN32" s="466"/>
      <c r="AO32" s="466"/>
      <c r="AP32" s="466"/>
      <c r="AQ32" s="466"/>
      <c r="AR32" s="466"/>
      <c r="AS32" s="15"/>
      <c r="AT32" s="139">
        <f t="shared" si="11"/>
        <v>0</v>
      </c>
      <c r="AU32" s="139">
        <f t="shared" si="12"/>
        <v>0</v>
      </c>
      <c r="AV32" s="139">
        <f t="shared" si="13"/>
        <v>0</v>
      </c>
      <c r="AW32" s="139">
        <f t="shared" si="14"/>
        <v>0</v>
      </c>
      <c r="AX32" s="139">
        <f t="shared" si="15"/>
        <v>0</v>
      </c>
      <c r="AY32" s="139">
        <f t="shared" si="16"/>
        <v>0</v>
      </c>
      <c r="AZ32" s="139">
        <f t="shared" si="17"/>
        <v>0</v>
      </c>
      <c r="BA32" s="139">
        <f t="shared" si="18"/>
        <v>0</v>
      </c>
      <c r="BB32" s="12"/>
      <c r="BC32" s="4"/>
    </row>
    <row r="33" spans="1:57" x14ac:dyDescent="0.3">
      <c r="A33">
        <v>1012</v>
      </c>
      <c r="B33" s="14" t="s">
        <v>91</v>
      </c>
      <c r="C33" s="467"/>
      <c r="D33" s="467"/>
      <c r="E33" s="467"/>
      <c r="F33" s="467"/>
      <c r="G33" s="467"/>
      <c r="H33" s="467"/>
      <c r="I33" s="467"/>
      <c r="J33" s="467"/>
      <c r="K33" s="467"/>
      <c r="L33" s="467"/>
      <c r="M33" s="467"/>
      <c r="N33" s="467"/>
      <c r="O33" s="467"/>
      <c r="P33" s="467"/>
      <c r="Q33" s="467"/>
      <c r="R33" s="467"/>
      <c r="S33" s="466"/>
      <c r="T33" s="466"/>
      <c r="U33" s="466"/>
      <c r="V33" s="466"/>
      <c r="W33" s="466"/>
      <c r="X33" s="466"/>
      <c r="Y33" s="466"/>
      <c r="Z33" s="466"/>
      <c r="AA33" s="466"/>
      <c r="AB33" s="466"/>
      <c r="AC33" s="466"/>
      <c r="AD33" s="466"/>
      <c r="AE33" s="466"/>
      <c r="AF33" s="466"/>
      <c r="AG33" s="15"/>
      <c r="AH33" s="15"/>
      <c r="AI33" s="15"/>
      <c r="AJ33" s="15"/>
      <c r="AK33" s="466"/>
      <c r="AL33" s="466"/>
      <c r="AM33" s="466"/>
      <c r="AN33" s="466"/>
      <c r="AO33" s="466"/>
      <c r="AP33" s="466"/>
      <c r="AQ33" s="466"/>
      <c r="AR33" s="466"/>
      <c r="AS33" s="15"/>
      <c r="AT33" s="139">
        <f t="shared" si="11"/>
        <v>0</v>
      </c>
      <c r="AU33" s="139">
        <f t="shared" si="12"/>
        <v>0</v>
      </c>
      <c r="AV33" s="139">
        <f t="shared" si="13"/>
        <v>0</v>
      </c>
      <c r="AW33" s="139">
        <f t="shared" si="14"/>
        <v>0</v>
      </c>
      <c r="AX33" s="139">
        <f t="shared" si="15"/>
        <v>0</v>
      </c>
      <c r="AY33" s="139">
        <f t="shared" si="16"/>
        <v>0</v>
      </c>
      <c r="AZ33" s="139">
        <f t="shared" si="17"/>
        <v>0</v>
      </c>
      <c r="BA33" s="139">
        <f t="shared" si="18"/>
        <v>0</v>
      </c>
      <c r="BB33" s="12"/>
      <c r="BC33" s="4"/>
    </row>
    <row r="34" spans="1:57" x14ac:dyDescent="0.3">
      <c r="A34">
        <v>1012</v>
      </c>
      <c r="B34" s="14" t="s">
        <v>238</v>
      </c>
      <c r="C34" s="467"/>
      <c r="D34" s="467"/>
      <c r="E34" s="467"/>
      <c r="F34" s="467"/>
      <c r="G34" s="467"/>
      <c r="H34" s="467"/>
      <c r="I34" s="467"/>
      <c r="J34" s="467"/>
      <c r="K34" s="467"/>
      <c r="L34" s="467"/>
      <c r="M34" s="467"/>
      <c r="N34" s="467"/>
      <c r="O34" s="467"/>
      <c r="P34" s="467"/>
      <c r="Q34" s="467"/>
      <c r="R34" s="467"/>
      <c r="S34" s="466"/>
      <c r="T34" s="466"/>
      <c r="U34" s="466"/>
      <c r="V34" s="466"/>
      <c r="W34" s="466"/>
      <c r="X34" s="466"/>
      <c r="Y34" s="466"/>
      <c r="Z34" s="466"/>
      <c r="AA34" s="467"/>
      <c r="AB34" s="467"/>
      <c r="AC34" s="467"/>
      <c r="AD34" s="467"/>
      <c r="AE34" s="467"/>
      <c r="AF34" s="467"/>
      <c r="AG34" s="15"/>
      <c r="AH34" s="15"/>
      <c r="AI34" s="15"/>
      <c r="AJ34" s="15"/>
      <c r="AK34" s="466"/>
      <c r="AL34" s="466"/>
      <c r="AM34" s="466"/>
      <c r="AN34" s="466"/>
      <c r="AO34" s="466"/>
      <c r="AP34" s="466"/>
      <c r="AQ34" s="466"/>
      <c r="AR34" s="466"/>
      <c r="AS34" s="15"/>
      <c r="AT34" s="139">
        <f t="shared" si="11"/>
        <v>0</v>
      </c>
      <c r="AU34" s="139">
        <f t="shared" si="12"/>
        <v>0</v>
      </c>
      <c r="AV34" s="139">
        <f t="shared" si="13"/>
        <v>0</v>
      </c>
      <c r="AW34" s="139">
        <f t="shared" si="14"/>
        <v>0</v>
      </c>
      <c r="AX34" s="139">
        <f t="shared" si="15"/>
        <v>0</v>
      </c>
      <c r="AY34" s="139">
        <f t="shared" si="16"/>
        <v>0</v>
      </c>
      <c r="AZ34" s="139">
        <f t="shared" si="17"/>
        <v>0</v>
      </c>
      <c r="BA34" s="139">
        <f t="shared" si="18"/>
        <v>0</v>
      </c>
      <c r="BB34" s="12"/>
      <c r="BC34" s="4"/>
    </row>
    <row r="35" spans="1:57" x14ac:dyDescent="0.3">
      <c r="B35" s="384" t="s">
        <v>246</v>
      </c>
      <c r="C35" s="467"/>
      <c r="D35" s="467"/>
      <c r="E35" s="467"/>
      <c r="F35" s="467"/>
      <c r="G35" s="467"/>
      <c r="H35" s="467"/>
      <c r="I35" s="467"/>
      <c r="J35" s="467"/>
      <c r="K35" s="467"/>
      <c r="L35" s="467"/>
      <c r="M35" s="467"/>
      <c r="N35" s="467"/>
      <c r="O35" s="467"/>
      <c r="P35" s="467"/>
      <c r="Q35" s="467"/>
      <c r="R35" s="467"/>
      <c r="S35" s="466"/>
      <c r="T35" s="466"/>
      <c r="U35" s="466"/>
      <c r="V35" s="466"/>
      <c r="W35" s="466"/>
      <c r="X35" s="466"/>
      <c r="Y35" s="466"/>
      <c r="Z35" s="466"/>
      <c r="AA35" s="467"/>
      <c r="AB35" s="467"/>
      <c r="AC35" s="467"/>
      <c r="AD35" s="467"/>
      <c r="AE35" s="467"/>
      <c r="AF35" s="467"/>
      <c r="AG35" s="15"/>
      <c r="AH35" s="15"/>
      <c r="AI35" s="15"/>
      <c r="AJ35" s="15"/>
      <c r="AK35" s="466"/>
      <c r="AL35" s="466"/>
      <c r="AM35" s="466"/>
      <c r="AN35" s="466"/>
      <c r="AO35" s="466"/>
      <c r="AP35" s="466"/>
      <c r="AQ35" s="466"/>
      <c r="AR35" s="466"/>
      <c r="AS35" s="15"/>
      <c r="AT35" s="139">
        <f t="shared" si="11"/>
        <v>0</v>
      </c>
      <c r="AU35" s="139">
        <f t="shared" si="12"/>
        <v>0</v>
      </c>
      <c r="AV35" s="139">
        <f t="shared" si="13"/>
        <v>0</v>
      </c>
      <c r="AW35" s="139">
        <f t="shared" si="14"/>
        <v>0</v>
      </c>
      <c r="AX35" s="139">
        <f t="shared" si="15"/>
        <v>0</v>
      </c>
      <c r="AY35" s="139">
        <f t="shared" si="16"/>
        <v>0</v>
      </c>
      <c r="AZ35" s="139">
        <f t="shared" si="17"/>
        <v>0</v>
      </c>
      <c r="BA35" s="139">
        <f t="shared" si="18"/>
        <v>0</v>
      </c>
      <c r="BB35" s="139"/>
      <c r="BC35" s="4"/>
    </row>
    <row r="36" spans="1:57" x14ac:dyDescent="0.3">
      <c r="A36">
        <v>1012</v>
      </c>
      <c r="B36" s="14" t="s">
        <v>153</v>
      </c>
      <c r="C36" s="467"/>
      <c r="D36" s="467"/>
      <c r="E36" s="467"/>
      <c r="F36" s="467"/>
      <c r="G36" s="467"/>
      <c r="H36" s="467"/>
      <c r="I36" s="467"/>
      <c r="J36" s="467"/>
      <c r="K36" s="467"/>
      <c r="L36" s="467"/>
      <c r="M36" s="467"/>
      <c r="N36" s="467"/>
      <c r="O36" s="467"/>
      <c r="P36" s="468"/>
      <c r="Q36" s="468"/>
      <c r="R36" s="468"/>
      <c r="S36" s="466"/>
      <c r="T36" s="466"/>
      <c r="U36" s="466"/>
      <c r="V36" s="466"/>
      <c r="W36" s="466"/>
      <c r="X36" s="466"/>
      <c r="Y36" s="466"/>
      <c r="Z36" s="466"/>
      <c r="AA36" s="466"/>
      <c r="AB36" s="466"/>
      <c r="AC36" s="466"/>
      <c r="AD36" s="466"/>
      <c r="AE36" s="466"/>
      <c r="AF36" s="466"/>
      <c r="AG36" s="15"/>
      <c r="AH36" s="15"/>
      <c r="AI36" s="15"/>
      <c r="AJ36" s="15"/>
      <c r="AK36" s="466"/>
      <c r="AL36" s="466"/>
      <c r="AM36" s="466"/>
      <c r="AN36" s="466"/>
      <c r="AO36" s="466"/>
      <c r="AP36" s="466"/>
      <c r="AQ36" s="466"/>
      <c r="AR36" s="466"/>
      <c r="AS36" s="15"/>
      <c r="AT36" s="139">
        <f t="shared" si="11"/>
        <v>0</v>
      </c>
      <c r="AU36" s="139">
        <f t="shared" si="12"/>
        <v>0</v>
      </c>
      <c r="AV36" s="139">
        <f t="shared" si="13"/>
        <v>0</v>
      </c>
      <c r="AW36" s="139">
        <f t="shared" si="14"/>
        <v>0</v>
      </c>
      <c r="AX36" s="139">
        <f t="shared" si="15"/>
        <v>0</v>
      </c>
      <c r="AY36" s="139">
        <f t="shared" si="16"/>
        <v>0</v>
      </c>
      <c r="AZ36" s="139">
        <f t="shared" si="17"/>
        <v>0</v>
      </c>
      <c r="BA36" s="139">
        <f t="shared" si="18"/>
        <v>0</v>
      </c>
      <c r="BB36" s="12"/>
      <c r="BC36" s="4"/>
    </row>
    <row r="37" spans="1:57" x14ac:dyDescent="0.3">
      <c r="A37">
        <v>1013</v>
      </c>
      <c r="B37" t="s">
        <v>83</v>
      </c>
      <c r="C37" s="467"/>
      <c r="D37" s="467"/>
      <c r="E37" s="467"/>
      <c r="F37" s="467"/>
      <c r="G37" s="467"/>
      <c r="H37" s="467"/>
      <c r="I37" s="467"/>
      <c r="J37" s="467"/>
      <c r="K37" s="467"/>
      <c r="L37" s="467"/>
      <c r="M37" s="467"/>
      <c r="N37" s="467"/>
      <c r="O37" s="467"/>
      <c r="P37" s="467"/>
      <c r="Q37" s="467"/>
      <c r="R37" s="467"/>
      <c r="S37" s="466"/>
      <c r="T37" s="466"/>
      <c r="U37" s="466"/>
      <c r="V37" s="466"/>
      <c r="W37" s="466"/>
      <c r="X37" s="466"/>
      <c r="Y37" s="466"/>
      <c r="Z37" s="466"/>
      <c r="AA37" s="466"/>
      <c r="AB37" s="469"/>
      <c r="AC37" s="466"/>
      <c r="AD37" s="466"/>
      <c r="AE37" s="466"/>
      <c r="AF37" s="466"/>
      <c r="AG37" s="15"/>
      <c r="AH37" s="15"/>
      <c r="AI37" s="15"/>
      <c r="AJ37" s="15"/>
      <c r="AK37" s="466"/>
      <c r="AL37" s="466"/>
      <c r="AM37" s="466"/>
      <c r="AN37" s="466"/>
      <c r="AO37" s="466"/>
      <c r="AP37" s="466"/>
      <c r="AQ37" s="466"/>
      <c r="AR37" s="466"/>
      <c r="AS37" s="15"/>
      <c r="AT37" s="139">
        <f t="shared" si="11"/>
        <v>0</v>
      </c>
      <c r="AU37" s="139">
        <f t="shared" si="12"/>
        <v>0</v>
      </c>
      <c r="AV37" s="139">
        <f t="shared" si="13"/>
        <v>0</v>
      </c>
      <c r="AW37" s="139">
        <f t="shared" si="14"/>
        <v>0</v>
      </c>
      <c r="AX37" s="139">
        <f t="shared" si="15"/>
        <v>0</v>
      </c>
      <c r="AY37" s="139">
        <f t="shared" si="16"/>
        <v>0</v>
      </c>
      <c r="AZ37" s="139">
        <f t="shared" si="17"/>
        <v>0</v>
      </c>
      <c r="BA37" s="139">
        <f t="shared" si="18"/>
        <v>0</v>
      </c>
      <c r="BB37" s="12"/>
      <c r="BC37" s="4"/>
      <c r="BE37" s="6"/>
    </row>
    <row r="38" spans="1:57" x14ac:dyDescent="0.3">
      <c r="A38">
        <v>1014</v>
      </c>
      <c r="B38" t="s">
        <v>84</v>
      </c>
      <c r="C38" s="467"/>
      <c r="D38" s="467"/>
      <c r="E38" s="467"/>
      <c r="F38" s="467"/>
      <c r="G38" s="467"/>
      <c r="H38" s="467"/>
      <c r="I38" s="467"/>
      <c r="J38" s="467"/>
      <c r="K38" s="467"/>
      <c r="L38" s="467"/>
      <c r="M38" s="467"/>
      <c r="N38" s="467"/>
      <c r="O38" s="467"/>
      <c r="P38" s="467"/>
      <c r="Q38" s="467"/>
      <c r="R38" s="467"/>
      <c r="S38" s="466"/>
      <c r="T38" s="466"/>
      <c r="U38" s="466"/>
      <c r="V38" s="466"/>
      <c r="W38" s="466"/>
      <c r="X38" s="466"/>
      <c r="Y38" s="466"/>
      <c r="Z38" s="466"/>
      <c r="AA38" s="466"/>
      <c r="AB38" s="466"/>
      <c r="AC38" s="466"/>
      <c r="AD38" s="466"/>
      <c r="AE38" s="466"/>
      <c r="AF38" s="466"/>
      <c r="AG38" s="15"/>
      <c r="AH38" s="15"/>
      <c r="AI38" s="15"/>
      <c r="AJ38" s="15"/>
      <c r="AK38" s="466"/>
      <c r="AL38" s="466"/>
      <c r="AM38" s="466"/>
      <c r="AN38" s="466"/>
      <c r="AO38" s="466"/>
      <c r="AP38" s="466"/>
      <c r="AQ38" s="466"/>
      <c r="AR38" s="466"/>
      <c r="AS38" s="15"/>
      <c r="AT38" s="139">
        <f t="shared" si="11"/>
        <v>0</v>
      </c>
      <c r="AU38" s="139">
        <f t="shared" si="12"/>
        <v>0</v>
      </c>
      <c r="AV38" s="139">
        <f t="shared" si="13"/>
        <v>0</v>
      </c>
      <c r="AW38" s="139">
        <f t="shared" si="14"/>
        <v>0</v>
      </c>
      <c r="AX38" s="139">
        <f t="shared" si="15"/>
        <v>0</v>
      </c>
      <c r="AY38" s="139">
        <f t="shared" si="16"/>
        <v>0</v>
      </c>
      <c r="AZ38" s="139">
        <f t="shared" si="17"/>
        <v>0</v>
      </c>
      <c r="BA38" s="139">
        <f t="shared" si="18"/>
        <v>0</v>
      </c>
      <c r="BB38" s="12"/>
      <c r="BC38" s="4"/>
    </row>
    <row r="39" spans="1:57" x14ac:dyDescent="0.3">
      <c r="B39" t="s">
        <v>149</v>
      </c>
      <c r="C39" s="467"/>
      <c r="D39" s="467"/>
      <c r="E39" s="467"/>
      <c r="F39" s="467"/>
      <c r="G39" s="467"/>
      <c r="H39" s="467"/>
      <c r="I39" s="467"/>
      <c r="J39" s="467"/>
      <c r="K39" s="467"/>
      <c r="L39" s="467"/>
      <c r="M39" s="467"/>
      <c r="N39" s="467"/>
      <c r="O39" s="467"/>
      <c r="P39" s="467"/>
      <c r="Q39" s="467"/>
      <c r="R39" s="467"/>
      <c r="S39" s="466"/>
      <c r="T39" s="466"/>
      <c r="U39" s="466"/>
      <c r="V39" s="466"/>
      <c r="W39" s="466"/>
      <c r="X39" s="466"/>
      <c r="Y39" s="466"/>
      <c r="Z39" s="466"/>
      <c r="AA39" s="466"/>
      <c r="AB39" s="466"/>
      <c r="AC39" s="466"/>
      <c r="AD39" s="466"/>
      <c r="AE39" s="466"/>
      <c r="AF39" s="466"/>
      <c r="AG39" s="15"/>
      <c r="AH39" s="15"/>
      <c r="AI39" s="15"/>
      <c r="AJ39" s="15"/>
      <c r="AK39" s="466"/>
      <c r="AL39" s="466"/>
      <c r="AM39" s="466"/>
      <c r="AN39" s="466"/>
      <c r="AO39" s="466"/>
      <c r="AP39" s="466"/>
      <c r="AQ39" s="466"/>
      <c r="AR39" s="466"/>
      <c r="AS39" s="15"/>
      <c r="AT39" s="139">
        <f t="shared" si="11"/>
        <v>0</v>
      </c>
      <c r="AU39" s="139">
        <f t="shared" si="12"/>
        <v>0</v>
      </c>
      <c r="AV39" s="139">
        <f t="shared" si="13"/>
        <v>0</v>
      </c>
      <c r="AW39" s="139">
        <f t="shared" si="14"/>
        <v>0</v>
      </c>
      <c r="AX39" s="139">
        <f t="shared" si="15"/>
        <v>0</v>
      </c>
      <c r="AY39" s="139">
        <f t="shared" si="16"/>
        <v>0</v>
      </c>
      <c r="AZ39" s="139">
        <f t="shared" si="17"/>
        <v>0</v>
      </c>
      <c r="BA39" s="139">
        <f t="shared" si="18"/>
        <v>0</v>
      </c>
      <c r="BB39" s="12"/>
      <c r="BC39" s="4"/>
    </row>
    <row r="40" spans="1:57" x14ac:dyDescent="0.3">
      <c r="A40" s="66" t="s">
        <v>394</v>
      </c>
      <c r="B40" s="385" t="s">
        <v>393</v>
      </c>
      <c r="C40" s="467"/>
      <c r="D40" s="467"/>
      <c r="E40" s="467"/>
      <c r="F40" s="467"/>
      <c r="G40" s="467"/>
      <c r="H40" s="467"/>
      <c r="I40" s="467"/>
      <c r="J40" s="467"/>
      <c r="K40" s="467"/>
      <c r="L40" s="467"/>
      <c r="M40" s="467"/>
      <c r="N40" s="467"/>
      <c r="O40" s="467"/>
      <c r="P40" s="467"/>
      <c r="Q40" s="467"/>
      <c r="R40" s="467"/>
      <c r="S40" s="466"/>
      <c r="T40" s="466"/>
      <c r="U40" s="466"/>
      <c r="V40" s="466"/>
      <c r="W40" s="466"/>
      <c r="X40" s="466"/>
      <c r="Y40" s="466"/>
      <c r="Z40" s="466"/>
      <c r="AA40" s="466"/>
      <c r="AB40" s="466"/>
      <c r="AC40" s="466"/>
      <c r="AD40" s="466"/>
      <c r="AE40" s="466"/>
      <c r="AF40" s="466"/>
      <c r="AG40" s="15"/>
      <c r="AH40" s="15"/>
      <c r="AI40" s="15"/>
      <c r="AJ40" s="15"/>
      <c r="AK40" s="466"/>
      <c r="AL40" s="466"/>
      <c r="AM40" s="466"/>
      <c r="AN40" s="466"/>
      <c r="AO40" s="466"/>
      <c r="AP40" s="466"/>
      <c r="AQ40" s="466"/>
      <c r="AR40" s="466"/>
      <c r="AS40" s="15"/>
      <c r="AT40" s="139">
        <f t="shared" si="11"/>
        <v>0</v>
      </c>
      <c r="AU40" s="139">
        <f t="shared" si="12"/>
        <v>0</v>
      </c>
      <c r="AV40" s="139">
        <f t="shared" si="13"/>
        <v>0</v>
      </c>
      <c r="AW40" s="139">
        <f t="shared" si="14"/>
        <v>0</v>
      </c>
      <c r="AX40" s="139">
        <f t="shared" si="15"/>
        <v>0</v>
      </c>
      <c r="AY40" s="139">
        <f t="shared" si="16"/>
        <v>0</v>
      </c>
      <c r="AZ40" s="139">
        <f t="shared" si="17"/>
        <v>0</v>
      </c>
      <c r="BA40" s="139">
        <f t="shared" si="18"/>
        <v>0</v>
      </c>
      <c r="BB40" s="139"/>
      <c r="BC40" s="4"/>
    </row>
    <row r="41" spans="1:57" x14ac:dyDescent="0.3">
      <c r="A41">
        <v>1018</v>
      </c>
      <c r="B41" t="s">
        <v>85</v>
      </c>
      <c r="C41" s="467"/>
      <c r="D41" s="467"/>
      <c r="E41" s="467"/>
      <c r="F41" s="467"/>
      <c r="G41" s="467"/>
      <c r="H41" s="467"/>
      <c r="I41" s="467"/>
      <c r="J41" s="467"/>
      <c r="K41" s="467"/>
      <c r="L41" s="467"/>
      <c r="M41" s="467"/>
      <c r="N41" s="467"/>
      <c r="O41" s="467"/>
      <c r="P41" s="467"/>
      <c r="Q41" s="467"/>
      <c r="R41" s="467"/>
      <c r="S41" s="466"/>
      <c r="T41" s="466"/>
      <c r="U41" s="466"/>
      <c r="V41" s="466"/>
      <c r="W41" s="466"/>
      <c r="X41" s="466"/>
      <c r="Y41" s="466"/>
      <c r="Z41" s="466"/>
      <c r="AA41" s="466"/>
      <c r="AB41" s="466"/>
      <c r="AC41" s="466"/>
      <c r="AD41" s="466"/>
      <c r="AE41" s="466"/>
      <c r="AF41" s="466"/>
      <c r="AG41" s="15"/>
      <c r="AH41" s="15"/>
      <c r="AI41" s="15"/>
      <c r="AJ41" s="15"/>
      <c r="AK41" s="466"/>
      <c r="AL41" s="466"/>
      <c r="AM41" s="466"/>
      <c r="AN41" s="466"/>
      <c r="AO41" s="466"/>
      <c r="AP41" s="466"/>
      <c r="AQ41" s="466"/>
      <c r="AR41" s="466"/>
      <c r="AS41" s="15"/>
      <c r="AT41" s="139">
        <f t="shared" si="11"/>
        <v>0</v>
      </c>
      <c r="AU41" s="139">
        <f t="shared" si="12"/>
        <v>0</v>
      </c>
      <c r="AV41" s="139">
        <f t="shared" si="13"/>
        <v>0</v>
      </c>
      <c r="AW41" s="139">
        <f t="shared" si="14"/>
        <v>0</v>
      </c>
      <c r="AX41" s="139">
        <f t="shared" si="15"/>
        <v>0</v>
      </c>
      <c r="AY41" s="139">
        <f t="shared" si="16"/>
        <v>0</v>
      </c>
      <c r="AZ41" s="139">
        <f t="shared" si="17"/>
        <v>0</v>
      </c>
      <c r="BA41" s="139">
        <f t="shared" si="18"/>
        <v>0</v>
      </c>
      <c r="BB41" s="12"/>
      <c r="BC41" s="4"/>
    </row>
    <row r="42" spans="1:57" x14ac:dyDescent="0.3">
      <c r="A42">
        <v>1019</v>
      </c>
      <c r="B42" t="s">
        <v>77</v>
      </c>
      <c r="C42" s="467"/>
      <c r="D42" s="467"/>
      <c r="E42" s="467"/>
      <c r="F42" s="467"/>
      <c r="G42" s="467"/>
      <c r="H42" s="467"/>
      <c r="I42" s="467"/>
      <c r="J42" s="467"/>
      <c r="K42" s="467"/>
      <c r="L42" s="467"/>
      <c r="M42" s="467"/>
      <c r="N42" s="467"/>
      <c r="O42" s="467"/>
      <c r="P42" s="467"/>
      <c r="Q42" s="467"/>
      <c r="R42" s="467"/>
      <c r="S42" s="466"/>
      <c r="T42" s="466"/>
      <c r="U42" s="466"/>
      <c r="V42" s="466"/>
      <c r="W42" s="466"/>
      <c r="X42" s="466"/>
      <c r="Y42" s="466"/>
      <c r="Z42" s="466"/>
      <c r="AA42" s="466"/>
      <c r="AB42" s="466"/>
      <c r="AC42" s="466"/>
      <c r="AD42" s="466"/>
      <c r="AE42" s="466"/>
      <c r="AF42" s="466"/>
      <c r="AG42" s="15"/>
      <c r="AH42" s="15"/>
      <c r="AI42" s="15"/>
      <c r="AJ42" s="15"/>
      <c r="AK42" s="466"/>
      <c r="AL42" s="466"/>
      <c r="AM42" s="466"/>
      <c r="AN42" s="466"/>
      <c r="AO42" s="466"/>
      <c r="AP42" s="466"/>
      <c r="AQ42" s="466"/>
      <c r="AR42" s="466"/>
      <c r="AS42" s="15"/>
      <c r="AT42" s="139">
        <f t="shared" si="11"/>
        <v>0</v>
      </c>
      <c r="AU42" s="139">
        <f t="shared" si="12"/>
        <v>0</v>
      </c>
      <c r="AV42" s="139">
        <f t="shared" si="13"/>
        <v>0</v>
      </c>
      <c r="AW42" s="139">
        <f t="shared" si="14"/>
        <v>0</v>
      </c>
      <c r="AX42" s="139">
        <f t="shared" si="15"/>
        <v>0</v>
      </c>
      <c r="AY42" s="139">
        <f t="shared" si="16"/>
        <v>0</v>
      </c>
      <c r="AZ42" s="139">
        <f t="shared" si="17"/>
        <v>0</v>
      </c>
      <c r="BA42" s="139">
        <f t="shared" si="18"/>
        <v>0</v>
      </c>
      <c r="BB42" s="12"/>
      <c r="BC42" s="4"/>
    </row>
    <row r="43" spans="1:57" x14ac:dyDescent="0.3">
      <c r="B43" s="49" t="s">
        <v>188</v>
      </c>
      <c r="C43" s="467"/>
      <c r="D43" s="467"/>
      <c r="E43" s="467"/>
      <c r="F43" s="467"/>
      <c r="G43" s="467"/>
      <c r="H43" s="467"/>
      <c r="I43" s="467"/>
      <c r="J43" s="467"/>
      <c r="K43" s="467"/>
      <c r="L43" s="467"/>
      <c r="M43" s="467"/>
      <c r="N43" s="467"/>
      <c r="O43" s="467"/>
      <c r="P43" s="467"/>
      <c r="Q43" s="467"/>
      <c r="R43" s="467"/>
      <c r="S43" s="466"/>
      <c r="T43" s="466"/>
      <c r="U43" s="466"/>
      <c r="V43" s="466"/>
      <c r="W43" s="466"/>
      <c r="X43" s="466"/>
      <c r="Y43" s="466"/>
      <c r="Z43" s="466"/>
      <c r="AA43" s="466"/>
      <c r="AB43" s="466"/>
      <c r="AC43" s="466"/>
      <c r="AD43" s="466"/>
      <c r="AE43" s="466"/>
      <c r="AF43" s="466"/>
      <c r="AG43" s="15"/>
      <c r="AH43" s="15"/>
      <c r="AI43" s="15"/>
      <c r="AJ43" s="15"/>
      <c r="AK43" s="466"/>
      <c r="AL43" s="466"/>
      <c r="AM43" s="466"/>
      <c r="AN43" s="466"/>
      <c r="AO43" s="466"/>
      <c r="AP43" s="466"/>
      <c r="AQ43" s="466"/>
      <c r="AR43" s="466"/>
      <c r="AS43" s="15"/>
      <c r="AT43" s="139">
        <f t="shared" si="11"/>
        <v>0</v>
      </c>
      <c r="AU43" s="139">
        <f t="shared" si="12"/>
        <v>0</v>
      </c>
      <c r="AV43" s="139">
        <f t="shared" si="13"/>
        <v>0</v>
      </c>
      <c r="AW43" s="139">
        <f t="shared" si="14"/>
        <v>0</v>
      </c>
      <c r="AX43" s="139">
        <f t="shared" si="15"/>
        <v>0</v>
      </c>
      <c r="AY43" s="139">
        <f t="shared" si="16"/>
        <v>0</v>
      </c>
      <c r="AZ43" s="139">
        <f t="shared" si="17"/>
        <v>0</v>
      </c>
      <c r="BA43" s="139">
        <f t="shared" si="18"/>
        <v>0</v>
      </c>
      <c r="BB43" s="12"/>
      <c r="BC43" s="4"/>
    </row>
    <row r="44" spans="1:57" x14ac:dyDescent="0.3">
      <c r="A44">
        <v>1015</v>
      </c>
      <c r="B44" t="s">
        <v>268</v>
      </c>
      <c r="C44" s="467"/>
      <c r="D44" s="467"/>
      <c r="E44" s="467"/>
      <c r="F44" s="467"/>
      <c r="G44" s="467"/>
      <c r="H44" s="467"/>
      <c r="I44" s="467"/>
      <c r="J44" s="467"/>
      <c r="K44" s="467"/>
      <c r="L44" s="467"/>
      <c r="M44" s="467"/>
      <c r="N44" s="467"/>
      <c r="O44" s="467"/>
      <c r="P44" s="467"/>
      <c r="Q44" s="467"/>
      <c r="R44" s="467"/>
      <c r="S44" s="466"/>
      <c r="T44" s="466"/>
      <c r="U44" s="466"/>
      <c r="V44" s="466"/>
      <c r="W44" s="466"/>
      <c r="X44" s="466"/>
      <c r="Y44" s="466"/>
      <c r="Z44" s="466"/>
      <c r="AA44" s="469"/>
      <c r="AB44" s="466"/>
      <c r="AC44" s="466"/>
      <c r="AD44" s="466"/>
      <c r="AE44" s="466"/>
      <c r="AF44" s="466"/>
      <c r="AG44" s="4"/>
      <c r="AH44" s="4"/>
      <c r="AI44" s="4"/>
      <c r="AJ44" s="4"/>
      <c r="AK44" s="466"/>
      <c r="AL44" s="466"/>
      <c r="AM44" s="466"/>
      <c r="AN44" s="466"/>
      <c r="AO44" s="466"/>
      <c r="AP44" s="466"/>
      <c r="AQ44" s="466"/>
      <c r="AR44" s="466"/>
      <c r="AS44" s="15"/>
      <c r="AT44" s="139">
        <f t="shared" si="11"/>
        <v>0</v>
      </c>
      <c r="AU44" s="139">
        <f t="shared" si="12"/>
        <v>0</v>
      </c>
      <c r="AV44" s="139">
        <f t="shared" si="13"/>
        <v>0</v>
      </c>
      <c r="AW44" s="139">
        <f t="shared" si="14"/>
        <v>0</v>
      </c>
      <c r="AX44" s="139">
        <f t="shared" si="15"/>
        <v>0</v>
      </c>
      <c r="AY44" s="139">
        <f t="shared" si="16"/>
        <v>0</v>
      </c>
      <c r="AZ44" s="139">
        <f t="shared" si="17"/>
        <v>0</v>
      </c>
      <c r="BA44" s="139">
        <f t="shared" si="18"/>
        <v>0</v>
      </c>
      <c r="BB44" s="12"/>
      <c r="BC44" s="4"/>
    </row>
    <row r="45" spans="1:57" x14ac:dyDescent="0.3">
      <c r="B45" s="49" t="s">
        <v>216</v>
      </c>
      <c r="G45" s="467"/>
      <c r="H45" s="467"/>
      <c r="I45" s="467"/>
      <c r="J45" s="467"/>
      <c r="K45" s="467"/>
      <c r="L45" s="467"/>
      <c r="M45" s="467"/>
      <c r="N45" s="467"/>
      <c r="O45" s="467"/>
      <c r="P45" s="467"/>
      <c r="Q45" s="467"/>
      <c r="R45" s="467"/>
      <c r="S45" s="466"/>
      <c r="T45" s="466"/>
      <c r="U45" s="466"/>
      <c r="V45" s="466"/>
      <c r="W45" s="466"/>
      <c r="X45" s="466"/>
      <c r="Y45" s="466"/>
      <c r="Z45" s="466"/>
      <c r="AA45" s="466"/>
      <c r="AB45" s="466"/>
      <c r="AC45" s="466"/>
      <c r="AD45" s="466"/>
      <c r="AE45" s="466"/>
      <c r="AF45" s="466"/>
      <c r="AK45" s="466"/>
      <c r="AL45" s="466"/>
      <c r="AM45" s="466"/>
      <c r="AN45" s="466"/>
      <c r="AO45" s="466"/>
      <c r="AP45" s="466"/>
      <c r="AQ45" s="466"/>
      <c r="AR45" s="466"/>
      <c r="AT45" s="139">
        <f t="shared" si="11"/>
        <v>0</v>
      </c>
      <c r="AU45" s="139">
        <f t="shared" si="12"/>
        <v>0</v>
      </c>
      <c r="AV45" s="139">
        <f t="shared" si="13"/>
        <v>0</v>
      </c>
      <c r="AW45" s="139">
        <f t="shared" si="14"/>
        <v>0</v>
      </c>
      <c r="AX45" s="139">
        <f t="shared" si="15"/>
        <v>0</v>
      </c>
      <c r="AY45" s="139">
        <f t="shared" si="16"/>
        <v>0</v>
      </c>
      <c r="AZ45" s="139">
        <f t="shared" si="17"/>
        <v>0</v>
      </c>
      <c r="BA45" s="139">
        <f t="shared" si="18"/>
        <v>0</v>
      </c>
      <c r="BC45" s="4"/>
    </row>
    <row r="46" spans="1:57" x14ac:dyDescent="0.3">
      <c r="A46">
        <v>1048</v>
      </c>
      <c r="B46" t="s">
        <v>207</v>
      </c>
      <c r="M46" s="467"/>
      <c r="N46" s="467"/>
      <c r="O46" s="467"/>
      <c r="P46" s="467"/>
      <c r="Q46" s="467"/>
      <c r="R46" s="467"/>
      <c r="S46" s="466"/>
      <c r="T46" s="466"/>
      <c r="U46" s="466"/>
      <c r="V46" s="466"/>
      <c r="W46" s="466"/>
      <c r="X46" s="466"/>
      <c r="Y46" s="466"/>
      <c r="Z46" s="466"/>
      <c r="AA46" s="466"/>
      <c r="AB46" s="466"/>
      <c r="AC46" s="466"/>
      <c r="AD46" s="466"/>
      <c r="AE46" s="466"/>
      <c r="AF46" s="466"/>
      <c r="AK46" s="466"/>
      <c r="AL46" s="466"/>
      <c r="AM46" s="466"/>
      <c r="AN46" s="466"/>
      <c r="AO46" s="466"/>
      <c r="AP46" s="466"/>
      <c r="AQ46" s="466"/>
      <c r="AR46" s="466"/>
      <c r="AT46" s="139">
        <f t="shared" si="11"/>
        <v>0</v>
      </c>
      <c r="AU46" s="139">
        <f t="shared" si="12"/>
        <v>0</v>
      </c>
      <c r="AV46" s="139">
        <f t="shared" si="13"/>
        <v>0</v>
      </c>
      <c r="AW46" s="139">
        <f t="shared" si="14"/>
        <v>0</v>
      </c>
      <c r="AX46" s="139">
        <f t="shared" si="15"/>
        <v>0</v>
      </c>
      <c r="AY46" s="139">
        <f t="shared" si="16"/>
        <v>0</v>
      </c>
      <c r="AZ46" s="139">
        <f t="shared" si="17"/>
        <v>0</v>
      </c>
      <c r="BA46" s="139">
        <f t="shared" si="18"/>
        <v>0</v>
      </c>
      <c r="BC46" s="4"/>
    </row>
    <row r="47" spans="1:57" x14ac:dyDescent="0.3">
      <c r="B47" s="49" t="s">
        <v>384</v>
      </c>
      <c r="M47" s="467"/>
      <c r="N47" s="467"/>
      <c r="O47" s="467"/>
      <c r="P47" s="467"/>
      <c r="Q47" s="467"/>
      <c r="R47" s="467"/>
      <c r="S47" s="466"/>
      <c r="T47" s="466"/>
      <c r="U47" s="466"/>
      <c r="V47" s="466"/>
      <c r="W47" s="466"/>
      <c r="X47" s="466"/>
      <c r="Y47" s="466"/>
      <c r="Z47" s="466"/>
      <c r="AA47" s="466"/>
      <c r="AB47" s="466"/>
      <c r="AC47" s="466"/>
      <c r="AD47" s="466"/>
      <c r="AE47" s="466"/>
      <c r="AF47" s="466"/>
      <c r="AK47" s="466"/>
      <c r="AL47" s="466"/>
      <c r="AM47" s="466"/>
      <c r="AN47" s="466"/>
      <c r="AO47" s="466"/>
      <c r="AP47" s="466"/>
      <c r="AQ47" s="466"/>
      <c r="AR47" s="466"/>
      <c r="AT47" s="139">
        <f t="shared" si="11"/>
        <v>0</v>
      </c>
      <c r="AU47" s="139">
        <f t="shared" si="12"/>
        <v>0</v>
      </c>
      <c r="AV47" s="139">
        <f t="shared" si="13"/>
        <v>0</v>
      </c>
      <c r="AW47" s="139">
        <f t="shared" si="14"/>
        <v>0</v>
      </c>
      <c r="AX47" s="139">
        <f t="shared" si="15"/>
        <v>0</v>
      </c>
      <c r="AY47" s="139">
        <f t="shared" si="16"/>
        <v>0</v>
      </c>
      <c r="AZ47" s="139">
        <f t="shared" si="17"/>
        <v>0</v>
      </c>
      <c r="BA47" s="139">
        <f t="shared" si="18"/>
        <v>0</v>
      </c>
      <c r="BC47" s="4"/>
    </row>
    <row r="48" spans="1:57" x14ac:dyDescent="0.3">
      <c r="BC48" s="4"/>
    </row>
    <row r="49" spans="1:55" x14ac:dyDescent="0.3">
      <c r="B49" s="1" t="s">
        <v>389</v>
      </c>
      <c r="S49" s="25"/>
      <c r="BC49" s="4"/>
    </row>
    <row r="50" spans="1:55" x14ac:dyDescent="0.3">
      <c r="A50">
        <v>1012</v>
      </c>
      <c r="B50" t="s">
        <v>82</v>
      </c>
      <c r="S50" s="15"/>
      <c r="T50" s="15"/>
      <c r="U50" s="15"/>
      <c r="V50" s="15"/>
      <c r="W50" s="15"/>
      <c r="X50" s="15"/>
      <c r="Y50" s="466"/>
      <c r="Z50" s="466"/>
      <c r="AA50" s="466"/>
      <c r="AB50" s="466"/>
      <c r="AC50" s="466"/>
      <c r="AD50" s="466"/>
      <c r="AE50" s="466"/>
      <c r="AF50" s="466"/>
      <c r="AG50" s="15"/>
      <c r="AH50" s="15"/>
      <c r="AI50" s="15"/>
      <c r="AJ50" s="15"/>
      <c r="AK50" s="466"/>
      <c r="AL50" s="466"/>
      <c r="AM50" s="466"/>
      <c r="AN50" s="466"/>
      <c r="AO50" s="466"/>
      <c r="AP50" s="466"/>
      <c r="AQ50" s="466"/>
      <c r="AR50" s="466"/>
      <c r="AT50" s="353">
        <f t="shared" ref="AT50:AT67" si="19">IF(ISERROR((AK50-Y50)/Y50),0,(AK50-Y50)/Y50)</f>
        <v>0</v>
      </c>
      <c r="AU50" s="353">
        <f t="shared" ref="AU50:AU67" si="20">IF(ISERROR((AL50-Z50)/Z50),0,(AL50-Z50)/Z50)</f>
        <v>0</v>
      </c>
      <c r="AV50" s="353">
        <f t="shared" ref="AV50:AV67" si="21">IF(ISERROR((AM50-AA50)/AA50),0,(AM50-AA50)/AA50)</f>
        <v>0</v>
      </c>
      <c r="AW50" s="353">
        <f t="shared" ref="AW50:AW67" si="22">IF(ISERROR((AN50-AB50)/AB50),0,(AN50-AB50)/AB50)</f>
        <v>0</v>
      </c>
      <c r="AX50" s="353">
        <f t="shared" ref="AX50:AX67" si="23">IF(ISERROR((AO50-AC50)/AC50),0,(AO50-AC50)/AC50)</f>
        <v>0</v>
      </c>
      <c r="AY50" s="353">
        <f t="shared" ref="AY50:AY67" si="24">IF(ISERROR((AP50-AD50)/AD50),0,(AP50-AD50)/AD50)</f>
        <v>0</v>
      </c>
      <c r="AZ50" s="353">
        <f t="shared" ref="AZ50:AZ67" si="25">IF(ISERROR((AQ50-AE50)/AE50),0,(AQ50-AE50)/AE50)</f>
        <v>0</v>
      </c>
      <c r="BA50" s="353">
        <f t="shared" ref="BA50:BA67" si="26">IF(ISERROR((AR50-AF50)/AF50),0,(AR50-AF50)/AF50)</f>
        <v>0</v>
      </c>
      <c r="BB50" s="12"/>
      <c r="BC50" s="4"/>
    </row>
    <row r="51" spans="1:55" x14ac:dyDescent="0.3">
      <c r="A51">
        <v>1012</v>
      </c>
      <c r="B51" t="s">
        <v>90</v>
      </c>
      <c r="S51" s="15"/>
      <c r="T51" s="15"/>
      <c r="U51" s="15"/>
      <c r="V51" s="15"/>
      <c r="W51" s="15"/>
      <c r="X51" s="15"/>
      <c r="Y51" s="466"/>
      <c r="Z51" s="466"/>
      <c r="AA51" s="466"/>
      <c r="AB51" s="466"/>
      <c r="AC51" s="466"/>
      <c r="AD51" s="466"/>
      <c r="AE51" s="466"/>
      <c r="AF51" s="466"/>
      <c r="AG51" s="15"/>
      <c r="AH51" s="15"/>
      <c r="AI51" s="15"/>
      <c r="AJ51" s="15"/>
      <c r="AK51" s="466"/>
      <c r="AL51" s="466"/>
      <c r="AM51" s="466"/>
      <c r="AN51" s="466"/>
      <c r="AO51" s="466"/>
      <c r="AP51" s="466"/>
      <c r="AQ51" s="466"/>
      <c r="AR51" s="466"/>
      <c r="AT51" s="353">
        <f t="shared" si="19"/>
        <v>0</v>
      </c>
      <c r="AU51" s="353">
        <f t="shared" si="20"/>
        <v>0</v>
      </c>
      <c r="AV51" s="353">
        <f t="shared" si="21"/>
        <v>0</v>
      </c>
      <c r="AW51" s="353">
        <f t="shared" si="22"/>
        <v>0</v>
      </c>
      <c r="AX51" s="353">
        <f t="shared" si="23"/>
        <v>0</v>
      </c>
      <c r="AY51" s="353">
        <f t="shared" si="24"/>
        <v>0</v>
      </c>
      <c r="AZ51" s="353">
        <f t="shared" si="25"/>
        <v>0</v>
      </c>
      <c r="BA51" s="353">
        <f t="shared" si="26"/>
        <v>0</v>
      </c>
      <c r="BB51" s="12"/>
      <c r="BC51" s="4"/>
    </row>
    <row r="52" spans="1:55" x14ac:dyDescent="0.3">
      <c r="B52" t="s">
        <v>118</v>
      </c>
      <c r="S52" s="15"/>
      <c r="T52" s="15"/>
      <c r="U52" s="15"/>
      <c r="V52" s="15"/>
      <c r="W52" s="15"/>
      <c r="X52" s="15"/>
      <c r="Y52" s="466"/>
      <c r="Z52" s="466"/>
      <c r="AA52" s="466"/>
      <c r="AB52" s="466"/>
      <c r="AC52" s="466"/>
      <c r="AD52" s="466"/>
      <c r="AE52" s="466"/>
      <c r="AF52" s="466"/>
      <c r="AG52" s="15"/>
      <c r="AH52" s="15"/>
      <c r="AI52" s="15"/>
      <c r="AJ52" s="15"/>
      <c r="AK52" s="466"/>
      <c r="AL52" s="466"/>
      <c r="AM52" s="466"/>
      <c r="AN52" s="466"/>
      <c r="AO52" s="466"/>
      <c r="AP52" s="466"/>
      <c r="AQ52" s="466"/>
      <c r="AR52" s="466"/>
      <c r="AT52" s="353">
        <f t="shared" si="19"/>
        <v>0</v>
      </c>
      <c r="AU52" s="353">
        <f t="shared" si="20"/>
        <v>0</v>
      </c>
      <c r="AV52" s="353">
        <f t="shared" si="21"/>
        <v>0</v>
      </c>
      <c r="AW52" s="353">
        <f t="shared" si="22"/>
        <v>0</v>
      </c>
      <c r="AX52" s="353">
        <f t="shared" si="23"/>
        <v>0</v>
      </c>
      <c r="AY52" s="353">
        <f t="shared" si="24"/>
        <v>0</v>
      </c>
      <c r="AZ52" s="353">
        <f t="shared" si="25"/>
        <v>0</v>
      </c>
      <c r="BA52" s="353">
        <f t="shared" si="26"/>
        <v>0</v>
      </c>
      <c r="BB52" s="12"/>
      <c r="BC52" s="4"/>
    </row>
    <row r="53" spans="1:55" x14ac:dyDescent="0.3">
      <c r="B53" s="14" t="s">
        <v>91</v>
      </c>
      <c r="S53" s="15"/>
      <c r="T53" s="15"/>
      <c r="U53" s="15"/>
      <c r="V53" s="15"/>
      <c r="W53" s="15"/>
      <c r="X53" s="15"/>
      <c r="Y53" s="466"/>
      <c r="Z53" s="466"/>
      <c r="AA53" s="466"/>
      <c r="AB53" s="466"/>
      <c r="AC53" s="466"/>
      <c r="AD53" s="466"/>
      <c r="AE53" s="466"/>
      <c r="AF53" s="466"/>
      <c r="AG53" s="15"/>
      <c r="AH53" s="15"/>
      <c r="AI53" s="15"/>
      <c r="AJ53" s="15"/>
      <c r="AK53" s="466"/>
      <c r="AL53" s="466"/>
      <c r="AM53" s="466"/>
      <c r="AN53" s="466"/>
      <c r="AO53" s="466"/>
      <c r="AP53" s="466"/>
      <c r="AQ53" s="466"/>
      <c r="AR53" s="466"/>
      <c r="AT53" s="353">
        <f t="shared" si="19"/>
        <v>0</v>
      </c>
      <c r="AU53" s="353">
        <f t="shared" si="20"/>
        <v>0</v>
      </c>
      <c r="AV53" s="353">
        <f t="shared" si="21"/>
        <v>0</v>
      </c>
      <c r="AW53" s="353">
        <f t="shared" si="22"/>
        <v>0</v>
      </c>
      <c r="AX53" s="353">
        <f t="shared" si="23"/>
        <v>0</v>
      </c>
      <c r="AY53" s="353">
        <f t="shared" si="24"/>
        <v>0</v>
      </c>
      <c r="AZ53" s="353">
        <f t="shared" si="25"/>
        <v>0</v>
      </c>
      <c r="BA53" s="353">
        <f t="shared" si="26"/>
        <v>0</v>
      </c>
      <c r="BB53" s="12"/>
      <c r="BC53" s="4"/>
    </row>
    <row r="54" spans="1:55" x14ac:dyDescent="0.3">
      <c r="B54" s="14" t="s">
        <v>238</v>
      </c>
      <c r="S54" s="15"/>
      <c r="T54" s="15"/>
      <c r="U54" s="15"/>
      <c r="V54" s="15"/>
      <c r="W54" s="15"/>
      <c r="X54" s="15"/>
      <c r="Y54" s="466"/>
      <c r="Z54" s="466"/>
      <c r="AA54" s="466"/>
      <c r="AB54" s="466"/>
      <c r="AC54" s="466"/>
      <c r="AD54" s="466"/>
      <c r="AE54" s="466"/>
      <c r="AF54" s="466"/>
      <c r="AG54" s="15"/>
      <c r="AH54" s="15"/>
      <c r="AI54" s="15"/>
      <c r="AJ54" s="15"/>
      <c r="AK54" s="466"/>
      <c r="AL54" s="466"/>
      <c r="AM54" s="466"/>
      <c r="AN54" s="466"/>
      <c r="AO54" s="466"/>
      <c r="AP54" s="466"/>
      <c r="AQ54" s="466"/>
      <c r="AR54" s="466"/>
      <c r="AT54" s="353">
        <f t="shared" si="19"/>
        <v>0</v>
      </c>
      <c r="AU54" s="353">
        <f t="shared" si="20"/>
        <v>0</v>
      </c>
      <c r="AV54" s="353">
        <f t="shared" si="21"/>
        <v>0</v>
      </c>
      <c r="AW54" s="353">
        <f t="shared" si="22"/>
        <v>0</v>
      </c>
      <c r="AX54" s="353">
        <f t="shared" si="23"/>
        <v>0</v>
      </c>
      <c r="AY54" s="353">
        <f t="shared" si="24"/>
        <v>0</v>
      </c>
      <c r="AZ54" s="353">
        <f t="shared" si="25"/>
        <v>0</v>
      </c>
      <c r="BA54" s="353">
        <f t="shared" si="26"/>
        <v>0</v>
      </c>
      <c r="BB54" s="12"/>
      <c r="BC54" s="4"/>
    </row>
    <row r="55" spans="1:55" x14ac:dyDescent="0.3">
      <c r="B55" s="14" t="s">
        <v>246</v>
      </c>
      <c r="S55" s="15"/>
      <c r="T55" s="15"/>
      <c r="U55" s="15"/>
      <c r="V55" s="15"/>
      <c r="W55" s="15"/>
      <c r="X55" s="15"/>
      <c r="Y55" s="466"/>
      <c r="Z55" s="466"/>
      <c r="AA55" s="466"/>
      <c r="AB55" s="466"/>
      <c r="AC55" s="466"/>
      <c r="AD55" s="466"/>
      <c r="AE55" s="466"/>
      <c r="AF55" s="466"/>
      <c r="AG55" s="15"/>
      <c r="AH55" s="15"/>
      <c r="AI55" s="15"/>
      <c r="AJ55" s="15"/>
      <c r="AK55" s="466"/>
      <c r="AL55" s="466"/>
      <c r="AM55" s="466"/>
      <c r="AN55" s="466"/>
      <c r="AO55" s="466"/>
      <c r="AP55" s="466"/>
      <c r="AQ55" s="466"/>
      <c r="AR55" s="466"/>
      <c r="AT55" s="353">
        <f t="shared" si="19"/>
        <v>0</v>
      </c>
      <c r="AU55" s="353">
        <f t="shared" si="20"/>
        <v>0</v>
      </c>
      <c r="AV55" s="353">
        <f t="shared" si="21"/>
        <v>0</v>
      </c>
      <c r="AW55" s="353">
        <f t="shared" si="22"/>
        <v>0</v>
      </c>
      <c r="AX55" s="353">
        <f t="shared" si="23"/>
        <v>0</v>
      </c>
      <c r="AY55" s="353">
        <f t="shared" si="24"/>
        <v>0</v>
      </c>
      <c r="AZ55" s="353">
        <f t="shared" si="25"/>
        <v>0</v>
      </c>
      <c r="BA55" s="353">
        <f t="shared" si="26"/>
        <v>0</v>
      </c>
      <c r="BB55" s="12"/>
      <c r="BC55" s="4"/>
    </row>
    <row r="56" spans="1:55" x14ac:dyDescent="0.3">
      <c r="B56" s="14" t="s">
        <v>153</v>
      </c>
      <c r="S56" s="15"/>
      <c r="T56" s="15"/>
      <c r="U56" s="15"/>
      <c r="V56" s="15"/>
      <c r="W56" s="15"/>
      <c r="X56" s="15"/>
      <c r="Y56" s="466"/>
      <c r="Z56" s="466"/>
      <c r="AA56" s="466"/>
      <c r="AB56" s="466"/>
      <c r="AC56" s="466"/>
      <c r="AD56" s="466"/>
      <c r="AE56" s="466"/>
      <c r="AF56" s="466"/>
      <c r="AG56" s="15"/>
      <c r="AH56" s="15"/>
      <c r="AI56" s="15"/>
      <c r="AJ56" s="15"/>
      <c r="AK56" s="466"/>
      <c r="AL56" s="466"/>
      <c r="AM56" s="466"/>
      <c r="AN56" s="466"/>
      <c r="AO56" s="466"/>
      <c r="AP56" s="466"/>
      <c r="AQ56" s="466"/>
      <c r="AR56" s="466"/>
      <c r="AT56" s="353">
        <f t="shared" si="19"/>
        <v>0</v>
      </c>
      <c r="AU56" s="353">
        <f t="shared" si="20"/>
        <v>0</v>
      </c>
      <c r="AV56" s="353">
        <f t="shared" si="21"/>
        <v>0</v>
      </c>
      <c r="AW56" s="353">
        <f t="shared" si="22"/>
        <v>0</v>
      </c>
      <c r="AX56" s="353">
        <f t="shared" si="23"/>
        <v>0</v>
      </c>
      <c r="AY56" s="353">
        <f t="shared" si="24"/>
        <v>0</v>
      </c>
      <c r="AZ56" s="353">
        <f t="shared" si="25"/>
        <v>0</v>
      </c>
      <c r="BA56" s="353">
        <f t="shared" si="26"/>
        <v>0</v>
      </c>
      <c r="BB56" s="12"/>
      <c r="BC56" s="4"/>
    </row>
    <row r="57" spans="1:55" x14ac:dyDescent="0.3">
      <c r="A57">
        <v>1013</v>
      </c>
      <c r="B57" t="s">
        <v>83</v>
      </c>
      <c r="S57" s="15"/>
      <c r="T57" s="15"/>
      <c r="U57" s="15"/>
      <c r="V57" s="15"/>
      <c r="W57" s="15"/>
      <c r="X57" s="15"/>
      <c r="Y57" s="466"/>
      <c r="Z57" s="466"/>
      <c r="AA57" s="466"/>
      <c r="AB57" s="466"/>
      <c r="AC57" s="466"/>
      <c r="AD57" s="466"/>
      <c r="AE57" s="466"/>
      <c r="AF57" s="466"/>
      <c r="AG57" s="15"/>
      <c r="AH57" s="15"/>
      <c r="AI57" s="15"/>
      <c r="AJ57" s="15"/>
      <c r="AK57" s="466"/>
      <c r="AL57" s="466"/>
      <c r="AM57" s="466"/>
      <c r="AN57" s="466"/>
      <c r="AO57" s="466"/>
      <c r="AP57" s="466"/>
      <c r="AQ57" s="466"/>
      <c r="AR57" s="466"/>
      <c r="AT57" s="353">
        <f t="shared" si="19"/>
        <v>0</v>
      </c>
      <c r="AU57" s="353">
        <f t="shared" si="20"/>
        <v>0</v>
      </c>
      <c r="AV57" s="353">
        <f t="shared" si="21"/>
        <v>0</v>
      </c>
      <c r="AW57" s="353">
        <f t="shared" si="22"/>
        <v>0</v>
      </c>
      <c r="AX57" s="353">
        <f t="shared" si="23"/>
        <v>0</v>
      </c>
      <c r="AY57" s="353">
        <f t="shared" si="24"/>
        <v>0</v>
      </c>
      <c r="AZ57" s="353">
        <f t="shared" si="25"/>
        <v>0</v>
      </c>
      <c r="BA57" s="353">
        <f t="shared" si="26"/>
        <v>0</v>
      </c>
      <c r="BB57" s="12"/>
      <c r="BC57" s="4"/>
    </row>
    <row r="58" spans="1:55" x14ac:dyDescent="0.3">
      <c r="A58">
        <v>1014</v>
      </c>
      <c r="B58" t="s">
        <v>84</v>
      </c>
      <c r="S58" s="15"/>
      <c r="T58" s="15"/>
      <c r="U58" s="15"/>
      <c r="V58" s="15"/>
      <c r="W58" s="15"/>
      <c r="X58" s="15"/>
      <c r="Y58" s="466"/>
      <c r="Z58" s="466"/>
      <c r="AA58" s="466"/>
      <c r="AB58" s="466"/>
      <c r="AC58" s="466"/>
      <c r="AD58" s="466"/>
      <c r="AE58" s="466"/>
      <c r="AF58" s="466"/>
      <c r="AG58" s="15"/>
      <c r="AH58" s="15"/>
      <c r="AI58" s="15"/>
      <c r="AJ58" s="15"/>
      <c r="AK58" s="466"/>
      <c r="AL58" s="466"/>
      <c r="AM58" s="466"/>
      <c r="AN58" s="466"/>
      <c r="AO58" s="466"/>
      <c r="AP58" s="466"/>
      <c r="AQ58" s="466"/>
      <c r="AR58" s="466"/>
      <c r="AT58" s="353">
        <f t="shared" si="19"/>
        <v>0</v>
      </c>
      <c r="AU58" s="353">
        <f t="shared" si="20"/>
        <v>0</v>
      </c>
      <c r="AV58" s="353">
        <f t="shared" si="21"/>
        <v>0</v>
      </c>
      <c r="AW58" s="353">
        <f t="shared" si="22"/>
        <v>0</v>
      </c>
      <c r="AX58" s="353">
        <f t="shared" si="23"/>
        <v>0</v>
      </c>
      <c r="AY58" s="353">
        <f t="shared" si="24"/>
        <v>0</v>
      </c>
      <c r="AZ58" s="353">
        <f t="shared" si="25"/>
        <v>0</v>
      </c>
      <c r="BA58" s="353">
        <f t="shared" si="26"/>
        <v>0</v>
      </c>
      <c r="BB58" s="12"/>
      <c r="BC58" s="4"/>
    </row>
    <row r="59" spans="1:55" x14ac:dyDescent="0.3">
      <c r="B59" t="s">
        <v>149</v>
      </c>
      <c r="S59" s="15"/>
      <c r="T59" s="15"/>
      <c r="U59" s="15"/>
      <c r="V59" s="15"/>
      <c r="W59" s="15"/>
      <c r="X59" s="15"/>
      <c r="Y59" s="466"/>
      <c r="Z59" s="466"/>
      <c r="AA59" s="466"/>
      <c r="AB59" s="466"/>
      <c r="AC59" s="466"/>
      <c r="AD59" s="466"/>
      <c r="AE59" s="466"/>
      <c r="AF59" s="466"/>
      <c r="AG59" s="15"/>
      <c r="AH59" s="15"/>
      <c r="AI59" s="15"/>
      <c r="AJ59" s="15"/>
      <c r="AK59" s="466"/>
      <c r="AL59" s="466"/>
      <c r="AM59" s="466"/>
      <c r="AN59" s="466"/>
      <c r="AO59" s="466"/>
      <c r="AP59" s="466"/>
      <c r="AQ59" s="466"/>
      <c r="AR59" s="466"/>
      <c r="AT59" s="353">
        <f t="shared" si="19"/>
        <v>0</v>
      </c>
      <c r="AU59" s="353">
        <f t="shared" si="20"/>
        <v>0</v>
      </c>
      <c r="AV59" s="353">
        <f t="shared" si="21"/>
        <v>0</v>
      </c>
      <c r="AW59" s="353">
        <f t="shared" si="22"/>
        <v>0</v>
      </c>
      <c r="AX59" s="353">
        <f t="shared" si="23"/>
        <v>0</v>
      </c>
      <c r="AY59" s="353">
        <f t="shared" si="24"/>
        <v>0</v>
      </c>
      <c r="AZ59" s="353">
        <f t="shared" si="25"/>
        <v>0</v>
      </c>
      <c r="BA59" s="353">
        <f t="shared" si="26"/>
        <v>0</v>
      </c>
      <c r="BB59" s="12"/>
      <c r="BC59" s="4"/>
    </row>
    <row r="60" spans="1:55" x14ac:dyDescent="0.3">
      <c r="A60" s="383" t="s">
        <v>394</v>
      </c>
      <c r="B60" s="385" t="s">
        <v>393</v>
      </c>
      <c r="S60" s="15"/>
      <c r="T60" s="15"/>
      <c r="U60" s="15"/>
      <c r="V60" s="15"/>
      <c r="W60" s="15"/>
      <c r="X60" s="15"/>
      <c r="Y60" s="466"/>
      <c r="Z60" s="466"/>
      <c r="AA60" s="466"/>
      <c r="AB60" s="466"/>
      <c r="AC60" s="466"/>
      <c r="AD60" s="466"/>
      <c r="AE60" s="466"/>
      <c r="AF60" s="466"/>
      <c r="AG60" s="15"/>
      <c r="AH60" s="15"/>
      <c r="AI60" s="15"/>
      <c r="AJ60" s="15"/>
      <c r="AK60" s="466"/>
      <c r="AL60" s="466"/>
      <c r="AM60" s="466"/>
      <c r="AN60" s="466"/>
      <c r="AO60" s="466"/>
      <c r="AP60" s="466"/>
      <c r="AQ60" s="466"/>
      <c r="AR60" s="466"/>
      <c r="AT60" s="353">
        <f t="shared" si="19"/>
        <v>0</v>
      </c>
      <c r="AU60" s="353">
        <f t="shared" si="20"/>
        <v>0</v>
      </c>
      <c r="AV60" s="353">
        <f t="shared" si="21"/>
        <v>0</v>
      </c>
      <c r="AW60" s="353">
        <f t="shared" si="22"/>
        <v>0</v>
      </c>
      <c r="AX60" s="353">
        <f t="shared" si="23"/>
        <v>0</v>
      </c>
      <c r="AY60" s="353">
        <f t="shared" si="24"/>
        <v>0</v>
      </c>
      <c r="AZ60" s="353">
        <f t="shared" si="25"/>
        <v>0</v>
      </c>
      <c r="BA60" s="353">
        <f t="shared" si="26"/>
        <v>0</v>
      </c>
      <c r="BB60" s="139"/>
      <c r="BC60" s="4"/>
    </row>
    <row r="61" spans="1:55" x14ac:dyDescent="0.3">
      <c r="A61">
        <v>1018</v>
      </c>
      <c r="B61" t="s">
        <v>85</v>
      </c>
      <c r="S61" s="15"/>
      <c r="T61" s="15"/>
      <c r="U61" s="15"/>
      <c r="V61" s="15"/>
      <c r="W61" s="15"/>
      <c r="X61" s="15"/>
      <c r="Y61" s="466"/>
      <c r="Z61" s="466"/>
      <c r="AA61" s="466"/>
      <c r="AB61" s="466"/>
      <c r="AC61" s="466"/>
      <c r="AD61" s="466"/>
      <c r="AE61" s="466"/>
      <c r="AF61" s="466"/>
      <c r="AG61" s="15"/>
      <c r="AH61" s="15"/>
      <c r="AI61" s="15"/>
      <c r="AJ61" s="15"/>
      <c r="AK61" s="466"/>
      <c r="AL61" s="466"/>
      <c r="AM61" s="466"/>
      <c r="AN61" s="466"/>
      <c r="AO61" s="466"/>
      <c r="AP61" s="466"/>
      <c r="AQ61" s="466"/>
      <c r="AR61" s="466"/>
      <c r="AT61" s="353">
        <f t="shared" si="19"/>
        <v>0</v>
      </c>
      <c r="AU61" s="353">
        <f t="shared" si="20"/>
        <v>0</v>
      </c>
      <c r="AV61" s="353">
        <f t="shared" si="21"/>
        <v>0</v>
      </c>
      <c r="AW61" s="353">
        <f t="shared" si="22"/>
        <v>0</v>
      </c>
      <c r="AX61" s="353">
        <f t="shared" si="23"/>
        <v>0</v>
      </c>
      <c r="AY61" s="353">
        <f t="shared" si="24"/>
        <v>0</v>
      </c>
      <c r="AZ61" s="353">
        <f t="shared" si="25"/>
        <v>0</v>
      </c>
      <c r="BA61" s="353">
        <f t="shared" si="26"/>
        <v>0</v>
      </c>
      <c r="BB61" s="12"/>
      <c r="BC61" s="4"/>
    </row>
    <row r="62" spans="1:55" x14ac:dyDescent="0.3">
      <c r="A62">
        <v>1019</v>
      </c>
      <c r="B62" t="s">
        <v>77</v>
      </c>
      <c r="S62" s="15"/>
      <c r="T62" s="15"/>
      <c r="U62" s="15"/>
      <c r="V62" s="15"/>
      <c r="W62" s="15"/>
      <c r="X62" s="15"/>
      <c r="Y62" s="466"/>
      <c r="Z62" s="466"/>
      <c r="AA62" s="466"/>
      <c r="AB62" s="466"/>
      <c r="AC62" s="466"/>
      <c r="AD62" s="466"/>
      <c r="AE62" s="466"/>
      <c r="AF62" s="466"/>
      <c r="AG62" s="15"/>
      <c r="AH62" s="15"/>
      <c r="AI62" s="15"/>
      <c r="AJ62" s="15"/>
      <c r="AK62" s="466"/>
      <c r="AL62" s="466"/>
      <c r="AM62" s="466"/>
      <c r="AN62" s="466"/>
      <c r="AO62" s="466"/>
      <c r="AP62" s="466"/>
      <c r="AQ62" s="466"/>
      <c r="AR62" s="466"/>
      <c r="AT62" s="353">
        <f t="shared" si="19"/>
        <v>0</v>
      </c>
      <c r="AU62" s="353">
        <f t="shared" si="20"/>
        <v>0</v>
      </c>
      <c r="AV62" s="353">
        <f t="shared" si="21"/>
        <v>0</v>
      </c>
      <c r="AW62" s="353">
        <f t="shared" si="22"/>
        <v>0</v>
      </c>
      <c r="AX62" s="353">
        <f t="shared" si="23"/>
        <v>0</v>
      </c>
      <c r="AY62" s="353">
        <f t="shared" si="24"/>
        <v>0</v>
      </c>
      <c r="AZ62" s="353">
        <f t="shared" si="25"/>
        <v>0</v>
      </c>
      <c r="BA62" s="353">
        <f t="shared" si="26"/>
        <v>0</v>
      </c>
      <c r="BB62" s="12"/>
      <c r="BC62" s="4"/>
    </row>
    <row r="63" spans="1:55" x14ac:dyDescent="0.3">
      <c r="B63" s="49" t="s">
        <v>188</v>
      </c>
      <c r="S63" s="15"/>
      <c r="T63" s="15"/>
      <c r="U63" s="15"/>
      <c r="V63" s="15"/>
      <c r="W63" s="15"/>
      <c r="X63" s="15"/>
      <c r="Y63" s="466"/>
      <c r="Z63" s="466"/>
      <c r="AA63" s="466"/>
      <c r="AB63" s="466"/>
      <c r="AC63" s="466"/>
      <c r="AD63" s="466"/>
      <c r="AE63" s="466"/>
      <c r="AF63" s="466"/>
      <c r="AG63" s="15"/>
      <c r="AH63" s="15"/>
      <c r="AI63" s="15"/>
      <c r="AJ63" s="15"/>
      <c r="AK63" s="466"/>
      <c r="AL63" s="466"/>
      <c r="AM63" s="466"/>
      <c r="AN63" s="466"/>
      <c r="AO63" s="466"/>
      <c r="AP63" s="466"/>
      <c r="AQ63" s="466"/>
      <c r="AR63" s="466"/>
      <c r="AT63" s="353">
        <f t="shared" si="19"/>
        <v>0</v>
      </c>
      <c r="AU63" s="353">
        <f t="shared" si="20"/>
        <v>0</v>
      </c>
      <c r="AV63" s="353">
        <f t="shared" si="21"/>
        <v>0</v>
      </c>
      <c r="AW63" s="353">
        <f t="shared" si="22"/>
        <v>0</v>
      </c>
      <c r="AX63" s="353">
        <f t="shared" si="23"/>
        <v>0</v>
      </c>
      <c r="AY63" s="353">
        <f t="shared" si="24"/>
        <v>0</v>
      </c>
      <c r="AZ63" s="353">
        <f t="shared" si="25"/>
        <v>0</v>
      </c>
      <c r="BA63" s="353">
        <f t="shared" si="26"/>
        <v>0</v>
      </c>
      <c r="BB63" s="12"/>
      <c r="BC63" s="4"/>
    </row>
    <row r="64" spans="1:55" x14ac:dyDescent="0.3">
      <c r="A64">
        <v>1015</v>
      </c>
      <c r="B64" t="s">
        <v>268</v>
      </c>
      <c r="S64" s="15"/>
      <c r="T64" s="15"/>
      <c r="U64" s="15"/>
      <c r="V64" s="15"/>
      <c r="W64" s="15"/>
      <c r="X64" s="15"/>
      <c r="Y64" s="466"/>
      <c r="Z64" s="466"/>
      <c r="AA64" s="466"/>
      <c r="AB64" s="466"/>
      <c r="AC64" s="466"/>
      <c r="AD64" s="466"/>
      <c r="AE64" s="466"/>
      <c r="AF64" s="466"/>
      <c r="AG64" s="4"/>
      <c r="AH64" s="4"/>
      <c r="AI64" s="4"/>
      <c r="AJ64" s="4"/>
      <c r="AK64" s="448"/>
      <c r="AL64" s="448"/>
      <c r="AM64" s="448"/>
      <c r="AN64" s="448"/>
      <c r="AO64" s="448"/>
      <c r="AP64" s="448"/>
      <c r="AQ64" s="448"/>
      <c r="AR64" s="448"/>
      <c r="AT64" s="353">
        <f t="shared" si="19"/>
        <v>0</v>
      </c>
      <c r="AU64" s="353">
        <f t="shared" si="20"/>
        <v>0</v>
      </c>
      <c r="AV64" s="353">
        <f t="shared" si="21"/>
        <v>0</v>
      </c>
      <c r="AW64" s="353">
        <f t="shared" si="22"/>
        <v>0</v>
      </c>
      <c r="AX64" s="353">
        <f t="shared" si="23"/>
        <v>0</v>
      </c>
      <c r="AY64" s="353">
        <f t="shared" si="24"/>
        <v>0</v>
      </c>
      <c r="AZ64" s="353">
        <f t="shared" si="25"/>
        <v>0</v>
      </c>
      <c r="BA64" s="353">
        <f t="shared" si="26"/>
        <v>0</v>
      </c>
      <c r="BB64" s="12"/>
      <c r="BC64" s="4"/>
    </row>
    <row r="65" spans="1:55" x14ac:dyDescent="0.3">
      <c r="B65" s="49" t="s">
        <v>216</v>
      </c>
      <c r="S65" s="15"/>
      <c r="T65" s="15"/>
      <c r="U65" s="15"/>
      <c r="V65" s="15"/>
      <c r="W65" s="15"/>
      <c r="X65" s="15"/>
      <c r="Y65" s="466"/>
      <c r="Z65" s="466"/>
      <c r="AA65" s="466"/>
      <c r="AB65" s="466"/>
      <c r="AC65" s="466"/>
      <c r="AD65" s="466"/>
      <c r="AE65" s="466"/>
      <c r="AF65" s="466"/>
      <c r="AG65" s="4"/>
      <c r="AH65" s="4"/>
      <c r="AI65" s="4"/>
      <c r="AJ65" s="4"/>
      <c r="AK65" s="448"/>
      <c r="AL65" s="448"/>
      <c r="AM65" s="448"/>
      <c r="AN65" s="448"/>
      <c r="AO65" s="448"/>
      <c r="AP65" s="448"/>
      <c r="AQ65" s="448"/>
      <c r="AR65" s="448"/>
      <c r="AT65" s="353">
        <f t="shared" si="19"/>
        <v>0</v>
      </c>
      <c r="AU65" s="353">
        <f t="shared" si="20"/>
        <v>0</v>
      </c>
      <c r="AV65" s="353">
        <f t="shared" si="21"/>
        <v>0</v>
      </c>
      <c r="AW65" s="353">
        <f t="shared" si="22"/>
        <v>0</v>
      </c>
      <c r="AX65" s="353">
        <f t="shared" si="23"/>
        <v>0</v>
      </c>
      <c r="AY65" s="353">
        <f t="shared" si="24"/>
        <v>0</v>
      </c>
      <c r="AZ65" s="353">
        <f t="shared" si="25"/>
        <v>0</v>
      </c>
      <c r="BA65" s="353">
        <f t="shared" si="26"/>
        <v>0</v>
      </c>
      <c r="BB65" s="12"/>
      <c r="BC65" s="4"/>
    </row>
    <row r="66" spans="1:55" x14ac:dyDescent="0.3">
      <c r="A66">
        <v>1048</v>
      </c>
      <c r="B66" t="s">
        <v>207</v>
      </c>
      <c r="S66" s="15"/>
      <c r="T66" s="15"/>
      <c r="U66" s="15"/>
      <c r="V66" s="15"/>
      <c r="W66" s="15"/>
      <c r="X66" s="15"/>
      <c r="Y66" s="466"/>
      <c r="Z66" s="466"/>
      <c r="AA66" s="466"/>
      <c r="AB66" s="466"/>
      <c r="AC66" s="466"/>
      <c r="AD66" s="466"/>
      <c r="AE66" s="466"/>
      <c r="AF66" s="466"/>
      <c r="AG66" s="4"/>
      <c r="AH66" s="4"/>
      <c r="AI66" s="4"/>
      <c r="AJ66" s="4"/>
      <c r="AK66" s="448"/>
      <c r="AL66" s="448"/>
      <c r="AM66" s="448"/>
      <c r="AN66" s="448"/>
      <c r="AO66" s="448"/>
      <c r="AP66" s="448"/>
      <c r="AQ66" s="448"/>
      <c r="AR66" s="448"/>
      <c r="AT66" s="353">
        <f t="shared" si="19"/>
        <v>0</v>
      </c>
      <c r="AU66" s="353">
        <f t="shared" si="20"/>
        <v>0</v>
      </c>
      <c r="AV66" s="353">
        <f t="shared" si="21"/>
        <v>0</v>
      </c>
      <c r="AW66" s="353">
        <f t="shared" si="22"/>
        <v>0</v>
      </c>
      <c r="AX66" s="353">
        <f t="shared" si="23"/>
        <v>0</v>
      </c>
      <c r="AY66" s="353">
        <f t="shared" si="24"/>
        <v>0</v>
      </c>
      <c r="AZ66" s="353">
        <f t="shared" si="25"/>
        <v>0</v>
      </c>
      <c r="BA66" s="353">
        <f t="shared" si="26"/>
        <v>0</v>
      </c>
      <c r="BB66" s="12"/>
      <c r="BC66" s="4"/>
    </row>
    <row r="67" spans="1:55" x14ac:dyDescent="0.3">
      <c r="B67" s="49" t="s">
        <v>384</v>
      </c>
      <c r="S67" s="15"/>
      <c r="T67" s="15"/>
      <c r="U67" s="15"/>
      <c r="V67" s="15"/>
      <c r="W67" s="15"/>
      <c r="X67" s="15"/>
      <c r="Y67" s="466"/>
      <c r="Z67" s="466"/>
      <c r="AA67" s="466"/>
      <c r="AB67" s="466"/>
      <c r="AC67" s="466"/>
      <c r="AD67" s="466"/>
      <c r="AE67" s="466"/>
      <c r="AF67" s="466"/>
      <c r="AG67" s="4"/>
      <c r="AH67" s="4"/>
      <c r="AI67" s="4"/>
      <c r="AJ67" s="4"/>
      <c r="AK67" s="448"/>
      <c r="AL67" s="448"/>
      <c r="AM67" s="448"/>
      <c r="AN67" s="448"/>
      <c r="AO67" s="448"/>
      <c r="AP67" s="448"/>
      <c r="AQ67" s="448"/>
      <c r="AR67" s="448"/>
      <c r="AT67" s="353">
        <f t="shared" si="19"/>
        <v>0</v>
      </c>
      <c r="AU67" s="353">
        <f t="shared" si="20"/>
        <v>0</v>
      </c>
      <c r="AV67" s="353">
        <f t="shared" si="21"/>
        <v>0</v>
      </c>
      <c r="AW67" s="353">
        <f t="shared" si="22"/>
        <v>0</v>
      </c>
      <c r="AX67" s="353">
        <f t="shared" si="23"/>
        <v>0</v>
      </c>
      <c r="AY67" s="353">
        <f t="shared" si="24"/>
        <v>0</v>
      </c>
      <c r="AZ67" s="353">
        <f t="shared" si="25"/>
        <v>0</v>
      </c>
      <c r="BA67" s="353">
        <f t="shared" si="26"/>
        <v>0</v>
      </c>
      <c r="BB67" s="12"/>
      <c r="BC67" s="4"/>
    </row>
    <row r="68" spans="1:55" x14ac:dyDescent="0.3">
      <c r="A68" s="66"/>
      <c r="B68" s="173"/>
      <c r="BC68" s="4"/>
    </row>
    <row r="69" spans="1:55" x14ac:dyDescent="0.3">
      <c r="B69" s="1" t="s">
        <v>390</v>
      </c>
      <c r="BC69" s="4"/>
    </row>
    <row r="70" spans="1:55" x14ac:dyDescent="0.3">
      <c r="A70">
        <v>1012</v>
      </c>
      <c r="B70" t="s">
        <v>82</v>
      </c>
      <c r="S70" s="15"/>
      <c r="T70" s="15"/>
      <c r="U70" s="15"/>
      <c r="V70" s="15"/>
      <c r="W70" s="15"/>
      <c r="X70" s="15"/>
      <c r="Y70" s="466"/>
      <c r="Z70" s="466"/>
      <c r="AA70" s="466"/>
      <c r="AB70" s="466"/>
      <c r="AC70" s="466"/>
      <c r="AD70" s="466"/>
      <c r="AE70" s="466"/>
      <c r="AF70" s="466"/>
      <c r="AG70" s="15"/>
      <c r="AH70" s="15"/>
      <c r="AI70" s="15"/>
      <c r="AJ70" s="15"/>
      <c r="AK70" s="466"/>
      <c r="AL70" s="466"/>
      <c r="AM70" s="466"/>
      <c r="AN70" s="466"/>
      <c r="AO70" s="466"/>
      <c r="AP70" s="466"/>
      <c r="AQ70" s="466"/>
      <c r="AR70" s="466"/>
      <c r="AT70" s="139">
        <f t="shared" ref="AT70:AT87" si="27">IF(ISERROR((AK70-Y70)/Y70),0,(AK70-Y70)/Y70)</f>
        <v>0</v>
      </c>
      <c r="AU70" s="139">
        <f t="shared" ref="AU70:AU87" si="28">IF(ISERROR((AL70-Z70)/Z70),0,(AL70-Z70)/Z70)</f>
        <v>0</v>
      </c>
      <c r="AV70" s="139">
        <f t="shared" ref="AV70:AV87" si="29">IF(ISERROR((AM70-AA70)/AA70),0,(AM70-AA70)/AA70)</f>
        <v>0</v>
      </c>
      <c r="AW70" s="139">
        <f t="shared" ref="AW70:AW87" si="30">IF(ISERROR((AN70-AB70)/AB70),0,(AN70-AB70)/AB70)</f>
        <v>0</v>
      </c>
      <c r="AX70" s="139">
        <f t="shared" ref="AX70:AX87" si="31">IF(ISERROR((AO70-AC70)/AC70),0,(AO70-AC70)/AC70)</f>
        <v>0</v>
      </c>
      <c r="AY70" s="139">
        <f t="shared" ref="AY70:AY87" si="32">IF(ISERROR((AP70-AD70)/AD70),0,(AP70-AD70)/AD70)</f>
        <v>0</v>
      </c>
      <c r="AZ70" s="139">
        <f t="shared" ref="AZ70:AZ87" si="33">IF(ISERROR((AQ70-AE70)/AE70),0,(AQ70-AE70)/AE70)</f>
        <v>0</v>
      </c>
      <c r="BA70" s="139">
        <f t="shared" ref="BA70:BA87" si="34">IF(ISERROR((AR70-AF70)/AF70),0,(AR70-AF70)/AF70)</f>
        <v>0</v>
      </c>
      <c r="BB70" s="12"/>
      <c r="BC70" s="4"/>
    </row>
    <row r="71" spans="1:55" x14ac:dyDescent="0.3">
      <c r="A71">
        <v>1012</v>
      </c>
      <c r="B71" t="s">
        <v>90</v>
      </c>
      <c r="S71" s="15"/>
      <c r="T71" s="15"/>
      <c r="U71" s="15"/>
      <c r="V71" s="15"/>
      <c r="W71" s="15"/>
      <c r="X71" s="15"/>
      <c r="Y71" s="466"/>
      <c r="Z71" s="466"/>
      <c r="AA71" s="466"/>
      <c r="AB71" s="466"/>
      <c r="AC71" s="466"/>
      <c r="AD71" s="466"/>
      <c r="AE71" s="466"/>
      <c r="AF71" s="466"/>
      <c r="AG71" s="15"/>
      <c r="AH71" s="15"/>
      <c r="AI71" s="15"/>
      <c r="AJ71" s="15"/>
      <c r="AK71" s="466"/>
      <c r="AL71" s="466"/>
      <c r="AM71" s="466"/>
      <c r="AN71" s="466"/>
      <c r="AO71" s="466"/>
      <c r="AP71" s="466"/>
      <c r="AQ71" s="466"/>
      <c r="AR71" s="466"/>
      <c r="AT71" s="139">
        <f t="shared" si="27"/>
        <v>0</v>
      </c>
      <c r="AU71" s="139">
        <f t="shared" si="28"/>
        <v>0</v>
      </c>
      <c r="AV71" s="139">
        <f t="shared" si="29"/>
        <v>0</v>
      </c>
      <c r="AW71" s="139">
        <f t="shared" si="30"/>
        <v>0</v>
      </c>
      <c r="AX71" s="139">
        <f t="shared" si="31"/>
        <v>0</v>
      </c>
      <c r="AY71" s="139">
        <f t="shared" si="32"/>
        <v>0</v>
      </c>
      <c r="AZ71" s="139">
        <f t="shared" si="33"/>
        <v>0</v>
      </c>
      <c r="BA71" s="139">
        <f t="shared" si="34"/>
        <v>0</v>
      </c>
      <c r="BB71" s="12"/>
      <c r="BC71" s="4"/>
    </row>
    <row r="72" spans="1:55" x14ac:dyDescent="0.3">
      <c r="B72" t="s">
        <v>118</v>
      </c>
      <c r="S72" s="15"/>
      <c r="T72" s="15"/>
      <c r="U72" s="15"/>
      <c r="V72" s="15"/>
      <c r="W72" s="15"/>
      <c r="X72" s="15"/>
      <c r="Y72" s="466"/>
      <c r="Z72" s="466"/>
      <c r="AA72" s="466"/>
      <c r="AB72" s="466"/>
      <c r="AC72" s="466"/>
      <c r="AD72" s="466"/>
      <c r="AE72" s="466"/>
      <c r="AF72" s="466"/>
      <c r="AG72" s="15"/>
      <c r="AH72" s="15"/>
      <c r="AI72" s="15"/>
      <c r="AJ72" s="15"/>
      <c r="AK72" s="466"/>
      <c r="AL72" s="466"/>
      <c r="AM72" s="466"/>
      <c r="AN72" s="466"/>
      <c r="AO72" s="466"/>
      <c r="AP72" s="466"/>
      <c r="AQ72" s="466"/>
      <c r="AR72" s="466"/>
      <c r="AT72" s="139">
        <f t="shared" si="27"/>
        <v>0</v>
      </c>
      <c r="AU72" s="139">
        <f t="shared" si="28"/>
        <v>0</v>
      </c>
      <c r="AV72" s="139">
        <f t="shared" si="29"/>
        <v>0</v>
      </c>
      <c r="AW72" s="139">
        <f t="shared" si="30"/>
        <v>0</v>
      </c>
      <c r="AX72" s="139">
        <f t="shared" si="31"/>
        <v>0</v>
      </c>
      <c r="AY72" s="139">
        <f t="shared" si="32"/>
        <v>0</v>
      </c>
      <c r="AZ72" s="139">
        <f t="shared" si="33"/>
        <v>0</v>
      </c>
      <c r="BA72" s="139">
        <f t="shared" si="34"/>
        <v>0</v>
      </c>
      <c r="BB72" s="12"/>
      <c r="BC72" s="4"/>
    </row>
    <row r="73" spans="1:55" x14ac:dyDescent="0.3">
      <c r="B73" s="14" t="s">
        <v>91</v>
      </c>
      <c r="S73" s="15"/>
      <c r="T73" s="15"/>
      <c r="U73" s="15"/>
      <c r="V73" s="15"/>
      <c r="W73" s="15"/>
      <c r="X73" s="15"/>
      <c r="Y73" s="466"/>
      <c r="Z73" s="466"/>
      <c r="AA73" s="466"/>
      <c r="AB73" s="466"/>
      <c r="AC73" s="466"/>
      <c r="AD73" s="466"/>
      <c r="AE73" s="466"/>
      <c r="AF73" s="466"/>
      <c r="AG73" s="15"/>
      <c r="AH73" s="15"/>
      <c r="AI73" s="15"/>
      <c r="AJ73" s="15"/>
      <c r="AK73" s="466"/>
      <c r="AL73" s="466"/>
      <c r="AM73" s="466"/>
      <c r="AN73" s="466"/>
      <c r="AO73" s="466"/>
      <c r="AP73" s="466"/>
      <c r="AQ73" s="466"/>
      <c r="AR73" s="466"/>
      <c r="AT73" s="139">
        <f t="shared" si="27"/>
        <v>0</v>
      </c>
      <c r="AU73" s="139">
        <f t="shared" si="28"/>
        <v>0</v>
      </c>
      <c r="AV73" s="139">
        <f t="shared" si="29"/>
        <v>0</v>
      </c>
      <c r="AW73" s="139">
        <f t="shared" si="30"/>
        <v>0</v>
      </c>
      <c r="AX73" s="139">
        <f t="shared" si="31"/>
        <v>0</v>
      </c>
      <c r="AY73" s="139">
        <f t="shared" si="32"/>
        <v>0</v>
      </c>
      <c r="AZ73" s="139">
        <f t="shared" si="33"/>
        <v>0</v>
      </c>
      <c r="BA73" s="139">
        <f t="shared" si="34"/>
        <v>0</v>
      </c>
      <c r="BB73" s="12"/>
      <c r="BC73" s="4"/>
    </row>
    <row r="74" spans="1:55" x14ac:dyDescent="0.3">
      <c r="B74" s="14" t="s">
        <v>238</v>
      </c>
      <c r="S74" s="15"/>
      <c r="T74" s="15"/>
      <c r="U74" s="15"/>
      <c r="V74" s="15"/>
      <c r="W74" s="15"/>
      <c r="X74" s="15"/>
      <c r="Y74" s="466"/>
      <c r="Z74" s="466"/>
      <c r="AA74" s="466"/>
      <c r="AB74" s="466"/>
      <c r="AC74" s="466"/>
      <c r="AD74" s="466"/>
      <c r="AE74" s="466"/>
      <c r="AF74" s="466"/>
      <c r="AG74" s="15"/>
      <c r="AH74" s="15"/>
      <c r="AI74" s="15"/>
      <c r="AJ74" s="15"/>
      <c r="AK74" s="466"/>
      <c r="AL74" s="466"/>
      <c r="AM74" s="466"/>
      <c r="AN74" s="466"/>
      <c r="AO74" s="466"/>
      <c r="AP74" s="466"/>
      <c r="AQ74" s="466"/>
      <c r="AR74" s="466"/>
      <c r="AT74" s="139">
        <f t="shared" si="27"/>
        <v>0</v>
      </c>
      <c r="AU74" s="139">
        <f t="shared" si="28"/>
        <v>0</v>
      </c>
      <c r="AV74" s="139">
        <f t="shared" si="29"/>
        <v>0</v>
      </c>
      <c r="AW74" s="139">
        <f t="shared" si="30"/>
        <v>0</v>
      </c>
      <c r="AX74" s="139">
        <f t="shared" si="31"/>
        <v>0</v>
      </c>
      <c r="AY74" s="139">
        <f t="shared" si="32"/>
        <v>0</v>
      </c>
      <c r="AZ74" s="139">
        <f t="shared" si="33"/>
        <v>0</v>
      </c>
      <c r="BA74" s="139">
        <f t="shared" si="34"/>
        <v>0</v>
      </c>
      <c r="BB74" s="12"/>
      <c r="BC74" s="4"/>
    </row>
    <row r="75" spans="1:55" x14ac:dyDescent="0.3">
      <c r="B75" s="384" t="s">
        <v>246</v>
      </c>
      <c r="S75" s="15"/>
      <c r="T75" s="15"/>
      <c r="U75" s="15"/>
      <c r="V75" s="15"/>
      <c r="W75" s="15"/>
      <c r="X75" s="15"/>
      <c r="Y75" s="466"/>
      <c r="Z75" s="466"/>
      <c r="AA75" s="466"/>
      <c r="AB75" s="466"/>
      <c r="AC75" s="466"/>
      <c r="AD75" s="466"/>
      <c r="AE75" s="466"/>
      <c r="AF75" s="466"/>
      <c r="AG75" s="15"/>
      <c r="AH75" s="15"/>
      <c r="AI75" s="15"/>
      <c r="AJ75" s="15"/>
      <c r="AK75" s="466"/>
      <c r="AL75" s="466"/>
      <c r="AM75" s="466"/>
      <c r="AN75" s="466"/>
      <c r="AO75" s="466"/>
      <c r="AP75" s="466"/>
      <c r="AQ75" s="466"/>
      <c r="AR75" s="466"/>
      <c r="AT75" s="139">
        <f t="shared" si="27"/>
        <v>0</v>
      </c>
      <c r="AU75" s="139">
        <f t="shared" si="28"/>
        <v>0</v>
      </c>
      <c r="AV75" s="139">
        <f t="shared" si="29"/>
        <v>0</v>
      </c>
      <c r="AW75" s="139">
        <f t="shared" si="30"/>
        <v>0</v>
      </c>
      <c r="AX75" s="139">
        <f t="shared" si="31"/>
        <v>0</v>
      </c>
      <c r="AY75" s="139">
        <f t="shared" si="32"/>
        <v>0</v>
      </c>
      <c r="AZ75" s="139">
        <f t="shared" si="33"/>
        <v>0</v>
      </c>
      <c r="BA75" s="139">
        <f t="shared" si="34"/>
        <v>0</v>
      </c>
      <c r="BB75" s="12"/>
      <c r="BC75" s="4"/>
    </row>
    <row r="76" spans="1:55" x14ac:dyDescent="0.3">
      <c r="B76" s="14" t="s">
        <v>153</v>
      </c>
      <c r="S76" s="15"/>
      <c r="T76" s="15"/>
      <c r="U76" s="15"/>
      <c r="V76" s="15"/>
      <c r="W76" s="15"/>
      <c r="X76" s="15"/>
      <c r="Y76" s="466"/>
      <c r="Z76" s="466"/>
      <c r="AA76" s="466"/>
      <c r="AB76" s="466"/>
      <c r="AC76" s="466"/>
      <c r="AD76" s="466"/>
      <c r="AE76" s="466"/>
      <c r="AF76" s="466"/>
      <c r="AG76" s="15"/>
      <c r="AH76" s="15"/>
      <c r="AI76" s="15"/>
      <c r="AJ76" s="15"/>
      <c r="AK76" s="466"/>
      <c r="AL76" s="466"/>
      <c r="AM76" s="466"/>
      <c r="AN76" s="466"/>
      <c r="AO76" s="466"/>
      <c r="AP76" s="466"/>
      <c r="AQ76" s="466"/>
      <c r="AR76" s="466"/>
      <c r="AT76" s="139">
        <f t="shared" si="27"/>
        <v>0</v>
      </c>
      <c r="AU76" s="139">
        <f t="shared" si="28"/>
        <v>0</v>
      </c>
      <c r="AV76" s="139">
        <f t="shared" si="29"/>
        <v>0</v>
      </c>
      <c r="AW76" s="139">
        <f t="shared" si="30"/>
        <v>0</v>
      </c>
      <c r="AX76" s="139">
        <f t="shared" si="31"/>
        <v>0</v>
      </c>
      <c r="AY76" s="139">
        <f t="shared" si="32"/>
        <v>0</v>
      </c>
      <c r="AZ76" s="139">
        <f t="shared" si="33"/>
        <v>0</v>
      </c>
      <c r="BA76" s="139">
        <f t="shared" si="34"/>
        <v>0</v>
      </c>
      <c r="BB76" s="12"/>
      <c r="BC76" s="4"/>
    </row>
    <row r="77" spans="1:55" x14ac:dyDescent="0.3">
      <c r="A77">
        <v>1013</v>
      </c>
      <c r="B77" t="s">
        <v>83</v>
      </c>
      <c r="S77" s="15"/>
      <c r="T77" s="15"/>
      <c r="U77" s="15"/>
      <c r="V77" s="15"/>
      <c r="W77" s="15"/>
      <c r="X77" s="15"/>
      <c r="Y77" s="466"/>
      <c r="Z77" s="466"/>
      <c r="AA77" s="466"/>
      <c r="AB77" s="466"/>
      <c r="AC77" s="466"/>
      <c r="AD77" s="466"/>
      <c r="AE77" s="466"/>
      <c r="AF77" s="466"/>
      <c r="AG77" s="15"/>
      <c r="AH77" s="15"/>
      <c r="AI77" s="15"/>
      <c r="AJ77" s="15"/>
      <c r="AK77" s="466"/>
      <c r="AL77" s="466"/>
      <c r="AM77" s="466"/>
      <c r="AN77" s="466"/>
      <c r="AO77" s="466"/>
      <c r="AP77" s="466"/>
      <c r="AQ77" s="466"/>
      <c r="AR77" s="466"/>
      <c r="AT77" s="139">
        <f t="shared" si="27"/>
        <v>0</v>
      </c>
      <c r="AU77" s="139">
        <f t="shared" si="28"/>
        <v>0</v>
      </c>
      <c r="AV77" s="139">
        <f t="shared" si="29"/>
        <v>0</v>
      </c>
      <c r="AW77" s="139">
        <f t="shared" si="30"/>
        <v>0</v>
      </c>
      <c r="AX77" s="139">
        <f t="shared" si="31"/>
        <v>0</v>
      </c>
      <c r="AY77" s="139">
        <f t="shared" si="32"/>
        <v>0</v>
      </c>
      <c r="AZ77" s="139">
        <f t="shared" si="33"/>
        <v>0</v>
      </c>
      <c r="BA77" s="139">
        <f t="shared" si="34"/>
        <v>0</v>
      </c>
      <c r="BB77" s="12"/>
      <c r="BC77" s="4"/>
    </row>
    <row r="78" spans="1:55" x14ac:dyDescent="0.3">
      <c r="A78">
        <v>1014</v>
      </c>
      <c r="B78" t="s">
        <v>84</v>
      </c>
      <c r="S78" s="15"/>
      <c r="T78" s="15"/>
      <c r="U78" s="15"/>
      <c r="V78" s="15"/>
      <c r="W78" s="15"/>
      <c r="X78" s="15"/>
      <c r="Y78" s="466"/>
      <c r="Z78" s="466"/>
      <c r="AA78" s="466"/>
      <c r="AB78" s="466"/>
      <c r="AC78" s="466"/>
      <c r="AD78" s="466"/>
      <c r="AE78" s="466"/>
      <c r="AF78" s="466"/>
      <c r="AG78" s="15"/>
      <c r="AH78" s="15"/>
      <c r="AI78" s="15"/>
      <c r="AJ78" s="15"/>
      <c r="AK78" s="466"/>
      <c r="AL78" s="466"/>
      <c r="AM78" s="466"/>
      <c r="AN78" s="466"/>
      <c r="AO78" s="466"/>
      <c r="AP78" s="466"/>
      <c r="AQ78" s="466"/>
      <c r="AR78" s="466"/>
      <c r="AT78" s="139">
        <f t="shared" si="27"/>
        <v>0</v>
      </c>
      <c r="AU78" s="139">
        <f t="shared" si="28"/>
        <v>0</v>
      </c>
      <c r="AV78" s="139">
        <f t="shared" si="29"/>
        <v>0</v>
      </c>
      <c r="AW78" s="139">
        <f t="shared" si="30"/>
        <v>0</v>
      </c>
      <c r="AX78" s="139">
        <f t="shared" si="31"/>
        <v>0</v>
      </c>
      <c r="AY78" s="139">
        <f t="shared" si="32"/>
        <v>0</v>
      </c>
      <c r="AZ78" s="139">
        <f t="shared" si="33"/>
        <v>0</v>
      </c>
      <c r="BA78" s="139">
        <f t="shared" si="34"/>
        <v>0</v>
      </c>
      <c r="BB78" s="12"/>
      <c r="BC78" s="4"/>
    </row>
    <row r="79" spans="1:55" x14ac:dyDescent="0.3">
      <c r="B79" t="s">
        <v>149</v>
      </c>
      <c r="S79" s="15"/>
      <c r="T79" s="15"/>
      <c r="U79" s="15"/>
      <c r="V79" s="15"/>
      <c r="W79" s="15"/>
      <c r="X79" s="15"/>
      <c r="Y79" s="466"/>
      <c r="Z79" s="466"/>
      <c r="AA79" s="466"/>
      <c r="AB79" s="466"/>
      <c r="AC79" s="466"/>
      <c r="AD79" s="466"/>
      <c r="AE79" s="466"/>
      <c r="AF79" s="466"/>
      <c r="AG79" s="15"/>
      <c r="AH79" s="15"/>
      <c r="AI79" s="15"/>
      <c r="AJ79" s="15"/>
      <c r="AK79" s="466"/>
      <c r="AL79" s="466"/>
      <c r="AM79" s="466"/>
      <c r="AN79" s="466"/>
      <c r="AO79" s="466"/>
      <c r="AP79" s="466"/>
      <c r="AQ79" s="466"/>
      <c r="AR79" s="466"/>
      <c r="AT79" s="139">
        <f t="shared" si="27"/>
        <v>0</v>
      </c>
      <c r="AU79" s="139">
        <f t="shared" si="28"/>
        <v>0</v>
      </c>
      <c r="AV79" s="139">
        <f t="shared" si="29"/>
        <v>0</v>
      </c>
      <c r="AW79" s="139">
        <f t="shared" si="30"/>
        <v>0</v>
      </c>
      <c r="AX79" s="139">
        <f t="shared" si="31"/>
        <v>0</v>
      </c>
      <c r="AY79" s="139">
        <f t="shared" si="32"/>
        <v>0</v>
      </c>
      <c r="AZ79" s="139">
        <f t="shared" si="33"/>
        <v>0</v>
      </c>
      <c r="BA79" s="139">
        <f t="shared" si="34"/>
        <v>0</v>
      </c>
      <c r="BB79" s="12"/>
      <c r="BC79" s="4"/>
    </row>
    <row r="80" spans="1:55" x14ac:dyDescent="0.3">
      <c r="A80" s="383" t="s">
        <v>394</v>
      </c>
      <c r="B80" s="385" t="s">
        <v>393</v>
      </c>
      <c r="S80" s="15"/>
      <c r="T80" s="15"/>
      <c r="U80" s="15"/>
      <c r="V80" s="15"/>
      <c r="W80" s="15"/>
      <c r="X80" s="15"/>
      <c r="Y80" s="466"/>
      <c r="Z80" s="466"/>
      <c r="AA80" s="466"/>
      <c r="AB80" s="466"/>
      <c r="AC80" s="466"/>
      <c r="AD80" s="466"/>
      <c r="AE80" s="466"/>
      <c r="AF80" s="466"/>
      <c r="AG80" s="15"/>
      <c r="AH80" s="15"/>
      <c r="AI80" s="15"/>
      <c r="AJ80" s="15"/>
      <c r="AK80" s="466"/>
      <c r="AL80" s="466"/>
      <c r="AM80" s="466"/>
      <c r="AN80" s="466"/>
      <c r="AO80" s="466"/>
      <c r="AP80" s="466"/>
      <c r="AQ80" s="466"/>
      <c r="AR80" s="466"/>
      <c r="AT80" s="139">
        <f t="shared" si="27"/>
        <v>0</v>
      </c>
      <c r="AU80" s="139">
        <f t="shared" si="28"/>
        <v>0</v>
      </c>
      <c r="AV80" s="139">
        <f t="shared" si="29"/>
        <v>0</v>
      </c>
      <c r="AW80" s="139">
        <f t="shared" si="30"/>
        <v>0</v>
      </c>
      <c r="AX80" s="139">
        <f t="shared" si="31"/>
        <v>0</v>
      </c>
      <c r="AY80" s="139">
        <f t="shared" si="32"/>
        <v>0</v>
      </c>
      <c r="AZ80" s="139">
        <f t="shared" si="33"/>
        <v>0</v>
      </c>
      <c r="BA80" s="139">
        <f t="shared" si="34"/>
        <v>0</v>
      </c>
      <c r="BB80" s="139"/>
      <c r="BC80" s="4"/>
    </row>
    <row r="81" spans="1:55" x14ac:dyDescent="0.3">
      <c r="A81">
        <v>1018</v>
      </c>
      <c r="B81" t="s">
        <v>85</v>
      </c>
      <c r="S81" s="15"/>
      <c r="T81" s="15"/>
      <c r="U81" s="15"/>
      <c r="V81" s="15"/>
      <c r="W81" s="15"/>
      <c r="X81" s="15"/>
      <c r="Y81" s="466"/>
      <c r="Z81" s="466"/>
      <c r="AA81" s="466"/>
      <c r="AB81" s="466"/>
      <c r="AC81" s="466"/>
      <c r="AD81" s="466"/>
      <c r="AE81" s="466"/>
      <c r="AF81" s="466"/>
      <c r="AG81" s="15"/>
      <c r="AH81" s="15"/>
      <c r="AI81" s="15"/>
      <c r="AJ81" s="15"/>
      <c r="AK81" s="466"/>
      <c r="AL81" s="466"/>
      <c r="AM81" s="466"/>
      <c r="AN81" s="466"/>
      <c r="AO81" s="466"/>
      <c r="AP81" s="466"/>
      <c r="AQ81" s="466"/>
      <c r="AR81" s="466"/>
      <c r="AT81" s="139">
        <f t="shared" si="27"/>
        <v>0</v>
      </c>
      <c r="AU81" s="139">
        <f t="shared" si="28"/>
        <v>0</v>
      </c>
      <c r="AV81" s="139">
        <f t="shared" si="29"/>
        <v>0</v>
      </c>
      <c r="AW81" s="139">
        <f t="shared" si="30"/>
        <v>0</v>
      </c>
      <c r="AX81" s="139">
        <f t="shared" si="31"/>
        <v>0</v>
      </c>
      <c r="AY81" s="139">
        <f t="shared" si="32"/>
        <v>0</v>
      </c>
      <c r="AZ81" s="139">
        <f t="shared" si="33"/>
        <v>0</v>
      </c>
      <c r="BA81" s="139">
        <f t="shared" si="34"/>
        <v>0</v>
      </c>
      <c r="BB81" s="12"/>
      <c r="BC81" s="4"/>
    </row>
    <row r="82" spans="1:55" x14ac:dyDescent="0.3">
      <c r="A82">
        <v>1019</v>
      </c>
      <c r="B82" t="s">
        <v>77</v>
      </c>
      <c r="S82" s="15"/>
      <c r="T82" s="15"/>
      <c r="U82" s="15"/>
      <c r="V82" s="15"/>
      <c r="W82" s="15"/>
      <c r="X82" s="15"/>
      <c r="Y82" s="466"/>
      <c r="Z82" s="466"/>
      <c r="AA82" s="466"/>
      <c r="AB82" s="466"/>
      <c r="AC82" s="466"/>
      <c r="AD82" s="466"/>
      <c r="AE82" s="466"/>
      <c r="AF82" s="466"/>
      <c r="AG82" s="15"/>
      <c r="AH82" s="15"/>
      <c r="AI82" s="15"/>
      <c r="AJ82" s="15"/>
      <c r="AK82" s="466"/>
      <c r="AL82" s="466"/>
      <c r="AM82" s="466"/>
      <c r="AN82" s="466"/>
      <c r="AO82" s="466"/>
      <c r="AP82" s="466"/>
      <c r="AQ82" s="466"/>
      <c r="AR82" s="466"/>
      <c r="AT82" s="139">
        <f t="shared" si="27"/>
        <v>0</v>
      </c>
      <c r="AU82" s="139">
        <f t="shared" si="28"/>
        <v>0</v>
      </c>
      <c r="AV82" s="139">
        <f t="shared" si="29"/>
        <v>0</v>
      </c>
      <c r="AW82" s="139">
        <f t="shared" si="30"/>
        <v>0</v>
      </c>
      <c r="AX82" s="139">
        <f t="shared" si="31"/>
        <v>0</v>
      </c>
      <c r="AY82" s="139">
        <f t="shared" si="32"/>
        <v>0</v>
      </c>
      <c r="AZ82" s="139">
        <f t="shared" si="33"/>
        <v>0</v>
      </c>
      <c r="BA82" s="139">
        <f t="shared" si="34"/>
        <v>0</v>
      </c>
      <c r="BB82" s="12"/>
      <c r="BC82" s="4"/>
    </row>
    <row r="83" spans="1:55" x14ac:dyDescent="0.3">
      <c r="B83" s="49" t="s">
        <v>188</v>
      </c>
      <c r="S83" s="15"/>
      <c r="T83" s="15"/>
      <c r="U83" s="15"/>
      <c r="V83" s="15"/>
      <c r="W83" s="15"/>
      <c r="X83" s="15"/>
      <c r="Y83" s="466"/>
      <c r="Z83" s="466"/>
      <c r="AA83" s="466"/>
      <c r="AB83" s="466"/>
      <c r="AC83" s="466"/>
      <c r="AD83" s="466"/>
      <c r="AE83" s="466"/>
      <c r="AF83" s="466"/>
      <c r="AG83" s="15"/>
      <c r="AH83" s="15"/>
      <c r="AI83" s="15"/>
      <c r="AJ83" s="15"/>
      <c r="AK83" s="466"/>
      <c r="AL83" s="466"/>
      <c r="AM83" s="466"/>
      <c r="AN83" s="466"/>
      <c r="AO83" s="466"/>
      <c r="AP83" s="466"/>
      <c r="AQ83" s="466"/>
      <c r="AR83" s="466"/>
      <c r="AT83" s="139">
        <f t="shared" si="27"/>
        <v>0</v>
      </c>
      <c r="AU83" s="139">
        <f t="shared" si="28"/>
        <v>0</v>
      </c>
      <c r="AV83" s="139">
        <f t="shared" si="29"/>
        <v>0</v>
      </c>
      <c r="AW83" s="139">
        <f t="shared" si="30"/>
        <v>0</v>
      </c>
      <c r="AX83" s="139">
        <f t="shared" si="31"/>
        <v>0</v>
      </c>
      <c r="AY83" s="139">
        <f t="shared" si="32"/>
        <v>0</v>
      </c>
      <c r="AZ83" s="139">
        <f t="shared" si="33"/>
        <v>0</v>
      </c>
      <c r="BA83" s="139">
        <f t="shared" si="34"/>
        <v>0</v>
      </c>
      <c r="BB83" s="12"/>
      <c r="BC83" s="4"/>
    </row>
    <row r="84" spans="1:55" x14ac:dyDescent="0.3">
      <c r="A84">
        <v>1015</v>
      </c>
      <c r="B84" t="s">
        <v>268</v>
      </c>
      <c r="S84" s="15"/>
      <c r="T84" s="15"/>
      <c r="U84" s="15"/>
      <c r="V84" s="15"/>
      <c r="W84" s="15"/>
      <c r="X84" s="15"/>
      <c r="Y84" s="466"/>
      <c r="Z84" s="466"/>
      <c r="AA84" s="466"/>
      <c r="AB84" s="466"/>
      <c r="AC84" s="466"/>
      <c r="AD84" s="466"/>
      <c r="AE84" s="466"/>
      <c r="AF84" s="466"/>
      <c r="AG84" s="4"/>
      <c r="AH84" s="4"/>
      <c r="AI84" s="4"/>
      <c r="AJ84" s="4"/>
      <c r="AK84" s="448"/>
      <c r="AL84" s="448"/>
      <c r="AM84" s="448"/>
      <c r="AN84" s="448"/>
      <c r="AO84" s="448"/>
      <c r="AP84" s="448"/>
      <c r="AQ84" s="448"/>
      <c r="AR84" s="448"/>
      <c r="AT84" s="139">
        <f t="shared" si="27"/>
        <v>0</v>
      </c>
      <c r="AU84" s="139">
        <f t="shared" si="28"/>
        <v>0</v>
      </c>
      <c r="AV84" s="139">
        <f t="shared" si="29"/>
        <v>0</v>
      </c>
      <c r="AW84" s="139">
        <f t="shared" si="30"/>
        <v>0</v>
      </c>
      <c r="AX84" s="139">
        <f t="shared" si="31"/>
        <v>0</v>
      </c>
      <c r="AY84" s="139">
        <f t="shared" si="32"/>
        <v>0</v>
      </c>
      <c r="AZ84" s="139">
        <f t="shared" si="33"/>
        <v>0</v>
      </c>
      <c r="BA84" s="139">
        <f t="shared" si="34"/>
        <v>0</v>
      </c>
      <c r="BB84" s="12"/>
      <c r="BC84" s="4"/>
    </row>
    <row r="85" spans="1:55" x14ac:dyDescent="0.3">
      <c r="B85" s="49" t="s">
        <v>216</v>
      </c>
      <c r="V85" s="15"/>
      <c r="W85" s="15"/>
      <c r="X85" s="15"/>
      <c r="Y85" s="466"/>
      <c r="Z85" s="466"/>
      <c r="AA85" s="466"/>
      <c r="AB85" s="466"/>
      <c r="AC85" s="466"/>
      <c r="AD85" s="466"/>
      <c r="AE85" s="466"/>
      <c r="AF85" s="466"/>
      <c r="AK85" s="448"/>
      <c r="AL85" s="448"/>
      <c r="AM85" s="448"/>
      <c r="AN85" s="448"/>
      <c r="AO85" s="448"/>
      <c r="AP85" s="448"/>
      <c r="AQ85" s="448"/>
      <c r="AR85" s="448"/>
      <c r="AT85" s="139">
        <f t="shared" si="27"/>
        <v>0</v>
      </c>
      <c r="AU85" s="139">
        <f t="shared" si="28"/>
        <v>0</v>
      </c>
      <c r="AV85" s="139">
        <f t="shared" si="29"/>
        <v>0</v>
      </c>
      <c r="AW85" s="139">
        <f t="shared" si="30"/>
        <v>0</v>
      </c>
      <c r="AX85" s="139">
        <f t="shared" si="31"/>
        <v>0</v>
      </c>
      <c r="AY85" s="139">
        <f t="shared" si="32"/>
        <v>0</v>
      </c>
      <c r="AZ85" s="139">
        <f t="shared" si="33"/>
        <v>0</v>
      </c>
      <c r="BA85" s="139">
        <f t="shared" si="34"/>
        <v>0</v>
      </c>
      <c r="BC85" s="4"/>
    </row>
    <row r="86" spans="1:55" x14ac:dyDescent="0.3">
      <c r="A86">
        <v>1048</v>
      </c>
      <c r="B86" t="s">
        <v>207</v>
      </c>
      <c r="V86" s="15"/>
      <c r="W86" s="15"/>
      <c r="X86" s="15"/>
      <c r="Y86" s="466"/>
      <c r="Z86" s="466"/>
      <c r="AA86" s="466"/>
      <c r="AB86" s="466"/>
      <c r="AC86" s="466"/>
      <c r="AD86" s="466"/>
      <c r="AE86" s="466"/>
      <c r="AF86" s="466"/>
      <c r="AK86" s="448"/>
      <c r="AL86" s="448"/>
      <c r="AM86" s="448"/>
      <c r="AN86" s="448"/>
      <c r="AO86" s="448"/>
      <c r="AP86" s="448"/>
      <c r="AQ86" s="448"/>
      <c r="AR86" s="448"/>
      <c r="AT86" s="139">
        <f t="shared" si="27"/>
        <v>0</v>
      </c>
      <c r="AU86" s="139">
        <f t="shared" si="28"/>
        <v>0</v>
      </c>
      <c r="AV86" s="139">
        <f t="shared" si="29"/>
        <v>0</v>
      </c>
      <c r="AW86" s="139">
        <f t="shared" si="30"/>
        <v>0</v>
      </c>
      <c r="AX86" s="139">
        <f t="shared" si="31"/>
        <v>0</v>
      </c>
      <c r="AY86" s="139">
        <f t="shared" si="32"/>
        <v>0</v>
      </c>
      <c r="AZ86" s="139">
        <f t="shared" si="33"/>
        <v>0</v>
      </c>
      <c r="BA86" s="139">
        <f t="shared" si="34"/>
        <v>0</v>
      </c>
      <c r="BC86" s="4"/>
    </row>
    <row r="87" spans="1:55" x14ac:dyDescent="0.3">
      <c r="B87" s="49" t="s">
        <v>384</v>
      </c>
      <c r="V87" s="15"/>
      <c r="W87" s="15"/>
      <c r="X87" s="15"/>
      <c r="Y87" s="466"/>
      <c r="Z87" s="466"/>
      <c r="AA87" s="466"/>
      <c r="AB87" s="466"/>
      <c r="AC87" s="466"/>
      <c r="AD87" s="466"/>
      <c r="AE87" s="466"/>
      <c r="AF87" s="466"/>
      <c r="AK87" s="448"/>
      <c r="AL87" s="448"/>
      <c r="AM87" s="448"/>
      <c r="AN87" s="448"/>
      <c r="AO87" s="448"/>
      <c r="AP87" s="448"/>
      <c r="AQ87" s="448"/>
      <c r="AR87" s="448"/>
      <c r="AT87" s="139">
        <f t="shared" si="27"/>
        <v>0</v>
      </c>
      <c r="AU87" s="139">
        <f t="shared" si="28"/>
        <v>0</v>
      </c>
      <c r="AV87" s="139">
        <f t="shared" si="29"/>
        <v>0</v>
      </c>
      <c r="AW87" s="139">
        <f t="shared" si="30"/>
        <v>0</v>
      </c>
      <c r="AX87" s="139">
        <f t="shared" si="31"/>
        <v>0</v>
      </c>
      <c r="AY87" s="139">
        <f t="shared" si="32"/>
        <v>0</v>
      </c>
      <c r="AZ87" s="139">
        <f t="shared" si="33"/>
        <v>0</v>
      </c>
      <c r="BA87" s="139">
        <f t="shared" si="34"/>
        <v>0</v>
      </c>
      <c r="BC87" s="4"/>
    </row>
    <row r="88" spans="1:55" x14ac:dyDescent="0.3">
      <c r="BC88" s="4"/>
    </row>
    <row r="89" spans="1:55" x14ac:dyDescent="0.3">
      <c r="B89" s="373" t="s">
        <v>391</v>
      </c>
      <c r="BC89" s="4"/>
    </row>
    <row r="90" spans="1:55" x14ac:dyDescent="0.3">
      <c r="A90">
        <v>1012</v>
      </c>
      <c r="B90" t="s">
        <v>82</v>
      </c>
      <c r="S90" s="15"/>
      <c r="T90" s="15"/>
      <c r="U90" s="15"/>
      <c r="V90" s="15"/>
      <c r="W90" s="15"/>
      <c r="X90" s="15"/>
      <c r="Y90" s="466"/>
      <c r="Z90" s="466"/>
      <c r="AA90" s="466"/>
      <c r="AB90" s="466"/>
      <c r="AC90" s="466"/>
      <c r="AD90" s="466"/>
      <c r="AE90" s="466"/>
      <c r="AF90" s="466"/>
      <c r="AG90" s="15"/>
      <c r="AH90" s="15"/>
      <c r="AI90" s="15"/>
      <c r="AJ90" s="15"/>
      <c r="AK90" s="466"/>
      <c r="AL90" s="466"/>
      <c r="AM90" s="466"/>
      <c r="AN90" s="466"/>
      <c r="AO90" s="466"/>
      <c r="AP90" s="466"/>
      <c r="AQ90" s="466"/>
      <c r="AR90" s="466"/>
      <c r="AT90" s="139">
        <f t="shared" ref="AT90:AT107" si="35">IF(ISERROR((AK90-Y90)/Y90),0,(AK90-Y90)/Y90)</f>
        <v>0</v>
      </c>
      <c r="AU90" s="139">
        <f t="shared" ref="AU90:AU107" si="36">IF(ISERROR((AL90-Z90)/Z90),0,(AL90-Z90)/Z90)</f>
        <v>0</v>
      </c>
      <c r="AV90" s="139">
        <f t="shared" ref="AV90:AV107" si="37">IF(ISERROR((AM90-AA90)/AA90),0,(AM90-AA90)/AA90)</f>
        <v>0</v>
      </c>
      <c r="AW90" s="139">
        <f t="shared" ref="AW90:AW107" si="38">IF(ISERROR((AN90-AB90)/AB90),0,(AN90-AB90)/AB90)</f>
        <v>0</v>
      </c>
      <c r="AX90" s="139">
        <f t="shared" ref="AX90:AX107" si="39">IF(ISERROR((AO90-AC90)/AC90),0,(AO90-AC90)/AC90)</f>
        <v>0</v>
      </c>
      <c r="AY90" s="139">
        <f t="shared" ref="AY90:AY107" si="40">IF(ISERROR((AP90-AD90)/AD90),0,(AP90-AD90)/AD90)</f>
        <v>0</v>
      </c>
      <c r="AZ90" s="139">
        <f t="shared" ref="AZ90:AZ107" si="41">IF(ISERROR((AQ90-AE90)/AE90),0,(AQ90-AE90)/AE90)</f>
        <v>0</v>
      </c>
      <c r="BA90" s="139">
        <f t="shared" ref="BA90:BA107" si="42">IF(ISERROR((AR90-AF90)/AF90),0,(AR90-AF90)/AF90)</f>
        <v>0</v>
      </c>
      <c r="BB90" s="12"/>
      <c r="BC90" s="4"/>
    </row>
    <row r="91" spans="1:55" x14ac:dyDescent="0.3">
      <c r="A91">
        <v>1012</v>
      </c>
      <c r="B91" t="s">
        <v>90</v>
      </c>
      <c r="S91" s="15"/>
      <c r="T91" s="15"/>
      <c r="U91" s="15"/>
      <c r="V91" s="15"/>
      <c r="W91" s="15"/>
      <c r="X91" s="15"/>
      <c r="Y91" s="466"/>
      <c r="Z91" s="466"/>
      <c r="AA91" s="466"/>
      <c r="AB91" s="466"/>
      <c r="AC91" s="466"/>
      <c r="AD91" s="466"/>
      <c r="AE91" s="466"/>
      <c r="AF91" s="466"/>
      <c r="AG91" s="15"/>
      <c r="AH91" s="15"/>
      <c r="AI91" s="15"/>
      <c r="AJ91" s="15"/>
      <c r="AK91" s="466"/>
      <c r="AL91" s="466"/>
      <c r="AM91" s="466"/>
      <c r="AN91" s="466"/>
      <c r="AO91" s="466"/>
      <c r="AP91" s="466"/>
      <c r="AQ91" s="466"/>
      <c r="AR91" s="466"/>
      <c r="AT91" s="139">
        <f t="shared" si="35"/>
        <v>0</v>
      </c>
      <c r="AU91" s="139">
        <f t="shared" si="36"/>
        <v>0</v>
      </c>
      <c r="AV91" s="139">
        <f t="shared" si="37"/>
        <v>0</v>
      </c>
      <c r="AW91" s="139">
        <f t="shared" si="38"/>
        <v>0</v>
      </c>
      <c r="AX91" s="139">
        <f t="shared" si="39"/>
        <v>0</v>
      </c>
      <c r="AY91" s="139">
        <f t="shared" si="40"/>
        <v>0</v>
      </c>
      <c r="AZ91" s="139">
        <f t="shared" si="41"/>
        <v>0</v>
      </c>
      <c r="BA91" s="139">
        <f t="shared" si="42"/>
        <v>0</v>
      </c>
      <c r="BB91" s="12"/>
      <c r="BC91" s="4"/>
    </row>
    <row r="92" spans="1:55" x14ac:dyDescent="0.3">
      <c r="B92" t="s">
        <v>118</v>
      </c>
      <c r="S92" s="15"/>
      <c r="T92" s="15"/>
      <c r="U92" s="466"/>
      <c r="V92" s="466"/>
      <c r="W92" s="466"/>
      <c r="X92" s="466"/>
      <c r="Y92" s="466"/>
      <c r="Z92" s="466"/>
      <c r="AA92" s="466"/>
      <c r="AB92" s="466"/>
      <c r="AC92" s="466"/>
      <c r="AD92" s="466"/>
      <c r="AE92" s="466"/>
      <c r="AF92" s="466"/>
      <c r="AG92" s="15"/>
      <c r="AH92" s="15"/>
      <c r="AI92" s="466"/>
      <c r="AJ92" s="466"/>
      <c r="AK92" s="466"/>
      <c r="AL92" s="466"/>
      <c r="AM92" s="466"/>
      <c r="AN92" s="466"/>
      <c r="AO92" s="466"/>
      <c r="AP92" s="466"/>
      <c r="AQ92" s="466"/>
      <c r="AR92" s="466"/>
      <c r="AT92" s="139">
        <f t="shared" si="35"/>
        <v>0</v>
      </c>
      <c r="AU92" s="139">
        <f t="shared" si="36"/>
        <v>0</v>
      </c>
      <c r="AV92" s="139">
        <f t="shared" si="37"/>
        <v>0</v>
      </c>
      <c r="AW92" s="139">
        <f t="shared" si="38"/>
        <v>0</v>
      </c>
      <c r="AX92" s="139">
        <f t="shared" si="39"/>
        <v>0</v>
      </c>
      <c r="AY92" s="139">
        <f t="shared" si="40"/>
        <v>0</v>
      </c>
      <c r="AZ92" s="139">
        <f t="shared" si="41"/>
        <v>0</v>
      </c>
      <c r="BA92" s="139">
        <f t="shared" si="42"/>
        <v>0</v>
      </c>
      <c r="BB92" s="12"/>
      <c r="BC92" s="4"/>
    </row>
    <row r="93" spans="1:55" x14ac:dyDescent="0.3">
      <c r="B93" s="14" t="s">
        <v>91</v>
      </c>
      <c r="S93" s="15"/>
      <c r="T93" s="15"/>
      <c r="U93" s="466"/>
      <c r="V93" s="466"/>
      <c r="W93" s="466"/>
      <c r="X93" s="466"/>
      <c r="Y93" s="466"/>
      <c r="Z93" s="466"/>
      <c r="AA93" s="466"/>
      <c r="AB93" s="466"/>
      <c r="AC93" s="466"/>
      <c r="AD93" s="466"/>
      <c r="AE93" s="466"/>
      <c r="AF93" s="466"/>
      <c r="AG93" s="15"/>
      <c r="AH93" s="15"/>
      <c r="AI93" s="466"/>
      <c r="AJ93" s="466"/>
      <c r="AK93" s="466"/>
      <c r="AL93" s="466"/>
      <c r="AM93" s="466"/>
      <c r="AN93" s="466"/>
      <c r="AO93" s="466"/>
      <c r="AP93" s="466"/>
      <c r="AQ93" s="466"/>
      <c r="AR93" s="466"/>
      <c r="AT93" s="139">
        <f t="shared" si="35"/>
        <v>0</v>
      </c>
      <c r="AU93" s="139">
        <f t="shared" si="36"/>
        <v>0</v>
      </c>
      <c r="AV93" s="139">
        <f t="shared" si="37"/>
        <v>0</v>
      </c>
      <c r="AW93" s="139">
        <f t="shared" si="38"/>
        <v>0</v>
      </c>
      <c r="AX93" s="139">
        <f t="shared" si="39"/>
        <v>0</v>
      </c>
      <c r="AY93" s="139">
        <f t="shared" si="40"/>
        <v>0</v>
      </c>
      <c r="AZ93" s="139">
        <f t="shared" si="41"/>
        <v>0</v>
      </c>
      <c r="BA93" s="139">
        <f t="shared" si="42"/>
        <v>0</v>
      </c>
      <c r="BB93" s="12"/>
      <c r="BC93" s="4"/>
    </row>
    <row r="94" spans="1:55" x14ac:dyDescent="0.3">
      <c r="B94" s="14" t="s">
        <v>238</v>
      </c>
      <c r="S94" s="15"/>
      <c r="T94" s="15"/>
      <c r="U94" s="466"/>
      <c r="V94" s="466"/>
      <c r="W94" s="466"/>
      <c r="X94" s="466"/>
      <c r="Y94" s="466"/>
      <c r="Z94" s="466"/>
      <c r="AA94" s="466"/>
      <c r="AB94" s="466"/>
      <c r="AC94" s="466"/>
      <c r="AD94" s="466"/>
      <c r="AE94" s="466"/>
      <c r="AF94" s="466"/>
      <c r="AG94" s="15"/>
      <c r="AH94" s="15"/>
      <c r="AI94" s="466"/>
      <c r="AJ94" s="466"/>
      <c r="AK94" s="466"/>
      <c r="AL94" s="466"/>
      <c r="AM94" s="466"/>
      <c r="AN94" s="466"/>
      <c r="AO94" s="466"/>
      <c r="AP94" s="466"/>
      <c r="AQ94" s="466"/>
      <c r="AR94" s="466"/>
      <c r="AT94" s="139">
        <f t="shared" si="35"/>
        <v>0</v>
      </c>
      <c r="AU94" s="139">
        <f t="shared" si="36"/>
        <v>0</v>
      </c>
      <c r="AV94" s="139">
        <f t="shared" si="37"/>
        <v>0</v>
      </c>
      <c r="AW94" s="139">
        <f t="shared" si="38"/>
        <v>0</v>
      </c>
      <c r="AX94" s="139">
        <f t="shared" si="39"/>
        <v>0</v>
      </c>
      <c r="AY94" s="139">
        <f t="shared" si="40"/>
        <v>0</v>
      </c>
      <c r="AZ94" s="139">
        <f t="shared" si="41"/>
        <v>0</v>
      </c>
      <c r="BA94" s="139">
        <f t="shared" si="42"/>
        <v>0</v>
      </c>
      <c r="BB94" s="12"/>
      <c r="BC94" s="4"/>
    </row>
    <row r="95" spans="1:55" x14ac:dyDescent="0.3">
      <c r="B95" s="384" t="s">
        <v>246</v>
      </c>
      <c r="S95" s="15"/>
      <c r="T95" s="15"/>
      <c r="U95" s="466"/>
      <c r="V95" s="466"/>
      <c r="W95" s="466"/>
      <c r="X95" s="466"/>
      <c r="Y95" s="466"/>
      <c r="Z95" s="466"/>
      <c r="AA95" s="466"/>
      <c r="AB95" s="466"/>
      <c r="AC95" s="466"/>
      <c r="AD95" s="466"/>
      <c r="AE95" s="466"/>
      <c r="AF95" s="466"/>
      <c r="AG95" s="15"/>
      <c r="AH95" s="15"/>
      <c r="AI95" s="466"/>
      <c r="AJ95" s="466"/>
      <c r="AK95" s="466"/>
      <c r="AL95" s="466"/>
      <c r="AM95" s="466"/>
      <c r="AN95" s="466"/>
      <c r="AO95" s="466"/>
      <c r="AP95" s="466"/>
      <c r="AQ95" s="466"/>
      <c r="AR95" s="466"/>
      <c r="AT95" s="139">
        <f t="shared" si="35"/>
        <v>0</v>
      </c>
      <c r="AU95" s="139">
        <f t="shared" si="36"/>
        <v>0</v>
      </c>
      <c r="AV95" s="139">
        <f t="shared" si="37"/>
        <v>0</v>
      </c>
      <c r="AW95" s="139">
        <f t="shared" si="38"/>
        <v>0</v>
      </c>
      <c r="AX95" s="139">
        <f t="shared" si="39"/>
        <v>0</v>
      </c>
      <c r="AY95" s="139">
        <f t="shared" si="40"/>
        <v>0</v>
      </c>
      <c r="AZ95" s="139">
        <f t="shared" si="41"/>
        <v>0</v>
      </c>
      <c r="BA95" s="139">
        <f t="shared" si="42"/>
        <v>0</v>
      </c>
      <c r="BB95" s="12"/>
      <c r="BC95" s="4"/>
    </row>
    <row r="96" spans="1:55" x14ac:dyDescent="0.3">
      <c r="B96" s="14" t="s">
        <v>153</v>
      </c>
      <c r="S96" s="15"/>
      <c r="T96" s="15"/>
      <c r="U96" s="15"/>
      <c r="V96" s="15"/>
      <c r="W96" s="15"/>
      <c r="X96" s="15"/>
      <c r="Y96" s="466"/>
      <c r="Z96" s="466"/>
      <c r="AA96" s="466"/>
      <c r="AB96" s="466"/>
      <c r="AC96" s="466"/>
      <c r="AD96" s="466"/>
      <c r="AE96" s="466"/>
      <c r="AF96" s="466"/>
      <c r="AG96" s="15"/>
      <c r="AH96" s="15"/>
      <c r="AI96" s="15"/>
      <c r="AJ96" s="15"/>
      <c r="AK96" s="466"/>
      <c r="AL96" s="466"/>
      <c r="AM96" s="466"/>
      <c r="AN96" s="466"/>
      <c r="AO96" s="466"/>
      <c r="AP96" s="466"/>
      <c r="AQ96" s="466"/>
      <c r="AR96" s="466"/>
      <c r="AT96" s="139">
        <f t="shared" si="35"/>
        <v>0</v>
      </c>
      <c r="AU96" s="139">
        <f t="shared" si="36"/>
        <v>0</v>
      </c>
      <c r="AV96" s="139">
        <f t="shared" si="37"/>
        <v>0</v>
      </c>
      <c r="AW96" s="139">
        <f t="shared" si="38"/>
        <v>0</v>
      </c>
      <c r="AX96" s="139">
        <f t="shared" si="39"/>
        <v>0</v>
      </c>
      <c r="AY96" s="139">
        <f t="shared" si="40"/>
        <v>0</v>
      </c>
      <c r="AZ96" s="139">
        <f t="shared" si="41"/>
        <v>0</v>
      </c>
      <c r="BA96" s="139">
        <f t="shared" si="42"/>
        <v>0</v>
      </c>
      <c r="BB96" s="12"/>
      <c r="BC96" s="4"/>
    </row>
    <row r="97" spans="1:55" x14ac:dyDescent="0.3">
      <c r="A97">
        <v>1013</v>
      </c>
      <c r="B97" t="s">
        <v>83</v>
      </c>
      <c r="S97" s="15"/>
      <c r="T97" s="15"/>
      <c r="U97" s="466"/>
      <c r="V97" s="466"/>
      <c r="W97" s="466"/>
      <c r="X97" s="466"/>
      <c r="Y97" s="466"/>
      <c r="Z97" s="466"/>
      <c r="AA97" s="466"/>
      <c r="AB97" s="466"/>
      <c r="AC97" s="466"/>
      <c r="AD97" s="466"/>
      <c r="AE97" s="466"/>
      <c r="AF97" s="466"/>
      <c r="AG97" s="15"/>
      <c r="AH97" s="15"/>
      <c r="AI97" s="466"/>
      <c r="AJ97" s="466"/>
      <c r="AK97" s="466"/>
      <c r="AL97" s="466"/>
      <c r="AM97" s="466"/>
      <c r="AN97" s="466"/>
      <c r="AO97" s="466"/>
      <c r="AP97" s="466"/>
      <c r="AQ97" s="466"/>
      <c r="AR97" s="466"/>
      <c r="AT97" s="139">
        <f t="shared" si="35"/>
        <v>0</v>
      </c>
      <c r="AU97" s="139">
        <f t="shared" si="36"/>
        <v>0</v>
      </c>
      <c r="AV97" s="139">
        <f t="shared" si="37"/>
        <v>0</v>
      </c>
      <c r="AW97" s="139">
        <f t="shared" si="38"/>
        <v>0</v>
      </c>
      <c r="AX97" s="139">
        <f t="shared" si="39"/>
        <v>0</v>
      </c>
      <c r="AY97" s="139">
        <f t="shared" si="40"/>
        <v>0</v>
      </c>
      <c r="AZ97" s="139">
        <f t="shared" si="41"/>
        <v>0</v>
      </c>
      <c r="BA97" s="139">
        <f t="shared" si="42"/>
        <v>0</v>
      </c>
      <c r="BB97" s="12"/>
      <c r="BC97" s="4"/>
    </row>
    <row r="98" spans="1:55" x14ac:dyDescent="0.3">
      <c r="A98">
        <v>1014</v>
      </c>
      <c r="B98" t="s">
        <v>84</v>
      </c>
      <c r="S98" s="15"/>
      <c r="T98" s="15"/>
      <c r="U98" s="466"/>
      <c r="V98" s="466"/>
      <c r="W98" s="466"/>
      <c r="X98" s="466"/>
      <c r="Y98" s="466"/>
      <c r="Z98" s="466"/>
      <c r="AA98" s="466"/>
      <c r="AB98" s="466"/>
      <c r="AC98" s="466"/>
      <c r="AD98" s="466"/>
      <c r="AE98" s="466"/>
      <c r="AF98" s="466"/>
      <c r="AG98" s="15"/>
      <c r="AH98" s="15"/>
      <c r="AI98" s="466"/>
      <c r="AJ98" s="466"/>
      <c r="AK98" s="466"/>
      <c r="AL98" s="466"/>
      <c r="AM98" s="466"/>
      <c r="AN98" s="466"/>
      <c r="AO98" s="466"/>
      <c r="AP98" s="466"/>
      <c r="AQ98" s="466"/>
      <c r="AR98" s="466"/>
      <c r="AT98" s="139">
        <f t="shared" si="35"/>
        <v>0</v>
      </c>
      <c r="AU98" s="139">
        <f t="shared" si="36"/>
        <v>0</v>
      </c>
      <c r="AV98" s="139">
        <f t="shared" si="37"/>
        <v>0</v>
      </c>
      <c r="AW98" s="139">
        <f t="shared" si="38"/>
        <v>0</v>
      </c>
      <c r="AX98" s="139">
        <f t="shared" si="39"/>
        <v>0</v>
      </c>
      <c r="AY98" s="139">
        <f t="shared" si="40"/>
        <v>0</v>
      </c>
      <c r="AZ98" s="139">
        <f t="shared" si="41"/>
        <v>0</v>
      </c>
      <c r="BA98" s="139">
        <f t="shared" si="42"/>
        <v>0</v>
      </c>
      <c r="BB98" s="12"/>
      <c r="BC98" s="4"/>
    </row>
    <row r="99" spans="1:55" x14ac:dyDescent="0.3">
      <c r="B99" t="s">
        <v>149</v>
      </c>
      <c r="S99" s="15"/>
      <c r="T99" s="15"/>
      <c r="U99" s="15"/>
      <c r="V99" s="15"/>
      <c r="W99" s="15"/>
      <c r="X99" s="15"/>
      <c r="Y99" s="466"/>
      <c r="Z99" s="466"/>
      <c r="AA99" s="466"/>
      <c r="AB99" s="466"/>
      <c r="AC99" s="466"/>
      <c r="AD99" s="466"/>
      <c r="AE99" s="466"/>
      <c r="AF99" s="466"/>
      <c r="AG99" s="15"/>
      <c r="AH99" s="15"/>
      <c r="AI99" s="15"/>
      <c r="AJ99" s="15"/>
      <c r="AK99" s="466"/>
      <c r="AL99" s="466"/>
      <c r="AM99" s="466"/>
      <c r="AN99" s="466"/>
      <c r="AO99" s="466"/>
      <c r="AP99" s="466"/>
      <c r="AQ99" s="466"/>
      <c r="AR99" s="466"/>
      <c r="AT99" s="139">
        <f t="shared" si="35"/>
        <v>0</v>
      </c>
      <c r="AU99" s="139">
        <f t="shared" si="36"/>
        <v>0</v>
      </c>
      <c r="AV99" s="139">
        <f t="shared" si="37"/>
        <v>0</v>
      </c>
      <c r="AW99" s="139">
        <f t="shared" si="38"/>
        <v>0</v>
      </c>
      <c r="AX99" s="139">
        <f t="shared" si="39"/>
        <v>0</v>
      </c>
      <c r="AY99" s="139">
        <f t="shared" si="40"/>
        <v>0</v>
      </c>
      <c r="AZ99" s="139">
        <f t="shared" si="41"/>
        <v>0</v>
      </c>
      <c r="BA99" s="139">
        <f t="shared" si="42"/>
        <v>0</v>
      </c>
      <c r="BB99" s="12"/>
      <c r="BC99" s="4"/>
    </row>
    <row r="100" spans="1:55" x14ac:dyDescent="0.3">
      <c r="A100" s="383" t="s">
        <v>394</v>
      </c>
      <c r="B100" s="385" t="s">
        <v>393</v>
      </c>
      <c r="S100" s="15"/>
      <c r="T100" s="15"/>
      <c r="U100" s="15"/>
      <c r="V100" s="15"/>
      <c r="W100" s="15"/>
      <c r="X100" s="15"/>
      <c r="Y100" s="466"/>
      <c r="Z100" s="466"/>
      <c r="AA100" s="466"/>
      <c r="AB100" s="466"/>
      <c r="AC100" s="466"/>
      <c r="AD100" s="466"/>
      <c r="AE100" s="466"/>
      <c r="AF100" s="466"/>
      <c r="AG100" s="15"/>
      <c r="AH100" s="15"/>
      <c r="AI100" s="15"/>
      <c r="AJ100" s="15"/>
      <c r="AK100" s="466"/>
      <c r="AL100" s="466"/>
      <c r="AM100" s="466"/>
      <c r="AN100" s="466"/>
      <c r="AO100" s="466"/>
      <c r="AP100" s="466"/>
      <c r="AQ100" s="466"/>
      <c r="AR100" s="466"/>
      <c r="AT100" s="139">
        <f t="shared" si="35"/>
        <v>0</v>
      </c>
      <c r="AU100" s="139">
        <f t="shared" si="36"/>
        <v>0</v>
      </c>
      <c r="AV100" s="139">
        <f t="shared" si="37"/>
        <v>0</v>
      </c>
      <c r="AW100" s="139">
        <f t="shared" si="38"/>
        <v>0</v>
      </c>
      <c r="AX100" s="139">
        <f t="shared" si="39"/>
        <v>0</v>
      </c>
      <c r="AY100" s="139">
        <f t="shared" si="40"/>
        <v>0</v>
      </c>
      <c r="AZ100" s="139">
        <f t="shared" si="41"/>
        <v>0</v>
      </c>
      <c r="BA100" s="139">
        <f t="shared" si="42"/>
        <v>0</v>
      </c>
      <c r="BB100" s="139"/>
      <c r="BC100" s="4"/>
    </row>
    <row r="101" spans="1:55" x14ac:dyDescent="0.3">
      <c r="A101">
        <v>1018</v>
      </c>
      <c r="B101" t="s">
        <v>85</v>
      </c>
      <c r="S101" s="15"/>
      <c r="T101" s="15"/>
      <c r="U101" s="466"/>
      <c r="V101" s="466"/>
      <c r="W101" s="466"/>
      <c r="X101" s="466"/>
      <c r="Y101" s="466"/>
      <c r="Z101" s="466"/>
      <c r="AA101" s="466"/>
      <c r="AB101" s="466"/>
      <c r="AC101" s="466"/>
      <c r="AD101" s="466"/>
      <c r="AE101" s="466"/>
      <c r="AF101" s="466"/>
      <c r="AG101" s="15"/>
      <c r="AH101" s="15"/>
      <c r="AI101" s="466"/>
      <c r="AJ101" s="466"/>
      <c r="AK101" s="466"/>
      <c r="AL101" s="466"/>
      <c r="AM101" s="466"/>
      <c r="AN101" s="466"/>
      <c r="AO101" s="466"/>
      <c r="AP101" s="466"/>
      <c r="AQ101" s="466"/>
      <c r="AR101" s="466"/>
      <c r="AT101" s="139">
        <f t="shared" si="35"/>
        <v>0</v>
      </c>
      <c r="AU101" s="139">
        <f t="shared" si="36"/>
        <v>0</v>
      </c>
      <c r="AV101" s="139">
        <f t="shared" si="37"/>
        <v>0</v>
      </c>
      <c r="AW101" s="139">
        <f t="shared" si="38"/>
        <v>0</v>
      </c>
      <c r="AX101" s="139">
        <f t="shared" si="39"/>
        <v>0</v>
      </c>
      <c r="AY101" s="139">
        <f t="shared" si="40"/>
        <v>0</v>
      </c>
      <c r="AZ101" s="139">
        <f t="shared" si="41"/>
        <v>0</v>
      </c>
      <c r="BA101" s="139">
        <f t="shared" si="42"/>
        <v>0</v>
      </c>
      <c r="BB101" s="12"/>
      <c r="BC101" s="4"/>
    </row>
    <row r="102" spans="1:55" x14ac:dyDescent="0.3">
      <c r="A102">
        <v>1019</v>
      </c>
      <c r="B102" t="s">
        <v>77</v>
      </c>
      <c r="S102" s="15"/>
      <c r="T102" s="15"/>
      <c r="U102" s="466"/>
      <c r="V102" s="466"/>
      <c r="W102" s="466"/>
      <c r="X102" s="466"/>
      <c r="Y102" s="466"/>
      <c r="Z102" s="466"/>
      <c r="AA102" s="466"/>
      <c r="AB102" s="466"/>
      <c r="AC102" s="466"/>
      <c r="AD102" s="466"/>
      <c r="AE102" s="466"/>
      <c r="AF102" s="466"/>
      <c r="AG102" s="15"/>
      <c r="AH102" s="15"/>
      <c r="AI102" s="466"/>
      <c r="AJ102" s="466"/>
      <c r="AK102" s="466"/>
      <c r="AL102" s="466"/>
      <c r="AM102" s="466"/>
      <c r="AN102" s="466"/>
      <c r="AO102" s="466"/>
      <c r="AP102" s="466"/>
      <c r="AQ102" s="466"/>
      <c r="AR102" s="466"/>
      <c r="AT102" s="139">
        <f t="shared" si="35"/>
        <v>0</v>
      </c>
      <c r="AU102" s="139">
        <f t="shared" si="36"/>
        <v>0</v>
      </c>
      <c r="AV102" s="139">
        <f t="shared" si="37"/>
        <v>0</v>
      </c>
      <c r="AW102" s="139">
        <f t="shared" si="38"/>
        <v>0</v>
      </c>
      <c r="AX102" s="139">
        <f t="shared" si="39"/>
        <v>0</v>
      </c>
      <c r="AY102" s="139">
        <f t="shared" si="40"/>
        <v>0</v>
      </c>
      <c r="AZ102" s="139">
        <f t="shared" si="41"/>
        <v>0</v>
      </c>
      <c r="BA102" s="139">
        <f t="shared" si="42"/>
        <v>0</v>
      </c>
      <c r="BB102" s="12"/>
      <c r="BC102" s="4"/>
    </row>
    <row r="103" spans="1:55" x14ac:dyDescent="0.3">
      <c r="B103" s="49" t="s">
        <v>188</v>
      </c>
      <c r="S103" s="15"/>
      <c r="T103" s="15"/>
      <c r="U103" s="15"/>
      <c r="V103" s="15"/>
      <c r="W103" s="15"/>
      <c r="X103" s="15"/>
      <c r="Y103" s="466"/>
      <c r="Z103" s="466"/>
      <c r="AA103" s="466"/>
      <c r="AB103" s="466"/>
      <c r="AC103" s="466"/>
      <c r="AD103" s="466"/>
      <c r="AE103" s="466"/>
      <c r="AF103" s="466"/>
      <c r="AG103" s="15"/>
      <c r="AH103" s="15"/>
      <c r="AI103" s="15"/>
      <c r="AJ103" s="15"/>
      <c r="AK103" s="466"/>
      <c r="AL103" s="466"/>
      <c r="AM103" s="466"/>
      <c r="AN103" s="466"/>
      <c r="AO103" s="466"/>
      <c r="AP103" s="466"/>
      <c r="AQ103" s="466"/>
      <c r="AR103" s="466"/>
      <c r="AT103" s="139">
        <f t="shared" si="35"/>
        <v>0</v>
      </c>
      <c r="AU103" s="139">
        <f t="shared" si="36"/>
        <v>0</v>
      </c>
      <c r="AV103" s="139">
        <f t="shared" si="37"/>
        <v>0</v>
      </c>
      <c r="AW103" s="139">
        <f t="shared" si="38"/>
        <v>0</v>
      </c>
      <c r="AX103" s="139">
        <f t="shared" si="39"/>
        <v>0</v>
      </c>
      <c r="AY103" s="139">
        <f t="shared" si="40"/>
        <v>0</v>
      </c>
      <c r="AZ103" s="139">
        <f t="shared" si="41"/>
        <v>0</v>
      </c>
      <c r="BA103" s="139">
        <f t="shared" si="42"/>
        <v>0</v>
      </c>
      <c r="BB103" s="12"/>
      <c r="BC103" s="4"/>
    </row>
    <row r="104" spans="1:55" x14ac:dyDescent="0.3">
      <c r="A104">
        <v>1015</v>
      </c>
      <c r="B104" t="s">
        <v>268</v>
      </c>
      <c r="S104" s="15"/>
      <c r="T104" s="15"/>
      <c r="U104" s="466"/>
      <c r="V104" s="466"/>
      <c r="W104" s="466"/>
      <c r="X104" s="466"/>
      <c r="Y104" s="466"/>
      <c r="Z104" s="466"/>
      <c r="AA104" s="466"/>
      <c r="AB104" s="466"/>
      <c r="AC104" s="466"/>
      <c r="AD104" s="466"/>
      <c r="AE104" s="466"/>
      <c r="AF104" s="466"/>
      <c r="AG104" s="4"/>
      <c r="AH104" s="4"/>
      <c r="AI104" s="466"/>
      <c r="AJ104" s="466"/>
      <c r="AK104" s="466"/>
      <c r="AL104" s="466"/>
      <c r="AM104" s="466"/>
      <c r="AN104" s="466"/>
      <c r="AO104" s="466"/>
      <c r="AP104" s="466"/>
      <c r="AQ104" s="466"/>
      <c r="AR104" s="466"/>
      <c r="AT104" s="139">
        <f t="shared" si="35"/>
        <v>0</v>
      </c>
      <c r="AU104" s="139">
        <f t="shared" si="36"/>
        <v>0</v>
      </c>
      <c r="AV104" s="139">
        <f t="shared" si="37"/>
        <v>0</v>
      </c>
      <c r="AW104" s="139">
        <f t="shared" si="38"/>
        <v>0</v>
      </c>
      <c r="AX104" s="139">
        <f t="shared" si="39"/>
        <v>0</v>
      </c>
      <c r="AY104" s="139">
        <f t="shared" si="40"/>
        <v>0</v>
      </c>
      <c r="AZ104" s="139">
        <f t="shared" si="41"/>
        <v>0</v>
      </c>
      <c r="BA104" s="139">
        <f t="shared" si="42"/>
        <v>0</v>
      </c>
      <c r="BB104" s="12"/>
      <c r="BC104" s="4"/>
    </row>
    <row r="105" spans="1:55" x14ac:dyDescent="0.3">
      <c r="B105" s="49" t="s">
        <v>216</v>
      </c>
      <c r="V105" s="15"/>
      <c r="W105" s="15"/>
      <c r="X105" s="15"/>
      <c r="Y105" s="466"/>
      <c r="Z105" s="466"/>
      <c r="AA105" s="466"/>
      <c r="AB105" s="466"/>
      <c r="AC105" s="466"/>
      <c r="AD105" s="466"/>
      <c r="AE105" s="466"/>
      <c r="AF105" s="466"/>
      <c r="AK105" s="448"/>
      <c r="AL105" s="448"/>
      <c r="AM105" s="448"/>
      <c r="AN105" s="448"/>
      <c r="AO105" s="448"/>
      <c r="AP105" s="448"/>
      <c r="AQ105" s="448"/>
      <c r="AR105" s="448"/>
      <c r="AT105" s="139">
        <f t="shared" si="35"/>
        <v>0</v>
      </c>
      <c r="AU105" s="139">
        <f t="shared" si="36"/>
        <v>0</v>
      </c>
      <c r="AV105" s="139">
        <f t="shared" si="37"/>
        <v>0</v>
      </c>
      <c r="AW105" s="139">
        <f t="shared" si="38"/>
        <v>0</v>
      </c>
      <c r="AX105" s="139">
        <f t="shared" si="39"/>
        <v>0</v>
      </c>
      <c r="AY105" s="139">
        <f t="shared" si="40"/>
        <v>0</v>
      </c>
      <c r="AZ105" s="139">
        <f t="shared" si="41"/>
        <v>0</v>
      </c>
      <c r="BA105" s="139">
        <f t="shared" si="42"/>
        <v>0</v>
      </c>
      <c r="BC105" s="4"/>
    </row>
    <row r="106" spans="1:55" x14ac:dyDescent="0.3">
      <c r="A106">
        <v>1048</v>
      </c>
      <c r="B106" t="s">
        <v>207</v>
      </c>
      <c r="U106" s="466"/>
      <c r="V106" s="466"/>
      <c r="W106" s="466"/>
      <c r="X106" s="466"/>
      <c r="Y106" s="466"/>
      <c r="Z106" s="466"/>
      <c r="AA106" s="466"/>
      <c r="AB106" s="466"/>
      <c r="AC106" s="466"/>
      <c r="AD106" s="466"/>
      <c r="AE106" s="466"/>
      <c r="AF106" s="466"/>
      <c r="AI106" s="466"/>
      <c r="AJ106" s="466"/>
      <c r="AK106" s="466"/>
      <c r="AL106" s="466"/>
      <c r="AM106" s="466"/>
      <c r="AN106" s="466"/>
      <c r="AO106" s="466"/>
      <c r="AP106" s="466"/>
      <c r="AQ106" s="466"/>
      <c r="AR106" s="466"/>
      <c r="AT106" s="139">
        <f t="shared" si="35"/>
        <v>0</v>
      </c>
      <c r="AU106" s="139">
        <f t="shared" si="36"/>
        <v>0</v>
      </c>
      <c r="AV106" s="139">
        <f t="shared" si="37"/>
        <v>0</v>
      </c>
      <c r="AW106" s="139">
        <f t="shared" si="38"/>
        <v>0</v>
      </c>
      <c r="AX106" s="139">
        <f t="shared" si="39"/>
        <v>0</v>
      </c>
      <c r="AY106" s="139">
        <f t="shared" si="40"/>
        <v>0</v>
      </c>
      <c r="AZ106" s="139">
        <f t="shared" si="41"/>
        <v>0</v>
      </c>
      <c r="BA106" s="139">
        <f t="shared" si="42"/>
        <v>0</v>
      </c>
      <c r="BC106" s="4"/>
    </row>
    <row r="107" spans="1:55" x14ac:dyDescent="0.3">
      <c r="B107" s="49" t="s">
        <v>384</v>
      </c>
      <c r="V107" s="15"/>
      <c r="W107" s="15"/>
      <c r="X107" s="15"/>
      <c r="Y107" s="466"/>
      <c r="Z107" s="466"/>
      <c r="AA107" s="466"/>
      <c r="AB107" s="466"/>
      <c r="AC107" s="466"/>
      <c r="AD107" s="466"/>
      <c r="AE107" s="466"/>
      <c r="AF107" s="466"/>
      <c r="AK107" s="448"/>
      <c r="AL107" s="448"/>
      <c r="AM107" s="448"/>
      <c r="AN107" s="448"/>
      <c r="AO107" s="448"/>
      <c r="AP107" s="448"/>
      <c r="AQ107" s="448"/>
      <c r="AR107" s="448"/>
      <c r="AT107" s="139">
        <f t="shared" si="35"/>
        <v>0</v>
      </c>
      <c r="AU107" s="139">
        <f t="shared" si="36"/>
        <v>0</v>
      </c>
      <c r="AV107" s="139">
        <f t="shared" si="37"/>
        <v>0</v>
      </c>
      <c r="AW107" s="139">
        <f t="shared" si="38"/>
        <v>0</v>
      </c>
      <c r="AX107" s="139">
        <f t="shared" si="39"/>
        <v>0</v>
      </c>
      <c r="AY107" s="139">
        <f t="shared" si="40"/>
        <v>0</v>
      </c>
      <c r="AZ107" s="139">
        <f t="shared" si="41"/>
        <v>0</v>
      </c>
      <c r="BA107" s="139">
        <f t="shared" si="42"/>
        <v>0</v>
      </c>
      <c r="BC107" s="4"/>
    </row>
    <row r="108" spans="1:55" x14ac:dyDescent="0.3">
      <c r="BC108" s="4"/>
    </row>
    <row r="109" spans="1:55" x14ac:dyDescent="0.3">
      <c r="B109" s="1" t="s">
        <v>392</v>
      </c>
      <c r="BC109" s="4"/>
    </row>
    <row r="110" spans="1:55" x14ac:dyDescent="0.3">
      <c r="A110">
        <v>1012</v>
      </c>
      <c r="B110" t="s">
        <v>82</v>
      </c>
      <c r="S110" s="15"/>
      <c r="T110" s="15"/>
      <c r="U110" s="15"/>
      <c r="V110" s="15"/>
      <c r="W110" s="15"/>
      <c r="X110" s="15"/>
      <c r="Y110" s="466"/>
      <c r="Z110" s="466"/>
      <c r="AA110" s="466"/>
      <c r="AB110" s="466"/>
      <c r="AC110" s="466"/>
      <c r="AD110" s="466"/>
      <c r="AE110" s="466"/>
      <c r="AF110" s="466"/>
      <c r="AG110" s="15"/>
      <c r="AH110" s="15"/>
      <c r="AI110" s="15"/>
      <c r="AJ110" s="15"/>
      <c r="AK110" s="466"/>
      <c r="AL110" s="466"/>
      <c r="AM110" s="466"/>
      <c r="AN110" s="466"/>
      <c r="AO110" s="466"/>
      <c r="AP110" s="466"/>
      <c r="AQ110" s="466"/>
      <c r="AR110" s="466"/>
      <c r="AT110" s="139">
        <f t="shared" ref="AT110:AT127" si="43">IF(ISERROR((AK110-Y110)/Y110),0,(AK110-Y110)/Y110)</f>
        <v>0</v>
      </c>
      <c r="AU110" s="139">
        <f t="shared" ref="AU110:AU127" si="44">IF(ISERROR((AL110-Z110)/Z110),0,(AL110-Z110)/Z110)</f>
        <v>0</v>
      </c>
      <c r="AV110" s="139">
        <f t="shared" ref="AV110:AV127" si="45">IF(ISERROR((AM110-AA110)/AA110),0,(AM110-AA110)/AA110)</f>
        <v>0</v>
      </c>
      <c r="AW110" s="139">
        <f t="shared" ref="AW110:AW127" si="46">IF(ISERROR((AN110-AB110)/AB110),0,(AN110-AB110)/AB110)</f>
        <v>0</v>
      </c>
      <c r="AX110" s="139">
        <f t="shared" ref="AX110:AX127" si="47">IF(ISERROR((AO110-AC110)/AC110),0,(AO110-AC110)/AC110)</f>
        <v>0</v>
      </c>
      <c r="AY110" s="139">
        <f t="shared" ref="AY110:AY127" si="48">IF(ISERROR((AP110-AD110)/AD110),0,(AP110-AD110)/AD110)</f>
        <v>0</v>
      </c>
      <c r="AZ110" s="139">
        <f t="shared" ref="AZ110:AZ127" si="49">IF(ISERROR((AQ110-AE110)/AE110),0,(AQ110-AE110)/AE110)</f>
        <v>0</v>
      </c>
      <c r="BA110" s="139">
        <f t="shared" ref="BA110:BA127" si="50">IF(ISERROR((AR110-AF110)/AF110),0,(AR110-AF110)/AF110)</f>
        <v>0</v>
      </c>
      <c r="BB110" s="12"/>
      <c r="BC110" s="4"/>
    </row>
    <row r="111" spans="1:55" x14ac:dyDescent="0.3">
      <c r="A111">
        <v>1012</v>
      </c>
      <c r="B111" t="s">
        <v>90</v>
      </c>
      <c r="S111" s="15"/>
      <c r="T111" s="15"/>
      <c r="U111" s="15"/>
      <c r="V111" s="15"/>
      <c r="W111" s="15"/>
      <c r="X111" s="15"/>
      <c r="Y111" s="466"/>
      <c r="Z111" s="466"/>
      <c r="AA111" s="466"/>
      <c r="AB111" s="466"/>
      <c r="AC111" s="466"/>
      <c r="AD111" s="466"/>
      <c r="AE111" s="466"/>
      <c r="AF111" s="466"/>
      <c r="AG111" s="15"/>
      <c r="AH111" s="15"/>
      <c r="AI111" s="15"/>
      <c r="AJ111" s="15"/>
      <c r="AK111" s="466"/>
      <c r="AL111" s="466"/>
      <c r="AM111" s="466"/>
      <c r="AN111" s="466"/>
      <c r="AO111" s="466"/>
      <c r="AP111" s="466"/>
      <c r="AQ111" s="466"/>
      <c r="AR111" s="466"/>
      <c r="AT111" s="139">
        <f t="shared" si="43"/>
        <v>0</v>
      </c>
      <c r="AU111" s="139">
        <f t="shared" si="44"/>
        <v>0</v>
      </c>
      <c r="AV111" s="139">
        <f t="shared" si="45"/>
        <v>0</v>
      </c>
      <c r="AW111" s="139">
        <f t="shared" si="46"/>
        <v>0</v>
      </c>
      <c r="AX111" s="139">
        <f t="shared" si="47"/>
        <v>0</v>
      </c>
      <c r="AY111" s="139">
        <f t="shared" si="48"/>
        <v>0</v>
      </c>
      <c r="AZ111" s="139">
        <f t="shared" si="49"/>
        <v>0</v>
      </c>
      <c r="BA111" s="139">
        <f t="shared" si="50"/>
        <v>0</v>
      </c>
      <c r="BB111" s="12"/>
      <c r="BC111" s="4"/>
    </row>
    <row r="112" spans="1:55" x14ac:dyDescent="0.3">
      <c r="B112" t="s">
        <v>118</v>
      </c>
      <c r="S112" s="15"/>
      <c r="T112" s="15"/>
      <c r="U112" s="15"/>
      <c r="V112" s="15"/>
      <c r="W112" s="15"/>
      <c r="X112" s="15"/>
      <c r="Y112" s="466"/>
      <c r="Z112" s="466"/>
      <c r="AA112" s="466"/>
      <c r="AB112" s="466"/>
      <c r="AC112" s="466"/>
      <c r="AD112" s="466"/>
      <c r="AE112" s="466"/>
      <c r="AF112" s="466"/>
      <c r="AG112" s="15"/>
      <c r="AH112" s="15"/>
      <c r="AI112" s="15"/>
      <c r="AJ112" s="15"/>
      <c r="AK112" s="466"/>
      <c r="AL112" s="466"/>
      <c r="AM112" s="466"/>
      <c r="AN112" s="466"/>
      <c r="AO112" s="466"/>
      <c r="AP112" s="466"/>
      <c r="AQ112" s="466"/>
      <c r="AR112" s="466"/>
      <c r="AT112" s="139">
        <f t="shared" si="43"/>
        <v>0</v>
      </c>
      <c r="AU112" s="139">
        <f t="shared" si="44"/>
        <v>0</v>
      </c>
      <c r="AV112" s="139">
        <f t="shared" si="45"/>
        <v>0</v>
      </c>
      <c r="AW112" s="139">
        <f t="shared" si="46"/>
        <v>0</v>
      </c>
      <c r="AX112" s="139">
        <f t="shared" si="47"/>
        <v>0</v>
      </c>
      <c r="AY112" s="139">
        <f t="shared" si="48"/>
        <v>0</v>
      </c>
      <c r="AZ112" s="139">
        <f t="shared" si="49"/>
        <v>0</v>
      </c>
      <c r="BA112" s="139">
        <f t="shared" si="50"/>
        <v>0</v>
      </c>
      <c r="BB112" s="12"/>
      <c r="BC112" s="4"/>
    </row>
    <row r="113" spans="1:55" x14ac:dyDescent="0.3">
      <c r="B113" s="14" t="s">
        <v>91</v>
      </c>
      <c r="S113" s="15"/>
      <c r="T113" s="15"/>
      <c r="U113" s="15"/>
      <c r="V113" s="15"/>
      <c r="W113" s="15"/>
      <c r="X113" s="15"/>
      <c r="Y113" s="466"/>
      <c r="Z113" s="466"/>
      <c r="AA113" s="466"/>
      <c r="AB113" s="466"/>
      <c r="AC113" s="466"/>
      <c r="AD113" s="466"/>
      <c r="AE113" s="466"/>
      <c r="AF113" s="466"/>
      <c r="AG113" s="15"/>
      <c r="AH113" s="15"/>
      <c r="AI113" s="15"/>
      <c r="AJ113" s="15"/>
      <c r="AK113" s="466"/>
      <c r="AL113" s="466"/>
      <c r="AM113" s="466"/>
      <c r="AN113" s="466"/>
      <c r="AO113" s="466"/>
      <c r="AP113" s="466"/>
      <c r="AQ113" s="466"/>
      <c r="AR113" s="466"/>
      <c r="AT113" s="139">
        <f t="shared" si="43"/>
        <v>0</v>
      </c>
      <c r="AU113" s="139">
        <f t="shared" si="44"/>
        <v>0</v>
      </c>
      <c r="AV113" s="139">
        <f t="shared" si="45"/>
        <v>0</v>
      </c>
      <c r="AW113" s="139">
        <f t="shared" si="46"/>
        <v>0</v>
      </c>
      <c r="AX113" s="139">
        <f t="shared" si="47"/>
        <v>0</v>
      </c>
      <c r="AY113" s="139">
        <f t="shared" si="48"/>
        <v>0</v>
      </c>
      <c r="AZ113" s="139">
        <f t="shared" si="49"/>
        <v>0</v>
      </c>
      <c r="BA113" s="139">
        <f t="shared" si="50"/>
        <v>0</v>
      </c>
      <c r="BB113" s="12"/>
      <c r="BC113" s="4"/>
    </row>
    <row r="114" spans="1:55" x14ac:dyDescent="0.3">
      <c r="B114" s="14" t="s">
        <v>238</v>
      </c>
      <c r="S114" s="15"/>
      <c r="T114" s="15"/>
      <c r="U114" s="15"/>
      <c r="V114" s="15"/>
      <c r="W114" s="15"/>
      <c r="X114" s="15"/>
      <c r="Y114" s="466"/>
      <c r="Z114" s="466"/>
      <c r="AA114" s="466"/>
      <c r="AB114" s="466"/>
      <c r="AC114" s="466"/>
      <c r="AD114" s="466"/>
      <c r="AE114" s="466"/>
      <c r="AF114" s="466"/>
      <c r="AG114" s="15"/>
      <c r="AH114" s="15"/>
      <c r="AI114" s="15"/>
      <c r="AJ114" s="15"/>
      <c r="AK114" s="466"/>
      <c r="AL114" s="466"/>
      <c r="AM114" s="466"/>
      <c r="AN114" s="466"/>
      <c r="AO114" s="466"/>
      <c r="AP114" s="466"/>
      <c r="AQ114" s="466"/>
      <c r="AR114" s="466"/>
      <c r="AT114" s="139">
        <f t="shared" si="43"/>
        <v>0</v>
      </c>
      <c r="AU114" s="139">
        <f t="shared" si="44"/>
        <v>0</v>
      </c>
      <c r="AV114" s="139">
        <f t="shared" si="45"/>
        <v>0</v>
      </c>
      <c r="AW114" s="139">
        <f t="shared" si="46"/>
        <v>0</v>
      </c>
      <c r="AX114" s="139">
        <f t="shared" si="47"/>
        <v>0</v>
      </c>
      <c r="AY114" s="139">
        <f t="shared" si="48"/>
        <v>0</v>
      </c>
      <c r="AZ114" s="139">
        <f t="shared" si="49"/>
        <v>0</v>
      </c>
      <c r="BA114" s="139">
        <f t="shared" si="50"/>
        <v>0</v>
      </c>
      <c r="BB114" s="12"/>
      <c r="BC114" s="4"/>
    </row>
    <row r="115" spans="1:55" x14ac:dyDescent="0.3">
      <c r="B115" s="384" t="s">
        <v>246</v>
      </c>
      <c r="S115" s="15"/>
      <c r="T115" s="15"/>
      <c r="U115" s="15"/>
      <c r="V115" s="15"/>
      <c r="W115" s="15"/>
      <c r="X115" s="15"/>
      <c r="Y115" s="466"/>
      <c r="Z115" s="466"/>
      <c r="AA115" s="466"/>
      <c r="AB115" s="466"/>
      <c r="AC115" s="466"/>
      <c r="AD115" s="466"/>
      <c r="AE115" s="466"/>
      <c r="AF115" s="466"/>
      <c r="AG115" s="15"/>
      <c r="AH115" s="15"/>
      <c r="AI115" s="15"/>
      <c r="AJ115" s="15"/>
      <c r="AK115" s="466"/>
      <c r="AL115" s="466"/>
      <c r="AM115" s="466"/>
      <c r="AN115" s="466"/>
      <c r="AO115" s="466"/>
      <c r="AP115" s="466"/>
      <c r="AQ115" s="466"/>
      <c r="AR115" s="466"/>
      <c r="AT115" s="139">
        <f t="shared" si="43"/>
        <v>0</v>
      </c>
      <c r="AU115" s="139">
        <f t="shared" si="44"/>
        <v>0</v>
      </c>
      <c r="AV115" s="139">
        <f t="shared" si="45"/>
        <v>0</v>
      </c>
      <c r="AW115" s="139">
        <f t="shared" si="46"/>
        <v>0</v>
      </c>
      <c r="AX115" s="139">
        <f t="shared" si="47"/>
        <v>0</v>
      </c>
      <c r="AY115" s="139">
        <f t="shared" si="48"/>
        <v>0</v>
      </c>
      <c r="AZ115" s="139">
        <f t="shared" si="49"/>
        <v>0</v>
      </c>
      <c r="BA115" s="139">
        <f t="shared" si="50"/>
        <v>0</v>
      </c>
      <c r="BB115" s="12"/>
      <c r="BC115" s="4"/>
    </row>
    <row r="116" spans="1:55" x14ac:dyDescent="0.3">
      <c r="B116" s="14" t="s">
        <v>153</v>
      </c>
      <c r="S116" s="15"/>
      <c r="T116" s="15"/>
      <c r="U116" s="15"/>
      <c r="V116" s="15"/>
      <c r="W116" s="15"/>
      <c r="X116" s="15"/>
      <c r="Y116" s="466"/>
      <c r="Z116" s="466"/>
      <c r="AA116" s="466"/>
      <c r="AB116" s="466"/>
      <c r="AC116" s="466"/>
      <c r="AD116" s="466"/>
      <c r="AE116" s="466"/>
      <c r="AF116" s="466"/>
      <c r="AG116" s="15"/>
      <c r="AH116" s="15"/>
      <c r="AI116" s="15"/>
      <c r="AJ116" s="15"/>
      <c r="AK116" s="466"/>
      <c r="AL116" s="466"/>
      <c r="AM116" s="466"/>
      <c r="AN116" s="466"/>
      <c r="AO116" s="466"/>
      <c r="AP116" s="466"/>
      <c r="AQ116" s="466"/>
      <c r="AR116" s="466"/>
      <c r="AT116" s="139">
        <f t="shared" si="43"/>
        <v>0</v>
      </c>
      <c r="AU116" s="139">
        <f t="shared" si="44"/>
        <v>0</v>
      </c>
      <c r="AV116" s="139">
        <f t="shared" si="45"/>
        <v>0</v>
      </c>
      <c r="AW116" s="139">
        <f t="shared" si="46"/>
        <v>0</v>
      </c>
      <c r="AX116" s="139">
        <f t="shared" si="47"/>
        <v>0</v>
      </c>
      <c r="AY116" s="139">
        <f t="shared" si="48"/>
        <v>0</v>
      </c>
      <c r="AZ116" s="139">
        <f t="shared" si="49"/>
        <v>0</v>
      </c>
      <c r="BA116" s="139">
        <f t="shared" si="50"/>
        <v>0</v>
      </c>
      <c r="BB116" s="12"/>
      <c r="BC116" s="4"/>
    </row>
    <row r="117" spans="1:55" x14ac:dyDescent="0.3">
      <c r="A117">
        <v>1013</v>
      </c>
      <c r="B117" t="s">
        <v>83</v>
      </c>
      <c r="S117" s="15"/>
      <c r="T117" s="15"/>
      <c r="U117" s="15"/>
      <c r="V117" s="15"/>
      <c r="W117" s="15"/>
      <c r="X117" s="15"/>
      <c r="Y117" s="466"/>
      <c r="Z117" s="466"/>
      <c r="AA117" s="466"/>
      <c r="AB117" s="466"/>
      <c r="AC117" s="466"/>
      <c r="AD117" s="466"/>
      <c r="AE117" s="466"/>
      <c r="AF117" s="466"/>
      <c r="AG117" s="15"/>
      <c r="AH117" s="15"/>
      <c r="AI117" s="15"/>
      <c r="AJ117" s="15"/>
      <c r="AK117" s="466"/>
      <c r="AL117" s="466"/>
      <c r="AM117" s="466"/>
      <c r="AN117" s="466"/>
      <c r="AO117" s="466"/>
      <c r="AP117" s="466"/>
      <c r="AQ117" s="466"/>
      <c r="AR117" s="466"/>
      <c r="AT117" s="139">
        <f t="shared" si="43"/>
        <v>0</v>
      </c>
      <c r="AU117" s="139">
        <f t="shared" si="44"/>
        <v>0</v>
      </c>
      <c r="AV117" s="139">
        <f t="shared" si="45"/>
        <v>0</v>
      </c>
      <c r="AW117" s="139">
        <f t="shared" si="46"/>
        <v>0</v>
      </c>
      <c r="AX117" s="139">
        <f t="shared" si="47"/>
        <v>0</v>
      </c>
      <c r="AY117" s="139">
        <f t="shared" si="48"/>
        <v>0</v>
      </c>
      <c r="AZ117" s="139">
        <f t="shared" si="49"/>
        <v>0</v>
      </c>
      <c r="BA117" s="139">
        <f t="shared" si="50"/>
        <v>0</v>
      </c>
      <c r="BB117" s="12"/>
      <c r="BC117" s="4"/>
    </row>
    <row r="118" spans="1:55" x14ac:dyDescent="0.3">
      <c r="A118">
        <v>1014</v>
      </c>
      <c r="B118" t="s">
        <v>84</v>
      </c>
      <c r="S118" s="15"/>
      <c r="T118" s="15"/>
      <c r="U118" s="15"/>
      <c r="V118" s="15"/>
      <c r="W118" s="15"/>
      <c r="X118" s="15"/>
      <c r="Y118" s="466"/>
      <c r="Z118" s="466"/>
      <c r="AA118" s="466"/>
      <c r="AB118" s="466"/>
      <c r="AC118" s="466"/>
      <c r="AD118" s="466"/>
      <c r="AE118" s="466"/>
      <c r="AF118" s="466"/>
      <c r="AG118" s="15"/>
      <c r="AH118" s="15"/>
      <c r="AI118" s="15"/>
      <c r="AJ118" s="15"/>
      <c r="AK118" s="466"/>
      <c r="AL118" s="466"/>
      <c r="AM118" s="466"/>
      <c r="AN118" s="466"/>
      <c r="AO118" s="466"/>
      <c r="AP118" s="466"/>
      <c r="AQ118" s="466"/>
      <c r="AR118" s="466"/>
      <c r="AT118" s="139">
        <f t="shared" si="43"/>
        <v>0</v>
      </c>
      <c r="AU118" s="139">
        <f t="shared" si="44"/>
        <v>0</v>
      </c>
      <c r="AV118" s="139">
        <f t="shared" si="45"/>
        <v>0</v>
      </c>
      <c r="AW118" s="139">
        <f t="shared" si="46"/>
        <v>0</v>
      </c>
      <c r="AX118" s="139">
        <f t="shared" si="47"/>
        <v>0</v>
      </c>
      <c r="AY118" s="139">
        <f t="shared" si="48"/>
        <v>0</v>
      </c>
      <c r="AZ118" s="139">
        <f t="shared" si="49"/>
        <v>0</v>
      </c>
      <c r="BA118" s="139">
        <f t="shared" si="50"/>
        <v>0</v>
      </c>
      <c r="BB118" s="12"/>
      <c r="BC118" s="4"/>
    </row>
    <row r="119" spans="1:55" x14ac:dyDescent="0.3">
      <c r="B119" t="s">
        <v>149</v>
      </c>
      <c r="S119" s="15"/>
      <c r="T119" s="15"/>
      <c r="U119" s="15"/>
      <c r="V119" s="15"/>
      <c r="W119" s="15"/>
      <c r="X119" s="15"/>
      <c r="Y119" s="466"/>
      <c r="Z119" s="466"/>
      <c r="AA119" s="466"/>
      <c r="AB119" s="466"/>
      <c r="AC119" s="466"/>
      <c r="AD119" s="466"/>
      <c r="AE119" s="466"/>
      <c r="AF119" s="466"/>
      <c r="AG119" s="15"/>
      <c r="AH119" s="15"/>
      <c r="AI119" s="15"/>
      <c r="AJ119" s="15"/>
      <c r="AK119" s="466"/>
      <c r="AL119" s="466"/>
      <c r="AM119" s="466"/>
      <c r="AN119" s="466"/>
      <c r="AO119" s="466"/>
      <c r="AP119" s="466"/>
      <c r="AQ119" s="466"/>
      <c r="AR119" s="466"/>
      <c r="AT119" s="139">
        <f t="shared" si="43"/>
        <v>0</v>
      </c>
      <c r="AU119" s="139">
        <f t="shared" si="44"/>
        <v>0</v>
      </c>
      <c r="AV119" s="139">
        <f t="shared" si="45"/>
        <v>0</v>
      </c>
      <c r="AW119" s="139">
        <f t="shared" si="46"/>
        <v>0</v>
      </c>
      <c r="AX119" s="139">
        <f t="shared" si="47"/>
        <v>0</v>
      </c>
      <c r="AY119" s="139">
        <f t="shared" si="48"/>
        <v>0</v>
      </c>
      <c r="AZ119" s="139">
        <f t="shared" si="49"/>
        <v>0</v>
      </c>
      <c r="BA119" s="139">
        <f t="shared" si="50"/>
        <v>0</v>
      </c>
      <c r="BB119" s="12"/>
      <c r="BC119" s="4"/>
    </row>
    <row r="120" spans="1:55" x14ac:dyDescent="0.3">
      <c r="A120" s="383" t="s">
        <v>394</v>
      </c>
      <c r="B120" s="385" t="s">
        <v>393</v>
      </c>
      <c r="S120" s="15"/>
      <c r="T120" s="15"/>
      <c r="U120" s="15"/>
      <c r="V120" s="15"/>
      <c r="W120" s="15"/>
      <c r="X120" s="15"/>
      <c r="Y120" s="466"/>
      <c r="Z120" s="466"/>
      <c r="AA120" s="466"/>
      <c r="AB120" s="466"/>
      <c r="AC120" s="466"/>
      <c r="AD120" s="466"/>
      <c r="AE120" s="466"/>
      <c r="AF120" s="466"/>
      <c r="AG120" s="15"/>
      <c r="AH120" s="15"/>
      <c r="AI120" s="15"/>
      <c r="AJ120" s="15"/>
      <c r="AK120" s="466"/>
      <c r="AL120" s="466"/>
      <c r="AM120" s="466"/>
      <c r="AN120" s="466"/>
      <c r="AO120" s="466"/>
      <c r="AP120" s="466"/>
      <c r="AQ120" s="466"/>
      <c r="AR120" s="466"/>
      <c r="AT120" s="139">
        <f t="shared" si="43"/>
        <v>0</v>
      </c>
      <c r="AU120" s="139">
        <f t="shared" si="44"/>
        <v>0</v>
      </c>
      <c r="AV120" s="139">
        <f t="shared" si="45"/>
        <v>0</v>
      </c>
      <c r="AW120" s="139">
        <f t="shared" si="46"/>
        <v>0</v>
      </c>
      <c r="AX120" s="139">
        <f t="shared" si="47"/>
        <v>0</v>
      </c>
      <c r="AY120" s="139">
        <f t="shared" si="48"/>
        <v>0</v>
      </c>
      <c r="AZ120" s="139">
        <f t="shared" si="49"/>
        <v>0</v>
      </c>
      <c r="BA120" s="139">
        <f t="shared" si="50"/>
        <v>0</v>
      </c>
      <c r="BB120" s="139"/>
      <c r="BC120" s="4"/>
    </row>
    <row r="121" spans="1:55" x14ac:dyDescent="0.3">
      <c r="A121">
        <v>1018</v>
      </c>
      <c r="B121" t="s">
        <v>85</v>
      </c>
      <c r="S121" s="15"/>
      <c r="T121" s="15"/>
      <c r="U121" s="15"/>
      <c r="V121" s="15"/>
      <c r="W121" s="15"/>
      <c r="X121" s="15"/>
      <c r="Y121" s="466"/>
      <c r="Z121" s="466"/>
      <c r="AA121" s="466"/>
      <c r="AB121" s="466"/>
      <c r="AC121" s="466"/>
      <c r="AD121" s="466"/>
      <c r="AE121" s="466"/>
      <c r="AF121" s="466"/>
      <c r="AG121" s="15"/>
      <c r="AH121" s="15"/>
      <c r="AI121" s="15"/>
      <c r="AJ121" s="15"/>
      <c r="AK121" s="466"/>
      <c r="AL121" s="466"/>
      <c r="AM121" s="466"/>
      <c r="AN121" s="466"/>
      <c r="AO121" s="466"/>
      <c r="AP121" s="466"/>
      <c r="AQ121" s="466"/>
      <c r="AR121" s="466"/>
      <c r="AT121" s="139">
        <f t="shared" si="43"/>
        <v>0</v>
      </c>
      <c r="AU121" s="139">
        <f t="shared" si="44"/>
        <v>0</v>
      </c>
      <c r="AV121" s="139">
        <f t="shared" si="45"/>
        <v>0</v>
      </c>
      <c r="AW121" s="139">
        <f t="shared" si="46"/>
        <v>0</v>
      </c>
      <c r="AX121" s="139">
        <f t="shared" si="47"/>
        <v>0</v>
      </c>
      <c r="AY121" s="139">
        <f t="shared" si="48"/>
        <v>0</v>
      </c>
      <c r="AZ121" s="139">
        <f t="shared" si="49"/>
        <v>0</v>
      </c>
      <c r="BA121" s="139">
        <f t="shared" si="50"/>
        <v>0</v>
      </c>
      <c r="BB121" s="12"/>
      <c r="BC121" s="4"/>
    </row>
    <row r="122" spans="1:55" x14ac:dyDescent="0.3">
      <c r="A122">
        <v>1019</v>
      </c>
      <c r="B122" t="s">
        <v>77</v>
      </c>
      <c r="S122" s="15"/>
      <c r="T122" s="15"/>
      <c r="U122" s="15"/>
      <c r="V122" s="15"/>
      <c r="W122" s="15"/>
      <c r="X122" s="15"/>
      <c r="Y122" s="466"/>
      <c r="Z122" s="466"/>
      <c r="AA122" s="466"/>
      <c r="AB122" s="466"/>
      <c r="AC122" s="466"/>
      <c r="AD122" s="466"/>
      <c r="AE122" s="466"/>
      <c r="AF122" s="466"/>
      <c r="AG122" s="15"/>
      <c r="AH122" s="15"/>
      <c r="AI122" s="15"/>
      <c r="AJ122" s="15"/>
      <c r="AK122" s="466"/>
      <c r="AL122" s="466"/>
      <c r="AM122" s="466"/>
      <c r="AN122" s="466"/>
      <c r="AO122" s="466"/>
      <c r="AP122" s="466"/>
      <c r="AQ122" s="466"/>
      <c r="AR122" s="466"/>
      <c r="AT122" s="139">
        <f t="shared" si="43"/>
        <v>0</v>
      </c>
      <c r="AU122" s="139">
        <f t="shared" si="44"/>
        <v>0</v>
      </c>
      <c r="AV122" s="139">
        <f t="shared" si="45"/>
        <v>0</v>
      </c>
      <c r="AW122" s="139">
        <f t="shared" si="46"/>
        <v>0</v>
      </c>
      <c r="AX122" s="139">
        <f t="shared" si="47"/>
        <v>0</v>
      </c>
      <c r="AY122" s="139">
        <f t="shared" si="48"/>
        <v>0</v>
      </c>
      <c r="AZ122" s="139">
        <f t="shared" si="49"/>
        <v>0</v>
      </c>
      <c r="BA122" s="139">
        <f t="shared" si="50"/>
        <v>0</v>
      </c>
      <c r="BB122" s="12"/>
      <c r="BC122" s="4"/>
    </row>
    <row r="123" spans="1:55" x14ac:dyDescent="0.3">
      <c r="B123" s="49" t="s">
        <v>188</v>
      </c>
      <c r="S123" s="15"/>
      <c r="T123" s="15"/>
      <c r="U123" s="15"/>
      <c r="V123" s="15"/>
      <c r="W123" s="15"/>
      <c r="X123" s="15"/>
      <c r="Y123" s="466"/>
      <c r="Z123" s="466"/>
      <c r="AA123" s="466"/>
      <c r="AB123" s="466"/>
      <c r="AC123" s="466"/>
      <c r="AD123" s="466"/>
      <c r="AE123" s="466"/>
      <c r="AF123" s="466"/>
      <c r="AG123" s="15"/>
      <c r="AH123" s="15"/>
      <c r="AI123" s="15"/>
      <c r="AJ123" s="15"/>
      <c r="AK123" s="466"/>
      <c r="AL123" s="466"/>
      <c r="AM123" s="466"/>
      <c r="AN123" s="466"/>
      <c r="AO123" s="466"/>
      <c r="AP123" s="466"/>
      <c r="AQ123" s="466"/>
      <c r="AR123" s="466"/>
      <c r="AT123" s="139">
        <f t="shared" si="43"/>
        <v>0</v>
      </c>
      <c r="AU123" s="139">
        <f t="shared" si="44"/>
        <v>0</v>
      </c>
      <c r="AV123" s="139">
        <f t="shared" si="45"/>
        <v>0</v>
      </c>
      <c r="AW123" s="139">
        <f t="shared" si="46"/>
        <v>0</v>
      </c>
      <c r="AX123" s="139">
        <f t="shared" si="47"/>
        <v>0</v>
      </c>
      <c r="AY123" s="139">
        <f t="shared" si="48"/>
        <v>0</v>
      </c>
      <c r="AZ123" s="139">
        <f t="shared" si="49"/>
        <v>0</v>
      </c>
      <c r="BA123" s="139">
        <f t="shared" si="50"/>
        <v>0</v>
      </c>
      <c r="BB123" s="12"/>
      <c r="BC123" s="4"/>
    </row>
    <row r="124" spans="1:55" x14ac:dyDescent="0.3">
      <c r="A124">
        <v>1015</v>
      </c>
      <c r="B124" t="s">
        <v>268</v>
      </c>
      <c r="S124" s="15"/>
      <c r="T124" s="15"/>
      <c r="U124" s="15"/>
      <c r="V124" s="15"/>
      <c r="W124" s="15"/>
      <c r="X124" s="15"/>
      <c r="Y124" s="466"/>
      <c r="Z124" s="466"/>
      <c r="AA124" s="466"/>
      <c r="AB124" s="466"/>
      <c r="AC124" s="466"/>
      <c r="AD124" s="466"/>
      <c r="AE124" s="466"/>
      <c r="AF124" s="466"/>
      <c r="AG124" s="15"/>
      <c r="AH124" s="15"/>
      <c r="AI124" s="15"/>
      <c r="AJ124" s="15"/>
      <c r="AK124" s="466"/>
      <c r="AL124" s="466"/>
      <c r="AM124" s="466"/>
      <c r="AN124" s="466"/>
      <c r="AO124" s="466"/>
      <c r="AP124" s="466"/>
      <c r="AQ124" s="466"/>
      <c r="AR124" s="466"/>
      <c r="AT124" s="139">
        <f t="shared" si="43"/>
        <v>0</v>
      </c>
      <c r="AU124" s="139">
        <f t="shared" si="44"/>
        <v>0</v>
      </c>
      <c r="AV124" s="139">
        <f t="shared" si="45"/>
        <v>0</v>
      </c>
      <c r="AW124" s="139">
        <f t="shared" si="46"/>
        <v>0</v>
      </c>
      <c r="AX124" s="139">
        <f t="shared" si="47"/>
        <v>0</v>
      </c>
      <c r="AY124" s="139">
        <f t="shared" si="48"/>
        <v>0</v>
      </c>
      <c r="AZ124" s="139">
        <f t="shared" si="49"/>
        <v>0</v>
      </c>
      <c r="BA124" s="139">
        <f t="shared" si="50"/>
        <v>0</v>
      </c>
      <c r="BB124" s="12"/>
      <c r="BC124" s="4"/>
    </row>
    <row r="125" spans="1:55" x14ac:dyDescent="0.3">
      <c r="B125" s="49" t="s">
        <v>216</v>
      </c>
      <c r="V125" s="15"/>
      <c r="W125" s="15"/>
      <c r="X125" s="15"/>
      <c r="Y125" s="466"/>
      <c r="Z125" s="466"/>
      <c r="AA125" s="466"/>
      <c r="AB125" s="466"/>
      <c r="AC125" s="466"/>
      <c r="AD125" s="466"/>
      <c r="AE125" s="466"/>
      <c r="AF125" s="466"/>
      <c r="AK125" s="466"/>
      <c r="AL125" s="466"/>
      <c r="AM125" s="466"/>
      <c r="AN125" s="466"/>
      <c r="AO125" s="466"/>
      <c r="AP125" s="466"/>
      <c r="AQ125" s="466"/>
      <c r="AR125" s="466"/>
      <c r="AT125" s="139">
        <f t="shared" si="43"/>
        <v>0</v>
      </c>
      <c r="AU125" s="139">
        <f t="shared" si="44"/>
        <v>0</v>
      </c>
      <c r="AV125" s="139">
        <f t="shared" si="45"/>
        <v>0</v>
      </c>
      <c r="AW125" s="139">
        <f t="shared" si="46"/>
        <v>0</v>
      </c>
      <c r="AX125" s="139">
        <f t="shared" si="47"/>
        <v>0</v>
      </c>
      <c r="AY125" s="139">
        <f t="shared" si="48"/>
        <v>0</v>
      </c>
      <c r="AZ125" s="139">
        <f t="shared" si="49"/>
        <v>0</v>
      </c>
      <c r="BA125" s="139">
        <f t="shared" si="50"/>
        <v>0</v>
      </c>
    </row>
    <row r="126" spans="1:55" x14ac:dyDescent="0.3">
      <c r="A126">
        <v>1048</v>
      </c>
      <c r="B126" t="s">
        <v>207</v>
      </c>
      <c r="S126" s="25"/>
      <c r="T126" s="25"/>
      <c r="U126" s="25"/>
      <c r="V126" s="15"/>
      <c r="W126" s="15"/>
      <c r="X126" s="15"/>
      <c r="Y126" s="466"/>
      <c r="Z126" s="466"/>
      <c r="AA126" s="466"/>
      <c r="AB126" s="466"/>
      <c r="AC126" s="466"/>
      <c r="AD126" s="466"/>
      <c r="AE126" s="466"/>
      <c r="AF126" s="466"/>
      <c r="AK126" s="466"/>
      <c r="AL126" s="466"/>
      <c r="AM126" s="466"/>
      <c r="AN126" s="466"/>
      <c r="AO126" s="466"/>
      <c r="AP126" s="466"/>
      <c r="AQ126" s="466"/>
      <c r="AR126" s="466"/>
      <c r="AT126" s="139">
        <f t="shared" si="43"/>
        <v>0</v>
      </c>
      <c r="AU126" s="139">
        <f t="shared" si="44"/>
        <v>0</v>
      </c>
      <c r="AV126" s="139">
        <f t="shared" si="45"/>
        <v>0</v>
      </c>
      <c r="AW126" s="139">
        <f t="shared" si="46"/>
        <v>0</v>
      </c>
      <c r="AX126" s="139">
        <f t="shared" si="47"/>
        <v>0</v>
      </c>
      <c r="AY126" s="139">
        <f t="shared" si="48"/>
        <v>0</v>
      </c>
      <c r="AZ126" s="139">
        <f t="shared" si="49"/>
        <v>0</v>
      </c>
      <c r="BA126" s="139">
        <f t="shared" si="50"/>
        <v>0</v>
      </c>
    </row>
    <row r="127" spans="1:55" x14ac:dyDescent="0.3">
      <c r="B127" s="49" t="s">
        <v>384</v>
      </c>
      <c r="G127" s="4"/>
      <c r="H127" s="4"/>
      <c r="I127" s="4"/>
      <c r="J127" s="4"/>
      <c r="K127" s="4"/>
      <c r="L127" s="4"/>
      <c r="M127" s="4"/>
      <c r="N127" s="4"/>
      <c r="O127" s="4"/>
      <c r="P127" s="4"/>
      <c r="Q127" s="4"/>
      <c r="R127" s="4"/>
      <c r="T127" s="25"/>
      <c r="U127" s="25"/>
      <c r="V127" s="25"/>
      <c r="W127" s="25"/>
      <c r="X127" s="25"/>
      <c r="Y127" s="466"/>
      <c r="Z127" s="466"/>
      <c r="AA127" s="466"/>
      <c r="AB127" s="466"/>
      <c r="AC127" s="466"/>
      <c r="AD127" s="466"/>
      <c r="AE127" s="466"/>
      <c r="AF127" s="466"/>
      <c r="AK127" s="466"/>
      <c r="AL127" s="466"/>
      <c r="AM127" s="466"/>
      <c r="AN127" s="466"/>
      <c r="AO127" s="466"/>
      <c r="AP127" s="466"/>
      <c r="AQ127" s="466"/>
      <c r="AR127" s="466"/>
      <c r="AT127" s="139">
        <f t="shared" si="43"/>
        <v>0</v>
      </c>
      <c r="AU127" s="139">
        <f t="shared" si="44"/>
        <v>0</v>
      </c>
      <c r="AV127" s="139">
        <f t="shared" si="45"/>
        <v>0</v>
      </c>
      <c r="AW127" s="139">
        <f t="shared" si="46"/>
        <v>0</v>
      </c>
      <c r="AX127" s="139">
        <f t="shared" si="47"/>
        <v>0</v>
      </c>
      <c r="AY127" s="139">
        <f t="shared" si="48"/>
        <v>0</v>
      </c>
      <c r="AZ127" s="139">
        <f t="shared" si="49"/>
        <v>0</v>
      </c>
      <c r="BA127" s="139">
        <f t="shared" si="50"/>
        <v>0</v>
      </c>
    </row>
    <row r="128" spans="1:55" x14ac:dyDescent="0.3">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row>
    <row r="129" spans="19:31" x14ac:dyDescent="0.3">
      <c r="S129" s="25"/>
      <c r="T129" s="25"/>
      <c r="U129" s="25"/>
      <c r="V129" s="25"/>
      <c r="W129" s="25"/>
      <c r="X129" s="25"/>
      <c r="Y129" s="25"/>
      <c r="Z129" s="25"/>
      <c r="AA129" s="25"/>
      <c r="AB129" s="25"/>
      <c r="AC129" s="25"/>
      <c r="AD129" s="25"/>
      <c r="AE129" s="25"/>
    </row>
    <row r="130" spans="19:31" x14ac:dyDescent="0.3">
      <c r="S130" s="25"/>
      <c r="T130" s="25"/>
      <c r="U130" s="25"/>
      <c r="V130" s="25"/>
      <c r="W130" s="25"/>
      <c r="X130" s="25"/>
      <c r="Y130" s="25"/>
      <c r="Z130" s="25"/>
      <c r="AA130" s="25"/>
      <c r="AB130" s="25"/>
      <c r="AC130" s="25"/>
      <c r="AD130" s="25"/>
      <c r="AE130" s="25"/>
    </row>
    <row r="136" spans="19:31" x14ac:dyDescent="0.3">
      <c r="T136" s="4"/>
      <c r="U136" s="4"/>
      <c r="V136" s="4"/>
      <c r="W136" s="4"/>
      <c r="X136" s="4"/>
      <c r="Y136" s="4"/>
      <c r="Z136" s="4"/>
      <c r="AA136" s="4"/>
      <c r="AB136" s="4"/>
      <c r="AC136" s="4"/>
      <c r="AD136" s="4"/>
      <c r="AE136" s="4"/>
    </row>
    <row r="137" spans="19:31" x14ac:dyDescent="0.3">
      <c r="T137" s="4"/>
      <c r="U137" s="4"/>
      <c r="V137" s="4"/>
      <c r="W137" s="4"/>
      <c r="X137" s="4"/>
      <c r="Y137" s="4"/>
      <c r="Z137" s="4"/>
      <c r="AA137" s="4"/>
      <c r="AB137" s="4"/>
      <c r="AC137" s="4"/>
      <c r="AD137" s="4"/>
      <c r="AE137" s="4"/>
    </row>
  </sheetData>
  <mergeCells count="10">
    <mergeCell ref="AM5:AR5"/>
    <mergeCell ref="AH5:AL5"/>
    <mergeCell ref="C5:G5"/>
    <mergeCell ref="S5:W5"/>
    <mergeCell ref="H5:Q5"/>
    <mergeCell ref="Y28:AF28"/>
    <mergeCell ref="P1:Q1"/>
    <mergeCell ref="Y5:AF5"/>
    <mergeCell ref="H28:Q28"/>
    <mergeCell ref="S28:W28"/>
  </mergeCells>
  <phoneticPr fontId="29" type="noConversion"/>
  <hyperlinks>
    <hyperlink ref="B2" location="Contents!A1" display="Table of Contents" xr:uid="{00000000-0004-0000-0B00-000000000000}"/>
  </hyperlinks>
  <pageMargins left="0.7" right="0.7" top="0.75" bottom="0.75" header="0.3" footer="0.3"/>
  <pageSetup paperSize="9" orientation="landscape" r:id="rId1"/>
  <headerFooter>
    <oddFooter>&amp;C_x000D_&amp;1#&amp;"Century Gothic"&amp;7&amp;K7F7F7F BUSINESS USE ONLY</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B1:X11"/>
  <sheetViews>
    <sheetView zoomScale="85" zoomScaleNormal="85" workbookViewId="0">
      <pane ySplit="5" topLeftCell="A6" activePane="bottomLeft" state="frozen"/>
      <selection activeCell="AW8" sqref="AW8"/>
      <selection pane="bottomLeft" activeCell="O1" sqref="O1:P1"/>
    </sheetView>
  </sheetViews>
  <sheetFormatPr defaultColWidth="9.109375" defaultRowHeight="14.65" outlineLevelCol="1" x14ac:dyDescent="0.3"/>
  <cols>
    <col min="1" max="1" width="5.44140625" customWidth="1"/>
    <col min="2" max="2" width="6.109375" customWidth="1"/>
    <col min="3" max="3" width="45.88671875" customWidth="1"/>
    <col min="4" max="13" width="10.109375" hidden="1" customWidth="1" outlineLevel="1"/>
    <col min="14" max="14" width="11.5546875" customWidth="1" collapsed="1"/>
  </cols>
  <sheetData>
    <row r="1" spans="2:24" ht="18.5" x14ac:dyDescent="0.35">
      <c r="B1" s="39" t="s">
        <v>24</v>
      </c>
      <c r="O1" s="462" t="s">
        <v>150</v>
      </c>
      <c r="P1" s="462"/>
    </row>
    <row r="2" spans="2:24" x14ac:dyDescent="0.3">
      <c r="B2" s="40" t="s">
        <v>53</v>
      </c>
    </row>
    <row r="3" spans="2:24" x14ac:dyDescent="0.3">
      <c r="B3" s="1"/>
      <c r="S3" s="421" t="s">
        <v>286</v>
      </c>
      <c r="T3" s="421"/>
      <c r="U3" s="421"/>
      <c r="V3" s="421"/>
      <c r="W3" s="421"/>
      <c r="X3" s="421"/>
    </row>
    <row r="4" spans="2:24" x14ac:dyDescent="0.3">
      <c r="B4" s="8" t="s">
        <v>39</v>
      </c>
      <c r="D4" s="7" t="s">
        <v>15</v>
      </c>
      <c r="E4" s="7" t="s">
        <v>15</v>
      </c>
      <c r="F4" s="7" t="s">
        <v>15</v>
      </c>
      <c r="G4" s="7" t="s">
        <v>15</v>
      </c>
      <c r="H4" s="7" t="s">
        <v>15</v>
      </c>
      <c r="I4" s="7" t="s">
        <v>15</v>
      </c>
      <c r="J4" s="7" t="s">
        <v>15</v>
      </c>
      <c r="K4" s="7" t="s">
        <v>15</v>
      </c>
      <c r="L4" s="7" t="s">
        <v>15</v>
      </c>
      <c r="M4" s="7" t="s">
        <v>15</v>
      </c>
      <c r="N4" s="7" t="s">
        <v>15</v>
      </c>
      <c r="O4" s="7" t="s">
        <v>15</v>
      </c>
      <c r="P4" s="7" t="s">
        <v>15</v>
      </c>
      <c r="Q4" s="7" t="s">
        <v>15</v>
      </c>
      <c r="R4" s="7" t="s">
        <v>15</v>
      </c>
      <c r="S4" s="7" t="s">
        <v>16</v>
      </c>
      <c r="T4" s="7" t="s">
        <v>16</v>
      </c>
      <c r="U4" s="7" t="s">
        <v>16</v>
      </c>
      <c r="V4" s="7" t="s">
        <v>16</v>
      </c>
      <c r="W4" s="7" t="s">
        <v>16</v>
      </c>
      <c r="X4" s="7" t="s">
        <v>16</v>
      </c>
    </row>
    <row r="5" spans="2:24" x14ac:dyDescent="0.3">
      <c r="D5" s="3" t="s">
        <v>11</v>
      </c>
      <c r="E5" s="3" t="s">
        <v>12</v>
      </c>
      <c r="F5" s="3" t="s">
        <v>13</v>
      </c>
      <c r="G5" s="3" t="s">
        <v>14</v>
      </c>
      <c r="H5" s="3" t="s">
        <v>4</v>
      </c>
      <c r="I5" s="3" t="s">
        <v>5</v>
      </c>
      <c r="J5" s="3" t="s">
        <v>6</v>
      </c>
      <c r="K5" s="104" t="str">
        <f>Allocations!D53</f>
        <v>CY2018</v>
      </c>
      <c r="L5" s="104" t="str">
        <f>Allocations!E53</f>
        <v>CY2019</v>
      </c>
      <c r="M5" s="104" t="str">
        <f>Allocations!F53</f>
        <v>CY2020</v>
      </c>
      <c r="N5" s="104" t="str">
        <f>Allocations!G53</f>
        <v>2020-21</v>
      </c>
      <c r="O5" s="104" t="str">
        <f>Allocations!H53</f>
        <v>2021-22</v>
      </c>
      <c r="P5" s="104" t="str">
        <f>Allocations!I53</f>
        <v>2022-23</v>
      </c>
      <c r="Q5" s="104" t="str">
        <f>Allocations!J53</f>
        <v>2023-24</v>
      </c>
      <c r="R5" s="104" t="str">
        <f>Allocations!K53</f>
        <v>2024-25</v>
      </c>
      <c r="S5" s="104" t="str">
        <f>Allocations!L53</f>
        <v>2025-26</v>
      </c>
      <c r="T5" s="104" t="str">
        <f>Allocations!M53</f>
        <v>2026-27</v>
      </c>
      <c r="U5" s="104" t="str">
        <f>Allocations!N53</f>
        <v>2027–28</v>
      </c>
      <c r="V5" s="104" t="str">
        <f>Allocations!O53</f>
        <v>2028–29</v>
      </c>
      <c r="W5" s="104" t="str">
        <f>Allocations!P53</f>
        <v>2029–30</v>
      </c>
      <c r="X5" s="104" t="str">
        <f>Allocations!Q53</f>
        <v>2030–31</v>
      </c>
    </row>
    <row r="6" spans="2:24" x14ac:dyDescent="0.3">
      <c r="B6" s="1" t="s">
        <v>287</v>
      </c>
      <c r="D6" s="3"/>
      <c r="E6" s="3"/>
      <c r="F6" s="3"/>
      <c r="G6" s="3"/>
      <c r="H6" s="3"/>
      <c r="I6" s="3"/>
      <c r="J6" s="3"/>
      <c r="K6" s="3"/>
      <c r="L6" s="3"/>
      <c r="M6" s="3"/>
      <c r="N6" s="3"/>
    </row>
    <row r="7" spans="2:24" x14ac:dyDescent="0.3">
      <c r="B7">
        <v>1016</v>
      </c>
      <c r="C7" t="s">
        <v>86</v>
      </c>
      <c r="D7" s="51">
        <v>744.14451000000031</v>
      </c>
      <c r="E7" s="51">
        <v>710.23518999999976</v>
      </c>
      <c r="F7" s="51">
        <v>985.40329000000133</v>
      </c>
      <c r="G7" s="51">
        <v>1336.6231099999914</v>
      </c>
      <c r="H7" s="51">
        <f>Historical_Cost!E13</f>
        <v>0</v>
      </c>
      <c r="I7" s="51">
        <f>Historical_Cost!F13</f>
        <v>0</v>
      </c>
      <c r="J7" s="51">
        <f>Historical_Cost!G13</f>
        <v>0</v>
      </c>
      <c r="K7" s="51">
        <f>Historical_Cost!H13</f>
        <v>0</v>
      </c>
      <c r="L7" s="51">
        <f>Historical_Cost!I13</f>
        <v>0</v>
      </c>
      <c r="M7" s="51">
        <f>Historical_Cost!J13</f>
        <v>0</v>
      </c>
      <c r="N7" s="465"/>
      <c r="O7" s="465"/>
      <c r="P7" s="465"/>
      <c r="Q7" s="465"/>
      <c r="R7" s="465"/>
      <c r="S7" s="463"/>
      <c r="T7" s="463"/>
      <c r="U7" s="463"/>
      <c r="V7" s="463"/>
      <c r="W7" s="460"/>
      <c r="X7" s="460"/>
    </row>
    <row r="8" spans="2:24" x14ac:dyDescent="0.3">
      <c r="D8" s="10"/>
      <c r="E8" s="10"/>
      <c r="F8" s="10"/>
      <c r="G8" s="10"/>
      <c r="H8" s="10"/>
      <c r="I8" s="10"/>
      <c r="J8" s="10"/>
      <c r="K8" s="10"/>
      <c r="L8" s="10"/>
      <c r="M8" s="10"/>
      <c r="N8" s="10"/>
      <c r="R8" s="94"/>
      <c r="S8" s="94"/>
      <c r="T8" s="94"/>
      <c r="U8" s="94"/>
      <c r="V8" s="94"/>
      <c r="W8" s="94"/>
      <c r="X8" s="94"/>
    </row>
    <row r="9" spans="2:24" x14ac:dyDescent="0.3">
      <c r="D9" s="10"/>
      <c r="E9" s="10"/>
      <c r="F9" s="10"/>
      <c r="G9" s="10"/>
      <c r="H9" s="10"/>
      <c r="I9" s="10"/>
      <c r="J9" s="10"/>
      <c r="K9" s="10"/>
      <c r="L9" s="10"/>
      <c r="M9" s="10"/>
      <c r="N9" s="10"/>
      <c r="R9" s="12"/>
      <c r="S9" s="12"/>
      <c r="T9" s="12"/>
      <c r="U9" s="12"/>
      <c r="V9" s="12"/>
      <c r="W9" s="12"/>
      <c r="X9" s="12"/>
    </row>
    <row r="10" spans="2:24" x14ac:dyDescent="0.3">
      <c r="D10" s="10"/>
      <c r="E10" s="10"/>
      <c r="F10" s="10"/>
      <c r="G10" s="10"/>
      <c r="H10" s="10"/>
      <c r="I10" s="10"/>
      <c r="J10" s="10"/>
      <c r="K10" s="10"/>
      <c r="L10" s="10"/>
      <c r="M10" s="10"/>
      <c r="N10" s="10"/>
    </row>
    <row r="11" spans="2:24" x14ac:dyDescent="0.3">
      <c r="I11" s="58"/>
      <c r="J11" s="58"/>
      <c r="K11" s="58"/>
      <c r="L11" s="58"/>
      <c r="M11" s="58"/>
      <c r="N11" s="58"/>
      <c r="O11" s="58"/>
      <c r="P11" s="58"/>
    </row>
  </sheetData>
  <mergeCells count="2">
    <mergeCell ref="O1:P1"/>
    <mergeCell ref="S3:X3"/>
  </mergeCells>
  <hyperlinks>
    <hyperlink ref="B2" location="Contents!A1" display="Table of Contents" xr:uid="{00000000-0004-0000-0C00-000000000000}"/>
  </hyperlinks>
  <pageMargins left="0.7" right="0.7" top="0.75" bottom="0.75" header="0.3" footer="0.3"/>
  <headerFooter>
    <oddFooter>&amp;C_x000D_&amp;1#&amp;"Century Gothic"&amp;7&amp;K7F7F7F BUSINESS USE ONLY</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B1:AZ89"/>
  <sheetViews>
    <sheetView zoomScale="85" zoomScaleNormal="85" workbookViewId="0">
      <pane xSplit="2" topLeftCell="C1" activePane="topRight" state="frozen"/>
      <selection activeCell="A6" sqref="A6"/>
      <selection pane="topRight" activeCell="A27" sqref="A27"/>
    </sheetView>
  </sheetViews>
  <sheetFormatPr defaultColWidth="9.109375" defaultRowHeight="14.65" x14ac:dyDescent="0.3"/>
  <cols>
    <col min="1" max="1" width="3.109375" customWidth="1"/>
    <col min="2" max="2" width="55.33203125" customWidth="1"/>
    <col min="3" max="4" width="8.6640625" customWidth="1"/>
    <col min="5" max="13" width="9" customWidth="1"/>
    <col min="14" max="14" width="10.21875" customWidth="1"/>
    <col min="15" max="15" width="8.5546875" customWidth="1"/>
    <col min="16" max="16" width="9.5546875" customWidth="1"/>
    <col min="17" max="18" width="8.21875" customWidth="1"/>
    <col min="19" max="19" width="8" customWidth="1"/>
    <col min="20" max="20" width="8.77734375" customWidth="1"/>
    <col min="21" max="25" width="8" customWidth="1"/>
    <col min="26" max="26" width="9" customWidth="1"/>
    <col min="27" max="27" width="5.44140625" customWidth="1"/>
    <col min="28" max="28" width="51.5546875" customWidth="1"/>
    <col min="29" max="29" width="9.109375" customWidth="1"/>
    <col min="30" max="30" width="8" bestFit="1" customWidth="1"/>
    <col min="31" max="32" width="9" bestFit="1" customWidth="1"/>
    <col min="33" max="34" width="9.109375" bestFit="1" customWidth="1"/>
    <col min="35" max="35" width="9.33203125" customWidth="1"/>
    <col min="36" max="36" width="9.109375" bestFit="1" customWidth="1"/>
    <col min="37" max="38" width="9" bestFit="1" customWidth="1"/>
    <col min="39" max="39" width="9" customWidth="1"/>
  </cols>
  <sheetData>
    <row r="1" spans="2:39" ht="18.5" x14ac:dyDescent="0.35">
      <c r="B1" s="39" t="s">
        <v>48</v>
      </c>
      <c r="C1" s="1"/>
      <c r="G1" s="462" t="s">
        <v>150</v>
      </c>
      <c r="H1" s="462"/>
    </row>
    <row r="2" spans="2:39" x14ac:dyDescent="0.3">
      <c r="B2" s="40" t="s">
        <v>53</v>
      </c>
      <c r="C2" s="395" t="s">
        <v>95</v>
      </c>
      <c r="D2" s="396"/>
      <c r="E2" s="396"/>
      <c r="F2" s="396"/>
      <c r="G2" s="396"/>
      <c r="H2" s="397"/>
      <c r="I2" s="428" t="s">
        <v>232</v>
      </c>
      <c r="J2" s="429"/>
      <c r="K2" s="429"/>
      <c r="L2" s="429"/>
      <c r="M2" s="429"/>
      <c r="N2" s="430"/>
      <c r="P2" s="440" t="s">
        <v>312</v>
      </c>
      <c r="Q2" s="441"/>
      <c r="R2" s="441"/>
      <c r="S2" s="441"/>
      <c r="T2" s="441"/>
      <c r="U2" s="441"/>
      <c r="V2" s="441"/>
      <c r="W2" s="441"/>
      <c r="X2" s="441"/>
      <c r="Y2" s="441"/>
      <c r="Z2" s="442"/>
    </row>
    <row r="3" spans="2:39" x14ac:dyDescent="0.3">
      <c r="C3" s="395" t="s">
        <v>106</v>
      </c>
      <c r="D3" s="396"/>
      <c r="E3" s="396"/>
      <c r="F3" s="396"/>
      <c r="G3" s="397"/>
      <c r="H3" s="339" t="s">
        <v>16</v>
      </c>
      <c r="I3" s="443" t="s">
        <v>221</v>
      </c>
      <c r="J3" s="444"/>
      <c r="K3" s="444"/>
      <c r="L3" s="444"/>
      <c r="M3" s="445"/>
      <c r="N3" s="149" t="s">
        <v>222</v>
      </c>
      <c r="P3" s="395" t="s">
        <v>95</v>
      </c>
      <c r="Q3" s="396"/>
      <c r="R3" s="396"/>
      <c r="S3" s="396"/>
      <c r="T3" s="397"/>
      <c r="U3" s="425" t="s">
        <v>232</v>
      </c>
      <c r="V3" s="426"/>
      <c r="W3" s="426"/>
      <c r="X3" s="426"/>
      <c r="Y3" s="426"/>
      <c r="Z3" s="427"/>
    </row>
    <row r="4" spans="2:39" x14ac:dyDescent="0.3">
      <c r="B4" s="1" t="s">
        <v>330</v>
      </c>
      <c r="C4" s="217" t="str">
        <f>Allocations!G$53</f>
        <v>2020-21</v>
      </c>
      <c r="D4" s="109" t="str">
        <f>Allocations!H$53</f>
        <v>2021-22</v>
      </c>
      <c r="E4" s="140" t="str">
        <f>Allocations!I$53</f>
        <v>2022-23</v>
      </c>
      <c r="F4" s="140" t="str">
        <f>Allocations!J$53</f>
        <v>2023-24</v>
      </c>
      <c r="G4" s="168" t="str">
        <f>Allocations!K$53</f>
        <v>2024-25</v>
      </c>
      <c r="H4" s="168" t="str">
        <f>Allocations!L$53</f>
        <v>2025-26</v>
      </c>
      <c r="I4" s="217" t="str">
        <f>Allocations!M$53</f>
        <v>2026-27</v>
      </c>
      <c r="J4" s="140" t="str">
        <f>Allocations!N$53</f>
        <v>2027–28</v>
      </c>
      <c r="K4" s="140" t="str">
        <f>Allocations!O$53</f>
        <v>2028–29</v>
      </c>
      <c r="L4" s="140" t="str">
        <f>Allocations!P$53</f>
        <v>2029–30</v>
      </c>
      <c r="M4" s="168" t="str">
        <f>Allocations!Q$53</f>
        <v>2030–31</v>
      </c>
      <c r="N4" s="100" t="s">
        <v>2</v>
      </c>
      <c r="P4" s="61" t="str">
        <f t="shared" ref="P4" si="0">C4</f>
        <v>2020-21</v>
      </c>
      <c r="Q4" s="143" t="str">
        <f t="shared" ref="Q4" si="1">D4</f>
        <v>2021-22</v>
      </c>
      <c r="R4" s="3" t="str">
        <f t="shared" ref="R4" si="2">E4</f>
        <v>2022-23</v>
      </c>
      <c r="S4" s="3" t="str">
        <f t="shared" ref="S4" si="3">F4</f>
        <v>2023-24</v>
      </c>
      <c r="T4" s="145" t="str">
        <f t="shared" ref="T4" si="4">G4</f>
        <v>2024-25</v>
      </c>
      <c r="U4" s="3" t="str">
        <f t="shared" ref="U4" si="5">H4</f>
        <v>2025-26</v>
      </c>
      <c r="V4" s="61" t="str">
        <f t="shared" ref="V4" si="6">I4</f>
        <v>2026-27</v>
      </c>
      <c r="W4" s="3" t="str">
        <f t="shared" ref="W4" si="7">J4</f>
        <v>2027–28</v>
      </c>
      <c r="X4" s="3" t="str">
        <f t="shared" ref="X4" si="8">K4</f>
        <v>2028–29</v>
      </c>
      <c r="Y4" s="3" t="str">
        <f t="shared" ref="Y4" si="9">L4</f>
        <v>2029–30</v>
      </c>
      <c r="Z4" s="86" t="str">
        <f t="shared" ref="Z4" si="10">M4</f>
        <v>2030–31</v>
      </c>
    </row>
    <row r="5" spans="2:39" x14ac:dyDescent="0.3">
      <c r="B5" t="s">
        <v>82</v>
      </c>
      <c r="C5" s="458"/>
      <c r="D5" s="447"/>
      <c r="E5" s="448"/>
      <c r="F5" s="455"/>
      <c r="G5" s="478"/>
      <c r="H5" s="448"/>
      <c r="I5" s="447"/>
      <c r="J5" s="448"/>
      <c r="K5" s="448"/>
      <c r="L5" s="448"/>
      <c r="M5" s="448"/>
      <c r="N5" s="450"/>
      <c r="P5" s="343">
        <f>Cost_Recovery!K55</f>
        <v>26609.491000000002</v>
      </c>
      <c r="Q5" s="343">
        <f>Cost_Recovery!L55</f>
        <v>24192.47</v>
      </c>
      <c r="R5" s="344">
        <f>Cost_Recovery!M55</f>
        <v>30182.985000000001</v>
      </c>
      <c r="S5" s="344">
        <f>Cost_Recovery!N55</f>
        <v>38035.239000000001</v>
      </c>
      <c r="T5" s="345">
        <f>Cost_Recovery!O55</f>
        <v>30732.032999999999</v>
      </c>
      <c r="U5" s="344">
        <v>32636.104456312511</v>
      </c>
      <c r="V5" s="343">
        <v>37589.72176460467</v>
      </c>
      <c r="W5" s="344">
        <v>38345.027873657506</v>
      </c>
      <c r="X5" s="344">
        <v>39102.080534127483</v>
      </c>
      <c r="Y5" s="344">
        <v>39857.276101951385</v>
      </c>
      <c r="Z5" s="345">
        <v>40612.184262580056</v>
      </c>
    </row>
    <row r="6" spans="2:39" x14ac:dyDescent="0.3">
      <c r="B6" t="s">
        <v>83</v>
      </c>
      <c r="C6" s="450"/>
      <c r="D6" s="447"/>
      <c r="E6" s="448"/>
      <c r="F6" s="448"/>
      <c r="G6" s="449"/>
      <c r="H6" s="448"/>
      <c r="I6" s="447"/>
      <c r="J6" s="448"/>
      <c r="K6" s="448"/>
      <c r="L6" s="448"/>
      <c r="M6" s="448"/>
      <c r="N6" s="450"/>
      <c r="P6" s="343">
        <f>Cost_Recovery!K56</f>
        <v>18.553999999999998</v>
      </c>
      <c r="Q6" s="343">
        <f>Cost_Recovery!L56</f>
        <v>5.89</v>
      </c>
      <c r="R6" s="344">
        <f>Cost_Recovery!M56</f>
        <v>9.0399999999999991</v>
      </c>
      <c r="S6" s="344">
        <f>Cost_Recovery!N56</f>
        <v>0</v>
      </c>
      <c r="T6" s="346">
        <f>Cost_Recovery!O56</f>
        <v>0</v>
      </c>
      <c r="U6" s="347"/>
      <c r="V6" s="348"/>
      <c r="W6" s="347"/>
      <c r="X6" s="347"/>
      <c r="Y6" s="347"/>
      <c r="Z6" s="346"/>
    </row>
    <row r="7" spans="2:39" x14ac:dyDescent="0.3">
      <c r="B7" t="s">
        <v>84</v>
      </c>
      <c r="C7" s="450"/>
      <c r="D7" s="447"/>
      <c r="E7" s="448"/>
      <c r="F7" s="448"/>
      <c r="G7" s="449"/>
      <c r="H7" s="448"/>
      <c r="I7" s="447"/>
      <c r="J7" s="448"/>
      <c r="K7" s="448"/>
      <c r="L7" s="448"/>
      <c r="M7" s="448"/>
      <c r="N7" s="450"/>
      <c r="P7" s="343">
        <f>Cost_Recovery!K57-P8</f>
        <v>6894.9629999999997</v>
      </c>
      <c r="Q7" s="343">
        <f>Cost_Recovery!L57-Q8</f>
        <v>2327.1480000000001</v>
      </c>
      <c r="R7" s="344">
        <f>Cost_Recovery!M57-R8</f>
        <v>5462.83</v>
      </c>
      <c r="S7" s="344">
        <f>Cost_Recovery!N57-S8</f>
        <v>5066.4830000000002</v>
      </c>
      <c r="T7" s="345">
        <f>Cost_Recovery!O57</f>
        <v>12211.016</v>
      </c>
      <c r="U7" s="344">
        <v>7257.5885052854901</v>
      </c>
      <c r="V7" s="343">
        <v>7257.5885052854901</v>
      </c>
      <c r="W7" s="344">
        <v>7257.5885052854901</v>
      </c>
      <c r="X7" s="344">
        <v>7257.5885052854901</v>
      </c>
      <c r="Y7" s="344">
        <v>7257.5885052854901</v>
      </c>
      <c r="Z7" s="345">
        <v>7257.5885052854901</v>
      </c>
    </row>
    <row r="8" spans="2:39" x14ac:dyDescent="0.3">
      <c r="B8" s="381" t="s">
        <v>393</v>
      </c>
      <c r="C8" s="450"/>
      <c r="D8" s="447"/>
      <c r="E8" s="448"/>
      <c r="F8" s="448"/>
      <c r="G8" s="449"/>
      <c r="H8" s="448"/>
      <c r="I8" s="447"/>
      <c r="J8" s="448"/>
      <c r="K8" s="448"/>
      <c r="L8" s="448"/>
      <c r="M8" s="448"/>
      <c r="N8" s="450"/>
      <c r="P8" s="343"/>
      <c r="Q8" s="343"/>
      <c r="R8" s="344">
        <v>0</v>
      </c>
      <c r="S8" s="344">
        <v>0</v>
      </c>
      <c r="T8" s="345">
        <v>90.998999999999995</v>
      </c>
      <c r="U8" s="344"/>
      <c r="V8" s="343"/>
      <c r="W8" s="344"/>
      <c r="X8" s="344"/>
      <c r="Y8" s="344"/>
      <c r="Z8" s="345"/>
    </row>
    <row r="9" spans="2:39" x14ac:dyDescent="0.3">
      <c r="B9" t="s">
        <v>85</v>
      </c>
      <c r="C9" s="450"/>
      <c r="D9" s="447"/>
      <c r="E9" s="448"/>
      <c r="F9" s="448"/>
      <c r="G9" s="449"/>
      <c r="H9" s="448"/>
      <c r="I9" s="447"/>
      <c r="J9" s="448"/>
      <c r="K9" s="448"/>
      <c r="L9" s="448"/>
      <c r="M9" s="448"/>
      <c r="N9" s="450"/>
      <c r="P9" s="343">
        <f>Cost_Recovery!K59</f>
        <v>106.876</v>
      </c>
      <c r="Q9" s="343">
        <f>Cost_Recovery!L59</f>
        <v>177.584</v>
      </c>
      <c r="R9" s="344">
        <f>Cost_Recovery!M59</f>
        <v>196.57599999999999</v>
      </c>
      <c r="S9" s="344">
        <f>Cost_Recovery!N59</f>
        <v>110.318</v>
      </c>
      <c r="T9" s="345">
        <f>Cost_Recovery!O59</f>
        <v>283.36</v>
      </c>
      <c r="U9" s="344"/>
      <c r="V9" s="343"/>
      <c r="W9" s="344"/>
      <c r="X9" s="344"/>
      <c r="Y9" s="344"/>
      <c r="Z9" s="345"/>
    </row>
    <row r="10" spans="2:39" x14ac:dyDescent="0.3">
      <c r="B10" t="s">
        <v>77</v>
      </c>
      <c r="C10" s="450"/>
      <c r="D10" s="447"/>
      <c r="E10" s="448"/>
      <c r="F10" s="448"/>
      <c r="G10" s="449"/>
      <c r="H10" s="448"/>
      <c r="I10" s="447"/>
      <c r="J10" s="448"/>
      <c r="K10" s="448"/>
      <c r="L10" s="448"/>
      <c r="M10" s="448"/>
      <c r="N10" s="450"/>
      <c r="P10" s="343">
        <f>Cost_Recovery!K60</f>
        <v>2209.7739999999999</v>
      </c>
      <c r="Q10" s="343">
        <f>Cost_Recovery!L60</f>
        <v>1974.144</v>
      </c>
      <c r="R10" s="344">
        <f>Cost_Recovery!M60</f>
        <v>3875.8209999999999</v>
      </c>
      <c r="S10" s="344">
        <f>Cost_Recovery!N60</f>
        <v>2817.848</v>
      </c>
      <c r="T10" s="345">
        <f>Cost_Recovery!O60</f>
        <v>4453.2539999999999</v>
      </c>
      <c r="U10" s="344">
        <v>2563.5238021149826</v>
      </c>
      <c r="V10" s="343">
        <v>2563.5238021149826</v>
      </c>
      <c r="W10" s="344">
        <v>2563.5238021149826</v>
      </c>
      <c r="X10" s="344">
        <v>2563.5238021149826</v>
      </c>
      <c r="Y10" s="344">
        <v>2563.5238021149826</v>
      </c>
      <c r="Z10" s="345">
        <v>2563.5238021149826</v>
      </c>
    </row>
    <row r="11" spans="2:39" x14ac:dyDescent="0.3">
      <c r="B11" t="s">
        <v>268</v>
      </c>
      <c r="C11" s="450"/>
      <c r="D11" s="447"/>
      <c r="E11" s="448"/>
      <c r="F11" s="448"/>
      <c r="G11" s="449"/>
      <c r="H11" s="448"/>
      <c r="I11" s="447"/>
      <c r="J11" s="448"/>
      <c r="K11" s="448"/>
      <c r="L11" s="448"/>
      <c r="M11" s="448"/>
      <c r="N11" s="450"/>
      <c r="P11" s="343">
        <f>Cost_Recovery!K61</f>
        <v>36.648000000000003</v>
      </c>
      <c r="Q11" s="343">
        <f>Cost_Recovery!L61</f>
        <v>3300</v>
      </c>
      <c r="R11" s="344">
        <f>Cost_Recovery!M61</f>
        <v>965.16521</v>
      </c>
      <c r="S11" s="344">
        <f>Cost_Recovery!N61</f>
        <v>0</v>
      </c>
      <c r="T11" s="345">
        <f>Cost_Recovery!O61</f>
        <v>0</v>
      </c>
      <c r="U11" s="344">
        <v>4973.0272596843615</v>
      </c>
      <c r="V11" s="343">
        <v>0</v>
      </c>
      <c r="W11" s="344">
        <v>0</v>
      </c>
      <c r="X11" s="344">
        <v>0</v>
      </c>
      <c r="Y11" s="344">
        <v>0</v>
      </c>
      <c r="Z11" s="345">
        <v>0</v>
      </c>
    </row>
    <row r="12" spans="2:39" x14ac:dyDescent="0.3">
      <c r="B12" t="s">
        <v>86</v>
      </c>
      <c r="C12" s="450"/>
      <c r="D12" s="447"/>
      <c r="E12" s="448"/>
      <c r="F12" s="448"/>
      <c r="G12" s="449"/>
      <c r="H12" s="448"/>
      <c r="I12" s="447"/>
      <c r="J12" s="448"/>
      <c r="K12" s="448"/>
      <c r="L12" s="448"/>
      <c r="M12" s="448"/>
      <c r="N12" s="450"/>
      <c r="P12" s="343">
        <f>Cost_Recovery!K62</f>
        <v>0</v>
      </c>
      <c r="Q12" s="343">
        <f>Cost_Recovery!L62</f>
        <v>0</v>
      </c>
      <c r="R12" s="344">
        <f>Cost_Recovery!M62</f>
        <v>0</v>
      </c>
      <c r="S12" s="344">
        <f>Cost_Recovery!N62</f>
        <v>0</v>
      </c>
      <c r="T12" s="346">
        <f>Cost_Recovery!O62</f>
        <v>0</v>
      </c>
      <c r="U12" s="347"/>
      <c r="V12" s="348"/>
      <c r="W12" s="347"/>
      <c r="X12" s="347"/>
      <c r="Y12" s="347"/>
      <c r="Z12" s="346"/>
    </row>
    <row r="13" spans="2:39" x14ac:dyDescent="0.3">
      <c r="B13" t="s">
        <v>207</v>
      </c>
      <c r="C13" s="450"/>
      <c r="D13" s="447"/>
      <c r="E13" s="448"/>
      <c r="F13" s="448"/>
      <c r="G13" s="449"/>
      <c r="H13" s="448"/>
      <c r="I13" s="447"/>
      <c r="J13" s="448"/>
      <c r="K13" s="448"/>
      <c r="L13" s="448"/>
      <c r="M13" s="448"/>
      <c r="N13" s="450"/>
      <c r="P13" s="343">
        <f>Cost_Recovery!K63</f>
        <v>0</v>
      </c>
      <c r="Q13" s="343">
        <f>Cost_Recovery!L63</f>
        <v>0</v>
      </c>
      <c r="R13" s="344">
        <f>Cost_Recovery!M63</f>
        <v>0</v>
      </c>
      <c r="S13" s="344">
        <f>Cost_Recovery!N63</f>
        <v>0</v>
      </c>
      <c r="T13" s="346">
        <f>Cost_Recovery!O63</f>
        <v>0</v>
      </c>
      <c r="U13" s="347">
        <v>4691.5351506456236</v>
      </c>
      <c r="V13" s="348">
        <v>7524.7646708891771</v>
      </c>
      <c r="W13" s="347">
        <v>0</v>
      </c>
      <c r="X13" s="347">
        <v>0</v>
      </c>
      <c r="Y13" s="347">
        <v>0</v>
      </c>
      <c r="Z13" s="346">
        <v>0</v>
      </c>
    </row>
    <row r="14" spans="2:39" x14ac:dyDescent="0.3">
      <c r="B14" s="295" t="s">
        <v>313</v>
      </c>
      <c r="C14" s="454"/>
      <c r="D14" s="451"/>
      <c r="E14" s="452"/>
      <c r="F14" s="452"/>
      <c r="G14" s="453"/>
      <c r="H14" s="452"/>
      <c r="I14" s="451"/>
      <c r="J14" s="452"/>
      <c r="K14" s="452"/>
      <c r="L14" s="452"/>
      <c r="M14" s="452"/>
      <c r="N14" s="454"/>
      <c r="P14" s="219">
        <f t="shared" ref="P14:Z14" si="11">SUM(P5:P13)</f>
        <v>35876.305999999997</v>
      </c>
      <c r="Q14" s="219">
        <f t="shared" si="11"/>
        <v>31977.236000000001</v>
      </c>
      <c r="R14" s="218">
        <f t="shared" si="11"/>
        <v>40692.417210000007</v>
      </c>
      <c r="S14" s="218">
        <f t="shared" si="11"/>
        <v>46029.887999999999</v>
      </c>
      <c r="T14" s="294">
        <f t="shared" si="11"/>
        <v>47770.662000000004</v>
      </c>
      <c r="U14" s="218">
        <f t="shared" si="11"/>
        <v>52121.779174042975</v>
      </c>
      <c r="V14" s="219">
        <f t="shared" si="11"/>
        <v>54935.598742894326</v>
      </c>
      <c r="W14" s="218">
        <f t="shared" si="11"/>
        <v>48166.140181057985</v>
      </c>
      <c r="X14" s="218">
        <f t="shared" si="11"/>
        <v>48923.192841527954</v>
      </c>
      <c r="Y14" s="218">
        <f t="shared" si="11"/>
        <v>49678.388409351857</v>
      </c>
      <c r="Z14" s="294">
        <f t="shared" si="11"/>
        <v>50433.296569980535</v>
      </c>
    </row>
    <row r="15" spans="2:39" x14ac:dyDescent="0.3">
      <c r="B15" t="s">
        <v>201</v>
      </c>
      <c r="C15" s="58">
        <f>C14-(Cost_Recovery!K52-Historical_Cost!K52-Historical_Cost!K27)</f>
        <v>-51137.508100000021</v>
      </c>
      <c r="D15" s="58">
        <f>D14-(Cost_Recovery!L52-Historical_Cost!L52-Historical_Cost!L27)</f>
        <v>-47735.112421804733</v>
      </c>
      <c r="E15" s="58">
        <f>E14-(Cost_Recovery!M52-Historical_Cost!M52-Historical_Cost!M27)</f>
        <v>-65810.737378195263</v>
      </c>
      <c r="F15" s="58">
        <f>F14-(Cost_Recovery!N52-Historical_Cost!N52-Historical_Cost!N27)</f>
        <v>-71611.524010000008</v>
      </c>
      <c r="G15" s="58">
        <f>G14-(Cost_Recovery!O52-Historical_Cost!O52-Historical_Cost!O27)</f>
        <v>-97658.886119999996</v>
      </c>
      <c r="H15" s="58">
        <f>H14-(Capex_Fcast_Direct!AA26+Other_codes!S7-U14)*H16</f>
        <v>55548.746306281275</v>
      </c>
      <c r="I15" s="58">
        <f>I14-(Capex_Fcast_Direct!AB26+Other_codes!T7*Escalation!R11-V14)</f>
        <v>54935.598742894326</v>
      </c>
      <c r="J15" s="58">
        <f>J14-(Capex_Fcast_Direct!AC26+Other_codes!U7*Escalation!S11-W14)</f>
        <v>48166.140181057985</v>
      </c>
      <c r="K15" s="58">
        <f>K14-(Capex_Fcast_Direct!AD26+Other_codes!V7*Escalation!T11-X14)</f>
        <v>48923.192841527954</v>
      </c>
      <c r="L15" s="58">
        <f>L14-(Capex_Fcast_Direct!AE26+Other_codes!W7*Escalation!U11-Y14)</f>
        <v>49678.388409351857</v>
      </c>
      <c r="M15" s="58">
        <f>M14-(Capex_Fcast_Direct!AF26+Other_codes!X7*Escalation!V11-Z14)</f>
        <v>50433.296569980535</v>
      </c>
      <c r="P15" s="58">
        <f>P14-Cost_Recovery!K64</f>
        <v>0</v>
      </c>
      <c r="Q15" s="58">
        <f>Q14-Cost_Recovery!L64</f>
        <v>0</v>
      </c>
      <c r="R15" s="58">
        <f>R14-Cost_Recovery!M64</f>
        <v>0</v>
      </c>
      <c r="S15" s="58">
        <f>S14-Cost_Recovery!N64</f>
        <v>0</v>
      </c>
      <c r="T15" s="58">
        <f>T14-Cost_Recovery!O64</f>
        <v>0</v>
      </c>
      <c r="U15" s="58">
        <f>U14-Cost_Recovery!P64/H16</f>
        <v>0</v>
      </c>
      <c r="V15" s="349">
        <f>V14-SUMIFS(Capex_Fcast_Direct!AN$8:AN$25,Capex_Fcast_Direct!$B$8:$B$25,"*GIFTED*")</f>
        <v>54935.598742894326</v>
      </c>
      <c r="W15" s="349">
        <f>W14-SUMIFS(Capex_Fcast_Direct!AO$8:AO$25,Capex_Fcast_Direct!$B$8:$B$25,"*GIFTED*")</f>
        <v>48166.140181057985</v>
      </c>
      <c r="X15" s="349">
        <f>X14-SUMIFS(Capex_Fcast_Direct!AP$8:AP$25,Capex_Fcast_Direct!$B$8:$B$25,"*GIFTED*")</f>
        <v>48923.192841527954</v>
      </c>
      <c r="Y15" s="349">
        <f>Y14-SUMIFS(Capex_Fcast_Direct!AQ$8:AQ$25,Capex_Fcast_Direct!$B$8:$B$25,"*GIFTED*")</f>
        <v>49678.388409351857</v>
      </c>
      <c r="Z15" s="349">
        <f>Z14-SUMIFS(Capex_Fcast_Direct!AR$8:AR$25,Capex_Fcast_Direct!$B$8:$B$25,"*GIFTED*")</f>
        <v>50433.296569980535</v>
      </c>
    </row>
    <row r="16" spans="2:39" x14ac:dyDescent="0.3">
      <c r="B16" s="310" t="s">
        <v>254</v>
      </c>
      <c r="C16" s="5"/>
      <c r="D16" s="5"/>
      <c r="E16" s="5"/>
      <c r="F16" s="5">
        <f>1/Escalation!O11</f>
        <v>1</v>
      </c>
      <c r="G16" s="5">
        <f>1/Escalation!P11</f>
        <v>1.0405198776758409</v>
      </c>
      <c r="H16" s="5">
        <f>1/Escalation!Q11</f>
        <v>1.0657492354740061</v>
      </c>
      <c r="I16" s="5">
        <f>1/Escalation!R11</f>
        <v>1.0923929663608563</v>
      </c>
      <c r="J16" s="5">
        <f>1/Escalation!S11</f>
        <v>1.1197027905198775</v>
      </c>
      <c r="K16" s="5">
        <f>1/Escalation!T11</f>
        <v>1.1476953602828743</v>
      </c>
      <c r="L16" s="5">
        <f>1/Escalation!U11</f>
        <v>1.1763877442899462</v>
      </c>
      <c r="M16" s="5">
        <f>1/Escalation!V11</f>
        <v>1.2057974378971947</v>
      </c>
      <c r="AB16" s="1" t="s">
        <v>254</v>
      </c>
      <c r="AC16" s="5"/>
      <c r="AD16" s="5"/>
      <c r="AE16" s="5"/>
      <c r="AF16" s="5">
        <f>1/Escalation!O11</f>
        <v>1</v>
      </c>
      <c r="AG16" s="5">
        <f>1/Escalation!P11</f>
        <v>1.0405198776758409</v>
      </c>
      <c r="AH16" s="5">
        <f>1/Escalation!Q11</f>
        <v>1.0657492354740061</v>
      </c>
      <c r="AI16" s="5"/>
      <c r="AJ16" s="5"/>
      <c r="AK16" s="5"/>
      <c r="AL16" s="5"/>
      <c r="AM16" s="5"/>
    </row>
    <row r="17" spans="2:52" x14ac:dyDescent="0.3">
      <c r="C17" s="434" t="s">
        <v>336</v>
      </c>
      <c r="D17" s="435"/>
      <c r="E17" s="435"/>
      <c r="F17" s="435"/>
      <c r="G17" s="435"/>
      <c r="H17" s="435"/>
      <c r="I17" s="435"/>
      <c r="J17" s="435"/>
      <c r="K17" s="435"/>
      <c r="L17" s="435"/>
      <c r="M17" s="436"/>
      <c r="P17" s="440" t="s">
        <v>312</v>
      </c>
      <c r="Q17" s="441"/>
      <c r="R17" s="441"/>
      <c r="S17" s="441"/>
      <c r="T17" s="441"/>
      <c r="U17" s="441"/>
      <c r="V17" s="441"/>
      <c r="W17" s="441"/>
      <c r="X17" s="441"/>
      <c r="Y17" s="441"/>
      <c r="Z17" s="442"/>
      <c r="AC17" s="431" t="s">
        <v>328</v>
      </c>
      <c r="AD17" s="432"/>
      <c r="AE17" s="432"/>
      <c r="AF17" s="432"/>
      <c r="AG17" s="432"/>
      <c r="AH17" s="432"/>
      <c r="AI17" s="432"/>
      <c r="AJ17" s="432"/>
      <c r="AK17" s="432"/>
      <c r="AL17" s="432"/>
      <c r="AM17" s="433"/>
    </row>
    <row r="18" spans="2:52" x14ac:dyDescent="0.3">
      <c r="B18" s="8" t="s">
        <v>39</v>
      </c>
      <c r="C18" s="395" t="s">
        <v>95</v>
      </c>
      <c r="D18" s="396"/>
      <c r="E18" s="396"/>
      <c r="F18" s="396"/>
      <c r="G18" s="396"/>
      <c r="H18" s="397"/>
      <c r="I18" s="437" t="s">
        <v>232</v>
      </c>
      <c r="J18" s="438"/>
      <c r="K18" s="438"/>
      <c r="L18" s="438"/>
      <c r="M18" s="439"/>
      <c r="N18" s="149" t="s">
        <v>2</v>
      </c>
      <c r="P18" s="395" t="s">
        <v>95</v>
      </c>
      <c r="Q18" s="396"/>
      <c r="R18" s="396"/>
      <c r="S18" s="396"/>
      <c r="T18" s="396"/>
      <c r="U18" s="397"/>
      <c r="V18" s="425" t="s">
        <v>232</v>
      </c>
      <c r="W18" s="426"/>
      <c r="X18" s="426"/>
      <c r="Y18" s="426"/>
      <c r="Z18" s="427"/>
      <c r="AB18" s="8" t="s">
        <v>39</v>
      </c>
      <c r="AC18" s="395" t="s">
        <v>95</v>
      </c>
      <c r="AD18" s="396"/>
      <c r="AE18" s="396"/>
      <c r="AF18" s="396"/>
      <c r="AG18" s="396"/>
      <c r="AH18" s="397"/>
      <c r="AI18" s="428" t="s">
        <v>232</v>
      </c>
      <c r="AJ18" s="429"/>
      <c r="AK18" s="429"/>
      <c r="AL18" s="429"/>
      <c r="AM18" s="430"/>
      <c r="AN18" s="149" t="s">
        <v>222</v>
      </c>
    </row>
    <row r="19" spans="2:52" x14ac:dyDescent="0.3">
      <c r="B19" s="1" t="s">
        <v>329</v>
      </c>
      <c r="C19" s="479"/>
      <c r="D19" s="479"/>
      <c r="E19" s="480"/>
      <c r="F19" s="480"/>
      <c r="G19" s="481"/>
      <c r="H19" s="480"/>
      <c r="I19" s="479"/>
      <c r="J19" s="480"/>
      <c r="K19" s="480"/>
      <c r="L19" s="480"/>
      <c r="M19" s="481"/>
      <c r="N19" s="482"/>
      <c r="P19" s="61" t="str">
        <f t="shared" ref="P19:Z19" si="12">AC19</f>
        <v>2020-21</v>
      </c>
      <c r="Q19" s="143" t="str">
        <f t="shared" si="12"/>
        <v>2021-22</v>
      </c>
      <c r="R19" s="3" t="str">
        <f t="shared" si="12"/>
        <v>2022-23</v>
      </c>
      <c r="S19" s="3" t="str">
        <f t="shared" si="12"/>
        <v>2023-24</v>
      </c>
      <c r="T19" s="145" t="str">
        <f t="shared" si="12"/>
        <v>2024-25</v>
      </c>
      <c r="U19" s="3" t="str">
        <f t="shared" si="12"/>
        <v>2025-26</v>
      </c>
      <c r="V19" s="61" t="str">
        <f t="shared" si="12"/>
        <v>2026-27</v>
      </c>
      <c r="W19" s="3" t="str">
        <f t="shared" si="12"/>
        <v>2027–28</v>
      </c>
      <c r="X19" s="3" t="str">
        <f t="shared" si="12"/>
        <v>2028–29</v>
      </c>
      <c r="Y19" s="3" t="str">
        <f t="shared" si="12"/>
        <v>2029–30</v>
      </c>
      <c r="Z19" s="86" t="str">
        <f t="shared" si="12"/>
        <v>2030–31</v>
      </c>
      <c r="AB19" s="1" t="s">
        <v>327</v>
      </c>
      <c r="AC19" s="312" t="str">
        <f>Allocations!G$53</f>
        <v>2020-21</v>
      </c>
      <c r="AD19" s="109" t="str">
        <f>Allocations!H$53</f>
        <v>2021-22</v>
      </c>
      <c r="AE19" s="140" t="str">
        <f>Allocations!I$53</f>
        <v>2022-23</v>
      </c>
      <c r="AF19" s="140" t="str">
        <f>Allocations!J$53</f>
        <v>2023-24</v>
      </c>
      <c r="AG19" s="168" t="str">
        <f>Allocations!K$53</f>
        <v>2024-25</v>
      </c>
      <c r="AH19" s="168" t="str">
        <f>Allocations!L$53</f>
        <v>2025-26</v>
      </c>
      <c r="AI19" s="217" t="str">
        <f>Allocations!M$53</f>
        <v>2026-27</v>
      </c>
      <c r="AJ19" s="140" t="str">
        <f>Allocations!N$53</f>
        <v>2027–28</v>
      </c>
      <c r="AK19" s="140" t="str">
        <f>Allocations!O$53</f>
        <v>2028–29</v>
      </c>
      <c r="AL19" s="140" t="str">
        <f>Allocations!P$53</f>
        <v>2029–30</v>
      </c>
      <c r="AM19" s="168" t="str">
        <f>Allocations!Q$53</f>
        <v>2030–31</v>
      </c>
      <c r="AN19" s="100" t="s">
        <v>2</v>
      </c>
      <c r="AP19" s="3"/>
      <c r="AQ19" s="3"/>
      <c r="AR19" s="3"/>
      <c r="AS19" s="3"/>
      <c r="AT19" s="3"/>
      <c r="AU19" s="3"/>
      <c r="AV19" s="3"/>
      <c r="AW19" s="3"/>
      <c r="AX19" s="3"/>
      <c r="AY19" s="3"/>
      <c r="AZ19" s="3"/>
    </row>
    <row r="20" spans="2:52" x14ac:dyDescent="0.3">
      <c r="B20" t="s">
        <v>82</v>
      </c>
      <c r="C20" s="447"/>
      <c r="D20" s="447"/>
      <c r="E20" s="448"/>
      <c r="F20" s="448"/>
      <c r="G20" s="449"/>
      <c r="H20" s="448"/>
      <c r="I20" s="447"/>
      <c r="J20" s="448"/>
      <c r="K20" s="448"/>
      <c r="L20" s="448"/>
      <c r="M20" s="449"/>
      <c r="N20" s="450"/>
      <c r="P20" s="343">
        <f>Cost_Recovery!K55</f>
        <v>26609.491000000002</v>
      </c>
      <c r="Q20" s="343">
        <f>Cost_Recovery!L55</f>
        <v>24192.47</v>
      </c>
      <c r="R20" s="344">
        <f>Cost_Recovery!M55</f>
        <v>30182.985000000001</v>
      </c>
      <c r="S20" s="344">
        <f>Cost_Recovery!N55</f>
        <v>38035.239000000001</v>
      </c>
      <c r="T20" s="345">
        <f>Cost_Recovery!O55</f>
        <v>30732.032999999999</v>
      </c>
      <c r="U20" s="344">
        <v>34781.903373164867</v>
      </c>
      <c r="V20" s="343">
        <v>37589.721764604677</v>
      </c>
      <c r="W20" s="344">
        <v>38345.027873657513</v>
      </c>
      <c r="X20" s="344">
        <v>39102.080534127475</v>
      </c>
      <c r="Y20" s="344">
        <v>39857.276101951378</v>
      </c>
      <c r="Z20" s="345">
        <v>40612.184262580056</v>
      </c>
      <c r="AA20" s="4"/>
      <c r="AB20" t="s">
        <v>82</v>
      </c>
      <c r="AC20" s="450"/>
      <c r="AD20" s="447"/>
      <c r="AE20" s="448"/>
      <c r="AF20" s="455"/>
      <c r="AG20" s="449"/>
      <c r="AH20" s="448"/>
      <c r="AI20" s="447"/>
      <c r="AJ20" s="448"/>
      <c r="AK20" s="448"/>
      <c r="AL20" s="448"/>
      <c r="AM20" s="448"/>
      <c r="AN20" s="450"/>
    </row>
    <row r="21" spans="2:52" x14ac:dyDescent="0.3">
      <c r="B21" t="s">
        <v>83</v>
      </c>
      <c r="C21" s="447"/>
      <c r="D21" s="447"/>
      <c r="E21" s="448"/>
      <c r="F21" s="448"/>
      <c r="G21" s="449"/>
      <c r="H21" s="448"/>
      <c r="I21" s="447"/>
      <c r="J21" s="448"/>
      <c r="K21" s="448"/>
      <c r="L21" s="448"/>
      <c r="M21" s="449"/>
      <c r="N21" s="450"/>
      <c r="P21" s="343">
        <f>Cost_Recovery!K56</f>
        <v>18.553999999999998</v>
      </c>
      <c r="Q21" s="343">
        <f>Cost_Recovery!L56</f>
        <v>5.89</v>
      </c>
      <c r="R21" s="344">
        <f>Cost_Recovery!M56</f>
        <v>9.0399999999999991</v>
      </c>
      <c r="S21" s="344">
        <f>Cost_Recovery!N56</f>
        <v>0</v>
      </c>
      <c r="T21" s="346">
        <f>Cost_Recovery!O56</f>
        <v>0</v>
      </c>
      <c r="U21" s="347"/>
      <c r="V21" s="348"/>
      <c r="W21" s="347"/>
      <c r="X21" s="347"/>
      <c r="Y21" s="347"/>
      <c r="Z21" s="346"/>
      <c r="AA21" s="4"/>
      <c r="AB21" t="s">
        <v>83</v>
      </c>
      <c r="AC21" s="450"/>
      <c r="AD21" s="447"/>
      <c r="AE21" s="448"/>
      <c r="AF21" s="448"/>
      <c r="AG21" s="449"/>
      <c r="AH21" s="448"/>
      <c r="AI21" s="447"/>
      <c r="AJ21" s="448"/>
      <c r="AK21" s="448"/>
      <c r="AL21" s="448"/>
      <c r="AM21" s="448"/>
      <c r="AN21" s="450"/>
    </row>
    <row r="22" spans="2:52" x14ac:dyDescent="0.3">
      <c r="B22" t="s">
        <v>84</v>
      </c>
      <c r="C22" s="447"/>
      <c r="D22" s="447"/>
      <c r="E22" s="448"/>
      <c r="F22" s="448"/>
      <c r="G22" s="449"/>
      <c r="H22" s="448"/>
      <c r="I22" s="447"/>
      <c r="J22" s="448"/>
      <c r="K22" s="448"/>
      <c r="L22" s="448"/>
      <c r="M22" s="449"/>
      <c r="N22" s="450"/>
      <c r="P22" s="343">
        <f>Cost_Recovery!K57</f>
        <v>6894.9629999999997</v>
      </c>
      <c r="Q22" s="343">
        <f>Cost_Recovery!L57</f>
        <v>2327.1480000000001</v>
      </c>
      <c r="R22" s="344">
        <f>Cost_Recovery!M57</f>
        <v>5462.83</v>
      </c>
      <c r="S22" s="344">
        <f>Cost_Recovery!N57</f>
        <v>5066.4830000000002</v>
      </c>
      <c r="T22" s="345">
        <f>Cost_Recovery!O57</f>
        <v>12211.016</v>
      </c>
      <c r="U22" s="344">
        <v>7734.7694008929457</v>
      </c>
      <c r="V22" s="343">
        <v>7257.5885052854901</v>
      </c>
      <c r="W22" s="344">
        <v>7257.5885052854901</v>
      </c>
      <c r="X22" s="344">
        <v>7257.5885052854901</v>
      </c>
      <c r="Y22" s="344">
        <v>7257.5885052854901</v>
      </c>
      <c r="Z22" s="345">
        <v>7257.5885052854901</v>
      </c>
      <c r="AA22" s="4"/>
      <c r="AB22" t="s">
        <v>84</v>
      </c>
      <c r="AC22" s="450"/>
      <c r="AD22" s="447"/>
      <c r="AE22" s="448"/>
      <c r="AF22" s="448"/>
      <c r="AG22" s="449"/>
      <c r="AH22" s="448"/>
      <c r="AI22" s="447"/>
      <c r="AJ22" s="448"/>
      <c r="AK22" s="448"/>
      <c r="AL22" s="448"/>
      <c r="AM22" s="448"/>
      <c r="AN22" s="450"/>
      <c r="AP22" s="4"/>
      <c r="AQ22" s="4"/>
      <c r="AR22" s="4"/>
      <c r="AS22" s="4"/>
      <c r="AT22" s="4"/>
      <c r="AU22" s="4"/>
      <c r="AV22" s="4"/>
      <c r="AW22" s="4"/>
      <c r="AX22" s="4"/>
      <c r="AY22" s="4"/>
      <c r="AZ22" s="4"/>
    </row>
    <row r="23" spans="2:52" x14ac:dyDescent="0.3">
      <c r="B23" s="381" t="s">
        <v>393</v>
      </c>
      <c r="C23" s="447"/>
      <c r="D23" s="447"/>
      <c r="E23" s="448"/>
      <c r="F23" s="448"/>
      <c r="G23" s="449"/>
      <c r="H23" s="448"/>
      <c r="I23" s="447"/>
      <c r="J23" s="448"/>
      <c r="K23" s="448"/>
      <c r="L23" s="448"/>
      <c r="M23" s="449"/>
      <c r="N23" s="450"/>
      <c r="O23" t="s">
        <v>395</v>
      </c>
      <c r="P23" s="343"/>
      <c r="Q23" s="343">
        <v>0</v>
      </c>
      <c r="R23" s="344">
        <v>0</v>
      </c>
      <c r="S23" s="344">
        <v>0</v>
      </c>
      <c r="T23" s="345">
        <v>90.998999999999995</v>
      </c>
      <c r="U23" s="344">
        <v>0</v>
      </c>
      <c r="V23" s="343">
        <v>0</v>
      </c>
      <c r="W23" s="344">
        <v>0</v>
      </c>
      <c r="X23" s="344">
        <v>0</v>
      </c>
      <c r="Y23" s="344">
        <v>0</v>
      </c>
      <c r="Z23" s="345">
        <v>0</v>
      </c>
      <c r="AA23" s="4"/>
      <c r="AB23" s="381" t="s">
        <v>393</v>
      </c>
      <c r="AC23" s="450"/>
      <c r="AD23" s="447"/>
      <c r="AE23" s="448"/>
      <c r="AF23" s="448"/>
      <c r="AG23" s="449"/>
      <c r="AH23" s="448"/>
      <c r="AI23" s="447"/>
      <c r="AJ23" s="448"/>
      <c r="AK23" s="448"/>
      <c r="AL23" s="448"/>
      <c r="AM23" s="448"/>
      <c r="AN23" s="450"/>
      <c r="AP23" s="4"/>
      <c r="AQ23" s="4"/>
      <c r="AR23" s="4"/>
      <c r="AS23" s="4"/>
      <c r="AT23" s="4"/>
      <c r="AU23" s="4"/>
      <c r="AV23" s="4"/>
      <c r="AW23" s="4"/>
      <c r="AX23" s="4"/>
      <c r="AY23" s="4"/>
      <c r="AZ23" s="4"/>
    </row>
    <row r="24" spans="2:52" x14ac:dyDescent="0.3">
      <c r="B24" t="s">
        <v>85</v>
      </c>
      <c r="C24" s="447"/>
      <c r="D24" s="447"/>
      <c r="E24" s="448"/>
      <c r="F24" s="448"/>
      <c r="G24" s="449"/>
      <c r="H24" s="448"/>
      <c r="I24" s="447"/>
      <c r="J24" s="448"/>
      <c r="K24" s="448"/>
      <c r="L24" s="448"/>
      <c r="M24" s="449"/>
      <c r="N24" s="450"/>
      <c r="P24" s="343">
        <f>Cost_Recovery!K59</f>
        <v>106.876</v>
      </c>
      <c r="Q24" s="343">
        <f>Cost_Recovery!L59</f>
        <v>177.584</v>
      </c>
      <c r="R24" s="344">
        <f>Cost_Recovery!M59</f>
        <v>196.57599999999999</v>
      </c>
      <c r="S24" s="344">
        <f>Cost_Recovery!N59</f>
        <v>110.318</v>
      </c>
      <c r="T24" s="345">
        <f>Cost_Recovery!O59</f>
        <v>283.36</v>
      </c>
      <c r="U24" s="344"/>
      <c r="V24" s="343"/>
      <c r="W24" s="344"/>
      <c r="X24" s="344"/>
      <c r="Y24" s="344"/>
      <c r="Z24" s="345"/>
      <c r="AA24" s="4"/>
      <c r="AB24" t="s">
        <v>85</v>
      </c>
      <c r="AC24" s="450"/>
      <c r="AD24" s="447"/>
      <c r="AE24" s="448"/>
      <c r="AF24" s="448"/>
      <c r="AG24" s="449"/>
      <c r="AH24" s="448"/>
      <c r="AI24" s="447"/>
      <c r="AJ24" s="448"/>
      <c r="AK24" s="448"/>
      <c r="AL24" s="448"/>
      <c r="AM24" s="448"/>
      <c r="AN24" s="450"/>
      <c r="AP24" s="10"/>
      <c r="AQ24" s="10"/>
      <c r="AR24" s="10"/>
      <c r="AS24" s="10"/>
      <c r="AT24" s="10"/>
      <c r="AU24" s="10"/>
      <c r="AV24" s="10"/>
      <c r="AW24" s="10"/>
      <c r="AX24" s="10"/>
      <c r="AY24" s="10"/>
      <c r="AZ24" s="10"/>
    </row>
    <row r="25" spans="2:52" x14ac:dyDescent="0.3">
      <c r="B25" t="s">
        <v>77</v>
      </c>
      <c r="C25" s="447"/>
      <c r="D25" s="447"/>
      <c r="E25" s="448"/>
      <c r="F25" s="448"/>
      <c r="G25" s="449"/>
      <c r="H25" s="448"/>
      <c r="I25" s="447"/>
      <c r="J25" s="448"/>
      <c r="K25" s="448"/>
      <c r="L25" s="448"/>
      <c r="M25" s="449"/>
      <c r="N25" s="450"/>
      <c r="P25" s="343">
        <f>Cost_Recovery!K60</f>
        <v>2209.7739999999999</v>
      </c>
      <c r="Q25" s="343">
        <f>Cost_Recovery!L60</f>
        <v>1974.144</v>
      </c>
      <c r="R25" s="344">
        <f>Cost_Recovery!M60</f>
        <v>3875.8209999999999</v>
      </c>
      <c r="S25" s="344">
        <f>Cost_Recovery!N60</f>
        <v>2817.848</v>
      </c>
      <c r="T25" s="345">
        <f>Cost_Recovery!O60</f>
        <v>4453.2539999999999</v>
      </c>
      <c r="U25" s="344">
        <v>2732.07353222346</v>
      </c>
      <c r="V25" s="343">
        <v>2563.5238021149826</v>
      </c>
      <c r="W25" s="344">
        <v>2563.5238021149826</v>
      </c>
      <c r="X25" s="344">
        <v>2563.5238021149826</v>
      </c>
      <c r="Y25" s="344">
        <v>2563.5238021149826</v>
      </c>
      <c r="Z25" s="345">
        <v>2563.5238021149826</v>
      </c>
      <c r="AA25" s="4"/>
      <c r="AB25" t="s">
        <v>77</v>
      </c>
      <c r="AC25" s="450"/>
      <c r="AD25" s="447"/>
      <c r="AE25" s="448"/>
      <c r="AF25" s="448"/>
      <c r="AG25" s="449"/>
      <c r="AH25" s="448"/>
      <c r="AI25" s="447"/>
      <c r="AJ25" s="448"/>
      <c r="AK25" s="448"/>
      <c r="AL25" s="448"/>
      <c r="AM25" s="448"/>
      <c r="AN25" s="450"/>
      <c r="AP25" s="10"/>
      <c r="AQ25" s="10"/>
      <c r="AR25" s="10"/>
      <c r="AS25" s="10"/>
      <c r="AT25" s="10"/>
      <c r="AU25" s="10"/>
      <c r="AV25" s="10"/>
      <c r="AW25" s="10"/>
      <c r="AX25" s="10"/>
      <c r="AY25" s="10"/>
      <c r="AZ25" s="10"/>
    </row>
    <row r="26" spans="2:52" x14ac:dyDescent="0.3">
      <c r="B26" t="s">
        <v>268</v>
      </c>
      <c r="C26" s="447"/>
      <c r="D26" s="447"/>
      <c r="E26" s="448"/>
      <c r="F26" s="448"/>
      <c r="G26" s="449"/>
      <c r="H26" s="448"/>
      <c r="I26" s="447"/>
      <c r="J26" s="448"/>
      <c r="K26" s="448"/>
      <c r="L26" s="448"/>
      <c r="M26" s="449"/>
      <c r="N26" s="450"/>
      <c r="P26" s="343">
        <f>Cost_Recovery!K61</f>
        <v>36.648000000000003</v>
      </c>
      <c r="Q26" s="343">
        <f>Cost_Recovery!L61</f>
        <v>3300</v>
      </c>
      <c r="R26" s="344">
        <f>Cost_Recovery!M61</f>
        <v>965.16521</v>
      </c>
      <c r="S26" s="344">
        <f>Cost_Recovery!N61</f>
        <v>0</v>
      </c>
      <c r="T26" s="345">
        <f>Cost_Recovery!O61</f>
        <v>0</v>
      </c>
      <c r="U26" s="344">
        <v>5300</v>
      </c>
      <c r="V26" s="343">
        <v>0</v>
      </c>
      <c r="W26" s="344">
        <v>0</v>
      </c>
      <c r="X26" s="344">
        <v>0</v>
      </c>
      <c r="Y26" s="344">
        <v>0</v>
      </c>
      <c r="Z26" s="345">
        <v>0</v>
      </c>
      <c r="AA26" s="4"/>
      <c r="AB26" t="s">
        <v>268</v>
      </c>
      <c r="AC26" s="450"/>
      <c r="AD26" s="447"/>
      <c r="AE26" s="448"/>
      <c r="AF26" s="448"/>
      <c r="AG26" s="449"/>
      <c r="AH26" s="448"/>
      <c r="AI26" s="447"/>
      <c r="AJ26" s="448"/>
      <c r="AK26" s="448"/>
      <c r="AL26" s="448"/>
      <c r="AM26" s="448"/>
      <c r="AN26" s="450"/>
    </row>
    <row r="27" spans="2:52" x14ac:dyDescent="0.3">
      <c r="B27" t="s">
        <v>86</v>
      </c>
      <c r="C27" s="447"/>
      <c r="D27" s="447"/>
      <c r="E27" s="448"/>
      <c r="F27" s="448"/>
      <c r="G27" s="449"/>
      <c r="H27" s="448"/>
      <c r="I27" s="447"/>
      <c r="J27" s="448"/>
      <c r="K27" s="448"/>
      <c r="L27" s="448"/>
      <c r="M27" s="449"/>
      <c r="N27" s="450"/>
      <c r="P27" s="343">
        <f>Cost_Recovery!K62</f>
        <v>0</v>
      </c>
      <c r="Q27" s="343">
        <f>Cost_Recovery!L62</f>
        <v>0</v>
      </c>
      <c r="R27" s="344">
        <f>Cost_Recovery!M62</f>
        <v>0</v>
      </c>
      <c r="S27" s="344">
        <f>Cost_Recovery!N62</f>
        <v>0</v>
      </c>
      <c r="T27" s="346">
        <f>Cost_Recovery!O62</f>
        <v>0</v>
      </c>
      <c r="U27" s="347"/>
      <c r="V27" s="348"/>
      <c r="W27" s="347"/>
      <c r="X27" s="347"/>
      <c r="Y27" s="347"/>
      <c r="Z27" s="346"/>
      <c r="AA27" s="4"/>
      <c r="AB27" t="s">
        <v>86</v>
      </c>
      <c r="AC27" s="450"/>
      <c r="AD27" s="447"/>
      <c r="AE27" s="448"/>
      <c r="AF27" s="448"/>
      <c r="AG27" s="449"/>
      <c r="AH27" s="448"/>
      <c r="AI27" s="447"/>
      <c r="AJ27" s="448"/>
      <c r="AK27" s="448"/>
      <c r="AL27" s="448"/>
      <c r="AM27" s="448"/>
      <c r="AN27" s="450"/>
    </row>
    <row r="28" spans="2:52" x14ac:dyDescent="0.3">
      <c r="B28" t="s">
        <v>207</v>
      </c>
      <c r="C28" s="447"/>
      <c r="D28" s="447"/>
      <c r="E28" s="448"/>
      <c r="F28" s="448"/>
      <c r="G28" s="449"/>
      <c r="H28" s="448"/>
      <c r="I28" s="447"/>
      <c r="J28" s="448"/>
      <c r="K28" s="448"/>
      <c r="L28" s="448"/>
      <c r="M28" s="449"/>
      <c r="N28" s="450"/>
      <c r="P28" s="343">
        <f>Cost_Recovery!K63</f>
        <v>0</v>
      </c>
      <c r="Q28" s="343">
        <f>Cost_Recovery!L63</f>
        <v>0</v>
      </c>
      <c r="R28" s="344">
        <f>Cost_Recovery!M63</f>
        <v>0</v>
      </c>
      <c r="S28" s="344">
        <f>Cost_Recovery!N63</f>
        <v>0</v>
      </c>
      <c r="T28" s="346">
        <f>Cost_Recovery!O63</f>
        <v>0</v>
      </c>
      <c r="U28" s="347">
        <v>4999.9999999999991</v>
      </c>
      <c r="V28" s="348">
        <v>7524.7646708891771</v>
      </c>
      <c r="W28" s="347">
        <v>0</v>
      </c>
      <c r="X28" s="347">
        <v>0</v>
      </c>
      <c r="Y28" s="347">
        <v>0</v>
      </c>
      <c r="Z28" s="346">
        <v>0</v>
      </c>
      <c r="AA28" s="4"/>
      <c r="AB28" t="s">
        <v>207</v>
      </c>
      <c r="AC28" s="450"/>
      <c r="AD28" s="447"/>
      <c r="AE28" s="448"/>
      <c r="AF28" s="456"/>
      <c r="AG28" s="457"/>
      <c r="AH28" s="448"/>
      <c r="AI28" s="447"/>
      <c r="AJ28" s="448"/>
      <c r="AK28" s="448"/>
      <c r="AL28" s="448"/>
      <c r="AM28" s="448"/>
      <c r="AN28" s="450"/>
    </row>
    <row r="29" spans="2:52" x14ac:dyDescent="0.3">
      <c r="B29" s="295" t="s">
        <v>313</v>
      </c>
      <c r="C29" s="451"/>
      <c r="D29" s="451"/>
      <c r="E29" s="452"/>
      <c r="F29" s="452"/>
      <c r="G29" s="453"/>
      <c r="H29" s="452"/>
      <c r="I29" s="451"/>
      <c r="J29" s="452"/>
      <c r="K29" s="452"/>
      <c r="L29" s="452"/>
      <c r="M29" s="453"/>
      <c r="N29" s="454"/>
      <c r="O29" s="25"/>
      <c r="P29" s="219">
        <f t="shared" ref="P29:Z29" si="13">SUM(P20:P28)</f>
        <v>35876.305999999997</v>
      </c>
      <c r="Q29" s="219">
        <f t="shared" si="13"/>
        <v>31977.236000000001</v>
      </c>
      <c r="R29" s="218">
        <f t="shared" si="13"/>
        <v>40692.417210000007</v>
      </c>
      <c r="S29" s="218">
        <f t="shared" si="13"/>
        <v>46029.887999999999</v>
      </c>
      <c r="T29" s="294">
        <f t="shared" si="13"/>
        <v>47770.662000000004</v>
      </c>
      <c r="U29" s="218">
        <f t="shared" si="13"/>
        <v>55548.746306281275</v>
      </c>
      <c r="V29" s="219">
        <f t="shared" si="13"/>
        <v>54935.598742894326</v>
      </c>
      <c r="W29" s="218">
        <f t="shared" si="13"/>
        <v>48166.140181057985</v>
      </c>
      <c r="X29" s="218">
        <f t="shared" si="13"/>
        <v>48923.192841527954</v>
      </c>
      <c r="Y29" s="218">
        <f t="shared" si="13"/>
        <v>49678.388409351857</v>
      </c>
      <c r="Z29" s="294">
        <f t="shared" si="13"/>
        <v>50433.296569980535</v>
      </c>
      <c r="AA29" s="4"/>
      <c r="AB29" s="301" t="s">
        <v>356</v>
      </c>
      <c r="AC29" s="454"/>
      <c r="AD29" s="451"/>
      <c r="AE29" s="452"/>
      <c r="AF29" s="452"/>
      <c r="AG29" s="453"/>
      <c r="AH29" s="452"/>
      <c r="AI29" s="451"/>
      <c r="AJ29" s="452"/>
      <c r="AK29" s="452"/>
      <c r="AL29" s="452"/>
      <c r="AM29" s="452"/>
      <c r="AN29" s="454"/>
    </row>
    <row r="30" spans="2:52" x14ac:dyDescent="0.3">
      <c r="B30" s="49" t="s">
        <v>60</v>
      </c>
      <c r="C30" s="58">
        <f>C29-(Capex_Fcast_Direct!AH26+Other_codes!N7-P29)</f>
        <v>35876.305999999997</v>
      </c>
      <c r="D30" s="58">
        <f>D29-(Capex_Fcast_Direct!AI26+Other_codes!O7-Q29)</f>
        <v>31977.236000000001</v>
      </c>
      <c r="E30" s="58">
        <f>E29-(Capex_Fcast_Direct!AJ26+Other_codes!P7-R29)</f>
        <v>40692.417210000007</v>
      </c>
      <c r="F30" s="58">
        <f>F29-(Capex_Fcast_Direct!AK26+Other_codes!Q7-S29)</f>
        <v>46029.887999999999</v>
      </c>
      <c r="G30" s="58">
        <f>G29-(AG29-T29)</f>
        <v>47770.662000000004</v>
      </c>
      <c r="H30" s="58">
        <f t="shared" ref="H30:M30" si="14">H29-(AH29-U29)</f>
        <v>55548.746306281275</v>
      </c>
      <c r="I30" s="58">
        <f t="shared" si="14"/>
        <v>54935.598742894326</v>
      </c>
      <c r="J30" s="58">
        <f t="shared" si="14"/>
        <v>48166.140181057985</v>
      </c>
      <c r="K30" s="58">
        <f t="shared" si="14"/>
        <v>48923.192841527954</v>
      </c>
      <c r="L30" s="58">
        <f t="shared" si="14"/>
        <v>49678.388409351857</v>
      </c>
      <c r="M30" s="58">
        <f t="shared" si="14"/>
        <v>50433.296569980535</v>
      </c>
      <c r="P30" s="58">
        <f>P29-P14</f>
        <v>0</v>
      </c>
      <c r="Q30" s="58">
        <f>Q29-Q14</f>
        <v>0</v>
      </c>
      <c r="R30" s="58">
        <f>R29-R14</f>
        <v>0</v>
      </c>
      <c r="S30" s="58">
        <f>S29-S14</f>
        <v>0</v>
      </c>
      <c r="T30" s="58">
        <f>T29-T14</f>
        <v>0</v>
      </c>
      <c r="U30" s="58">
        <f>U29-U14*H16</f>
        <v>0</v>
      </c>
      <c r="V30" s="58">
        <f>V29-V14</f>
        <v>0</v>
      </c>
      <c r="W30" s="58">
        <f>W29-W14</f>
        <v>0</v>
      </c>
      <c r="X30" s="58">
        <f>X29-X14</f>
        <v>0</v>
      </c>
      <c r="Y30" s="58">
        <f>Y29-Y14</f>
        <v>0</v>
      </c>
      <c r="Z30" s="58">
        <f>Z29-Z14</f>
        <v>0</v>
      </c>
      <c r="AA30" s="4"/>
      <c r="AB30" s="49" t="s">
        <v>60</v>
      </c>
      <c r="AC30" s="48">
        <f>AC29-(Capex_Fcast_Direct!N26+Historical_Cost!K13)</f>
        <v>0</v>
      </c>
      <c r="AD30" s="48">
        <f>AD29-(Capex_Fcast_Direct!O26+Historical_Cost!L13)</f>
        <v>0</v>
      </c>
      <c r="AE30" s="48">
        <f>AE29-(Capex_Fcast_Direct!P26+Historical_Cost!M13)</f>
        <v>0</v>
      </c>
      <c r="AF30" s="48">
        <f>AF29-(Capex_Fcast_Direct!Q26+Historical_Cost!N13)</f>
        <v>0</v>
      </c>
      <c r="AG30" s="48">
        <f>AG29-(Capex_Fcast_Direct!R26+Historical_Cost!O13)</f>
        <v>0</v>
      </c>
      <c r="AH30" s="47">
        <f>AH29-((Capex_Fcast_Direct!AM26)*AH$16+AH27)</f>
        <v>0</v>
      </c>
      <c r="AI30" s="47">
        <f>AI29-((Capex_Fcast_Direct!AN26)+AI27)</f>
        <v>0</v>
      </c>
      <c r="AJ30" s="47">
        <f>AJ29-((Capex_Fcast_Direct!AO26)+AJ27)</f>
        <v>0</v>
      </c>
      <c r="AK30" s="47">
        <f>AK29-((Capex_Fcast_Direct!AP26)+AK27)</f>
        <v>0</v>
      </c>
      <c r="AL30" s="47">
        <f>AL29-((Capex_Fcast_Direct!AQ26)+AL27)</f>
        <v>0</v>
      </c>
      <c r="AM30" s="47">
        <f>AM29-((Capex_Fcast_Direct!AR26)+AM27)</f>
        <v>0</v>
      </c>
      <c r="AN30" s="48">
        <f>AN29-(SUM(Capex_Fcast_Direct!AN26:AR26)+AN27)</f>
        <v>0</v>
      </c>
    </row>
    <row r="31" spans="2:52" x14ac:dyDescent="0.3">
      <c r="B31" s="313" t="s">
        <v>325</v>
      </c>
      <c r="C31" s="477">
        <f>Capex_Fcast_Direct!AH27</f>
        <v>0</v>
      </c>
      <c r="D31" s="477">
        <f>Capex_Fcast_Direct!AI27</f>
        <v>0</v>
      </c>
      <c r="E31" s="477">
        <f>Capex_Fcast_Direct!AJ27</f>
        <v>0</v>
      </c>
      <c r="F31" s="477">
        <f>Capex_Fcast_Direct!AK27*F16</f>
        <v>0</v>
      </c>
      <c r="G31" s="477">
        <f>Capex_Fcast_Direct!AL27*G16</f>
        <v>0</v>
      </c>
      <c r="H31" s="477">
        <f>Capex_Fcast_Direct!AM27*H16</f>
        <v>0</v>
      </c>
      <c r="I31" s="477">
        <f>Capex_Fcast_Direct!AN27</f>
        <v>0</v>
      </c>
      <c r="J31" s="477">
        <f>Capex_Fcast_Direct!AO27</f>
        <v>0</v>
      </c>
      <c r="K31" s="477">
        <f>Capex_Fcast_Direct!AP27</f>
        <v>0</v>
      </c>
      <c r="L31" s="477">
        <f>Capex_Fcast_Direct!AQ27</f>
        <v>0</v>
      </c>
      <c r="M31" s="477">
        <f>Capex_Fcast_Direct!AR27</f>
        <v>0</v>
      </c>
      <c r="P31" s="58"/>
      <c r="Q31" s="58"/>
      <c r="R31" s="58"/>
      <c r="S31" s="58"/>
      <c r="T31" s="58"/>
      <c r="U31" s="58"/>
      <c r="V31" s="58"/>
      <c r="W31" s="58"/>
      <c r="X31" s="58"/>
      <c r="Y31" s="58"/>
      <c r="Z31" s="58"/>
      <c r="AA31" s="4"/>
      <c r="AB31" s="49"/>
      <c r="AC31" s="48"/>
      <c r="AD31" s="48"/>
      <c r="AE31" s="48"/>
      <c r="AF31" s="48"/>
      <c r="AG31" s="47"/>
      <c r="AH31" s="47"/>
      <c r="AI31" s="47"/>
      <c r="AJ31" s="47"/>
      <c r="AK31" s="47"/>
      <c r="AL31" s="47"/>
      <c r="AM31" s="47"/>
      <c r="AN31" s="48"/>
    </row>
    <row r="32" spans="2:52" ht="15.3" thickBot="1" x14ac:dyDescent="0.35">
      <c r="P32" s="58"/>
      <c r="Q32" s="58"/>
      <c r="R32" s="58"/>
      <c r="S32" s="58"/>
      <c r="T32" s="58"/>
      <c r="U32" s="58"/>
      <c r="V32" s="58"/>
      <c r="W32" s="58"/>
      <c r="X32" s="58"/>
      <c r="Y32" s="58"/>
      <c r="Z32" s="58"/>
      <c r="AA32" s="4"/>
      <c r="AB32" s="49"/>
      <c r="AC32" s="4"/>
      <c r="AD32" s="4"/>
      <c r="AE32" s="4"/>
      <c r="AF32" s="4"/>
      <c r="AG32" s="4"/>
      <c r="AH32" s="4"/>
      <c r="AI32" s="4"/>
      <c r="AJ32" s="4"/>
      <c r="AK32" s="4"/>
      <c r="AL32" s="4"/>
      <c r="AM32" s="4"/>
    </row>
    <row r="33" spans="2:41" ht="15.3" thickBot="1" x14ac:dyDescent="0.35">
      <c r="B33" s="300" t="s">
        <v>334</v>
      </c>
      <c r="G33" s="459"/>
      <c r="H33" s="459"/>
      <c r="I33" s="459"/>
      <c r="J33" s="459"/>
      <c r="K33" s="459"/>
      <c r="L33" s="459"/>
      <c r="M33" s="459"/>
      <c r="N33" s="459"/>
      <c r="O33" t="s">
        <v>115</v>
      </c>
      <c r="P33" s="58"/>
      <c r="Q33" s="58"/>
      <c r="R33" s="58"/>
      <c r="S33" s="58"/>
      <c r="T33" s="58"/>
      <c r="U33" s="58"/>
      <c r="V33" s="58"/>
      <c r="W33" s="58"/>
      <c r="X33" s="58"/>
      <c r="Y33" s="58"/>
      <c r="Z33" s="58"/>
      <c r="AA33" s="4"/>
      <c r="AB33" s="49"/>
      <c r="AC33" s="4"/>
      <c r="AD33" s="4"/>
      <c r="AE33" s="4"/>
      <c r="AF33" s="4"/>
      <c r="AG33" s="4"/>
      <c r="AH33" s="4"/>
      <c r="AI33" s="4"/>
      <c r="AJ33" s="4"/>
      <c r="AK33" s="4"/>
      <c r="AL33" s="4"/>
      <c r="AM33" s="4"/>
    </row>
    <row r="34" spans="2:41" ht="15.3" thickBot="1" x14ac:dyDescent="0.35">
      <c r="B34" s="300" t="s">
        <v>333</v>
      </c>
      <c r="C34" s="48"/>
      <c r="D34" s="48"/>
      <c r="E34" s="48"/>
      <c r="G34" s="459"/>
      <c r="H34" s="459"/>
      <c r="O34" t="s">
        <v>115</v>
      </c>
      <c r="V34" s="60"/>
      <c r="Y34" s="4"/>
      <c r="Z34" s="4"/>
      <c r="AA34" s="4"/>
      <c r="AB34" s="49"/>
      <c r="AC34" s="4"/>
      <c r="AD34" s="4"/>
      <c r="AE34" s="4"/>
      <c r="AF34" s="4"/>
      <c r="AG34" s="4"/>
      <c r="AH34" s="4"/>
      <c r="AI34" s="4"/>
      <c r="AJ34" s="4"/>
      <c r="AK34" s="4"/>
      <c r="AL34" s="4"/>
      <c r="AM34" s="4"/>
    </row>
    <row r="35" spans="2:41" x14ac:dyDescent="0.3">
      <c r="B35" s="49"/>
      <c r="C35" s="395" t="s">
        <v>95</v>
      </c>
      <c r="D35" s="396"/>
      <c r="E35" s="396"/>
      <c r="F35" s="396"/>
      <c r="G35" s="396"/>
      <c r="H35" s="397"/>
      <c r="I35" s="428" t="s">
        <v>232</v>
      </c>
      <c r="J35" s="429"/>
      <c r="K35" s="429"/>
      <c r="L35" s="429"/>
      <c r="M35" s="429"/>
      <c r="N35" s="430"/>
      <c r="P35" s="395" t="s">
        <v>95</v>
      </c>
      <c r="Q35" s="396"/>
      <c r="R35" s="396"/>
      <c r="S35" s="396"/>
      <c r="T35" s="396"/>
      <c r="U35" s="397"/>
      <c r="V35" s="425" t="s">
        <v>232</v>
      </c>
      <c r="W35" s="426"/>
      <c r="X35" s="426"/>
      <c r="Y35" s="426"/>
      <c r="Z35" s="427"/>
      <c r="AB35" s="49"/>
      <c r="AC35" s="395" t="s">
        <v>95</v>
      </c>
      <c r="AD35" s="396"/>
      <c r="AE35" s="396"/>
      <c r="AF35" s="396"/>
      <c r="AG35" s="396"/>
      <c r="AH35" s="397"/>
      <c r="AI35" s="425" t="s">
        <v>232</v>
      </c>
      <c r="AJ35" s="426"/>
      <c r="AK35" s="426"/>
      <c r="AL35" s="426"/>
      <c r="AM35" s="427"/>
      <c r="AN35" s="149" t="s">
        <v>222</v>
      </c>
    </row>
    <row r="36" spans="2:41" x14ac:dyDescent="0.3">
      <c r="B36" s="1" t="s">
        <v>331</v>
      </c>
      <c r="C36" s="217" t="str">
        <f>Allocations!G$53</f>
        <v>2020-21</v>
      </c>
      <c r="D36" s="109" t="str">
        <f>Allocations!H$53</f>
        <v>2021-22</v>
      </c>
      <c r="E36" s="140" t="str">
        <f>Allocations!I$53</f>
        <v>2022-23</v>
      </c>
      <c r="F36" s="140" t="str">
        <f>Allocations!J$53</f>
        <v>2023-24</v>
      </c>
      <c r="G36" s="140" t="str">
        <f>Allocations!K$53</f>
        <v>2024-25</v>
      </c>
      <c r="H36" s="29" t="str">
        <f>Allocations!L$53</f>
        <v>2025-26</v>
      </c>
      <c r="I36" s="217" t="str">
        <f>Allocations!M$53</f>
        <v>2026-27</v>
      </c>
      <c r="J36" s="140" t="str">
        <f>Allocations!N$53</f>
        <v>2027–28</v>
      </c>
      <c r="K36" s="140" t="str">
        <f>Allocations!O$53</f>
        <v>2028–29</v>
      </c>
      <c r="L36" s="140" t="str">
        <f>Allocations!P$53</f>
        <v>2029–30</v>
      </c>
      <c r="M36" s="168" t="str">
        <f>Allocations!Q$53</f>
        <v>2030–31</v>
      </c>
      <c r="N36" s="29" t="s">
        <v>2</v>
      </c>
      <c r="P36" s="61" t="str">
        <f t="shared" ref="P36" si="15">C36</f>
        <v>2020-21</v>
      </c>
      <c r="Q36" s="143" t="str">
        <f t="shared" ref="Q36" si="16">D36</f>
        <v>2021-22</v>
      </c>
      <c r="R36" s="3" t="str">
        <f t="shared" ref="R36" si="17">E36</f>
        <v>2022-23</v>
      </c>
      <c r="S36" s="3" t="str">
        <f t="shared" ref="S36" si="18">F36</f>
        <v>2023-24</v>
      </c>
      <c r="T36" s="3" t="str">
        <f t="shared" ref="T36" si="19">G36</f>
        <v>2024-25</v>
      </c>
      <c r="U36" s="3" t="str">
        <f t="shared" ref="U36" si="20">H36</f>
        <v>2025-26</v>
      </c>
      <c r="V36" s="61" t="str">
        <f t="shared" ref="V36" si="21">I36</f>
        <v>2026-27</v>
      </c>
      <c r="W36" s="3" t="str">
        <f t="shared" ref="W36" si="22">J36</f>
        <v>2027–28</v>
      </c>
      <c r="X36" s="3" t="str">
        <f t="shared" ref="X36" si="23">K36</f>
        <v>2028–29</v>
      </c>
      <c r="Y36" s="3" t="str">
        <f t="shared" ref="Y36" si="24">L36</f>
        <v>2029–30</v>
      </c>
      <c r="Z36" s="86" t="str">
        <f t="shared" ref="Z36" si="25">M36</f>
        <v>2030–31</v>
      </c>
      <c r="AB36" s="1" t="s">
        <v>331</v>
      </c>
      <c r="AC36" s="61" t="str">
        <f t="shared" ref="AC36" si="26">C36</f>
        <v>2020-21</v>
      </c>
      <c r="AD36" s="143" t="str">
        <f t="shared" ref="AD36" si="27">D36</f>
        <v>2021-22</v>
      </c>
      <c r="AE36" s="3" t="str">
        <f t="shared" ref="AE36" si="28">E36</f>
        <v>2022-23</v>
      </c>
      <c r="AF36" s="3" t="str">
        <f t="shared" ref="AF36" si="29">F36</f>
        <v>2023-24</v>
      </c>
      <c r="AG36" s="144" t="str">
        <f t="shared" ref="AG36" si="30">G36</f>
        <v>2024-25</v>
      </c>
      <c r="AH36" s="3" t="str">
        <f t="shared" ref="AH36" si="31">H36</f>
        <v>2025-26</v>
      </c>
      <c r="AI36" s="61" t="str">
        <f t="shared" ref="AI36" si="32">I36</f>
        <v>2026-27</v>
      </c>
      <c r="AJ36" s="3" t="str">
        <f t="shared" ref="AJ36" si="33">J36</f>
        <v>2027–28</v>
      </c>
      <c r="AK36" s="3" t="str">
        <f t="shared" ref="AK36" si="34">K36</f>
        <v>2028–29</v>
      </c>
      <c r="AL36" s="3" t="str">
        <f t="shared" ref="AL36" si="35">L36</f>
        <v>2029–30</v>
      </c>
      <c r="AM36" s="86" t="str">
        <f t="shared" ref="AM36" si="36">M36</f>
        <v>2030–31</v>
      </c>
      <c r="AN36" s="100" t="s">
        <v>2</v>
      </c>
    </row>
    <row r="37" spans="2:41" x14ac:dyDescent="0.3">
      <c r="B37" t="s">
        <v>82</v>
      </c>
      <c r="C37" s="458"/>
      <c r="D37" s="447"/>
      <c r="E37" s="448"/>
      <c r="F37" s="448"/>
      <c r="G37" s="448"/>
      <c r="H37" s="450"/>
      <c r="I37" s="447"/>
      <c r="J37" s="448"/>
      <c r="K37" s="448"/>
      <c r="L37" s="448"/>
      <c r="M37" s="448"/>
      <c r="N37" s="450"/>
      <c r="O37" t="s">
        <v>115</v>
      </c>
      <c r="P37" s="110" t="s">
        <v>237</v>
      </c>
      <c r="Q37" s="110" t="s">
        <v>237</v>
      </c>
      <c r="R37" s="115" t="s">
        <v>237</v>
      </c>
      <c r="S37" s="115" t="s">
        <v>237</v>
      </c>
      <c r="T37" s="115" t="s">
        <v>237</v>
      </c>
      <c r="U37" s="115" t="s">
        <v>237</v>
      </c>
      <c r="V37" s="110" t="s">
        <v>237</v>
      </c>
      <c r="W37" s="115" t="s">
        <v>237</v>
      </c>
      <c r="X37" s="115" t="s">
        <v>237</v>
      </c>
      <c r="Y37" s="115" t="s">
        <v>237</v>
      </c>
      <c r="Z37" s="293" t="s">
        <v>237</v>
      </c>
      <c r="AA37" s="4"/>
      <c r="AB37" t="s">
        <v>82</v>
      </c>
      <c r="AC37" s="447"/>
      <c r="AD37" s="447"/>
      <c r="AE37" s="448"/>
      <c r="AF37" s="448"/>
      <c r="AG37" s="448"/>
      <c r="AH37" s="448"/>
      <c r="AI37" s="447"/>
      <c r="AJ37" s="448"/>
      <c r="AK37" s="448"/>
      <c r="AL37" s="448"/>
      <c r="AM37" s="449"/>
      <c r="AN37" s="450"/>
      <c r="AO37" t="s">
        <v>115</v>
      </c>
    </row>
    <row r="38" spans="2:41" x14ac:dyDescent="0.3">
      <c r="B38" t="s">
        <v>83</v>
      </c>
      <c r="C38" s="450"/>
      <c r="D38" s="447"/>
      <c r="E38" s="448"/>
      <c r="F38" s="448"/>
      <c r="G38" s="448"/>
      <c r="H38" s="450"/>
      <c r="I38" s="447"/>
      <c r="J38" s="448"/>
      <c r="K38" s="448"/>
      <c r="L38" s="448"/>
      <c r="M38" s="448"/>
      <c r="N38" s="450"/>
      <c r="O38" t="s">
        <v>115</v>
      </c>
      <c r="P38" s="62" t="s">
        <v>237</v>
      </c>
      <c r="Q38" s="62" t="s">
        <v>237</v>
      </c>
      <c r="R38" t="s">
        <v>237</v>
      </c>
      <c r="S38" t="s">
        <v>237</v>
      </c>
      <c r="T38" t="s">
        <v>237</v>
      </c>
      <c r="U38" t="s">
        <v>237</v>
      </c>
      <c r="V38" s="62" t="s">
        <v>237</v>
      </c>
      <c r="W38" t="s">
        <v>237</v>
      </c>
      <c r="X38" t="s">
        <v>237</v>
      </c>
      <c r="Y38" t="s">
        <v>237</v>
      </c>
      <c r="Z38" s="267" t="s">
        <v>237</v>
      </c>
      <c r="AA38" s="4"/>
      <c r="AB38" t="s">
        <v>83</v>
      </c>
      <c r="AC38" s="447"/>
      <c r="AD38" s="447"/>
      <c r="AE38" s="448"/>
      <c r="AF38" s="448"/>
      <c r="AG38" s="448"/>
      <c r="AH38" s="448"/>
      <c r="AI38" s="447"/>
      <c r="AJ38" s="448"/>
      <c r="AK38" s="448"/>
      <c r="AL38" s="448"/>
      <c r="AM38" s="449"/>
      <c r="AN38" s="450"/>
      <c r="AO38" t="s">
        <v>115</v>
      </c>
    </row>
    <row r="39" spans="2:41" x14ac:dyDescent="0.3">
      <c r="B39" t="s">
        <v>84</v>
      </c>
      <c r="C39" s="450"/>
      <c r="D39" s="447"/>
      <c r="E39" s="448"/>
      <c r="F39" s="448"/>
      <c r="G39" s="448"/>
      <c r="H39" s="450"/>
      <c r="I39" s="447"/>
      <c r="J39" s="448"/>
      <c r="K39" s="448"/>
      <c r="L39" s="448"/>
      <c r="M39" s="448"/>
      <c r="N39" s="450"/>
      <c r="O39" t="s">
        <v>115</v>
      </c>
      <c r="P39" s="62" t="s">
        <v>237</v>
      </c>
      <c r="Q39" s="62" t="s">
        <v>237</v>
      </c>
      <c r="R39" t="s">
        <v>237</v>
      </c>
      <c r="S39" t="s">
        <v>237</v>
      </c>
      <c r="T39" t="s">
        <v>237</v>
      </c>
      <c r="U39" t="s">
        <v>237</v>
      </c>
      <c r="V39" s="62" t="s">
        <v>237</v>
      </c>
      <c r="W39" t="s">
        <v>237</v>
      </c>
      <c r="X39" t="s">
        <v>237</v>
      </c>
      <c r="Y39" t="s">
        <v>237</v>
      </c>
      <c r="Z39" s="267" t="s">
        <v>237</v>
      </c>
      <c r="AA39" s="4"/>
      <c r="AB39" t="s">
        <v>84</v>
      </c>
      <c r="AC39" s="447"/>
      <c r="AD39" s="447"/>
      <c r="AE39" s="448"/>
      <c r="AF39" s="448"/>
      <c r="AG39" s="448"/>
      <c r="AH39" s="448"/>
      <c r="AI39" s="447"/>
      <c r="AJ39" s="448"/>
      <c r="AK39" s="448"/>
      <c r="AL39" s="448"/>
      <c r="AM39" s="449"/>
      <c r="AN39" s="450"/>
      <c r="AO39" t="s">
        <v>115</v>
      </c>
    </row>
    <row r="40" spans="2:41" x14ac:dyDescent="0.3">
      <c r="B40" s="381" t="s">
        <v>393</v>
      </c>
      <c r="C40" s="450"/>
      <c r="D40" s="447"/>
      <c r="E40" s="448"/>
      <c r="F40" s="448"/>
      <c r="G40" s="448"/>
      <c r="H40" s="450"/>
      <c r="I40" s="447"/>
      <c r="J40" s="448"/>
      <c r="K40" s="448"/>
      <c r="L40" s="448"/>
      <c r="M40" s="448"/>
      <c r="N40" s="450"/>
      <c r="O40" t="s">
        <v>115</v>
      </c>
      <c r="P40" s="62" t="s">
        <v>237</v>
      </c>
      <c r="Q40" s="62" t="s">
        <v>237</v>
      </c>
      <c r="R40" t="s">
        <v>237</v>
      </c>
      <c r="S40" t="s">
        <v>237</v>
      </c>
      <c r="T40" t="s">
        <v>237</v>
      </c>
      <c r="U40" t="s">
        <v>237</v>
      </c>
      <c r="V40" s="62" t="s">
        <v>237</v>
      </c>
      <c r="W40" t="s">
        <v>237</v>
      </c>
      <c r="X40" t="s">
        <v>237</v>
      </c>
      <c r="Y40" t="s">
        <v>237</v>
      </c>
      <c r="Z40" s="267" t="s">
        <v>237</v>
      </c>
      <c r="AA40" s="4"/>
      <c r="AB40" s="381" t="s">
        <v>393</v>
      </c>
      <c r="AC40" s="447"/>
      <c r="AD40" s="447"/>
      <c r="AE40" s="448"/>
      <c r="AF40" s="448"/>
      <c r="AG40" s="448"/>
      <c r="AH40" s="448"/>
      <c r="AI40" s="447"/>
      <c r="AJ40" s="448"/>
      <c r="AK40" s="448"/>
      <c r="AL40" s="448"/>
      <c r="AM40" s="449"/>
      <c r="AN40" s="450"/>
      <c r="AO40" t="s">
        <v>115</v>
      </c>
    </row>
    <row r="41" spans="2:41" x14ac:dyDescent="0.3">
      <c r="B41" t="s">
        <v>85</v>
      </c>
      <c r="C41" s="450"/>
      <c r="D41" s="447"/>
      <c r="E41" s="448"/>
      <c r="F41" s="448"/>
      <c r="G41" s="448"/>
      <c r="H41" s="450"/>
      <c r="I41" s="447"/>
      <c r="J41" s="448"/>
      <c r="K41" s="448"/>
      <c r="L41" s="448"/>
      <c r="M41" s="448"/>
      <c r="N41" s="450"/>
      <c r="O41" t="s">
        <v>115</v>
      </c>
      <c r="P41" s="62" t="s">
        <v>237</v>
      </c>
      <c r="Q41" s="62" t="s">
        <v>237</v>
      </c>
      <c r="R41" t="s">
        <v>237</v>
      </c>
      <c r="S41" t="s">
        <v>237</v>
      </c>
      <c r="T41" t="s">
        <v>237</v>
      </c>
      <c r="U41" t="s">
        <v>237</v>
      </c>
      <c r="V41" s="62" t="s">
        <v>237</v>
      </c>
      <c r="W41" t="s">
        <v>237</v>
      </c>
      <c r="X41" t="s">
        <v>237</v>
      </c>
      <c r="Y41" t="s">
        <v>237</v>
      </c>
      <c r="Z41" s="267" t="s">
        <v>237</v>
      </c>
      <c r="AA41" s="4"/>
      <c r="AB41" t="s">
        <v>85</v>
      </c>
      <c r="AC41" s="447"/>
      <c r="AD41" s="447"/>
      <c r="AE41" s="448"/>
      <c r="AF41" s="448"/>
      <c r="AG41" s="448"/>
      <c r="AH41" s="448"/>
      <c r="AI41" s="447"/>
      <c r="AJ41" s="448"/>
      <c r="AK41" s="448"/>
      <c r="AL41" s="448"/>
      <c r="AM41" s="449"/>
      <c r="AN41" s="450"/>
      <c r="AO41" t="s">
        <v>115</v>
      </c>
    </row>
    <row r="42" spans="2:41" x14ac:dyDescent="0.3">
      <c r="B42" t="s">
        <v>77</v>
      </c>
      <c r="C42" s="450"/>
      <c r="D42" s="447"/>
      <c r="E42" s="448"/>
      <c r="F42" s="448"/>
      <c r="G42" s="448"/>
      <c r="H42" s="450"/>
      <c r="I42" s="447"/>
      <c r="J42" s="448"/>
      <c r="K42" s="448"/>
      <c r="L42" s="448"/>
      <c r="M42" s="448"/>
      <c r="N42" s="450"/>
      <c r="O42" t="s">
        <v>115</v>
      </c>
      <c r="P42" s="62" t="s">
        <v>237</v>
      </c>
      <c r="Q42" s="62" t="s">
        <v>237</v>
      </c>
      <c r="R42" t="s">
        <v>237</v>
      </c>
      <c r="S42" t="s">
        <v>237</v>
      </c>
      <c r="T42" t="s">
        <v>237</v>
      </c>
      <c r="U42" t="s">
        <v>237</v>
      </c>
      <c r="V42" s="62" t="s">
        <v>237</v>
      </c>
      <c r="W42" t="s">
        <v>237</v>
      </c>
      <c r="X42" t="s">
        <v>237</v>
      </c>
      <c r="Y42" t="s">
        <v>237</v>
      </c>
      <c r="Z42" s="267" t="s">
        <v>237</v>
      </c>
      <c r="AA42" s="4"/>
      <c r="AB42" t="s">
        <v>77</v>
      </c>
      <c r="AC42" s="447"/>
      <c r="AD42" s="447"/>
      <c r="AE42" s="448"/>
      <c r="AF42" s="448"/>
      <c r="AG42" s="448"/>
      <c r="AH42" s="448"/>
      <c r="AI42" s="447"/>
      <c r="AJ42" s="448"/>
      <c r="AK42" s="448"/>
      <c r="AL42" s="448"/>
      <c r="AM42" s="449"/>
      <c r="AN42" s="450"/>
      <c r="AO42" t="s">
        <v>115</v>
      </c>
    </row>
    <row r="43" spans="2:41" x14ac:dyDescent="0.3">
      <c r="B43" t="s">
        <v>268</v>
      </c>
      <c r="C43" s="450"/>
      <c r="D43" s="447"/>
      <c r="E43" s="448"/>
      <c r="F43" s="448"/>
      <c r="G43" s="448"/>
      <c r="H43" s="450"/>
      <c r="I43" s="447"/>
      <c r="J43" s="448"/>
      <c r="K43" s="448"/>
      <c r="L43" s="448"/>
      <c r="M43" s="448"/>
      <c r="N43" s="450"/>
      <c r="O43" t="s">
        <v>115</v>
      </c>
      <c r="P43" s="62" t="s">
        <v>237</v>
      </c>
      <c r="Q43" s="62" t="s">
        <v>237</v>
      </c>
      <c r="R43" t="s">
        <v>237</v>
      </c>
      <c r="S43" t="s">
        <v>237</v>
      </c>
      <c r="T43" t="s">
        <v>237</v>
      </c>
      <c r="U43" t="s">
        <v>237</v>
      </c>
      <c r="V43" s="62" t="s">
        <v>237</v>
      </c>
      <c r="W43" t="s">
        <v>237</v>
      </c>
      <c r="X43" t="s">
        <v>237</v>
      </c>
      <c r="Y43" t="s">
        <v>237</v>
      </c>
      <c r="Z43" s="267" t="s">
        <v>237</v>
      </c>
      <c r="AA43" s="4"/>
      <c r="AB43" t="s">
        <v>268</v>
      </c>
      <c r="AC43" s="447"/>
      <c r="AD43" s="447"/>
      <c r="AE43" s="448"/>
      <c r="AF43" s="448"/>
      <c r="AG43" s="448"/>
      <c r="AH43" s="448"/>
      <c r="AI43" s="447"/>
      <c r="AJ43" s="448"/>
      <c r="AK43" s="448"/>
      <c r="AL43" s="448"/>
      <c r="AM43" s="449"/>
      <c r="AN43" s="450"/>
      <c r="AO43" t="s">
        <v>115</v>
      </c>
    </row>
    <row r="44" spans="2:41" x14ac:dyDescent="0.3">
      <c r="B44" t="s">
        <v>86</v>
      </c>
      <c r="C44" s="450"/>
      <c r="D44" s="447"/>
      <c r="E44" s="448"/>
      <c r="F44" s="448"/>
      <c r="G44" s="448"/>
      <c r="H44" s="450"/>
      <c r="I44" s="447"/>
      <c r="J44" s="448"/>
      <c r="K44" s="448"/>
      <c r="L44" s="448"/>
      <c r="M44" s="448"/>
      <c r="N44" s="450"/>
      <c r="O44" t="s">
        <v>115</v>
      </c>
      <c r="P44" s="62" t="s">
        <v>237</v>
      </c>
      <c r="Q44" s="62" t="s">
        <v>237</v>
      </c>
      <c r="R44" t="s">
        <v>237</v>
      </c>
      <c r="S44" t="s">
        <v>237</v>
      </c>
      <c r="T44" t="s">
        <v>237</v>
      </c>
      <c r="U44" t="s">
        <v>237</v>
      </c>
      <c r="V44" s="62" t="s">
        <v>237</v>
      </c>
      <c r="W44" t="s">
        <v>237</v>
      </c>
      <c r="X44" t="s">
        <v>237</v>
      </c>
      <c r="Y44" t="s">
        <v>237</v>
      </c>
      <c r="Z44" s="267" t="s">
        <v>237</v>
      </c>
      <c r="AA44" s="4"/>
      <c r="AB44" t="s">
        <v>86</v>
      </c>
      <c r="AC44" s="447"/>
      <c r="AD44" s="447"/>
      <c r="AE44" s="448"/>
      <c r="AF44" s="448"/>
      <c r="AG44" s="448"/>
      <c r="AH44" s="448"/>
      <c r="AI44" s="447"/>
      <c r="AJ44" s="448"/>
      <c r="AK44" s="448"/>
      <c r="AL44" s="448"/>
      <c r="AM44" s="449"/>
      <c r="AN44" s="450"/>
      <c r="AO44" t="s">
        <v>115</v>
      </c>
    </row>
    <row r="45" spans="2:41" x14ac:dyDescent="0.3">
      <c r="B45" t="s">
        <v>207</v>
      </c>
      <c r="C45" s="450"/>
      <c r="D45" s="447"/>
      <c r="E45" s="448"/>
      <c r="F45" s="448"/>
      <c r="G45" s="448"/>
      <c r="H45" s="450"/>
      <c r="I45" s="447"/>
      <c r="J45" s="448"/>
      <c r="K45" s="448"/>
      <c r="L45" s="448"/>
      <c r="M45" s="448"/>
      <c r="N45" s="450"/>
      <c r="O45" t="s">
        <v>115</v>
      </c>
      <c r="P45" s="62" t="s">
        <v>237</v>
      </c>
      <c r="Q45" s="62" t="s">
        <v>237</v>
      </c>
      <c r="R45" t="s">
        <v>237</v>
      </c>
      <c r="S45" t="s">
        <v>237</v>
      </c>
      <c r="T45" t="s">
        <v>237</v>
      </c>
      <c r="U45" t="s">
        <v>237</v>
      </c>
      <c r="V45" s="154" t="s">
        <v>237</v>
      </c>
      <c r="W45" t="s">
        <v>237</v>
      </c>
      <c r="X45" t="s">
        <v>237</v>
      </c>
      <c r="Y45" t="s">
        <v>237</v>
      </c>
      <c r="Z45" s="267" t="s">
        <v>237</v>
      </c>
      <c r="AA45" s="4"/>
      <c r="AB45" t="s">
        <v>207</v>
      </c>
      <c r="AC45" s="447"/>
      <c r="AD45" s="447"/>
      <c r="AE45" s="448"/>
      <c r="AF45" s="448"/>
      <c r="AG45" s="448"/>
      <c r="AH45" s="448"/>
      <c r="AI45" s="447"/>
      <c r="AJ45" s="448"/>
      <c r="AK45" s="448"/>
      <c r="AL45" s="448"/>
      <c r="AM45" s="449"/>
      <c r="AN45" s="450"/>
      <c r="AO45" t="s">
        <v>115</v>
      </c>
    </row>
    <row r="46" spans="2:41" x14ac:dyDescent="0.3">
      <c r="B46" s="1" t="s">
        <v>332</v>
      </c>
      <c r="C46" s="454"/>
      <c r="D46" s="451"/>
      <c r="E46" s="452"/>
      <c r="F46" s="452"/>
      <c r="G46" s="452"/>
      <c r="H46" s="454"/>
      <c r="I46" s="451"/>
      <c r="J46" s="452"/>
      <c r="K46" s="452"/>
      <c r="L46" s="452"/>
      <c r="M46" s="452"/>
      <c r="N46" s="454"/>
      <c r="P46" s="219">
        <f>SUM(P37:P45)</f>
        <v>0</v>
      </c>
      <c r="Q46" s="219">
        <f t="shared" ref="Q46:Z46" si="37">SUM(Q37:Q45)</f>
        <v>0</v>
      </c>
      <c r="R46" s="218">
        <f t="shared" si="37"/>
        <v>0</v>
      </c>
      <c r="S46" s="218">
        <f t="shared" si="37"/>
        <v>0</v>
      </c>
      <c r="T46" s="218">
        <f t="shared" si="37"/>
        <v>0</v>
      </c>
      <c r="U46" s="218">
        <f t="shared" si="37"/>
        <v>0</v>
      </c>
      <c r="V46" s="219">
        <f t="shared" si="37"/>
        <v>0</v>
      </c>
      <c r="W46" s="218">
        <f t="shared" si="37"/>
        <v>0</v>
      </c>
      <c r="X46" s="218">
        <f t="shared" si="37"/>
        <v>0</v>
      </c>
      <c r="Y46" s="218">
        <f t="shared" si="37"/>
        <v>0</v>
      </c>
      <c r="Z46" s="294">
        <f t="shared" si="37"/>
        <v>0</v>
      </c>
      <c r="AA46" s="4"/>
      <c r="AB46" s="1" t="s">
        <v>332</v>
      </c>
      <c r="AC46" s="451"/>
      <c r="AD46" s="451"/>
      <c r="AE46" s="452"/>
      <c r="AF46" s="452"/>
      <c r="AG46" s="452"/>
      <c r="AH46" s="452"/>
      <c r="AI46" s="451"/>
      <c r="AJ46" s="452"/>
      <c r="AK46" s="452"/>
      <c r="AL46" s="452"/>
      <c r="AM46" s="453"/>
      <c r="AN46" s="454"/>
      <c r="AO46" t="s">
        <v>115</v>
      </c>
    </row>
    <row r="47" spans="2:41" x14ac:dyDescent="0.3">
      <c r="B47" s="49" t="s">
        <v>60</v>
      </c>
      <c r="C47" s="47">
        <f>C46-Historical_Cost!K27</f>
        <v>0</v>
      </c>
      <c r="D47" s="47">
        <f>D46-Historical_Cost!L27</f>
        <v>0</v>
      </c>
      <c r="E47" s="47">
        <f>E46-Historical_Cost!M27</f>
        <v>0</v>
      </c>
      <c r="F47" s="47">
        <f>F46-Historical_Cost!N27</f>
        <v>0</v>
      </c>
      <c r="G47" s="47">
        <f>G46-Historical_Cost!O27</f>
        <v>0</v>
      </c>
      <c r="H47" s="71">
        <f>H46-H34</f>
        <v>0</v>
      </c>
      <c r="I47" s="237">
        <v>0</v>
      </c>
      <c r="J47" s="237">
        <v>0</v>
      </c>
      <c r="K47" s="237">
        <v>0</v>
      </c>
      <c r="L47" s="237">
        <v>0</v>
      </c>
      <c r="M47" s="237">
        <v>0</v>
      </c>
      <c r="N47" s="71"/>
      <c r="Y47" s="4"/>
      <c r="Z47" s="4"/>
      <c r="AA47" s="4"/>
      <c r="AB47" s="4"/>
      <c r="AC47" s="58">
        <f t="shared" ref="AC47:AM47" si="38">AC46-C46</f>
        <v>0</v>
      </c>
      <c r="AD47" s="58">
        <f t="shared" si="38"/>
        <v>0</v>
      </c>
      <c r="AE47" s="58">
        <f t="shared" si="38"/>
        <v>0</v>
      </c>
      <c r="AF47" s="58">
        <f t="shared" si="38"/>
        <v>0</v>
      </c>
      <c r="AG47" s="58">
        <f t="shared" si="38"/>
        <v>0</v>
      </c>
      <c r="AH47" s="58">
        <f t="shared" si="38"/>
        <v>0</v>
      </c>
      <c r="AI47" s="58">
        <f t="shared" si="38"/>
        <v>0</v>
      </c>
      <c r="AJ47" s="58">
        <f t="shared" si="38"/>
        <v>0</v>
      </c>
      <c r="AK47" s="58">
        <f t="shared" si="38"/>
        <v>0</v>
      </c>
      <c r="AL47" s="58">
        <f t="shared" si="38"/>
        <v>0</v>
      </c>
      <c r="AM47" s="58">
        <f t="shared" si="38"/>
        <v>0</v>
      </c>
      <c r="AN47" s="58">
        <f>AN46-N46</f>
        <v>0</v>
      </c>
    </row>
    <row r="48" spans="2:41" x14ac:dyDescent="0.3">
      <c r="Y48" s="4"/>
      <c r="Z48" s="4"/>
      <c r="AA48" s="4"/>
    </row>
    <row r="49" spans="2:40" x14ac:dyDescent="0.3">
      <c r="C49" s="434" t="s">
        <v>335</v>
      </c>
      <c r="D49" s="435"/>
      <c r="E49" s="435"/>
      <c r="F49" s="435"/>
      <c r="G49" s="435"/>
      <c r="H49" s="435"/>
      <c r="I49" s="435"/>
      <c r="J49" s="435"/>
      <c r="K49" s="435"/>
      <c r="L49" s="435"/>
      <c r="M49" s="436"/>
      <c r="Y49" s="4"/>
      <c r="Z49" s="4"/>
      <c r="AA49" s="4"/>
      <c r="AC49" s="431" t="s">
        <v>337</v>
      </c>
      <c r="AD49" s="432"/>
      <c r="AE49" s="432"/>
      <c r="AF49" s="432"/>
      <c r="AG49" s="432"/>
      <c r="AH49" s="432"/>
      <c r="AI49" s="432"/>
      <c r="AJ49" s="432"/>
      <c r="AK49" s="432"/>
      <c r="AL49" s="432"/>
      <c r="AM49" s="433"/>
    </row>
    <row r="50" spans="2:40" x14ac:dyDescent="0.3">
      <c r="B50" s="4"/>
      <c r="C50" s="395" t="s">
        <v>95</v>
      </c>
      <c r="D50" s="396"/>
      <c r="E50" s="396"/>
      <c r="F50" s="396"/>
      <c r="G50" s="396"/>
      <c r="H50" s="397"/>
      <c r="I50" s="425" t="s">
        <v>232</v>
      </c>
      <c r="J50" s="426"/>
      <c r="K50" s="426"/>
      <c r="L50" s="426"/>
      <c r="M50" s="427"/>
      <c r="N50" s="149" t="s">
        <v>2</v>
      </c>
      <c r="S50" s="163"/>
      <c r="T50" s="163"/>
      <c r="U50" s="163"/>
      <c r="V50" s="163"/>
      <c r="W50" s="163"/>
      <c r="X50" s="163"/>
      <c r="Y50" s="4"/>
      <c r="Z50" s="4"/>
      <c r="AA50" s="4"/>
      <c r="AB50" s="49"/>
      <c r="AC50" s="395" t="s">
        <v>95</v>
      </c>
      <c r="AD50" s="396"/>
      <c r="AE50" s="396"/>
      <c r="AF50" s="396"/>
      <c r="AG50" s="396"/>
      <c r="AH50" s="397"/>
      <c r="AI50" s="428" t="s">
        <v>232</v>
      </c>
      <c r="AJ50" s="429"/>
      <c r="AK50" s="429"/>
      <c r="AL50" s="429"/>
      <c r="AM50" s="429"/>
      <c r="AN50" s="430"/>
    </row>
    <row r="51" spans="2:40" x14ac:dyDescent="0.3">
      <c r="B51" s="1" t="s">
        <v>321</v>
      </c>
      <c r="C51" s="314" t="s">
        <v>123</v>
      </c>
      <c r="D51" s="143" t="s">
        <v>136</v>
      </c>
      <c r="E51" s="3" t="s">
        <v>135</v>
      </c>
      <c r="F51" s="3" t="s">
        <v>134</v>
      </c>
      <c r="G51" s="145" t="s">
        <v>133</v>
      </c>
      <c r="H51" s="3" t="s">
        <v>132</v>
      </c>
      <c r="I51" s="61" t="s">
        <v>196</v>
      </c>
      <c r="J51" s="3" t="s">
        <v>197</v>
      </c>
      <c r="K51" s="3" t="s">
        <v>218</v>
      </c>
      <c r="L51" s="3" t="s">
        <v>219</v>
      </c>
      <c r="M51" s="3" t="s">
        <v>220</v>
      </c>
      <c r="N51" s="87" t="s">
        <v>227</v>
      </c>
      <c r="Q51" s="58"/>
      <c r="R51" s="58"/>
      <c r="S51" s="58"/>
      <c r="T51" s="58"/>
      <c r="U51" s="58"/>
      <c r="V51" s="25"/>
      <c r="W51" s="25"/>
      <c r="X51" s="25"/>
      <c r="Y51" s="25"/>
      <c r="Z51" s="25"/>
      <c r="AA51" s="4"/>
      <c r="AB51" s="1" t="s">
        <v>321</v>
      </c>
      <c r="AC51" s="312" t="str">
        <f>Allocations!G$53</f>
        <v>2020-21</v>
      </c>
      <c r="AD51" s="109" t="str">
        <f>Allocations!H$53</f>
        <v>2021-22</v>
      </c>
      <c r="AE51" s="140" t="str">
        <f>Allocations!I$53</f>
        <v>2022-23</v>
      </c>
      <c r="AF51" s="168" t="str">
        <f>Allocations!J$53</f>
        <v>2023-24</v>
      </c>
      <c r="AG51" s="109" t="str">
        <f>Allocations!K$53</f>
        <v>2024-25</v>
      </c>
      <c r="AH51" s="168" t="str">
        <f>Allocations!L$53</f>
        <v>2025-26</v>
      </c>
      <c r="AI51" s="217" t="str">
        <f>Allocations!M$53</f>
        <v>2026-27</v>
      </c>
      <c r="AJ51" s="140" t="str">
        <f>Allocations!N$53</f>
        <v>2027–28</v>
      </c>
      <c r="AK51" s="140" t="str">
        <f>Allocations!O$53</f>
        <v>2028–29</v>
      </c>
      <c r="AL51" s="140" t="str">
        <f>Allocations!P$53</f>
        <v>2029–30</v>
      </c>
      <c r="AM51" s="168" t="str">
        <f>Allocations!Q$53</f>
        <v>2030–31</v>
      </c>
      <c r="AN51" s="29" t="s">
        <v>2</v>
      </c>
    </row>
    <row r="52" spans="2:40" x14ac:dyDescent="0.3">
      <c r="B52" t="s">
        <v>82</v>
      </c>
      <c r="C52" s="73">
        <v>12133.58901</v>
      </c>
      <c r="D52" s="63">
        <v>9895.1458199999943</v>
      </c>
      <c r="E52" s="4">
        <v>14805.308039999991</v>
      </c>
      <c r="F52" s="4">
        <v>17521.305150000004</v>
      </c>
      <c r="G52" s="84">
        <v>15794.364599999995</v>
      </c>
      <c r="H52" s="4">
        <v>20452.674170402021</v>
      </c>
      <c r="I52" s="63">
        <v>18051.999861101958</v>
      </c>
      <c r="J52" s="4">
        <v>17848.535201971685</v>
      </c>
      <c r="K52" s="4">
        <v>18128.144789980452</v>
      </c>
      <c r="L52" s="4">
        <v>18496.197632094354</v>
      </c>
      <c r="M52" s="4">
        <v>18851.671044832954</v>
      </c>
      <c r="N52" s="73">
        <f>SUM(I52:M52)</f>
        <v>91376.548529981403</v>
      </c>
      <c r="P52" s="58"/>
      <c r="Q52" s="58"/>
      <c r="R52" s="58"/>
      <c r="S52" s="58"/>
      <c r="T52" s="58"/>
      <c r="U52" s="58"/>
      <c r="V52" s="25"/>
      <c r="W52" s="25"/>
      <c r="X52" s="25"/>
      <c r="Y52" s="25"/>
      <c r="Z52" s="25"/>
      <c r="AA52" s="4"/>
      <c r="AB52" t="s">
        <v>82</v>
      </c>
      <c r="AC52" s="73">
        <v>38743.080010000005</v>
      </c>
      <c r="AD52" s="63">
        <v>34087.615819999999</v>
      </c>
      <c r="AE52" s="4">
        <v>44988.29303999999</v>
      </c>
      <c r="AF52" s="4">
        <v>55556.544150000009</v>
      </c>
      <c r="AG52" s="4">
        <v>46526.397599999997</v>
      </c>
      <c r="AH52" s="4">
        <v>55234.577543566884</v>
      </c>
      <c r="AI52" s="63">
        <v>55641.721625706639</v>
      </c>
      <c r="AJ52" s="4">
        <v>56193.563075629194</v>
      </c>
      <c r="AK52" s="4">
        <v>57230.225324107931</v>
      </c>
      <c r="AL52" s="4">
        <v>58353.473734045736</v>
      </c>
      <c r="AM52" s="4">
        <v>59463.85530741301</v>
      </c>
      <c r="AN52" s="73">
        <f t="shared" ref="AN52:AN58" si="39">SUM(AI52:AM52)</f>
        <v>286882.83906690252</v>
      </c>
    </row>
    <row r="53" spans="2:40" x14ac:dyDescent="0.3">
      <c r="B53" t="s">
        <v>83</v>
      </c>
      <c r="C53" s="73">
        <v>6056.2730499999998</v>
      </c>
      <c r="D53" s="63">
        <v>7431.0070199999991</v>
      </c>
      <c r="E53" s="4">
        <v>6855.4450699999989</v>
      </c>
      <c r="F53" s="4">
        <v>7719.7267900000006</v>
      </c>
      <c r="G53" s="84">
        <v>11480.254460000002</v>
      </c>
      <c r="H53" s="4">
        <v>7862.7364776512377</v>
      </c>
      <c r="I53" s="63">
        <v>9739.9160497916855</v>
      </c>
      <c r="J53" s="4">
        <v>9933.9070699197637</v>
      </c>
      <c r="K53" s="4">
        <v>10104.736220080717</v>
      </c>
      <c r="L53" s="4">
        <v>10324.560844811323</v>
      </c>
      <c r="M53" s="4">
        <v>10537.332267572519</v>
      </c>
      <c r="N53" s="73">
        <f t="shared" ref="N53:N60" si="40">SUM(I53:M53)</f>
        <v>50640.452452176018</v>
      </c>
      <c r="P53" s="58"/>
      <c r="Q53" s="58"/>
      <c r="R53" s="58"/>
      <c r="S53" s="58"/>
      <c r="T53" s="58"/>
      <c r="U53" s="58"/>
      <c r="V53" s="25"/>
      <c r="W53" s="25"/>
      <c r="X53" s="25"/>
      <c r="Y53" s="25"/>
      <c r="Z53" s="25"/>
      <c r="AA53" s="4"/>
      <c r="AB53" t="s">
        <v>83</v>
      </c>
      <c r="AC53" s="73">
        <v>6074.8270499999999</v>
      </c>
      <c r="AD53" s="63">
        <v>7436.8970199999994</v>
      </c>
      <c r="AE53" s="4">
        <v>6864.4850699999988</v>
      </c>
      <c r="AF53" s="4">
        <v>7719.7267900000006</v>
      </c>
      <c r="AG53" s="4">
        <v>11480.254460000002</v>
      </c>
      <c r="AH53" s="4">
        <v>7862.7364776512377</v>
      </c>
      <c r="AI53" s="63">
        <v>9739.9160497916855</v>
      </c>
      <c r="AJ53" s="4">
        <v>9933.9070699197637</v>
      </c>
      <c r="AK53" s="4">
        <v>10104.736220080717</v>
      </c>
      <c r="AL53" s="4">
        <v>10324.560844811323</v>
      </c>
      <c r="AM53" s="4">
        <v>10537.332267572519</v>
      </c>
      <c r="AN53" s="73">
        <f t="shared" si="39"/>
        <v>50640.452452176018</v>
      </c>
    </row>
    <row r="54" spans="2:40" x14ac:dyDescent="0.3">
      <c r="B54" t="s">
        <v>84</v>
      </c>
      <c r="C54" s="73">
        <v>21123.986430000001</v>
      </c>
      <c r="D54" s="63">
        <v>18107.255400000002</v>
      </c>
      <c r="E54" s="4">
        <v>30375.306650000006</v>
      </c>
      <c r="F54" s="4">
        <v>31568.056570000001</v>
      </c>
      <c r="G54" s="84">
        <v>46796.941170000013</v>
      </c>
      <c r="H54" s="4">
        <v>43297.222707218709</v>
      </c>
      <c r="I54" s="63">
        <v>40309.143094005558</v>
      </c>
      <c r="J54" s="4">
        <v>41111.984899758296</v>
      </c>
      <c r="K54" s="4">
        <v>41818.970116392928</v>
      </c>
      <c r="L54" s="4">
        <v>42728.725622349433</v>
      </c>
      <c r="M54" s="4">
        <v>43609.29108950041</v>
      </c>
      <c r="N54" s="73">
        <f t="shared" si="40"/>
        <v>209578.11482200664</v>
      </c>
      <c r="P54" s="58"/>
      <c r="Q54" s="58"/>
      <c r="R54" s="58"/>
      <c r="S54" s="58"/>
      <c r="T54" s="58"/>
      <c r="U54" s="58"/>
      <c r="V54" s="25"/>
      <c r="W54" s="25"/>
      <c r="X54" s="25"/>
      <c r="Y54" s="25"/>
      <c r="Z54" s="25"/>
      <c r="AA54" s="4"/>
      <c r="AB54" t="s">
        <v>84</v>
      </c>
      <c r="AC54" s="73">
        <v>28018.949430000001</v>
      </c>
      <c r="AD54" s="63">
        <v>20434.403400000003</v>
      </c>
      <c r="AE54" s="4">
        <v>35838.136650000008</v>
      </c>
      <c r="AF54" s="4">
        <v>36634.539570000001</v>
      </c>
      <c r="AG54" s="4">
        <v>59007.957170000009</v>
      </c>
      <c r="AH54" s="4">
        <v>51031.992108111655</v>
      </c>
      <c r="AI54" s="63">
        <v>47566.731599291044</v>
      </c>
      <c r="AJ54" s="4">
        <v>48369.573405043782</v>
      </c>
      <c r="AK54" s="4">
        <v>49076.558621678414</v>
      </c>
      <c r="AL54" s="4">
        <v>49986.31412763492</v>
      </c>
      <c r="AM54" s="4">
        <v>50866.879594785896</v>
      </c>
      <c r="AN54" s="73">
        <f t="shared" si="39"/>
        <v>245866.05734843406</v>
      </c>
    </row>
    <row r="55" spans="2:40" x14ac:dyDescent="0.3">
      <c r="B55" s="381" t="s">
        <v>393</v>
      </c>
      <c r="C55" s="73">
        <v>0</v>
      </c>
      <c r="D55" s="63">
        <v>0</v>
      </c>
      <c r="E55" s="4">
        <v>23.313149999999993</v>
      </c>
      <c r="F55" s="4">
        <v>309.84331999999989</v>
      </c>
      <c r="G55" s="84">
        <v>3723.2295800000011</v>
      </c>
      <c r="H55" s="4">
        <v>6440.4984337844371</v>
      </c>
      <c r="I55" s="63">
        <v>4109.3725016356821</v>
      </c>
      <c r="J55" s="4">
        <v>1252.7392500580534</v>
      </c>
      <c r="K55" s="4">
        <v>0</v>
      </c>
      <c r="L55" s="4">
        <v>0</v>
      </c>
      <c r="M55" s="4">
        <v>0</v>
      </c>
      <c r="N55" s="73">
        <f t="shared" ref="N55" si="41">SUM(I55:M55)</f>
        <v>5362.1117516937356</v>
      </c>
      <c r="P55" s="58"/>
      <c r="Q55" s="58"/>
      <c r="R55" s="58"/>
      <c r="S55" s="58"/>
      <c r="T55" s="58"/>
      <c r="U55" s="58"/>
      <c r="V55" s="25"/>
      <c r="W55" s="25"/>
      <c r="X55" s="25"/>
      <c r="Y55" s="25"/>
      <c r="Z55" s="25"/>
      <c r="AA55" s="4"/>
      <c r="AB55" s="381" t="s">
        <v>393</v>
      </c>
      <c r="AC55" s="73">
        <v>0</v>
      </c>
      <c r="AD55" s="63">
        <v>0</v>
      </c>
      <c r="AE55" s="4">
        <v>23.313149999999993</v>
      </c>
      <c r="AF55" s="4">
        <v>309.84331999999989</v>
      </c>
      <c r="AG55" s="4">
        <v>3814.2285800000009</v>
      </c>
      <c r="AH55" s="4">
        <v>6440.4984337844371</v>
      </c>
      <c r="AI55" s="63">
        <v>4109.3725016356821</v>
      </c>
      <c r="AJ55" s="4">
        <v>1252.7392500580534</v>
      </c>
      <c r="AK55" s="4">
        <v>0</v>
      </c>
      <c r="AL55" s="4">
        <v>0</v>
      </c>
      <c r="AM55" s="4">
        <v>0</v>
      </c>
      <c r="AN55" s="73">
        <f t="shared" ref="AN55" si="42">SUM(AI55:AM55)</f>
        <v>5362.1117516937356</v>
      </c>
    </row>
    <row r="56" spans="2:40" x14ac:dyDescent="0.3">
      <c r="B56" t="s">
        <v>85</v>
      </c>
      <c r="C56" s="73">
        <v>7691.9088399999991</v>
      </c>
      <c r="D56" s="63">
        <v>9635.1392999999989</v>
      </c>
      <c r="E56" s="4">
        <v>8527.3511099999978</v>
      </c>
      <c r="F56" s="4">
        <v>7785.4490699999997</v>
      </c>
      <c r="G56" s="84">
        <v>11111.864140000001</v>
      </c>
      <c r="H56" s="4">
        <v>12431.791290889254</v>
      </c>
      <c r="I56" s="63">
        <v>11573.833671685336</v>
      </c>
      <c r="J56" s="4">
        <v>11804.351038496825</v>
      </c>
      <c r="K56" s="4">
        <v>12007.345413410407</v>
      </c>
      <c r="L56" s="4">
        <v>12268.560564605383</v>
      </c>
      <c r="M56" s="4">
        <v>12521.394474521738</v>
      </c>
      <c r="N56" s="73">
        <f t="shared" si="40"/>
        <v>60175.485162719691</v>
      </c>
      <c r="P56" s="58"/>
      <c r="Q56" s="58"/>
      <c r="R56" s="58"/>
      <c r="S56" s="58"/>
      <c r="T56" s="58"/>
      <c r="U56" s="58"/>
      <c r="V56" s="25"/>
      <c r="W56" s="25"/>
      <c r="X56" s="25"/>
      <c r="Y56" s="25"/>
      <c r="Z56" s="25"/>
      <c r="AA56" s="4"/>
      <c r="AB56" t="s">
        <v>85</v>
      </c>
      <c r="AC56" s="73">
        <v>7798.7848399999993</v>
      </c>
      <c r="AD56" s="63">
        <v>9812.7232999999997</v>
      </c>
      <c r="AE56" s="4">
        <v>8723.9271099999987</v>
      </c>
      <c r="AF56" s="4">
        <v>7895.7670699999999</v>
      </c>
      <c r="AG56" s="4">
        <v>11395.224140000002</v>
      </c>
      <c r="AH56" s="4">
        <v>12431.791290889254</v>
      </c>
      <c r="AI56" s="63">
        <v>11573.833671685336</v>
      </c>
      <c r="AJ56" s="4">
        <v>11804.351038496825</v>
      </c>
      <c r="AK56" s="4">
        <v>12007.345413410407</v>
      </c>
      <c r="AL56" s="4">
        <v>12268.560564605383</v>
      </c>
      <c r="AM56" s="4">
        <v>12521.394474521738</v>
      </c>
      <c r="AN56" s="73">
        <f t="shared" si="39"/>
        <v>60175.485162719691</v>
      </c>
    </row>
    <row r="57" spans="2:40" x14ac:dyDescent="0.3">
      <c r="B57" t="s">
        <v>77</v>
      </c>
      <c r="C57" s="73">
        <v>2111.8886799999991</v>
      </c>
      <c r="D57" s="63">
        <v>1318.6287699999993</v>
      </c>
      <c r="E57" s="4">
        <v>2462.8442599999998</v>
      </c>
      <c r="F57" s="4">
        <v>2885.3330199999987</v>
      </c>
      <c r="G57" s="84">
        <v>2580.952760000001</v>
      </c>
      <c r="H57" s="4">
        <v>2202.6077064978476</v>
      </c>
      <c r="I57" s="63">
        <v>2050.5987144154265</v>
      </c>
      <c r="J57" s="4">
        <v>2091.4407231605924</v>
      </c>
      <c r="K57" s="4">
        <v>2127.4063345594927</v>
      </c>
      <c r="L57" s="4">
        <v>2173.6872358080282</v>
      </c>
      <c r="M57" s="4">
        <v>2218.4831872051436</v>
      </c>
      <c r="N57" s="73">
        <f t="shared" si="40"/>
        <v>10661.616195148683</v>
      </c>
      <c r="P57" s="58"/>
      <c r="Q57" s="58"/>
      <c r="R57" s="58"/>
      <c r="S57" s="58"/>
      <c r="T57" s="58"/>
      <c r="U57" s="58"/>
      <c r="V57" s="25"/>
      <c r="W57" s="25"/>
      <c r="X57" s="25"/>
      <c r="Y57" s="25"/>
      <c r="Z57" s="25"/>
      <c r="AA57" s="4"/>
      <c r="AB57" t="s">
        <v>77</v>
      </c>
      <c r="AC57" s="73">
        <v>4321.6626799999995</v>
      </c>
      <c r="AD57" s="63">
        <v>3292.7727699999996</v>
      </c>
      <c r="AE57" s="4">
        <v>6338.6652599999998</v>
      </c>
      <c r="AF57" s="4">
        <v>5703.1810199999991</v>
      </c>
      <c r="AG57" s="4">
        <v>7034.2067600000009</v>
      </c>
      <c r="AH57" s="4">
        <v>4934.6812387213076</v>
      </c>
      <c r="AI57" s="63">
        <v>4614.1225165304086</v>
      </c>
      <c r="AJ57" s="4">
        <v>4654.9645252755754</v>
      </c>
      <c r="AK57" s="4">
        <v>4690.9301366744758</v>
      </c>
      <c r="AL57" s="4">
        <v>4737.2110379230107</v>
      </c>
      <c r="AM57" s="4">
        <v>4782.0069893201262</v>
      </c>
      <c r="AN57" s="73">
        <f t="shared" si="39"/>
        <v>23479.235205723595</v>
      </c>
    </row>
    <row r="58" spans="2:40" x14ac:dyDescent="0.3">
      <c r="B58" t="s">
        <v>268</v>
      </c>
      <c r="C58" s="73">
        <v>1730.6988400000002</v>
      </c>
      <c r="D58" s="63">
        <v>455.26063180474034</v>
      </c>
      <c r="E58" s="4">
        <v>1053.8323981952597</v>
      </c>
      <c r="F58" s="4">
        <v>2445.5557300000005</v>
      </c>
      <c r="G58" s="84">
        <v>2656.0141199999998</v>
      </c>
      <c r="H58" s="4">
        <v>859.20616507260775</v>
      </c>
      <c r="I58" s="63">
        <v>5542.7895793433954</v>
      </c>
      <c r="J58" s="4">
        <v>2195.8200664532724</v>
      </c>
      <c r="K58" s="4">
        <v>2816.146858263704</v>
      </c>
      <c r="L58" s="4">
        <v>2822.891309597363</v>
      </c>
      <c r="M58" s="4">
        <v>2827.5123500139998</v>
      </c>
      <c r="N58" s="73">
        <f t="shared" si="40"/>
        <v>16205.160163671735</v>
      </c>
      <c r="P58" s="58"/>
      <c r="Q58" s="58"/>
      <c r="R58" s="58"/>
      <c r="S58" s="58"/>
      <c r="T58" s="58"/>
      <c r="U58" s="58"/>
      <c r="V58" s="25"/>
      <c r="W58" s="25"/>
      <c r="X58" s="25"/>
      <c r="Y58" s="25"/>
      <c r="Z58" s="25"/>
      <c r="AA58" s="4"/>
      <c r="AB58" t="s">
        <v>268</v>
      </c>
      <c r="AC58" s="73">
        <v>1767.3468400000002</v>
      </c>
      <c r="AD58" s="63">
        <v>3755.2606318047401</v>
      </c>
      <c r="AE58" s="4">
        <v>2018.9976081952598</v>
      </c>
      <c r="AF58" s="4">
        <v>2445.5557300000005</v>
      </c>
      <c r="AG58" s="4">
        <v>2656.0141199999998</v>
      </c>
      <c r="AH58" s="4">
        <v>6159.2061650726073</v>
      </c>
      <c r="AI58" s="63">
        <v>5542.7895793433954</v>
      </c>
      <c r="AJ58" s="4">
        <v>2195.8200664532724</v>
      </c>
      <c r="AK58" s="4">
        <v>2816.146858263704</v>
      </c>
      <c r="AL58" s="4">
        <v>2822.891309597363</v>
      </c>
      <c r="AM58" s="4">
        <v>2827.5123500139998</v>
      </c>
      <c r="AN58" s="73">
        <f t="shared" si="39"/>
        <v>16205.160163671735</v>
      </c>
    </row>
    <row r="59" spans="2:40" x14ac:dyDescent="0.3">
      <c r="B59" t="s">
        <v>86</v>
      </c>
      <c r="C59" s="73">
        <v>289.16324999999995</v>
      </c>
      <c r="D59" s="63">
        <v>592.81180000000006</v>
      </c>
      <c r="E59" s="4">
        <v>430.08153000000004</v>
      </c>
      <c r="F59" s="4">
        <v>307.83842000000004</v>
      </c>
      <c r="G59" s="84">
        <v>865.37089999999989</v>
      </c>
      <c r="H59" s="4">
        <v>688.95999730986875</v>
      </c>
      <c r="I59" s="63">
        <v>632.00973341921792</v>
      </c>
      <c r="J59" s="4">
        <v>634.98294205109175</v>
      </c>
      <c r="K59" s="4">
        <v>636.48694167629026</v>
      </c>
      <c r="L59" s="4">
        <v>622.45002740496113</v>
      </c>
      <c r="M59" s="4">
        <v>608.26241063306077</v>
      </c>
      <c r="N59" s="73">
        <f>SUM(I59:M59)</f>
        <v>3134.1920551846219</v>
      </c>
      <c r="P59" s="58"/>
      <c r="Q59" s="58"/>
      <c r="R59" s="58"/>
      <c r="S59" s="58"/>
      <c r="T59" s="58"/>
      <c r="U59" s="58"/>
      <c r="V59" s="25"/>
      <c r="W59" s="25"/>
      <c r="X59" s="25"/>
      <c r="Y59" s="25"/>
      <c r="Z59" s="25"/>
      <c r="AA59" s="4"/>
      <c r="AB59" t="s">
        <v>86</v>
      </c>
      <c r="AC59" s="73">
        <v>289.16324999999995</v>
      </c>
      <c r="AD59" s="63">
        <v>592.81180000000006</v>
      </c>
      <c r="AE59" s="4">
        <v>430.08153000000004</v>
      </c>
      <c r="AF59" s="4">
        <v>307.83842000000004</v>
      </c>
      <c r="AG59" s="4">
        <v>865.37089999999989</v>
      </c>
      <c r="AH59" s="4">
        <v>688.95999730986875</v>
      </c>
      <c r="AI59" s="63">
        <v>632.00973341921792</v>
      </c>
      <c r="AJ59" s="4">
        <v>634.98294205109175</v>
      </c>
      <c r="AK59" s="4">
        <v>636.48694167629026</v>
      </c>
      <c r="AL59" s="4">
        <v>622.45002740496113</v>
      </c>
      <c r="AM59" s="4">
        <v>608.26241063306077</v>
      </c>
      <c r="AN59" s="73">
        <f>SUM(AI59:AM59)</f>
        <v>3134.1920551846219</v>
      </c>
    </row>
    <row r="60" spans="2:40" x14ac:dyDescent="0.3">
      <c r="B60" t="s">
        <v>207</v>
      </c>
      <c r="C60" s="73">
        <v>0</v>
      </c>
      <c r="D60" s="63">
        <v>299.86367999999999</v>
      </c>
      <c r="E60" s="4">
        <v>1277.2551699999999</v>
      </c>
      <c r="F60" s="4">
        <v>1068.4159399999999</v>
      </c>
      <c r="G60" s="84">
        <v>2649.8943900000004</v>
      </c>
      <c r="H60" s="4">
        <v>18393.333999999999</v>
      </c>
      <c r="I60" s="63">
        <v>16092.964291563148</v>
      </c>
      <c r="J60" s="4">
        <v>25282.951189981366</v>
      </c>
      <c r="K60" s="4">
        <v>33092.610909082134</v>
      </c>
      <c r="L60" s="4">
        <v>26161.613081557691</v>
      </c>
      <c r="M60" s="4">
        <v>34831.721050298736</v>
      </c>
      <c r="N60" s="73">
        <f t="shared" si="40"/>
        <v>135461.86052248307</v>
      </c>
      <c r="P60" s="58"/>
      <c r="X60" s="25"/>
      <c r="Y60" s="4"/>
      <c r="Z60" s="4"/>
      <c r="AA60" s="4"/>
      <c r="AB60" t="s">
        <v>207</v>
      </c>
      <c r="AC60" s="73">
        <v>0</v>
      </c>
      <c r="AD60" s="63">
        <v>299.86367999999999</v>
      </c>
      <c r="AE60" s="4">
        <v>1277.2551699999999</v>
      </c>
      <c r="AF60" s="4">
        <v>1068.4159399999999</v>
      </c>
      <c r="AG60" s="4">
        <v>2649.8943900000004</v>
      </c>
      <c r="AH60" s="4">
        <v>23393.333999999999</v>
      </c>
      <c r="AI60" s="63">
        <v>23617.728962452326</v>
      </c>
      <c r="AJ60" s="4">
        <v>25282.951189981366</v>
      </c>
      <c r="AK60" s="4">
        <v>33092.610909082134</v>
      </c>
      <c r="AL60" s="4">
        <v>26161.613081557691</v>
      </c>
      <c r="AM60" s="4">
        <v>34831.721050298736</v>
      </c>
      <c r="AN60" s="73">
        <f>SUM(AI60:AM60)</f>
        <v>142986.62519337225</v>
      </c>
    </row>
    <row r="61" spans="2:40" x14ac:dyDescent="0.3">
      <c r="B61" s="295" t="s">
        <v>313</v>
      </c>
      <c r="C61" s="298">
        <f>SUM(C52:C60)</f>
        <v>51137.508099999992</v>
      </c>
      <c r="D61" s="297">
        <f>SUM(D52:D60)</f>
        <v>47735.112421804741</v>
      </c>
      <c r="E61" s="296">
        <f>SUM(E52:E60)</f>
        <v>65810.737378195248</v>
      </c>
      <c r="F61" s="296">
        <f>SUM(F52:F60)</f>
        <v>71611.524010000023</v>
      </c>
      <c r="G61" s="341">
        <f t="shared" ref="G61:K61" si="43">SUM(G52:G60)</f>
        <v>97658.886119999996</v>
      </c>
      <c r="H61" s="296">
        <f t="shared" si="43"/>
        <v>112629.030948826</v>
      </c>
      <c r="I61" s="297">
        <f t="shared" si="43"/>
        <v>108102.62749696142</v>
      </c>
      <c r="J61" s="296">
        <f t="shared" si="43"/>
        <v>112156.71238185094</v>
      </c>
      <c r="K61" s="296">
        <f t="shared" si="43"/>
        <v>120731.84758344613</v>
      </c>
      <c r="L61" s="296">
        <f t="shared" ref="L61:M61" si="44">SUM(L52:L60)</f>
        <v>115598.68631822856</v>
      </c>
      <c r="M61" s="296">
        <f t="shared" si="44"/>
        <v>126005.66787457856</v>
      </c>
      <c r="N61" s="298">
        <f t="shared" ref="N61" si="45">SUM(N52:N60)</f>
        <v>582595.54165506549</v>
      </c>
      <c r="P61" s="58"/>
      <c r="AA61" s="4"/>
      <c r="AB61" s="301" t="s">
        <v>356</v>
      </c>
      <c r="AC61" s="304">
        <f>SUM(AC52:AC60)</f>
        <v>87013.814099999989</v>
      </c>
      <c r="AD61" s="303">
        <f t="shared" ref="AD61" si="46">SUM(AD52:AD60)</f>
        <v>79712.348421804738</v>
      </c>
      <c r="AE61" s="302">
        <f t="shared" ref="AE61" si="47">SUM(AE52:AE60)</f>
        <v>106503.15458819525</v>
      </c>
      <c r="AF61" s="302">
        <f t="shared" ref="AF61" si="48">SUM(AF52:AF60)</f>
        <v>117641.41201000003</v>
      </c>
      <c r="AG61" s="302">
        <f t="shared" ref="AG61" si="49">SUM(AG52:AG60)</f>
        <v>145429.54812000002</v>
      </c>
      <c r="AH61" s="302">
        <f t="shared" ref="AH61" si="50">SUM(AH52:AH60)</f>
        <v>168177.77725510724</v>
      </c>
      <c r="AI61" s="303">
        <f t="shared" ref="AI61" si="51">SUM(AI52:AI60)</f>
        <v>163038.22623985575</v>
      </c>
      <c r="AJ61" s="302">
        <f t="shared" ref="AJ61" si="52">SUM(AJ52:AJ60)</f>
        <v>160322.8525629089</v>
      </c>
      <c r="AK61" s="302">
        <f t="shared" ref="AK61" si="53">SUM(AK52:AK60)</f>
        <v>169655.04042497408</v>
      </c>
      <c r="AL61" s="302">
        <f t="shared" ref="AL61" si="54">SUM(AL52:AL60)</f>
        <v>165277.07472758036</v>
      </c>
      <c r="AM61" s="302">
        <f t="shared" ref="AM61" si="55">SUM(AM52:AM60)</f>
        <v>176438.9644445591</v>
      </c>
      <c r="AN61" s="304">
        <f t="shared" ref="AN61" si="56">SUM(AN52:AN60)</f>
        <v>834732.15839987819</v>
      </c>
    </row>
    <row r="62" spans="2:40" x14ac:dyDescent="0.3">
      <c r="B62" s="49" t="s">
        <v>60</v>
      </c>
      <c r="C62" s="58">
        <f>C61-(Historical_Cost!K39-P29)</f>
        <v>0</v>
      </c>
      <c r="D62" s="58">
        <f>D61-(Historical_Cost!L39-Q29)</f>
        <v>0</v>
      </c>
      <c r="E62" s="58">
        <f>E61-(Historical_Cost!M39-R29)</f>
        <v>0</v>
      </c>
      <c r="F62" s="58">
        <f>F61-(Historical_Cost!N39-S29)</f>
        <v>0</v>
      </c>
      <c r="G62" s="58">
        <f>G61-(G29+G46)</f>
        <v>97658.886119999996</v>
      </c>
      <c r="H62" s="58">
        <f t="shared" ref="H62:M62" si="57">H61-(H29+H46)</f>
        <v>112629.030948826</v>
      </c>
      <c r="I62" s="58">
        <f t="shared" si="57"/>
        <v>108102.62749696142</v>
      </c>
      <c r="J62" s="58">
        <f t="shared" si="57"/>
        <v>112156.71238185094</v>
      </c>
      <c r="K62" s="58">
        <f t="shared" si="57"/>
        <v>120731.84758344613</v>
      </c>
      <c r="L62" s="58">
        <f t="shared" si="57"/>
        <v>115598.68631822856</v>
      </c>
      <c r="M62" s="58">
        <f t="shared" si="57"/>
        <v>126005.66787457856</v>
      </c>
      <c r="AA62" s="4"/>
      <c r="AB62" s="49" t="s">
        <v>60</v>
      </c>
      <c r="AC62" s="58">
        <f>AC61-Historical_Cost!K39</f>
        <v>0</v>
      </c>
      <c r="AD62" s="58">
        <f>AD61-Historical_Cost!L39</f>
        <v>0</v>
      </c>
      <c r="AE62" s="58">
        <f>AE61-Historical_Cost!M39</f>
        <v>0</v>
      </c>
      <c r="AF62" s="58">
        <f>AF61-Historical_Cost!N39</f>
        <v>0</v>
      </c>
      <c r="AG62" s="58">
        <f>AG61-Historical_Cost!O39</f>
        <v>0</v>
      </c>
      <c r="AH62" s="197"/>
      <c r="AI62" s="13"/>
      <c r="AJ62" s="13"/>
      <c r="AK62" s="13"/>
      <c r="AL62" s="13"/>
      <c r="AM62" s="13"/>
      <c r="AN62" s="4"/>
    </row>
    <row r="63" spans="2:40" x14ac:dyDescent="0.3">
      <c r="B63" s="311" t="s">
        <v>279</v>
      </c>
      <c r="C63" s="193">
        <f>Allocations!D49</f>
        <v>0.11015105966309197</v>
      </c>
      <c r="D63" s="193">
        <f>Allocations!E49</f>
        <v>0.11214972534928357</v>
      </c>
      <c r="E63" s="193">
        <f>Allocations!F49</f>
        <v>0.13631825105446069</v>
      </c>
      <c r="F63" s="193">
        <f>Allocations!G49</f>
        <v>0.14118272372737342</v>
      </c>
      <c r="G63" s="193">
        <f>Allocations!H49</f>
        <v>8.7431748806843776E-2</v>
      </c>
      <c r="H63" s="193">
        <f>Allocations!I49</f>
        <v>0.103731805295299</v>
      </c>
      <c r="I63" s="193">
        <f>Allocations!J49</f>
        <v>7.2001585239149915E-2</v>
      </c>
      <c r="J63" s="193">
        <f>Allocations!K49</f>
        <v>6.9294897899731464E-2</v>
      </c>
      <c r="K63" s="193">
        <f>Allocations!L49</f>
        <v>6.2631057581628652E-2</v>
      </c>
      <c r="L63" s="193">
        <f>Allocations!M49</f>
        <v>7.1513980300364835E-2</v>
      </c>
      <c r="M63" s="193">
        <f>Allocations!N49</f>
        <v>7.4849999421876645E-2</v>
      </c>
      <c r="AA63" s="4"/>
      <c r="AC63" s="305"/>
      <c r="AD63" s="305"/>
      <c r="AE63" s="305"/>
      <c r="AF63" s="305"/>
      <c r="AG63" s="305"/>
      <c r="AH63" s="305"/>
      <c r="AI63" s="305"/>
      <c r="AJ63" s="305"/>
      <c r="AK63" s="305"/>
      <c r="AL63" s="305"/>
      <c r="AM63" s="305"/>
      <c r="AN63" s="4"/>
    </row>
    <row r="64" spans="2:40" x14ac:dyDescent="0.3">
      <c r="B64" s="4"/>
      <c r="C64" s="395" t="s">
        <v>95</v>
      </c>
      <c r="D64" s="396"/>
      <c r="E64" s="396"/>
      <c r="F64" s="396"/>
      <c r="G64" s="396"/>
      <c r="H64" s="397"/>
      <c r="I64" s="425" t="s">
        <v>232</v>
      </c>
      <c r="J64" s="426"/>
      <c r="K64" s="426"/>
      <c r="L64" s="426"/>
      <c r="M64" s="427"/>
      <c r="N64" s="149" t="s">
        <v>2</v>
      </c>
      <c r="Q64" s="2"/>
      <c r="R64" s="2"/>
      <c r="Y64" s="4"/>
      <c r="Z64" s="4"/>
      <c r="AA64" s="4"/>
      <c r="AC64" s="395" t="s">
        <v>95</v>
      </c>
      <c r="AD64" s="396"/>
      <c r="AE64" s="396"/>
      <c r="AF64" s="396"/>
      <c r="AG64" s="396"/>
      <c r="AH64" s="397"/>
      <c r="AI64" s="428" t="s">
        <v>232</v>
      </c>
      <c r="AJ64" s="429"/>
      <c r="AK64" s="429"/>
      <c r="AL64" s="429"/>
      <c r="AM64" s="429"/>
      <c r="AN64" s="430"/>
    </row>
    <row r="65" spans="2:41" x14ac:dyDescent="0.3">
      <c r="B65" s="1" t="s">
        <v>323</v>
      </c>
      <c r="C65" s="314" t="s">
        <v>123</v>
      </c>
      <c r="D65" s="143" t="s">
        <v>136</v>
      </c>
      <c r="E65" s="3" t="s">
        <v>135</v>
      </c>
      <c r="F65" s="3" t="s">
        <v>134</v>
      </c>
      <c r="G65" s="145" t="s">
        <v>133</v>
      </c>
      <c r="H65" s="3" t="s">
        <v>132</v>
      </c>
      <c r="I65" s="61" t="s">
        <v>196</v>
      </c>
      <c r="J65" s="3" t="s">
        <v>197</v>
      </c>
      <c r="K65" s="3" t="s">
        <v>218</v>
      </c>
      <c r="L65" s="3" t="s">
        <v>219</v>
      </c>
      <c r="M65" s="3" t="s">
        <v>220</v>
      </c>
      <c r="N65" s="87" t="s">
        <v>227</v>
      </c>
      <c r="Y65" s="4"/>
      <c r="Z65" s="4"/>
      <c r="AA65" s="4"/>
      <c r="AB65" s="1" t="s">
        <v>323</v>
      </c>
      <c r="AC65" s="312" t="str">
        <f>Allocations!G$53</f>
        <v>2020-21</v>
      </c>
      <c r="AD65" s="109" t="str">
        <f>Allocations!H$53</f>
        <v>2021-22</v>
      </c>
      <c r="AE65" s="140" t="str">
        <f>Allocations!I$53</f>
        <v>2022-23</v>
      </c>
      <c r="AF65" s="140" t="str">
        <f>Allocations!J$53</f>
        <v>2023-24</v>
      </c>
      <c r="AG65" s="140" t="str">
        <f>Allocations!K$53</f>
        <v>2024-25</v>
      </c>
      <c r="AH65" s="168" t="str">
        <f>Allocations!L$53</f>
        <v>2025-26</v>
      </c>
      <c r="AI65" s="217" t="str">
        <f>Allocations!M$53</f>
        <v>2026-27</v>
      </c>
      <c r="AJ65" s="140" t="str">
        <f>Allocations!N$53</f>
        <v>2027–28</v>
      </c>
      <c r="AK65" s="140" t="str">
        <f>Allocations!O$53</f>
        <v>2028–29</v>
      </c>
      <c r="AL65" s="140" t="str">
        <f>Allocations!P$53</f>
        <v>2029–30</v>
      </c>
      <c r="AM65" s="168" t="str">
        <f>Allocations!Q$53</f>
        <v>2030–31</v>
      </c>
      <c r="AN65" s="29" t="s">
        <v>2</v>
      </c>
      <c r="AO65" s="2"/>
    </row>
    <row r="66" spans="2:41" x14ac:dyDescent="0.3">
      <c r="B66" t="s">
        <v>82</v>
      </c>
      <c r="C66" s="73">
        <f>Historical_Cost!K44</f>
        <v>1282.1283941885106</v>
      </c>
      <c r="D66" s="63">
        <f>Historical_Cost!L44</f>
        <v>1044.81232604669</v>
      </c>
      <c r="E66" s="4">
        <f>Historical_Cost!M44</f>
        <v>2003.4095899999998</v>
      </c>
      <c r="F66" s="4">
        <f>Historical_Cost!N44</f>
        <v>2480.7571499999995</v>
      </c>
      <c r="G66" s="84">
        <f>Historical_Cost!O44</f>
        <v>1564.2940999999998</v>
      </c>
      <c r="H66" s="4">
        <f t="shared" ref="H66:M74" si="58">H$63*H52</f>
        <v>2121.5928148123335</v>
      </c>
      <c r="I66" s="63">
        <f t="shared" si="58"/>
        <v>1299.7726067362551</v>
      </c>
      <c r="J66" s="4">
        <f t="shared" si="58"/>
        <v>1236.8124244803907</v>
      </c>
      <c r="K66" s="4">
        <f t="shared" si="58"/>
        <v>1135.3848801893671</v>
      </c>
      <c r="L66" s="4">
        <f t="shared" si="58"/>
        <v>1322.7367130932503</v>
      </c>
      <c r="M66" s="4">
        <f t="shared" si="58"/>
        <v>1411.0475668071554</v>
      </c>
      <c r="N66" s="73">
        <f>SUM(I66:M66)</f>
        <v>6405.7541913064197</v>
      </c>
      <c r="Y66" s="4"/>
      <c r="Z66" s="4"/>
      <c r="AA66" s="4"/>
      <c r="AB66" t="s">
        <v>82</v>
      </c>
      <c r="AC66" s="73">
        <f t="shared" ref="AC66:AC74" si="59">C66</f>
        <v>1282.1283941885106</v>
      </c>
      <c r="AD66" s="63">
        <f t="shared" ref="AD66:AD74" si="60">D66</f>
        <v>1044.81232604669</v>
      </c>
      <c r="AE66" s="4">
        <f t="shared" ref="AE66:AE74" si="61">E66</f>
        <v>2003.4095899999998</v>
      </c>
      <c r="AF66" s="4">
        <f t="shared" ref="AF66:AF74" si="62">F66</f>
        <v>2480.7571499999995</v>
      </c>
      <c r="AG66" s="4">
        <f>G66</f>
        <v>1564.2940999999998</v>
      </c>
      <c r="AH66" s="4">
        <f t="shared" ref="AH66:AH74" si="63">H66</f>
        <v>2121.5928148123335</v>
      </c>
      <c r="AI66" s="63">
        <f t="shared" ref="AI66:AI74" si="64">I66</f>
        <v>1299.7726067362551</v>
      </c>
      <c r="AJ66" s="4">
        <f t="shared" ref="AJ66:AJ74" si="65">J66</f>
        <v>1236.8124244803907</v>
      </c>
      <c r="AK66" s="4">
        <f t="shared" ref="AK66:AK74" si="66">K66</f>
        <v>1135.3848801893671</v>
      </c>
      <c r="AL66" s="4">
        <f t="shared" ref="AL66:AL74" si="67">L66</f>
        <v>1322.7367130932503</v>
      </c>
      <c r="AM66" s="4">
        <f t="shared" ref="AM66:AM74" si="68">M66</f>
        <v>1411.0475668071554</v>
      </c>
      <c r="AN66" s="73">
        <f t="shared" ref="AN66:AN72" si="69">SUM(AI66:AM66)</f>
        <v>6405.7541913064197</v>
      </c>
    </row>
    <row r="67" spans="2:41" x14ac:dyDescent="0.3">
      <c r="B67" t="s">
        <v>83</v>
      </c>
      <c r="C67" s="73">
        <f>Historical_Cost!K45</f>
        <v>701.94435156257521</v>
      </c>
      <c r="D67" s="63">
        <f>Historical_Cost!L45</f>
        <v>871.90328427715485</v>
      </c>
      <c r="E67" s="4">
        <f>Historical_Cost!M45</f>
        <v>976.91091000000006</v>
      </c>
      <c r="F67" s="4">
        <f>Historical_Cost!N45</f>
        <v>1125.8086200000002</v>
      </c>
      <c r="G67" s="84">
        <f>Historical_Cost!O45</f>
        <v>1003.9489699999999</v>
      </c>
      <c r="H67" s="4">
        <f t="shared" si="58"/>
        <v>815.61584938796329</v>
      </c>
      <c r="I67" s="63">
        <f t="shared" si="58"/>
        <v>701.28939568124042</v>
      </c>
      <c r="J67" s="4">
        <f t="shared" si="58"/>
        <v>688.36907615551058</v>
      </c>
      <c r="K67" s="4">
        <f t="shared" si="58"/>
        <v>632.87031604704396</v>
      </c>
      <c r="L67" s="4">
        <f t="shared" si="58"/>
        <v>738.3504408657551</v>
      </c>
      <c r="M67" s="4">
        <f t="shared" si="58"/>
        <v>788.71931413592517</v>
      </c>
      <c r="N67" s="73">
        <f t="shared" ref="N67:N74" si="70">SUM(I67:M67)</f>
        <v>3549.5985428854751</v>
      </c>
      <c r="Y67" s="4"/>
      <c r="Z67" s="4"/>
      <c r="AA67" s="4"/>
      <c r="AB67" t="s">
        <v>83</v>
      </c>
      <c r="AC67" s="73">
        <f t="shared" si="59"/>
        <v>701.94435156257521</v>
      </c>
      <c r="AD67" s="63">
        <f t="shared" si="60"/>
        <v>871.90328427715485</v>
      </c>
      <c r="AE67" s="4">
        <f t="shared" si="61"/>
        <v>976.91091000000006</v>
      </c>
      <c r="AF67" s="4">
        <f t="shared" si="62"/>
        <v>1125.8086200000002</v>
      </c>
      <c r="AG67" s="4">
        <f t="shared" ref="AG67:AG74" si="71">G67</f>
        <v>1003.9489699999999</v>
      </c>
      <c r="AH67" s="4">
        <f t="shared" si="63"/>
        <v>815.61584938796329</v>
      </c>
      <c r="AI67" s="63">
        <f t="shared" si="64"/>
        <v>701.28939568124042</v>
      </c>
      <c r="AJ67" s="4">
        <f t="shared" si="65"/>
        <v>688.36907615551058</v>
      </c>
      <c r="AK67" s="4">
        <f t="shared" si="66"/>
        <v>632.87031604704396</v>
      </c>
      <c r="AL67" s="4">
        <f t="shared" si="67"/>
        <v>738.3504408657551</v>
      </c>
      <c r="AM67" s="4">
        <f t="shared" si="68"/>
        <v>788.71931413592517</v>
      </c>
      <c r="AN67" s="73">
        <f t="shared" si="69"/>
        <v>3549.5985428854751</v>
      </c>
    </row>
    <row r="68" spans="2:41" x14ac:dyDescent="0.3">
      <c r="B68" t="s">
        <v>84</v>
      </c>
      <c r="C68" s="73">
        <f>Historical_Cost!K46-C69</f>
        <v>2348.5650805289374</v>
      </c>
      <c r="D68" s="63">
        <f>Historical_Cost!L46-D69</f>
        <v>2063.6619960727371</v>
      </c>
      <c r="E68" s="4">
        <f>Historical_Cost!M46-E69</f>
        <v>4213.4418700000006</v>
      </c>
      <c r="F68" s="4">
        <f>Historical_Cost!N46-F69</f>
        <v>4398.2539699999998</v>
      </c>
      <c r="G68" s="84">
        <f>Historical_Cost!O46-G69</f>
        <v>3962.829670000001</v>
      </c>
      <c r="H68" s="4">
        <f t="shared" si="58"/>
        <v>4491.29907569241</v>
      </c>
      <c r="I68" s="63">
        <f t="shared" si="58"/>
        <v>2902.3222024001325</v>
      </c>
      <c r="J68" s="4">
        <f t="shared" si="58"/>
        <v>2848.8507960840529</v>
      </c>
      <c r="K68" s="4">
        <f t="shared" si="58"/>
        <v>2619.1663253642132</v>
      </c>
      <c r="L68" s="4">
        <f t="shared" si="58"/>
        <v>3055.7012424163913</v>
      </c>
      <c r="M68" s="4">
        <f t="shared" si="58"/>
        <v>3264.155412837556</v>
      </c>
      <c r="N68" s="73">
        <f t="shared" si="70"/>
        <v>14690.195979102346</v>
      </c>
      <c r="Y68" s="4"/>
      <c r="Z68" s="4"/>
      <c r="AA68" s="4"/>
      <c r="AB68" t="s">
        <v>84</v>
      </c>
      <c r="AC68" s="73">
        <f t="shared" si="59"/>
        <v>2348.5650805289374</v>
      </c>
      <c r="AD68" s="63">
        <f t="shared" si="60"/>
        <v>2063.6619960727371</v>
      </c>
      <c r="AE68" s="4">
        <f t="shared" si="61"/>
        <v>4213.4418700000006</v>
      </c>
      <c r="AF68" s="4">
        <f t="shared" si="62"/>
        <v>4398.2539699999998</v>
      </c>
      <c r="AG68" s="4">
        <f t="shared" si="71"/>
        <v>3962.829670000001</v>
      </c>
      <c r="AH68" s="4">
        <f t="shared" si="63"/>
        <v>4491.29907569241</v>
      </c>
      <c r="AI68" s="63">
        <f t="shared" si="64"/>
        <v>2902.3222024001325</v>
      </c>
      <c r="AJ68" s="4">
        <f t="shared" si="65"/>
        <v>2848.8507960840529</v>
      </c>
      <c r="AK68" s="4">
        <f t="shared" si="66"/>
        <v>2619.1663253642132</v>
      </c>
      <c r="AL68" s="4">
        <f t="shared" si="67"/>
        <v>3055.7012424163913</v>
      </c>
      <c r="AM68" s="4">
        <f t="shared" si="68"/>
        <v>3264.155412837556</v>
      </c>
      <c r="AN68" s="73">
        <f t="shared" si="69"/>
        <v>14690.195979102346</v>
      </c>
    </row>
    <row r="69" spans="2:41" x14ac:dyDescent="0.3">
      <c r="B69" s="381" t="s">
        <v>393</v>
      </c>
      <c r="C69" s="73"/>
      <c r="D69" s="63"/>
      <c r="E69" s="4">
        <v>3.5637399999999997</v>
      </c>
      <c r="F69" s="4">
        <v>61.081700000000005</v>
      </c>
      <c r="G69" s="84">
        <v>259.81783000000001</v>
      </c>
      <c r="H69" s="4">
        <f t="shared" si="58"/>
        <v>668.08452953800543</v>
      </c>
      <c r="I69" s="63">
        <f t="shared" si="58"/>
        <v>295.8813344559403</v>
      </c>
      <c r="J69" s="4">
        <f t="shared" si="58"/>
        <v>86.808438427758972</v>
      </c>
      <c r="K69" s="4">
        <f t="shared" si="58"/>
        <v>0</v>
      </c>
      <c r="L69" s="4">
        <f t="shared" si="58"/>
        <v>0</v>
      </c>
      <c r="M69" s="4">
        <f t="shared" si="58"/>
        <v>0</v>
      </c>
      <c r="N69" s="73">
        <f t="shared" ref="N69" si="72">SUM(I69:M69)</f>
        <v>382.68977288369928</v>
      </c>
      <c r="Y69" s="4"/>
      <c r="Z69" s="4"/>
      <c r="AA69" s="4"/>
      <c r="AB69" s="381" t="s">
        <v>393</v>
      </c>
      <c r="AC69" s="73">
        <f t="shared" ref="AC69" si="73">C69</f>
        <v>0</v>
      </c>
      <c r="AD69" s="63">
        <f t="shared" ref="AD69" si="74">D69</f>
        <v>0</v>
      </c>
      <c r="AE69" s="4">
        <f t="shared" ref="AE69" si="75">E69</f>
        <v>3.5637399999999997</v>
      </c>
      <c r="AF69" s="4">
        <f t="shared" ref="AF69" si="76">F69</f>
        <v>61.081700000000005</v>
      </c>
      <c r="AG69" s="4">
        <f t="shared" ref="AG69" si="77">G69</f>
        <v>259.81783000000001</v>
      </c>
      <c r="AH69" s="4">
        <f t="shared" ref="AH69" si="78">H69</f>
        <v>668.08452953800543</v>
      </c>
      <c r="AI69" s="63">
        <f t="shared" ref="AI69" si="79">I69</f>
        <v>295.8813344559403</v>
      </c>
      <c r="AJ69" s="4">
        <f t="shared" ref="AJ69" si="80">J69</f>
        <v>86.808438427758972</v>
      </c>
      <c r="AK69" s="4">
        <f t="shared" ref="AK69" si="81">K69</f>
        <v>0</v>
      </c>
      <c r="AL69" s="4">
        <f t="shared" ref="AL69" si="82">L69</f>
        <v>0</v>
      </c>
      <c r="AM69" s="4">
        <f t="shared" ref="AM69" si="83">M69</f>
        <v>0</v>
      </c>
      <c r="AN69" s="73">
        <f t="shared" ref="AN69" si="84">SUM(AI69:AM69)</f>
        <v>382.68977288369928</v>
      </c>
    </row>
    <row r="70" spans="2:41" x14ac:dyDescent="0.3">
      <c r="B70" t="s">
        <v>85</v>
      </c>
      <c r="C70" s="73">
        <f>Historical_Cost!K47</f>
        <v>848.46958734039856</v>
      </c>
      <c r="D70" s="63">
        <f>Historical_Cost!L47</f>
        <v>1072.9935881095103</v>
      </c>
      <c r="E70" s="4">
        <f>Historical_Cost!M47</f>
        <v>1118.2434599999997</v>
      </c>
      <c r="F70" s="4">
        <f>Historical_Cost!N47</f>
        <v>1109.2554</v>
      </c>
      <c r="G70" s="84">
        <f>Historical_Cost!O47</f>
        <v>986.04503000000011</v>
      </c>
      <c r="H70" s="4">
        <f t="shared" si="58"/>
        <v>1289.572153658318</v>
      </c>
      <c r="I70" s="63">
        <f t="shared" si="58"/>
        <v>833.33437165559508</v>
      </c>
      <c r="J70" s="4">
        <f t="shared" si="58"/>
        <v>817.98129998522654</v>
      </c>
      <c r="K70" s="4">
        <f t="shared" si="58"/>
        <v>752.03274198981183</v>
      </c>
      <c r="L70" s="4">
        <f t="shared" si="58"/>
        <v>877.37359853102225</v>
      </c>
      <c r="M70" s="4">
        <f t="shared" si="58"/>
        <v>937.22636917904151</v>
      </c>
      <c r="N70" s="73">
        <f t="shared" si="70"/>
        <v>4217.9483813406969</v>
      </c>
      <c r="Y70" s="4"/>
      <c r="Z70" s="4"/>
      <c r="AA70" s="4"/>
      <c r="AB70" t="s">
        <v>85</v>
      </c>
      <c r="AC70" s="73">
        <f t="shared" si="59"/>
        <v>848.46958734039856</v>
      </c>
      <c r="AD70" s="63">
        <f t="shared" si="60"/>
        <v>1072.9935881095103</v>
      </c>
      <c r="AE70" s="4">
        <f t="shared" si="61"/>
        <v>1118.2434599999997</v>
      </c>
      <c r="AF70" s="4">
        <f t="shared" si="62"/>
        <v>1109.2554</v>
      </c>
      <c r="AG70" s="4">
        <f t="shared" si="71"/>
        <v>986.04503000000011</v>
      </c>
      <c r="AH70" s="4">
        <f t="shared" si="63"/>
        <v>1289.572153658318</v>
      </c>
      <c r="AI70" s="63">
        <f t="shared" si="64"/>
        <v>833.33437165559508</v>
      </c>
      <c r="AJ70" s="4">
        <f t="shared" si="65"/>
        <v>817.98129998522654</v>
      </c>
      <c r="AK70" s="4">
        <f t="shared" si="66"/>
        <v>752.03274198981183</v>
      </c>
      <c r="AL70" s="4">
        <f t="shared" si="67"/>
        <v>877.37359853102225</v>
      </c>
      <c r="AM70" s="4">
        <f t="shared" si="68"/>
        <v>937.22636917904151</v>
      </c>
      <c r="AN70" s="73">
        <f t="shared" si="69"/>
        <v>4217.9483813406969</v>
      </c>
    </row>
    <row r="71" spans="2:41" x14ac:dyDescent="0.3">
      <c r="B71" t="s">
        <v>77</v>
      </c>
      <c r="C71" s="73">
        <f>Historical_Cost!K48</f>
        <v>236.0039056817339</v>
      </c>
      <c r="D71" s="63">
        <f>Historical_Cost!L48</f>
        <v>152.31826291693164</v>
      </c>
      <c r="E71" s="4">
        <f>Historical_Cost!M48</f>
        <v>304.41111999999998</v>
      </c>
      <c r="F71" s="4">
        <f>Historical_Cost!N48</f>
        <v>419.48905000000002</v>
      </c>
      <c r="G71" s="84">
        <f>Historical_Cost!O48</f>
        <v>229.71318999999997</v>
      </c>
      <c r="H71" s="4">
        <f t="shared" si="58"/>
        <v>228.48047375235981</v>
      </c>
      <c r="I71" s="63">
        <f t="shared" si="58"/>
        <v>147.64635812727357</v>
      </c>
      <c r="J71" s="4">
        <f t="shared" si="58"/>
        <v>144.92617137475378</v>
      </c>
      <c r="K71" s="4">
        <f t="shared" si="58"/>
        <v>133.24170863931712</v>
      </c>
      <c r="L71" s="4">
        <f t="shared" si="58"/>
        <v>155.44902616072983</v>
      </c>
      <c r="M71" s="4">
        <f t="shared" si="58"/>
        <v>166.05346527974805</v>
      </c>
      <c r="N71" s="73">
        <f t="shared" si="70"/>
        <v>747.3167295818223</v>
      </c>
      <c r="Y71" s="4"/>
      <c r="Z71" s="4"/>
      <c r="AA71" s="4"/>
      <c r="AB71" t="s">
        <v>77</v>
      </c>
      <c r="AC71" s="73">
        <f t="shared" si="59"/>
        <v>236.0039056817339</v>
      </c>
      <c r="AD71" s="63">
        <f t="shared" si="60"/>
        <v>152.31826291693164</v>
      </c>
      <c r="AE71" s="4">
        <f t="shared" si="61"/>
        <v>304.41111999999998</v>
      </c>
      <c r="AF71" s="4">
        <f t="shared" si="62"/>
        <v>419.48905000000002</v>
      </c>
      <c r="AG71" s="4">
        <f t="shared" si="71"/>
        <v>229.71318999999997</v>
      </c>
      <c r="AH71" s="4">
        <f t="shared" si="63"/>
        <v>228.48047375235981</v>
      </c>
      <c r="AI71" s="63">
        <f t="shared" si="64"/>
        <v>147.64635812727357</v>
      </c>
      <c r="AJ71" s="4">
        <f t="shared" si="65"/>
        <v>144.92617137475378</v>
      </c>
      <c r="AK71" s="4">
        <f t="shared" si="66"/>
        <v>133.24170863931712</v>
      </c>
      <c r="AL71" s="4">
        <f t="shared" si="67"/>
        <v>155.44902616072983</v>
      </c>
      <c r="AM71" s="4">
        <f t="shared" si="68"/>
        <v>166.05346527974805</v>
      </c>
      <c r="AN71" s="73">
        <f t="shared" si="69"/>
        <v>747.3167295818223</v>
      </c>
    </row>
    <row r="72" spans="2:41" x14ac:dyDescent="0.3">
      <c r="B72" t="s">
        <v>268</v>
      </c>
      <c r="C72" s="73">
        <f>Historical_Cost!K49</f>
        <v>184.00200740344903</v>
      </c>
      <c r="D72" s="63">
        <f>Historical_Cost!L49</f>
        <v>43.892011066484649</v>
      </c>
      <c r="E72" s="4">
        <f>Historical_Cost!M49</f>
        <v>140.76760000000002</v>
      </c>
      <c r="F72" s="4">
        <f>Historical_Cost!N49</f>
        <v>321.71872000000002</v>
      </c>
      <c r="G72" s="84">
        <f>Historical_Cost!O49</f>
        <v>233.37971999999996</v>
      </c>
      <c r="H72" s="4">
        <f t="shared" si="58"/>
        <v>89.127006623832287</v>
      </c>
      <c r="I72" s="63">
        <f t="shared" si="58"/>
        <v>399.08963635976539</v>
      </c>
      <c r="J72" s="4">
        <f t="shared" si="58"/>
        <v>152.15912731106107</v>
      </c>
      <c r="K72" s="4">
        <f t="shared" si="58"/>
        <v>176.37825603823666</v>
      </c>
      <c r="L72" s="4">
        <f t="shared" si="58"/>
        <v>201.87619350461691</v>
      </c>
      <c r="M72" s="4">
        <f t="shared" si="58"/>
        <v>211.63929776389696</v>
      </c>
      <c r="N72" s="73">
        <f t="shared" si="70"/>
        <v>1141.1425109775771</v>
      </c>
      <c r="Y72" s="4"/>
      <c r="Z72" s="4"/>
      <c r="AA72" s="4"/>
      <c r="AB72" t="s">
        <v>268</v>
      </c>
      <c r="AC72" s="73">
        <f t="shared" si="59"/>
        <v>184.00200740344903</v>
      </c>
      <c r="AD72" s="63">
        <f t="shared" si="60"/>
        <v>43.892011066484649</v>
      </c>
      <c r="AE72" s="4">
        <f t="shared" si="61"/>
        <v>140.76760000000002</v>
      </c>
      <c r="AF72" s="4">
        <f t="shared" si="62"/>
        <v>321.71872000000002</v>
      </c>
      <c r="AG72" s="4">
        <f t="shared" si="71"/>
        <v>233.37971999999996</v>
      </c>
      <c r="AH72" s="4">
        <f t="shared" si="63"/>
        <v>89.127006623832287</v>
      </c>
      <c r="AI72" s="63">
        <f t="shared" si="64"/>
        <v>399.08963635976539</v>
      </c>
      <c r="AJ72" s="4">
        <f t="shared" si="65"/>
        <v>152.15912731106107</v>
      </c>
      <c r="AK72" s="4">
        <f t="shared" si="66"/>
        <v>176.37825603823666</v>
      </c>
      <c r="AL72" s="4">
        <f t="shared" si="67"/>
        <v>201.87619350461691</v>
      </c>
      <c r="AM72" s="4">
        <f t="shared" si="68"/>
        <v>211.63929776389696</v>
      </c>
      <c r="AN72" s="73">
        <f t="shared" si="69"/>
        <v>1141.1425109775771</v>
      </c>
    </row>
    <row r="73" spans="2:41" x14ac:dyDescent="0.3">
      <c r="B73" t="s">
        <v>86</v>
      </c>
      <c r="C73" s="73">
        <f>Historical_Cost!K50</f>
        <v>31.737379039343061</v>
      </c>
      <c r="D73" s="63">
        <f>Historical_Cost!L50</f>
        <v>70.575759133067308</v>
      </c>
      <c r="E73" s="4">
        <f>Historical_Cost!M50</f>
        <v>60.175109999999997</v>
      </c>
      <c r="F73" s="4">
        <f>Historical_Cost!N50</f>
        <v>45.505240000000008</v>
      </c>
      <c r="G73" s="84">
        <f>Historical_Cost!O50</f>
        <v>76.91086</v>
      </c>
      <c r="H73" s="4">
        <f t="shared" si="58"/>
        <v>71.467064297197027</v>
      </c>
      <c r="I73" s="63">
        <f t="shared" si="58"/>
        <v>45.50570269275623</v>
      </c>
      <c r="J73" s="4">
        <f t="shared" si="58"/>
        <v>44.001078137501501</v>
      </c>
      <c r="K73" s="4">
        <f t="shared" si="58"/>
        <v>39.863850294082454</v>
      </c>
      <c r="L73" s="4">
        <f t="shared" si="58"/>
        <v>44.513878997799942</v>
      </c>
      <c r="M73" s="4">
        <f t="shared" si="58"/>
        <v>45.52844108423389</v>
      </c>
      <c r="N73" s="73">
        <f>SUM(I73:M73)</f>
        <v>219.412951206374</v>
      </c>
      <c r="Y73" s="4"/>
      <c r="Z73" s="4"/>
      <c r="AA73" s="4"/>
      <c r="AB73" t="s">
        <v>86</v>
      </c>
      <c r="AC73" s="73">
        <f t="shared" si="59"/>
        <v>31.737379039343061</v>
      </c>
      <c r="AD73" s="63">
        <f t="shared" si="60"/>
        <v>70.575759133067308</v>
      </c>
      <c r="AE73" s="4">
        <f t="shared" si="61"/>
        <v>60.175109999999997</v>
      </c>
      <c r="AF73" s="4">
        <f t="shared" si="62"/>
        <v>45.505240000000008</v>
      </c>
      <c r="AG73" s="4">
        <f t="shared" si="71"/>
        <v>76.91086</v>
      </c>
      <c r="AH73" s="4">
        <f t="shared" si="63"/>
        <v>71.467064297197027</v>
      </c>
      <c r="AI73" s="63">
        <f t="shared" si="64"/>
        <v>45.50570269275623</v>
      </c>
      <c r="AJ73" s="4">
        <f t="shared" si="65"/>
        <v>44.001078137501501</v>
      </c>
      <c r="AK73" s="4">
        <f t="shared" si="66"/>
        <v>39.863850294082454</v>
      </c>
      <c r="AL73" s="4">
        <f t="shared" si="67"/>
        <v>44.513878997799942</v>
      </c>
      <c r="AM73" s="4">
        <f t="shared" si="68"/>
        <v>45.52844108423389</v>
      </c>
      <c r="AN73" s="73">
        <f>SUM(AI73:AM73)</f>
        <v>219.412951206374</v>
      </c>
    </row>
    <row r="74" spans="2:41" x14ac:dyDescent="0.3">
      <c r="B74" t="s">
        <v>207</v>
      </c>
      <c r="C74" s="73">
        <f>Historical_Cost!K51</f>
        <v>0</v>
      </c>
      <c r="D74" s="63">
        <f>Historical_Cost!L51</f>
        <v>33.322519999999997</v>
      </c>
      <c r="E74" s="4">
        <f>Historical_Cost!M51</f>
        <v>150.28121999999999</v>
      </c>
      <c r="F74" s="4">
        <f>Historical_Cost!N51</f>
        <v>148.44015999999999</v>
      </c>
      <c r="G74" s="84">
        <f>Historical_Cost!O51</f>
        <v>221.54782999999998</v>
      </c>
      <c r="H74" s="4">
        <f t="shared" si="58"/>
        <v>1907.9737412194031</v>
      </c>
      <c r="I74" s="63">
        <f t="shared" si="58"/>
        <v>1158.7189401895798</v>
      </c>
      <c r="J74" s="4">
        <f t="shared" si="58"/>
        <v>1751.9795213136529</v>
      </c>
      <c r="K74" s="4">
        <f t="shared" si="58"/>
        <v>2072.6252193731557</v>
      </c>
      <c r="L74" s="4">
        <f t="shared" si="58"/>
        <v>1870.9210825402836</v>
      </c>
      <c r="M74" s="4">
        <f t="shared" si="58"/>
        <v>2607.1543004778291</v>
      </c>
      <c r="N74" s="73">
        <f t="shared" si="70"/>
        <v>9461.3990638945015</v>
      </c>
      <c r="Y74" s="4"/>
      <c r="Z74" s="4"/>
      <c r="AA74" s="4"/>
      <c r="AB74" t="s">
        <v>207</v>
      </c>
      <c r="AC74" s="73">
        <f t="shared" si="59"/>
        <v>0</v>
      </c>
      <c r="AD74" s="63">
        <f t="shared" si="60"/>
        <v>33.322519999999997</v>
      </c>
      <c r="AE74" s="4">
        <f t="shared" si="61"/>
        <v>150.28121999999999</v>
      </c>
      <c r="AF74" s="4">
        <f t="shared" si="62"/>
        <v>148.44015999999999</v>
      </c>
      <c r="AG74" s="4">
        <f t="shared" si="71"/>
        <v>221.54782999999998</v>
      </c>
      <c r="AH74" s="4">
        <f t="shared" si="63"/>
        <v>1907.9737412194031</v>
      </c>
      <c r="AI74" s="63">
        <f t="shared" si="64"/>
        <v>1158.7189401895798</v>
      </c>
      <c r="AJ74" s="4">
        <f t="shared" si="65"/>
        <v>1751.9795213136529</v>
      </c>
      <c r="AK74" s="4">
        <f t="shared" si="66"/>
        <v>2072.6252193731557</v>
      </c>
      <c r="AL74" s="4">
        <f t="shared" si="67"/>
        <v>1870.9210825402836</v>
      </c>
      <c r="AM74" s="4">
        <f t="shared" si="68"/>
        <v>2607.1543004778291</v>
      </c>
      <c r="AN74" s="73">
        <f>SUM(AI74:AM74)</f>
        <v>9461.3990638945015</v>
      </c>
    </row>
    <row r="75" spans="2:41" x14ac:dyDescent="0.3">
      <c r="B75" s="1" t="s">
        <v>324</v>
      </c>
      <c r="C75" s="220">
        <f t="shared" ref="C75:D75" si="85">SUM(C66:C74)</f>
        <v>5632.8507057449478</v>
      </c>
      <c r="D75" s="219">
        <f t="shared" si="85"/>
        <v>5353.4797476225758</v>
      </c>
      <c r="E75" s="218">
        <f>SUM(E66:E74)</f>
        <v>8971.2046200000004</v>
      </c>
      <c r="F75" s="218">
        <f>SUM(F66:F74)</f>
        <v>10110.310010000001</v>
      </c>
      <c r="G75" s="294">
        <f t="shared" ref="G75:K75" si="86">SUM(G66:G74)</f>
        <v>8538.4872000000014</v>
      </c>
      <c r="H75" s="218">
        <f t="shared" si="86"/>
        <v>11683.212708981822</v>
      </c>
      <c r="I75" s="219">
        <f t="shared" si="86"/>
        <v>7783.5605482985393</v>
      </c>
      <c r="J75" s="218">
        <f t="shared" si="86"/>
        <v>7771.8879332699089</v>
      </c>
      <c r="K75" s="218">
        <f t="shared" si="86"/>
        <v>7561.5632979352285</v>
      </c>
      <c r="L75" s="218">
        <f t="shared" ref="L75:M75" si="87">SUM(L66:L74)</f>
        <v>8266.9221761098488</v>
      </c>
      <c r="M75" s="218">
        <f t="shared" si="87"/>
        <v>9431.524167565387</v>
      </c>
      <c r="N75" s="220">
        <f t="shared" ref="N75" si="88">SUM(N66:N74)</f>
        <v>40815.458123178913</v>
      </c>
      <c r="Y75" s="4"/>
      <c r="Z75" s="4"/>
      <c r="AA75" s="4"/>
      <c r="AB75" s="1" t="s">
        <v>94</v>
      </c>
      <c r="AC75" s="220">
        <f>SUM(AC66:AC74)</f>
        <v>5632.8507057449478</v>
      </c>
      <c r="AD75" s="219">
        <f t="shared" ref="AD75" si="89">SUM(AD66:AD74)</f>
        <v>5353.4797476225758</v>
      </c>
      <c r="AE75" s="218">
        <f t="shared" ref="AE75" si="90">SUM(AE66:AE74)</f>
        <v>8971.2046200000004</v>
      </c>
      <c r="AF75" s="218">
        <f t="shared" ref="AF75" si="91">SUM(AF66:AF74)</f>
        <v>10110.310010000001</v>
      </c>
      <c r="AG75" s="218">
        <f t="shared" ref="AG75" si="92">SUM(AG66:AG74)</f>
        <v>8538.4872000000014</v>
      </c>
      <c r="AH75" s="218">
        <f t="shared" ref="AH75" si="93">SUM(AH66:AH74)</f>
        <v>11683.212708981822</v>
      </c>
      <c r="AI75" s="219">
        <f t="shared" ref="AI75" si="94">SUM(AI66:AI74)</f>
        <v>7783.5605482985393</v>
      </c>
      <c r="AJ75" s="218">
        <f t="shared" ref="AJ75" si="95">SUM(AJ66:AJ74)</f>
        <v>7771.8879332699089</v>
      </c>
      <c r="AK75" s="218">
        <f t="shared" ref="AK75" si="96">SUM(AK66:AK74)</f>
        <v>7561.5632979352285</v>
      </c>
      <c r="AL75" s="218">
        <f t="shared" ref="AL75" si="97">SUM(AL66:AL74)</f>
        <v>8266.9221761098488</v>
      </c>
      <c r="AM75" s="218">
        <f t="shared" ref="AM75" si="98">SUM(AM66:AM74)</f>
        <v>9431.524167565387</v>
      </c>
      <c r="AN75" s="220">
        <f t="shared" ref="AN75" si="99">SUM(AN66:AN74)</f>
        <v>40815.458123178913</v>
      </c>
    </row>
    <row r="76" spans="2:41" x14ac:dyDescent="0.3">
      <c r="B76" s="49" t="s">
        <v>60</v>
      </c>
      <c r="C76" s="58">
        <f>C75-Historical_Cost!K52</f>
        <v>0</v>
      </c>
      <c r="D76" s="58">
        <f>D75-Historical_Cost!L52</f>
        <v>0</v>
      </c>
      <c r="E76" s="58">
        <f>E75-Historical_Cost!M52</f>
        <v>0</v>
      </c>
      <c r="F76" s="58">
        <f>F75-Historical_Cost!N52</f>
        <v>0</v>
      </c>
      <c r="G76" s="58">
        <f>G75-Historical_Cost!O52</f>
        <v>0</v>
      </c>
      <c r="H76" s="58">
        <f t="shared" ref="H76:M76" si="100">H75-(H61*H63)</f>
        <v>0</v>
      </c>
      <c r="I76" s="58">
        <f t="shared" si="100"/>
        <v>0</v>
      </c>
      <c r="J76" s="58">
        <f t="shared" si="100"/>
        <v>0</v>
      </c>
      <c r="K76" s="58">
        <f t="shared" si="100"/>
        <v>0</v>
      </c>
      <c r="L76" s="58">
        <f t="shared" si="100"/>
        <v>0</v>
      </c>
      <c r="M76" s="58">
        <f t="shared" si="100"/>
        <v>0</v>
      </c>
      <c r="Y76" s="4"/>
      <c r="Z76" s="4"/>
      <c r="AA76" s="4"/>
      <c r="AB76" s="49" t="s">
        <v>60</v>
      </c>
      <c r="AC76" s="58">
        <f>AC75-C75</f>
        <v>0</v>
      </c>
      <c r="AD76" s="58">
        <f t="shared" ref="AD76:AN76" si="101">AD75-D75</f>
        <v>0</v>
      </c>
      <c r="AE76" s="58">
        <f t="shared" si="101"/>
        <v>0</v>
      </c>
      <c r="AF76" s="58">
        <f t="shared" si="101"/>
        <v>0</v>
      </c>
      <c r="AG76" s="58">
        <f t="shared" si="101"/>
        <v>0</v>
      </c>
      <c r="AH76" s="58">
        <f t="shared" si="101"/>
        <v>0</v>
      </c>
      <c r="AI76" s="58">
        <f t="shared" si="101"/>
        <v>0</v>
      </c>
      <c r="AJ76" s="58">
        <f t="shared" si="101"/>
        <v>0</v>
      </c>
      <c r="AK76" s="58">
        <f t="shared" si="101"/>
        <v>0</v>
      </c>
      <c r="AL76" s="58">
        <f t="shared" si="101"/>
        <v>0</v>
      </c>
      <c r="AM76" s="58">
        <f t="shared" si="101"/>
        <v>0</v>
      </c>
      <c r="AN76" s="58">
        <f t="shared" si="101"/>
        <v>0</v>
      </c>
    </row>
    <row r="77" spans="2:41" x14ac:dyDescent="0.3">
      <c r="B77" s="49"/>
      <c r="C77" s="395" t="s">
        <v>95</v>
      </c>
      <c r="D77" s="396"/>
      <c r="E77" s="396"/>
      <c r="F77" s="396"/>
      <c r="G77" s="396"/>
      <c r="H77" s="397"/>
      <c r="I77" s="425" t="s">
        <v>232</v>
      </c>
      <c r="J77" s="426"/>
      <c r="K77" s="426"/>
      <c r="L77" s="426"/>
      <c r="M77" s="427"/>
      <c r="N77" s="149" t="s">
        <v>2</v>
      </c>
      <c r="Y77" s="4"/>
      <c r="Z77" s="4"/>
      <c r="AA77" s="4"/>
      <c r="AB77" s="49"/>
      <c r="AC77" s="395" t="s">
        <v>95</v>
      </c>
      <c r="AD77" s="396"/>
      <c r="AE77" s="396"/>
      <c r="AF77" s="396"/>
      <c r="AG77" s="396"/>
      <c r="AH77" s="397"/>
      <c r="AI77" s="428" t="s">
        <v>232</v>
      </c>
      <c r="AJ77" s="429"/>
      <c r="AK77" s="429"/>
      <c r="AL77" s="429"/>
      <c r="AM77" s="429"/>
      <c r="AN77" s="430"/>
    </row>
    <row r="78" spans="2:41" x14ac:dyDescent="0.3">
      <c r="B78" s="1" t="s">
        <v>322</v>
      </c>
      <c r="C78" s="149" t="s">
        <v>135</v>
      </c>
      <c r="D78" s="143" t="s">
        <v>135</v>
      </c>
      <c r="E78" s="3" t="s">
        <v>135</v>
      </c>
      <c r="F78" s="3" t="s">
        <v>134</v>
      </c>
      <c r="G78" s="145" t="s">
        <v>133</v>
      </c>
      <c r="H78" s="3" t="s">
        <v>132</v>
      </c>
      <c r="I78" s="61" t="s">
        <v>196</v>
      </c>
      <c r="J78" s="3" t="s">
        <v>197</v>
      </c>
      <c r="K78" s="3" t="s">
        <v>218</v>
      </c>
      <c r="L78" s="3" t="s">
        <v>219</v>
      </c>
      <c r="M78" s="3" t="s">
        <v>220</v>
      </c>
      <c r="N78" s="87" t="s">
        <v>227</v>
      </c>
      <c r="Y78" s="4"/>
      <c r="Z78" s="4"/>
      <c r="AA78" s="4"/>
      <c r="AB78" s="1" t="s">
        <v>322</v>
      </c>
      <c r="AC78" s="312" t="str">
        <f>Allocations!G$53</f>
        <v>2020-21</v>
      </c>
      <c r="AD78" s="109" t="str">
        <f>Allocations!H$53</f>
        <v>2021-22</v>
      </c>
      <c r="AE78" s="140" t="str">
        <f>Allocations!I$53</f>
        <v>2022-23</v>
      </c>
      <c r="AF78" s="168" t="str">
        <f>Allocations!J$53</f>
        <v>2023-24</v>
      </c>
      <c r="AG78" s="109" t="str">
        <f>Allocations!K$53</f>
        <v>2024-25</v>
      </c>
      <c r="AH78" s="168" t="str">
        <f>Allocations!L$53</f>
        <v>2025-26</v>
      </c>
      <c r="AI78" s="217" t="str">
        <f>Allocations!M$53</f>
        <v>2026-27</v>
      </c>
      <c r="AJ78" s="140" t="str">
        <f>Allocations!N$53</f>
        <v>2027–28</v>
      </c>
      <c r="AK78" s="140" t="str">
        <f>Allocations!O$53</f>
        <v>2028–29</v>
      </c>
      <c r="AL78" s="140" t="str">
        <f>Allocations!P$53</f>
        <v>2029–30</v>
      </c>
      <c r="AM78" s="168" t="str">
        <f>Allocations!Q$53</f>
        <v>2030–31</v>
      </c>
      <c r="AN78" s="29" t="s">
        <v>2</v>
      </c>
    </row>
    <row r="79" spans="2:41" x14ac:dyDescent="0.3">
      <c r="B79" t="s">
        <v>82</v>
      </c>
      <c r="C79" s="73">
        <f t="shared" ref="C79:D79" si="102">C52+C66</f>
        <v>13415.71740418851</v>
      </c>
      <c r="D79" s="63">
        <f t="shared" si="102"/>
        <v>10939.958146046683</v>
      </c>
      <c r="E79" s="4">
        <f t="shared" ref="E79:K79" si="103">E52+E66</f>
        <v>16808.717629999992</v>
      </c>
      <c r="F79" s="4">
        <f t="shared" si="103"/>
        <v>20002.062300000005</v>
      </c>
      <c r="G79" s="84">
        <f t="shared" si="103"/>
        <v>17358.658699999996</v>
      </c>
      <c r="H79" s="4">
        <f t="shared" si="103"/>
        <v>22574.266985214355</v>
      </c>
      <c r="I79" s="63">
        <f t="shared" si="103"/>
        <v>19351.772467838215</v>
      </c>
      <c r="J79" s="4">
        <f t="shared" si="103"/>
        <v>19085.347626452076</v>
      </c>
      <c r="K79" s="4">
        <f t="shared" si="103"/>
        <v>19263.529670169817</v>
      </c>
      <c r="L79" s="4">
        <f t="shared" ref="L79:M79" si="104">L52+L66</f>
        <v>19818.934345187605</v>
      </c>
      <c r="M79" s="4">
        <f t="shared" si="104"/>
        <v>20262.71861164011</v>
      </c>
      <c r="N79" s="73">
        <f>SUM(I79:M79)</f>
        <v>97782.302721287837</v>
      </c>
      <c r="Y79" s="4"/>
      <c r="Z79" s="4"/>
      <c r="AA79" s="4"/>
      <c r="AB79" t="s">
        <v>82</v>
      </c>
      <c r="AC79" s="73">
        <f t="shared" ref="AC79:AH79" si="105">AC52+AC66</f>
        <v>40025.208404188517</v>
      </c>
      <c r="AD79" s="63">
        <f t="shared" si="105"/>
        <v>35132.428146046688</v>
      </c>
      <c r="AE79" s="4">
        <f t="shared" si="105"/>
        <v>46991.702629999992</v>
      </c>
      <c r="AF79" s="4">
        <f t="shared" si="105"/>
        <v>58037.301300000006</v>
      </c>
      <c r="AG79" s="4">
        <f t="shared" si="105"/>
        <v>48090.691699999996</v>
      </c>
      <c r="AH79" s="4">
        <f t="shared" si="105"/>
        <v>57356.170358379219</v>
      </c>
      <c r="AI79" s="63">
        <f t="shared" ref="AI79:AM79" si="106">AI52+AI66</f>
        <v>56941.494232442892</v>
      </c>
      <c r="AJ79" s="4">
        <f t="shared" si="106"/>
        <v>57430.375500109585</v>
      </c>
      <c r="AK79" s="4">
        <f t="shared" si="106"/>
        <v>58365.6102042973</v>
      </c>
      <c r="AL79" s="4">
        <f t="shared" si="106"/>
        <v>59676.210447138983</v>
      </c>
      <c r="AM79" s="4">
        <f t="shared" si="106"/>
        <v>60874.902874220163</v>
      </c>
      <c r="AN79" s="73">
        <f t="shared" ref="AN79:AN85" si="107">SUM(AI79:AM79)</f>
        <v>293288.59325820894</v>
      </c>
    </row>
    <row r="80" spans="2:41" x14ac:dyDescent="0.3">
      <c r="B80" t="s">
        <v>83</v>
      </c>
      <c r="C80" s="73">
        <f t="shared" ref="C80:D80" si="108">C53+C67</f>
        <v>6758.2174015625751</v>
      </c>
      <c r="D80" s="63">
        <f t="shared" si="108"/>
        <v>8302.910304277153</v>
      </c>
      <c r="E80" s="4">
        <f t="shared" ref="E80:K80" si="109">E53+E67</f>
        <v>7832.3559799999985</v>
      </c>
      <c r="F80" s="4">
        <f t="shared" si="109"/>
        <v>8845.5354100000004</v>
      </c>
      <c r="G80" s="84">
        <f t="shared" si="109"/>
        <v>12484.203430000001</v>
      </c>
      <c r="H80" s="4">
        <f t="shared" si="109"/>
        <v>8678.3523270392016</v>
      </c>
      <c r="I80" s="63">
        <f t="shared" si="109"/>
        <v>10441.205445472926</v>
      </c>
      <c r="J80" s="4">
        <f t="shared" si="109"/>
        <v>10622.276146075274</v>
      </c>
      <c r="K80" s="4">
        <f t="shared" si="109"/>
        <v>10737.60653612776</v>
      </c>
      <c r="L80" s="4">
        <f t="shared" ref="L80:M80" si="110">L53+L67</f>
        <v>11062.911285677079</v>
      </c>
      <c r="M80" s="4">
        <f t="shared" si="110"/>
        <v>11326.051581708445</v>
      </c>
      <c r="N80" s="73">
        <f t="shared" ref="N80:N87" si="111">SUM(I80:M80)</f>
        <v>54190.050995061487</v>
      </c>
      <c r="Y80" s="4"/>
      <c r="Z80" s="4"/>
      <c r="AA80" s="4"/>
      <c r="AB80" t="s">
        <v>83</v>
      </c>
      <c r="AC80" s="73">
        <f t="shared" ref="AC80:AH80" si="112">AC53+AC67</f>
        <v>6776.7714015625752</v>
      </c>
      <c r="AD80" s="63">
        <f t="shared" si="112"/>
        <v>8308.8003042771543</v>
      </c>
      <c r="AE80" s="4">
        <f t="shared" si="112"/>
        <v>7841.3959799999993</v>
      </c>
      <c r="AF80" s="4">
        <f t="shared" si="112"/>
        <v>8845.5354100000004</v>
      </c>
      <c r="AG80" s="4">
        <f t="shared" si="112"/>
        <v>12484.203430000001</v>
      </c>
      <c r="AH80" s="4">
        <f t="shared" si="112"/>
        <v>8678.3523270392016</v>
      </c>
      <c r="AI80" s="63">
        <f t="shared" ref="AI80:AM80" si="113">AI53+AI67</f>
        <v>10441.205445472926</v>
      </c>
      <c r="AJ80" s="4">
        <f t="shared" si="113"/>
        <v>10622.276146075274</v>
      </c>
      <c r="AK80" s="4">
        <f t="shared" si="113"/>
        <v>10737.60653612776</v>
      </c>
      <c r="AL80" s="4">
        <f t="shared" si="113"/>
        <v>11062.911285677079</v>
      </c>
      <c r="AM80" s="4">
        <f t="shared" si="113"/>
        <v>11326.051581708445</v>
      </c>
      <c r="AN80" s="73">
        <f t="shared" si="107"/>
        <v>54190.050995061487</v>
      </c>
    </row>
    <row r="81" spans="2:40" x14ac:dyDescent="0.3">
      <c r="B81" t="s">
        <v>84</v>
      </c>
      <c r="C81" s="73">
        <f t="shared" ref="C81:D82" si="114">C54+C68</f>
        <v>23472.551510528938</v>
      </c>
      <c r="D81" s="63">
        <f t="shared" si="114"/>
        <v>20170.917396072738</v>
      </c>
      <c r="E81" s="4">
        <f t="shared" ref="E81:K82" si="115">E54+E68</f>
        <v>34588.748520000008</v>
      </c>
      <c r="F81" s="4">
        <f t="shared" si="115"/>
        <v>35966.310539999999</v>
      </c>
      <c r="G81" s="84">
        <f t="shared" si="115"/>
        <v>50759.770840000012</v>
      </c>
      <c r="H81" s="4">
        <f t="shared" si="115"/>
        <v>47788.521782911121</v>
      </c>
      <c r="I81" s="63">
        <f t="shared" si="115"/>
        <v>43211.465296405688</v>
      </c>
      <c r="J81" s="4">
        <f t="shared" si="115"/>
        <v>43960.835695842346</v>
      </c>
      <c r="K81" s="4">
        <f t="shared" si="115"/>
        <v>44438.136441757139</v>
      </c>
      <c r="L81" s="4">
        <f t="shared" ref="L81:M82" si="116">L54+L68</f>
        <v>45784.426864765825</v>
      </c>
      <c r="M81" s="4">
        <f t="shared" si="116"/>
        <v>46873.446502337967</v>
      </c>
      <c r="N81" s="73">
        <f t="shared" si="111"/>
        <v>224268.31080110895</v>
      </c>
      <c r="Y81" s="4"/>
      <c r="Z81" s="4"/>
      <c r="AA81" s="4"/>
      <c r="AB81" t="s">
        <v>84</v>
      </c>
      <c r="AC81" s="73">
        <f t="shared" ref="AC81:AH82" si="117">AC54+AC68</f>
        <v>30367.514510528938</v>
      </c>
      <c r="AD81" s="63">
        <f t="shared" si="117"/>
        <v>22498.06539607274</v>
      </c>
      <c r="AE81" s="4">
        <f t="shared" si="117"/>
        <v>40051.57852000001</v>
      </c>
      <c r="AF81" s="4">
        <f t="shared" si="117"/>
        <v>41032.793539999999</v>
      </c>
      <c r="AG81" s="4">
        <f t="shared" si="117"/>
        <v>62970.786840000008</v>
      </c>
      <c r="AH81" s="4">
        <f t="shared" si="117"/>
        <v>55523.291183804067</v>
      </c>
      <c r="AI81" s="63">
        <f t="shared" ref="AI81:AM82" si="118">AI54+AI68</f>
        <v>50469.053801691174</v>
      </c>
      <c r="AJ81" s="4">
        <f t="shared" si="118"/>
        <v>51218.424201127833</v>
      </c>
      <c r="AK81" s="4">
        <f t="shared" si="118"/>
        <v>51695.724947042625</v>
      </c>
      <c r="AL81" s="4">
        <f t="shared" si="118"/>
        <v>53042.015370051311</v>
      </c>
      <c r="AM81" s="4">
        <f t="shared" si="118"/>
        <v>54131.035007623454</v>
      </c>
      <c r="AN81" s="73">
        <f t="shared" si="107"/>
        <v>260556.2533275364</v>
      </c>
    </row>
    <row r="82" spans="2:40" x14ac:dyDescent="0.3">
      <c r="B82" s="381" t="s">
        <v>393</v>
      </c>
      <c r="C82" s="73">
        <f t="shared" si="114"/>
        <v>0</v>
      </c>
      <c r="D82" s="63">
        <f t="shared" si="114"/>
        <v>0</v>
      </c>
      <c r="E82" s="4">
        <f t="shared" si="115"/>
        <v>26.876889999999992</v>
      </c>
      <c r="F82" s="4">
        <f t="shared" si="115"/>
        <v>370.9250199999999</v>
      </c>
      <c r="G82" s="84">
        <f t="shared" si="115"/>
        <v>3983.047410000001</v>
      </c>
      <c r="H82" s="4">
        <f t="shared" si="115"/>
        <v>7108.5829633224421</v>
      </c>
      <c r="I82" s="63">
        <f t="shared" si="115"/>
        <v>4405.2538360916224</v>
      </c>
      <c r="J82" s="4">
        <f t="shared" si="115"/>
        <v>1339.5476884858124</v>
      </c>
      <c r="K82" s="4">
        <f t="shared" si="115"/>
        <v>0</v>
      </c>
      <c r="L82" s="4">
        <f t="shared" si="116"/>
        <v>0</v>
      </c>
      <c r="M82" s="4">
        <f t="shared" si="116"/>
        <v>0</v>
      </c>
      <c r="N82" s="73">
        <f t="shared" ref="N82" si="119">SUM(I82:M82)</f>
        <v>5744.801524577435</v>
      </c>
      <c r="Y82" s="4"/>
      <c r="Z82" s="4"/>
      <c r="AA82" s="4"/>
      <c r="AB82" s="381" t="s">
        <v>393</v>
      </c>
      <c r="AC82" s="73">
        <f t="shared" si="117"/>
        <v>0</v>
      </c>
      <c r="AD82" s="63">
        <f t="shared" si="117"/>
        <v>0</v>
      </c>
      <c r="AE82" s="4">
        <f t="shared" si="117"/>
        <v>26.876889999999992</v>
      </c>
      <c r="AF82" s="4">
        <f t="shared" si="117"/>
        <v>370.9250199999999</v>
      </c>
      <c r="AG82" s="4">
        <f t="shared" si="117"/>
        <v>4074.0464100000008</v>
      </c>
      <c r="AH82" s="4">
        <f t="shared" si="117"/>
        <v>7108.5829633224421</v>
      </c>
      <c r="AI82" s="63">
        <f t="shared" si="118"/>
        <v>4405.2538360916224</v>
      </c>
      <c r="AJ82" s="4">
        <f t="shared" si="118"/>
        <v>1339.5476884858124</v>
      </c>
      <c r="AK82" s="4">
        <f t="shared" si="118"/>
        <v>0</v>
      </c>
      <c r="AL82" s="4">
        <f t="shared" si="118"/>
        <v>0</v>
      </c>
      <c r="AM82" s="4">
        <f t="shared" si="118"/>
        <v>0</v>
      </c>
      <c r="AN82" s="73">
        <f t="shared" ref="AN82" si="120">SUM(AI82:AM82)</f>
        <v>5744.801524577435</v>
      </c>
    </row>
    <row r="83" spans="2:40" x14ac:dyDescent="0.3">
      <c r="B83" t="s">
        <v>85</v>
      </c>
      <c r="C83" s="73">
        <f t="shared" ref="C83:D83" si="121">C56+C70</f>
        <v>8540.378427340398</v>
      </c>
      <c r="D83" s="63">
        <f t="shared" si="121"/>
        <v>10708.132888109509</v>
      </c>
      <c r="E83" s="4">
        <f t="shared" ref="E83:K83" si="122">E56+E70</f>
        <v>9645.5945699999975</v>
      </c>
      <c r="F83" s="4">
        <f t="shared" si="122"/>
        <v>8894.7044700000006</v>
      </c>
      <c r="G83" s="84">
        <f t="shared" si="122"/>
        <v>12097.909170000001</v>
      </c>
      <c r="H83" s="4">
        <f t="shared" si="122"/>
        <v>13721.363444547573</v>
      </c>
      <c r="I83" s="63">
        <f t="shared" si="122"/>
        <v>12407.168043340931</v>
      </c>
      <c r="J83" s="4">
        <f t="shared" si="122"/>
        <v>12622.332338482051</v>
      </c>
      <c r="K83" s="4">
        <f t="shared" si="122"/>
        <v>12759.378155400218</v>
      </c>
      <c r="L83" s="4">
        <f t="shared" ref="L83:M83" si="123">L56+L70</f>
        <v>13145.934163136404</v>
      </c>
      <c r="M83" s="4">
        <f t="shared" si="123"/>
        <v>13458.620843700779</v>
      </c>
      <c r="N83" s="73">
        <f t="shared" si="111"/>
        <v>64393.433544060383</v>
      </c>
      <c r="Y83" s="4"/>
      <c r="Z83" s="4"/>
      <c r="AA83" s="4"/>
      <c r="AB83" t="s">
        <v>85</v>
      </c>
      <c r="AC83" s="73">
        <f t="shared" ref="AC83:AH83" si="124">AC56+AC70</f>
        <v>8647.2544273403983</v>
      </c>
      <c r="AD83" s="63">
        <f t="shared" si="124"/>
        <v>10885.716888109509</v>
      </c>
      <c r="AE83" s="4">
        <f t="shared" si="124"/>
        <v>9842.1705699999984</v>
      </c>
      <c r="AF83" s="4">
        <f t="shared" si="124"/>
        <v>9005.0224699999999</v>
      </c>
      <c r="AG83" s="4">
        <f t="shared" si="124"/>
        <v>12381.269170000001</v>
      </c>
      <c r="AH83" s="4">
        <f t="shared" si="124"/>
        <v>13721.363444547573</v>
      </c>
      <c r="AI83" s="63">
        <f t="shared" ref="AI83:AM83" si="125">AI56+AI70</f>
        <v>12407.168043340931</v>
      </c>
      <c r="AJ83" s="4">
        <f t="shared" si="125"/>
        <v>12622.332338482051</v>
      </c>
      <c r="AK83" s="4">
        <f t="shared" si="125"/>
        <v>12759.378155400218</v>
      </c>
      <c r="AL83" s="4">
        <f t="shared" si="125"/>
        <v>13145.934163136404</v>
      </c>
      <c r="AM83" s="4">
        <f t="shared" si="125"/>
        <v>13458.620843700779</v>
      </c>
      <c r="AN83" s="73">
        <f t="shared" si="107"/>
        <v>64393.433544060383</v>
      </c>
    </row>
    <row r="84" spans="2:40" x14ac:dyDescent="0.3">
      <c r="B84" t="s">
        <v>77</v>
      </c>
      <c r="C84" s="73">
        <f t="shared" ref="C84:D84" si="126">C57+C71</f>
        <v>2347.8925856817332</v>
      </c>
      <c r="D84" s="63">
        <f t="shared" si="126"/>
        <v>1470.947032916931</v>
      </c>
      <c r="E84" s="4">
        <f t="shared" ref="E84:K84" si="127">E57+E71</f>
        <v>2767.2553799999996</v>
      </c>
      <c r="F84" s="4">
        <f t="shared" si="127"/>
        <v>3304.8220699999988</v>
      </c>
      <c r="G84" s="84">
        <f t="shared" si="127"/>
        <v>2810.665950000001</v>
      </c>
      <c r="H84" s="4">
        <f t="shared" si="127"/>
        <v>2431.0881802502076</v>
      </c>
      <c r="I84" s="63">
        <f t="shared" si="127"/>
        <v>2198.2450725427002</v>
      </c>
      <c r="J84" s="4">
        <f t="shared" si="127"/>
        <v>2236.3668945353461</v>
      </c>
      <c r="K84" s="4">
        <f t="shared" si="127"/>
        <v>2260.6480431988098</v>
      </c>
      <c r="L84" s="4">
        <f t="shared" ref="L84:M84" si="128">L57+L71</f>
        <v>2329.1362619687579</v>
      </c>
      <c r="M84" s="4">
        <f t="shared" si="128"/>
        <v>2384.5366524848919</v>
      </c>
      <c r="N84" s="73">
        <f t="shared" si="111"/>
        <v>11408.932924730505</v>
      </c>
      <c r="Y84" s="4"/>
      <c r="Z84" s="4"/>
      <c r="AA84" s="4"/>
      <c r="AB84" t="s">
        <v>77</v>
      </c>
      <c r="AC84" s="73">
        <f t="shared" ref="AC84:AH84" si="129">AC57+AC71</f>
        <v>4557.6665856817335</v>
      </c>
      <c r="AD84" s="63">
        <f t="shared" si="129"/>
        <v>3445.091032916931</v>
      </c>
      <c r="AE84" s="4">
        <f t="shared" si="129"/>
        <v>6643.0763799999995</v>
      </c>
      <c r="AF84" s="4">
        <f t="shared" si="129"/>
        <v>6122.6700699999992</v>
      </c>
      <c r="AG84" s="4">
        <f t="shared" si="129"/>
        <v>7263.9199500000013</v>
      </c>
      <c r="AH84" s="4">
        <f t="shared" si="129"/>
        <v>5163.1617124736676</v>
      </c>
      <c r="AI84" s="63">
        <f t="shared" ref="AI84:AM84" si="130">AI57+AI71</f>
        <v>4761.7688746576823</v>
      </c>
      <c r="AJ84" s="4">
        <f t="shared" si="130"/>
        <v>4799.8906966503291</v>
      </c>
      <c r="AK84" s="4">
        <f t="shared" si="130"/>
        <v>4824.1718453137928</v>
      </c>
      <c r="AL84" s="4">
        <f t="shared" si="130"/>
        <v>4892.6600640837405</v>
      </c>
      <c r="AM84" s="4">
        <f t="shared" si="130"/>
        <v>4948.060454599874</v>
      </c>
      <c r="AN84" s="73">
        <f t="shared" si="107"/>
        <v>24226.551935305419</v>
      </c>
    </row>
    <row r="85" spans="2:40" x14ac:dyDescent="0.3">
      <c r="B85" t="s">
        <v>268</v>
      </c>
      <c r="C85" s="73">
        <f t="shared" ref="C85:D85" si="131">C58+C72</f>
        <v>1914.7008474034492</v>
      </c>
      <c r="D85" s="63">
        <f t="shared" si="131"/>
        <v>499.152642871225</v>
      </c>
      <c r="E85" s="4">
        <f t="shared" ref="E85:K85" si="132">E58+E72</f>
        <v>1194.5999981952596</v>
      </c>
      <c r="F85" s="4">
        <f t="shared" si="132"/>
        <v>2767.2744500000003</v>
      </c>
      <c r="G85" s="84">
        <f t="shared" si="132"/>
        <v>2889.3938399999997</v>
      </c>
      <c r="H85" s="4">
        <f t="shared" si="132"/>
        <v>948.33317169643999</v>
      </c>
      <c r="I85" s="63">
        <f t="shared" si="132"/>
        <v>5941.8792157031612</v>
      </c>
      <c r="J85" s="4">
        <f t="shared" si="132"/>
        <v>2347.9791937643336</v>
      </c>
      <c r="K85" s="4">
        <f t="shared" si="132"/>
        <v>2992.5251143019404</v>
      </c>
      <c r="L85" s="4">
        <f t="shared" ref="L85:M85" si="133">L58+L72</f>
        <v>3024.7675031019799</v>
      </c>
      <c r="M85" s="4">
        <f t="shared" si="133"/>
        <v>3039.1516477778969</v>
      </c>
      <c r="N85" s="73">
        <f t="shared" si="111"/>
        <v>17346.302674649312</v>
      </c>
      <c r="Y85" s="4"/>
      <c r="Z85" s="4"/>
      <c r="AA85" s="4"/>
      <c r="AB85" t="s">
        <v>268</v>
      </c>
      <c r="AC85" s="73">
        <f t="shared" ref="AC85:AH85" si="134">AC58+AC72</f>
        <v>1951.3488474034491</v>
      </c>
      <c r="AD85" s="63">
        <f t="shared" si="134"/>
        <v>3799.1526428712245</v>
      </c>
      <c r="AE85" s="4">
        <f t="shared" si="134"/>
        <v>2159.7652081952597</v>
      </c>
      <c r="AF85" s="4">
        <f t="shared" si="134"/>
        <v>2767.2744500000003</v>
      </c>
      <c r="AG85" s="4">
        <f t="shared" si="134"/>
        <v>2889.3938399999997</v>
      </c>
      <c r="AH85" s="4">
        <f t="shared" si="134"/>
        <v>6248.3331716964394</v>
      </c>
      <c r="AI85" s="63">
        <f t="shared" ref="AI85:AM85" si="135">AI58+AI72</f>
        <v>5941.8792157031612</v>
      </c>
      <c r="AJ85" s="4">
        <f t="shared" si="135"/>
        <v>2347.9791937643336</v>
      </c>
      <c r="AK85" s="4">
        <f t="shared" si="135"/>
        <v>2992.5251143019404</v>
      </c>
      <c r="AL85" s="4">
        <f t="shared" si="135"/>
        <v>3024.7675031019799</v>
      </c>
      <c r="AM85" s="4">
        <f t="shared" si="135"/>
        <v>3039.1516477778969</v>
      </c>
      <c r="AN85" s="73">
        <f t="shared" si="107"/>
        <v>17346.302674649312</v>
      </c>
    </row>
    <row r="86" spans="2:40" x14ac:dyDescent="0.3">
      <c r="B86" t="s">
        <v>86</v>
      </c>
      <c r="C86" s="73">
        <f t="shared" ref="C86:D86" si="136">C59+C73</f>
        <v>320.90062903934302</v>
      </c>
      <c r="D86" s="63">
        <f t="shared" si="136"/>
        <v>663.38755913306738</v>
      </c>
      <c r="E86" s="4">
        <f t="shared" ref="E86:K86" si="137">E59+E73</f>
        <v>490.25664000000006</v>
      </c>
      <c r="F86" s="4">
        <f t="shared" si="137"/>
        <v>353.34366000000006</v>
      </c>
      <c r="G86" s="84">
        <f t="shared" si="137"/>
        <v>942.28175999999985</v>
      </c>
      <c r="H86" s="4">
        <f t="shared" si="137"/>
        <v>760.42706160706575</v>
      </c>
      <c r="I86" s="63">
        <f t="shared" si="137"/>
        <v>677.51543611197417</v>
      </c>
      <c r="J86" s="4">
        <f t="shared" si="137"/>
        <v>678.98402018859326</v>
      </c>
      <c r="K86" s="4">
        <f t="shared" si="137"/>
        <v>676.35079197037271</v>
      </c>
      <c r="L86" s="4">
        <f t="shared" ref="L86:M86" si="138">L59+L73</f>
        <v>666.96390640276104</v>
      </c>
      <c r="M86" s="4">
        <f t="shared" si="138"/>
        <v>653.79085171729469</v>
      </c>
      <c r="N86" s="73">
        <f>SUM(I86:M86)</f>
        <v>3353.6050063909961</v>
      </c>
      <c r="Y86" s="4"/>
      <c r="Z86" s="4"/>
      <c r="AA86" s="4"/>
      <c r="AB86" t="s">
        <v>86</v>
      </c>
      <c r="AC86" s="73">
        <f t="shared" ref="AC86:AH86" si="139">AC59+AC73</f>
        <v>320.90062903934302</v>
      </c>
      <c r="AD86" s="63">
        <f t="shared" si="139"/>
        <v>663.38755913306738</v>
      </c>
      <c r="AE86" s="4">
        <f t="shared" si="139"/>
        <v>490.25664000000006</v>
      </c>
      <c r="AF86" s="4">
        <f t="shared" si="139"/>
        <v>353.34366000000006</v>
      </c>
      <c r="AG86" s="4">
        <f t="shared" si="139"/>
        <v>942.28175999999985</v>
      </c>
      <c r="AH86" s="4">
        <f t="shared" si="139"/>
        <v>760.42706160706575</v>
      </c>
      <c r="AI86" s="63">
        <f t="shared" ref="AI86:AM86" si="140">AI59+AI73</f>
        <v>677.51543611197417</v>
      </c>
      <c r="AJ86" s="4">
        <f t="shared" si="140"/>
        <v>678.98402018859326</v>
      </c>
      <c r="AK86" s="4">
        <f t="shared" si="140"/>
        <v>676.35079197037271</v>
      </c>
      <c r="AL86" s="4">
        <f t="shared" si="140"/>
        <v>666.96390640276104</v>
      </c>
      <c r="AM86" s="4">
        <f t="shared" si="140"/>
        <v>653.79085171729469</v>
      </c>
      <c r="AN86" s="73">
        <f>SUM(AI86:AM86)</f>
        <v>3353.6050063909961</v>
      </c>
    </row>
    <row r="87" spans="2:40" x14ac:dyDescent="0.3">
      <c r="B87" t="s">
        <v>207</v>
      </c>
      <c r="C87" s="73">
        <f t="shared" ref="C87:D87" si="141">C60+C74</f>
        <v>0</v>
      </c>
      <c r="D87" s="63">
        <f t="shared" si="141"/>
        <v>333.18619999999999</v>
      </c>
      <c r="E87" s="4">
        <f t="shared" ref="E87:K87" si="142">E60+E74</f>
        <v>1427.53639</v>
      </c>
      <c r="F87" s="4">
        <f t="shared" si="142"/>
        <v>1216.8561</v>
      </c>
      <c r="G87" s="84">
        <f t="shared" si="142"/>
        <v>2871.4422200000004</v>
      </c>
      <c r="H87" s="4">
        <f t="shared" si="142"/>
        <v>20301.307741219403</v>
      </c>
      <c r="I87" s="63">
        <f t="shared" si="142"/>
        <v>17251.68323175273</v>
      </c>
      <c r="J87" s="4">
        <f t="shared" si="142"/>
        <v>27034.930711295019</v>
      </c>
      <c r="K87" s="4">
        <f t="shared" si="142"/>
        <v>35165.23612845529</v>
      </c>
      <c r="L87" s="4">
        <f t="shared" ref="L87:M87" si="143">L60+L74</f>
        <v>28032.534164097975</v>
      </c>
      <c r="M87" s="4">
        <f t="shared" si="143"/>
        <v>37438.875350776565</v>
      </c>
      <c r="N87" s="73">
        <f t="shared" si="111"/>
        <v>144923.25958637759</v>
      </c>
      <c r="Y87" s="4"/>
      <c r="Z87" s="4"/>
      <c r="AA87" s="4"/>
      <c r="AB87" t="s">
        <v>207</v>
      </c>
      <c r="AC87" s="73">
        <f t="shared" ref="AC87:AH87" si="144">AC60+AC74</f>
        <v>0</v>
      </c>
      <c r="AD87" s="63">
        <f t="shared" si="144"/>
        <v>333.18619999999999</v>
      </c>
      <c r="AE87" s="4">
        <f t="shared" si="144"/>
        <v>1427.53639</v>
      </c>
      <c r="AF87" s="4">
        <f t="shared" si="144"/>
        <v>1216.8561</v>
      </c>
      <c r="AG87" s="4">
        <f t="shared" si="144"/>
        <v>2871.4422200000004</v>
      </c>
      <c r="AH87" s="4">
        <f t="shared" si="144"/>
        <v>25301.307741219403</v>
      </c>
      <c r="AI87" s="63">
        <f t="shared" ref="AI87:AM87" si="145">AI60+AI74</f>
        <v>24776.447902641907</v>
      </c>
      <c r="AJ87" s="4">
        <f t="shared" si="145"/>
        <v>27034.930711295019</v>
      </c>
      <c r="AK87" s="4">
        <f t="shared" si="145"/>
        <v>35165.23612845529</v>
      </c>
      <c r="AL87" s="4">
        <f t="shared" si="145"/>
        <v>28032.534164097975</v>
      </c>
      <c r="AM87" s="4">
        <f t="shared" si="145"/>
        <v>37438.875350776565</v>
      </c>
      <c r="AN87" s="73">
        <f>SUM(AI87:AM87)</f>
        <v>152448.02425726675</v>
      </c>
    </row>
    <row r="88" spans="2:40" x14ac:dyDescent="0.3">
      <c r="B88" s="295" t="s">
        <v>313</v>
      </c>
      <c r="C88" s="298">
        <f t="shared" ref="C88:D88" si="146">SUM(C79:C87)</f>
        <v>56770.358805744952</v>
      </c>
      <c r="D88" s="297">
        <f t="shared" si="146"/>
        <v>53088.592169427306</v>
      </c>
      <c r="E88" s="296">
        <f t="shared" ref="E88:K88" si="147">SUM(E79:E87)</f>
        <v>74781.941998195267</v>
      </c>
      <c r="F88" s="296">
        <f t="shared" si="147"/>
        <v>81721.834020000009</v>
      </c>
      <c r="G88" s="341">
        <f t="shared" si="147"/>
        <v>106197.37332</v>
      </c>
      <c r="H88" s="296">
        <f t="shared" si="147"/>
        <v>124312.24365780782</v>
      </c>
      <c r="I88" s="297">
        <f t="shared" si="147"/>
        <v>115886.18804525996</v>
      </c>
      <c r="J88" s="296">
        <f t="shared" si="147"/>
        <v>119928.60031512084</v>
      </c>
      <c r="K88" s="296">
        <f t="shared" si="147"/>
        <v>128293.41088138135</v>
      </c>
      <c r="L88" s="296">
        <f t="shared" ref="L88:M88" si="148">SUM(L79:L87)</f>
        <v>123865.60849433839</v>
      </c>
      <c r="M88" s="296">
        <f t="shared" si="148"/>
        <v>135437.19204214396</v>
      </c>
      <c r="N88" s="298">
        <f t="shared" ref="N88" si="149">SUM(N79:N87)</f>
        <v>623410.99977824453</v>
      </c>
      <c r="Y88" s="4"/>
      <c r="Z88" s="4"/>
      <c r="AA88" s="4"/>
      <c r="AB88" s="301" t="s">
        <v>356</v>
      </c>
      <c r="AC88" s="304">
        <f>SUM(AC79:AC87)</f>
        <v>92646.664805744964</v>
      </c>
      <c r="AD88" s="303">
        <f t="shared" ref="AD88" si="150">SUM(AD79:AD87)</f>
        <v>85065.828169427317</v>
      </c>
      <c r="AE88" s="302">
        <f t="shared" ref="AE88" si="151">SUM(AE79:AE87)</f>
        <v>115474.35920819525</v>
      </c>
      <c r="AF88" s="302">
        <f t="shared" ref="AF88" si="152">SUM(AF79:AF87)</f>
        <v>127751.72201999999</v>
      </c>
      <c r="AG88" s="302">
        <f t="shared" ref="AG88" si="153">SUM(AG79:AG87)</f>
        <v>153968.03532000002</v>
      </c>
      <c r="AH88" s="302">
        <f t="shared" ref="AH88" si="154">SUM(AH79:AH87)</f>
        <v>179860.98996408907</v>
      </c>
      <c r="AI88" s="303">
        <f t="shared" ref="AI88" si="155">SUM(AI79:AI87)</f>
        <v>170821.78678815428</v>
      </c>
      <c r="AJ88" s="302">
        <f t="shared" ref="AJ88" si="156">SUM(AJ79:AJ87)</f>
        <v>168094.74049617883</v>
      </c>
      <c r="AK88" s="302">
        <f t="shared" ref="AK88" si="157">SUM(AK79:AK87)</f>
        <v>177216.60372290932</v>
      </c>
      <c r="AL88" s="302">
        <f t="shared" ref="AL88" si="158">SUM(AL79:AL87)</f>
        <v>173543.99690369022</v>
      </c>
      <c r="AM88" s="302">
        <f t="shared" ref="AM88" si="159">SUM(AM79:AM87)</f>
        <v>185870.48861212449</v>
      </c>
      <c r="AN88" s="304">
        <f t="shared" ref="AN88" si="160">SUM(AN79:AN87)</f>
        <v>875547.61652305711</v>
      </c>
    </row>
    <row r="89" spans="2:40" x14ac:dyDescent="0.3">
      <c r="C89" s="58">
        <f t="shared" ref="C89:H89" si="161">C88-(C61+C75)</f>
        <v>0</v>
      </c>
      <c r="D89" s="58">
        <f t="shared" si="161"/>
        <v>0</v>
      </c>
      <c r="E89" s="58">
        <f t="shared" si="161"/>
        <v>0</v>
      </c>
      <c r="F89" s="58">
        <f t="shared" si="161"/>
        <v>0</v>
      </c>
      <c r="G89" s="58">
        <f t="shared" si="161"/>
        <v>0</v>
      </c>
      <c r="H89" s="58">
        <f t="shared" si="161"/>
        <v>0</v>
      </c>
      <c r="I89" s="58">
        <f>I88-(I61+I75)</f>
        <v>0</v>
      </c>
      <c r="J89" s="58">
        <f t="shared" ref="J89:N89" si="162">J88-(J61+J75)</f>
        <v>0</v>
      </c>
      <c r="K89" s="58">
        <f t="shared" si="162"/>
        <v>0</v>
      </c>
      <c r="L89" s="58">
        <f t="shared" si="162"/>
        <v>0</v>
      </c>
      <c r="M89" s="58">
        <f t="shared" si="162"/>
        <v>0</v>
      </c>
      <c r="N89" s="58">
        <f t="shared" si="162"/>
        <v>0</v>
      </c>
      <c r="AB89" s="49" t="s">
        <v>60</v>
      </c>
      <c r="AC89" s="58">
        <f>AC88-Historical_Cost!K64</f>
        <v>0</v>
      </c>
      <c r="AD89" s="58">
        <f>AD88-Historical_Cost!L64</f>
        <v>0</v>
      </c>
      <c r="AE89" s="58">
        <f>AE88-Historical_Cost!M64</f>
        <v>0</v>
      </c>
      <c r="AF89" s="58">
        <f>AF88-Historical_Cost!N64</f>
        <v>0</v>
      </c>
      <c r="AG89" s="90">
        <f>AG88-Historical_Cost!O64</f>
        <v>0</v>
      </c>
      <c r="AI89" s="227"/>
      <c r="AJ89" s="227"/>
      <c r="AK89" s="227"/>
      <c r="AL89" s="227"/>
      <c r="AM89" s="227"/>
    </row>
  </sheetData>
  <mergeCells count="37">
    <mergeCell ref="P17:Z17"/>
    <mergeCell ref="G1:H1"/>
    <mergeCell ref="I3:M3"/>
    <mergeCell ref="I2:N2"/>
    <mergeCell ref="C2:H2"/>
    <mergeCell ref="P2:Z2"/>
    <mergeCell ref="U3:Z3"/>
    <mergeCell ref="P3:T3"/>
    <mergeCell ref="C3:G3"/>
    <mergeCell ref="C50:H50"/>
    <mergeCell ref="I50:M50"/>
    <mergeCell ref="AC50:AH50"/>
    <mergeCell ref="AI50:AN50"/>
    <mergeCell ref="C64:H64"/>
    <mergeCell ref="I64:M64"/>
    <mergeCell ref="AI18:AM18"/>
    <mergeCell ref="AC18:AH18"/>
    <mergeCell ref="AC17:AM17"/>
    <mergeCell ref="C49:M49"/>
    <mergeCell ref="AC49:AM49"/>
    <mergeCell ref="P18:U18"/>
    <mergeCell ref="C17:M17"/>
    <mergeCell ref="C18:H18"/>
    <mergeCell ref="C35:H35"/>
    <mergeCell ref="I35:N35"/>
    <mergeCell ref="P35:U35"/>
    <mergeCell ref="AC35:AH35"/>
    <mergeCell ref="V35:Z35"/>
    <mergeCell ref="AI35:AM35"/>
    <mergeCell ref="V18:Z18"/>
    <mergeCell ref="I18:M18"/>
    <mergeCell ref="C77:H77"/>
    <mergeCell ref="I77:M77"/>
    <mergeCell ref="AC64:AH64"/>
    <mergeCell ref="AC77:AH77"/>
    <mergeCell ref="AI77:AN77"/>
    <mergeCell ref="AI64:AN64"/>
  </mergeCells>
  <hyperlinks>
    <hyperlink ref="B2" location="Contents!A1" display="Table of Contents" xr:uid="{00000000-0004-0000-0E00-000000000000}"/>
  </hyperlinks>
  <pageMargins left="0.7" right="0.7" top="0.75" bottom="0.75" header="0.3" footer="0.3"/>
  <pageSetup paperSize="9" orientation="portrait" verticalDpi="0" r:id="rId1"/>
  <headerFooter>
    <oddFooter>&amp;C_x000D_&amp;1#&amp;"Century Gothic"&amp;7&amp;K7F7F7F BUSINESS USE ONLY</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9A23D-8AC4-450E-8E4E-168722065DB6}">
  <sheetPr codeName="Sheet16">
    <tabColor theme="8" tint="-0.249977111117893"/>
  </sheetPr>
  <dimension ref="C3:C4"/>
  <sheetViews>
    <sheetView workbookViewId="0">
      <selection activeCell="C4" sqref="C4"/>
    </sheetView>
  </sheetViews>
  <sheetFormatPr defaultColWidth="9.109375" defaultRowHeight="14.65" x14ac:dyDescent="0.3"/>
  <cols>
    <col min="1" max="16384" width="9.109375" style="26"/>
  </cols>
  <sheetData>
    <row r="3" spans="3:3" ht="18.5" x14ac:dyDescent="0.35">
      <c r="C3" s="27" t="s">
        <v>31</v>
      </c>
    </row>
    <row r="4" spans="3:3" x14ac:dyDescent="0.3">
      <c r="C4" s="41" t="s">
        <v>53</v>
      </c>
    </row>
  </sheetData>
  <hyperlinks>
    <hyperlink ref="C4" location="Contents!A1" display="Table of Contents" xr:uid="{71269A4A-6BBD-4EDD-9748-6D2E926B3A69}"/>
  </hyperlinks>
  <pageMargins left="0.7" right="0.7" top="0.75" bottom="0.75" header="0.3" footer="0.3"/>
  <headerFooter>
    <oddFooter>&amp;C_x000D_&amp;1#&amp;"Century Gothic"&amp;7&amp;K7F7F7F BUSINESS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4:C35"/>
  <sheetViews>
    <sheetView topLeftCell="A12" zoomScale="90" zoomScaleNormal="90" workbookViewId="0">
      <selection activeCell="B37" sqref="B37"/>
    </sheetView>
  </sheetViews>
  <sheetFormatPr defaultColWidth="9.109375" defaultRowHeight="12.75" x14ac:dyDescent="0.2"/>
  <cols>
    <col min="1" max="1" width="9" style="184" bestFit="1" customWidth="1"/>
    <col min="2" max="2" width="36" style="184" customWidth="1"/>
    <col min="3" max="3" width="158.5546875" style="184" customWidth="1"/>
    <col min="4" max="16384" width="9.109375" style="184"/>
  </cols>
  <sheetData>
    <row r="4" spans="1:3" ht="13.4" x14ac:dyDescent="0.25">
      <c r="A4" s="183" t="s">
        <v>170</v>
      </c>
      <c r="B4" s="183" t="s">
        <v>171</v>
      </c>
      <c r="C4" s="183" t="s">
        <v>172</v>
      </c>
    </row>
    <row r="5" spans="1:3" ht="13.4" x14ac:dyDescent="0.25">
      <c r="A5" s="185">
        <v>1</v>
      </c>
      <c r="B5" s="186" t="s">
        <v>174</v>
      </c>
      <c r="C5" s="184" t="s">
        <v>176</v>
      </c>
    </row>
    <row r="6" spans="1:3" ht="13.4" x14ac:dyDescent="0.25">
      <c r="A6" s="185"/>
      <c r="B6" s="186"/>
    </row>
    <row r="7" spans="1:3" ht="13.4" x14ac:dyDescent="0.25">
      <c r="A7" s="185">
        <f>A5+1</f>
        <v>2</v>
      </c>
      <c r="B7" s="192" t="s">
        <v>186</v>
      </c>
      <c r="C7" s="194" t="s">
        <v>187</v>
      </c>
    </row>
    <row r="8" spans="1:3" ht="13.4" x14ac:dyDescent="0.25">
      <c r="A8" s="185"/>
      <c r="B8" s="186"/>
    </row>
    <row r="10" spans="1:3" ht="13.4" x14ac:dyDescent="0.25">
      <c r="A10" s="187">
        <f>A7+1</f>
        <v>3</v>
      </c>
      <c r="B10" s="188" t="s">
        <v>167</v>
      </c>
      <c r="C10" s="189" t="s">
        <v>175</v>
      </c>
    </row>
    <row r="11" spans="1:3" x14ac:dyDescent="0.2">
      <c r="B11" s="184" t="s">
        <v>168</v>
      </c>
    </row>
    <row r="12" spans="1:3" x14ac:dyDescent="0.2">
      <c r="A12" s="190"/>
      <c r="B12" s="190" t="s">
        <v>169</v>
      </c>
      <c r="C12" s="190"/>
    </row>
    <row r="14" spans="1:3" ht="13.4" x14ac:dyDescent="0.25">
      <c r="A14" s="185">
        <f>A10+1</f>
        <v>4</v>
      </c>
      <c r="B14" s="199" t="s">
        <v>190</v>
      </c>
      <c r="C14" s="199" t="s">
        <v>192</v>
      </c>
    </row>
    <row r="16" spans="1:3" ht="13.4" x14ac:dyDescent="0.25">
      <c r="A16" s="185">
        <f>A14+1</f>
        <v>5</v>
      </c>
      <c r="B16" s="198" t="s">
        <v>168</v>
      </c>
      <c r="C16" s="184" t="s">
        <v>191</v>
      </c>
    </row>
    <row r="18" spans="1:3" ht="13.4" x14ac:dyDescent="0.25">
      <c r="A18" s="185">
        <f>A16+1</f>
        <v>6</v>
      </c>
      <c r="B18" s="184" t="s">
        <v>173</v>
      </c>
      <c r="C18" s="184" t="s">
        <v>177</v>
      </c>
    </row>
    <row r="20" spans="1:3" ht="13.4" x14ac:dyDescent="0.25">
      <c r="A20" s="185">
        <f>A18+1</f>
        <v>7</v>
      </c>
      <c r="B20" s="198" t="s">
        <v>189</v>
      </c>
      <c r="C20" s="198" t="s">
        <v>193</v>
      </c>
    </row>
    <row r="22" spans="1:3" ht="13.4" x14ac:dyDescent="0.25">
      <c r="A22" s="185">
        <f>A20+1</f>
        <v>8</v>
      </c>
      <c r="B22" s="184" t="s">
        <v>178</v>
      </c>
      <c r="C22" s="184" t="s">
        <v>179</v>
      </c>
    </row>
    <row r="24" spans="1:3" ht="13.4" x14ac:dyDescent="0.25">
      <c r="A24" s="185">
        <f>A22+1</f>
        <v>9</v>
      </c>
      <c r="B24" s="200" t="s">
        <v>195</v>
      </c>
      <c r="C24" s="198" t="s">
        <v>194</v>
      </c>
    </row>
    <row r="27" spans="1:3" ht="13.4" x14ac:dyDescent="0.25">
      <c r="A27" s="187">
        <f>A24+1</f>
        <v>10</v>
      </c>
      <c r="B27" s="188" t="s">
        <v>180</v>
      </c>
      <c r="C27" s="189" t="s">
        <v>182</v>
      </c>
    </row>
    <row r="28" spans="1:3" x14ac:dyDescent="0.2">
      <c r="A28" s="190"/>
      <c r="B28" s="191" t="s">
        <v>181</v>
      </c>
      <c r="C28" s="190"/>
    </row>
    <row r="31" spans="1:3" ht="13.4" x14ac:dyDescent="0.25">
      <c r="A31" s="187">
        <f>A27+1</f>
        <v>11</v>
      </c>
      <c r="B31" s="188" t="s">
        <v>185</v>
      </c>
      <c r="C31" s="189" t="s">
        <v>179</v>
      </c>
    </row>
    <row r="32" spans="1:3" ht="13.4" x14ac:dyDescent="0.25">
      <c r="A32" s="185"/>
      <c r="B32" s="186" t="s">
        <v>183</v>
      </c>
    </row>
    <row r="33" spans="1:3" ht="13.4" x14ac:dyDescent="0.25">
      <c r="A33" s="195"/>
      <c r="B33" s="191" t="s">
        <v>184</v>
      </c>
      <c r="C33" s="190"/>
    </row>
    <row r="35" spans="1:3" ht="13.4" x14ac:dyDescent="0.25">
      <c r="B35" s="379" t="s">
        <v>401</v>
      </c>
    </row>
  </sheetData>
  <pageMargins left="0.7" right="0.7" top="0.75" bottom="0.75" header="0.3" footer="0.3"/>
  <headerFooter>
    <oddFooter>&amp;C_x000D_&amp;1#&amp;"Century Gothic"&amp;7&amp;K7F7F7F BUSINESS USE ONLY</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B1:V49"/>
  <sheetViews>
    <sheetView zoomScale="85" zoomScaleNormal="85" zoomScaleSheetLayoutView="115" workbookViewId="0">
      <pane xSplit="2" topLeftCell="I1" activePane="topRight" state="frozen"/>
      <selection activeCell="A6" sqref="A6"/>
      <selection pane="topRight" activeCell="O25" sqref="O25"/>
    </sheetView>
  </sheetViews>
  <sheetFormatPr defaultColWidth="9.109375" defaultRowHeight="14.65" outlineLevelCol="1" x14ac:dyDescent="0.3"/>
  <cols>
    <col min="1" max="1" width="3.33203125" customWidth="1"/>
    <col min="2" max="2" width="42.5546875" customWidth="1"/>
    <col min="3" max="3" width="10.33203125" hidden="1" customWidth="1" outlineLevel="1"/>
    <col min="4" max="8" width="8.88671875" hidden="1" customWidth="1" outlineLevel="1"/>
    <col min="9" max="9" width="10.33203125" customWidth="1" collapsed="1"/>
    <col min="10" max="14" width="10" bestFit="1" customWidth="1"/>
    <col min="15" max="19" width="8.88671875" customWidth="1"/>
    <col min="20" max="20" width="55.77734375" customWidth="1"/>
    <col min="21" max="21" width="2.6640625" style="37" customWidth="1"/>
    <col min="22" max="34" width="9.109375" customWidth="1"/>
  </cols>
  <sheetData>
    <row r="1" spans="2:22" x14ac:dyDescent="0.3">
      <c r="V1" s="50"/>
    </row>
    <row r="2" spans="2:22" ht="18.5" x14ac:dyDescent="0.35">
      <c r="B2" s="39" t="s">
        <v>352</v>
      </c>
    </row>
    <row r="3" spans="2:22" x14ac:dyDescent="0.3">
      <c r="B3" s="40" t="s">
        <v>53</v>
      </c>
      <c r="C3" s="7"/>
      <c r="D3" s="7"/>
      <c r="E3" s="7"/>
      <c r="M3" s="4"/>
    </row>
    <row r="4" spans="2:22" x14ac:dyDescent="0.3">
      <c r="B4" s="40"/>
      <c r="D4" s="7"/>
      <c r="E4" s="7"/>
      <c r="M4" s="319" t="s">
        <v>365</v>
      </c>
      <c r="N4" s="319"/>
      <c r="O4" s="319"/>
    </row>
    <row r="5" spans="2:22" x14ac:dyDescent="0.3">
      <c r="B5" s="30" t="s">
        <v>314</v>
      </c>
      <c r="T5" s="18"/>
    </row>
    <row r="6" spans="2:22" x14ac:dyDescent="0.3">
      <c r="T6" s="18"/>
    </row>
    <row r="7" spans="2:22" x14ac:dyDescent="0.3">
      <c r="B7" s="8" t="s">
        <v>315</v>
      </c>
      <c r="D7" s="395" t="s">
        <v>213</v>
      </c>
      <c r="E7" s="396"/>
      <c r="F7" s="396"/>
      <c r="G7" s="396"/>
      <c r="H7" s="396"/>
      <c r="I7" s="396"/>
      <c r="J7" s="396"/>
      <c r="K7" s="396"/>
      <c r="L7" s="396"/>
      <c r="M7" s="396"/>
      <c r="N7" s="397"/>
      <c r="O7" s="428" t="s">
        <v>232</v>
      </c>
      <c r="P7" s="429"/>
      <c r="Q7" s="429"/>
      <c r="R7" s="429"/>
      <c r="S7" s="430"/>
    </row>
    <row r="8" spans="2:22" x14ac:dyDescent="0.3">
      <c r="B8" s="8"/>
      <c r="C8" s="149" t="s">
        <v>15</v>
      </c>
      <c r="D8" s="61" t="s">
        <v>15</v>
      </c>
      <c r="E8" s="3" t="s">
        <v>15</v>
      </c>
      <c r="F8" s="3" t="s">
        <v>15</v>
      </c>
      <c r="G8" s="3" t="s">
        <v>15</v>
      </c>
      <c r="H8" s="3" t="s">
        <v>15</v>
      </c>
      <c r="I8" s="61" t="s">
        <v>15</v>
      </c>
      <c r="J8" s="143" t="s">
        <v>15</v>
      </c>
      <c r="K8" s="144" t="s">
        <v>15</v>
      </c>
      <c r="L8" s="144" t="s">
        <v>15</v>
      </c>
      <c r="M8" s="144" t="s">
        <v>16</v>
      </c>
      <c r="N8" s="145" t="s">
        <v>16</v>
      </c>
      <c r="O8" s="395" t="s">
        <v>228</v>
      </c>
      <c r="P8" s="396"/>
      <c r="Q8" s="396"/>
      <c r="R8" s="396"/>
      <c r="S8" s="397"/>
      <c r="T8" s="10"/>
    </row>
    <row r="9" spans="2:22" x14ac:dyDescent="0.3">
      <c r="B9" s="182" t="s">
        <v>214</v>
      </c>
      <c r="C9" s="87" t="s">
        <v>4</v>
      </c>
      <c r="D9" s="61" t="s">
        <v>5</v>
      </c>
      <c r="E9" s="3" t="s">
        <v>6</v>
      </c>
      <c r="F9" s="3" t="s">
        <v>7</v>
      </c>
      <c r="G9" s="3" t="s">
        <v>8</v>
      </c>
      <c r="H9" s="3" t="str">
        <f>Allocations!F$53</f>
        <v>CY2020</v>
      </c>
      <c r="I9" s="61" t="str">
        <f>Allocations!G$53</f>
        <v>2020-21</v>
      </c>
      <c r="J9" s="61" t="str">
        <f>Allocations!H$53</f>
        <v>2021-22</v>
      </c>
      <c r="K9" s="3" t="str">
        <f>Allocations!I$53</f>
        <v>2022-23</v>
      </c>
      <c r="L9" s="3" t="str">
        <f>Allocations!J$53</f>
        <v>2023-24</v>
      </c>
      <c r="M9" s="3" t="str">
        <f>Allocations!K$53</f>
        <v>2024-25</v>
      </c>
      <c r="N9" s="86" t="str">
        <f>Allocations!L$53</f>
        <v>2025-26</v>
      </c>
      <c r="O9" s="61" t="str">
        <f>Allocations!M$53</f>
        <v>2026-27</v>
      </c>
      <c r="P9" s="3" t="str">
        <f>Allocations!N$53</f>
        <v>2027–28</v>
      </c>
      <c r="Q9" s="3" t="str">
        <f>Allocations!O$53</f>
        <v>2028–29</v>
      </c>
      <c r="R9" s="3" t="str">
        <f>Allocations!P$53</f>
        <v>2029–30</v>
      </c>
      <c r="S9" s="86" t="str">
        <f>Allocations!Q$53</f>
        <v>2030–31</v>
      </c>
      <c r="T9" s="10"/>
    </row>
    <row r="10" spans="2:22" x14ac:dyDescent="0.3">
      <c r="B10" s="110" t="s">
        <v>82</v>
      </c>
      <c r="C10" s="151">
        <f>Cost_Recovery!E67</f>
        <v>2453.0372600000001</v>
      </c>
      <c r="D10" s="152">
        <f>Cost_Recovery!F67</f>
        <v>2140.8954600000002</v>
      </c>
      <c r="E10" s="153">
        <f>Cost_Recovery!G67</f>
        <v>2941.4721699999991</v>
      </c>
      <c r="F10" s="153">
        <f>Cost_Recovery!H67</f>
        <v>3030.9726900000023</v>
      </c>
      <c r="G10" s="153">
        <f>Cost_Recovery!I67</f>
        <v>2407.9747200000056</v>
      </c>
      <c r="H10" s="153">
        <f>Cost_Recovery!J67</f>
        <v>1842.4482999999998</v>
      </c>
      <c r="I10" s="152">
        <f>Cost_Recovery!K67</f>
        <v>1854.8511700000004</v>
      </c>
      <c r="J10" s="152">
        <f>Cost_Recovery!L67</f>
        <v>1641.3568799999998</v>
      </c>
      <c r="K10" s="153">
        <f>Cost_Recovery!M67</f>
        <v>1902.43803</v>
      </c>
      <c r="L10" s="153">
        <f>Cost_Recovery!N67</f>
        <v>2393.04592</v>
      </c>
      <c r="M10" s="153">
        <f>Cost_Recovery!O67</f>
        <v>1935.13562</v>
      </c>
      <c r="N10" s="211">
        <f>Cost_Recovery!P67</f>
        <v>2880.8886969908945</v>
      </c>
      <c r="O10" s="153">
        <f>O24*Capex_Fcast_Total!I79</f>
        <v>2157.3270642534749</v>
      </c>
      <c r="P10" s="153">
        <f>P24*Capex_Fcast_Total!J79</f>
        <v>2127.6261403785693</v>
      </c>
      <c r="Q10" s="153">
        <f>Q24*Capex_Fcast_Total!K79</f>
        <v>2147.4897960677381</v>
      </c>
      <c r="R10" s="153">
        <f>R24*Capex_Fcast_Total!L79</f>
        <v>2209.4060644106053</v>
      </c>
      <c r="S10" s="211">
        <f>S24*Capex_Fcast_Total!M79</f>
        <v>2258.8789388100436</v>
      </c>
      <c r="T10" s="10"/>
    </row>
    <row r="11" spans="2:22" x14ac:dyDescent="0.3">
      <c r="B11" s="162" t="s">
        <v>83</v>
      </c>
      <c r="C11" s="232">
        <f>Cost_Recovery!E68</f>
        <v>654.77161999999998</v>
      </c>
      <c r="D11" s="166">
        <f>Cost_Recovery!F68</f>
        <v>1841.6381399999996</v>
      </c>
      <c r="E11" s="69">
        <f>Cost_Recovery!G68</f>
        <v>3639.6056499999995</v>
      </c>
      <c r="F11" s="69">
        <f>Cost_Recovery!H68</f>
        <v>5195.525529999999</v>
      </c>
      <c r="G11" s="69">
        <f>Cost_Recovery!I68</f>
        <v>5497.6494000000002</v>
      </c>
      <c r="H11" s="69">
        <f>Cost_Recovery!J68</f>
        <v>4968.4601900000007</v>
      </c>
      <c r="I11" s="166">
        <f>Cost_Recovery!K68</f>
        <v>5553.2940699999999</v>
      </c>
      <c r="J11" s="166">
        <f>Cost_Recovery!L68</f>
        <v>4996.9075799999991</v>
      </c>
      <c r="K11" s="69">
        <f>Cost_Recovery!M68</f>
        <v>5255.6906399999998</v>
      </c>
      <c r="L11" s="69">
        <f>Cost_Recovery!N68</f>
        <v>4830.1115899999995</v>
      </c>
      <c r="M11" s="4">
        <f>Cost_Recovery!O68</f>
        <v>5120.6172999999999</v>
      </c>
      <c r="N11" s="84">
        <f>Cost_Recovery!P68</f>
        <v>5261.6843687994096</v>
      </c>
      <c r="O11" s="4">
        <f>O25*Capex_Fcast_Total!I80</f>
        <v>6710.5966036360651</v>
      </c>
      <c r="P11" s="4">
        <f>P25*Capex_Fcast_Total!J80</f>
        <v>6826.9713301775255</v>
      </c>
      <c r="Q11" s="4">
        <f>Q25*Capex_Fcast_Total!K80</f>
        <v>6901.0945459138647</v>
      </c>
      <c r="R11" s="4">
        <f>R25*Capex_Fcast_Total!L80</f>
        <v>7110.1689635060247</v>
      </c>
      <c r="S11" s="84">
        <f>S25*Capex_Fcast_Total!M80</f>
        <v>7279.2900852050043</v>
      </c>
    </row>
    <row r="12" spans="2:22" x14ac:dyDescent="0.3">
      <c r="B12" s="62" t="s">
        <v>84</v>
      </c>
      <c r="C12" s="73">
        <f>Cost_Recovery!E69</f>
        <v>2276.7452000000003</v>
      </c>
      <c r="D12" s="63">
        <f>Cost_Recovery!F69</f>
        <v>4406.4466899999989</v>
      </c>
      <c r="E12" s="4">
        <f>Cost_Recovery!G69</f>
        <v>5658.4607899999992</v>
      </c>
      <c r="F12" s="4">
        <f>Cost_Recovery!H69</f>
        <v>5661.4387800000004</v>
      </c>
      <c r="G12" s="4">
        <f>Cost_Recovery!I69</f>
        <v>7370.5216600000003</v>
      </c>
      <c r="H12" s="4">
        <f>Cost_Recovery!J69</f>
        <v>6207.5566200000003</v>
      </c>
      <c r="I12" s="63">
        <f>Cost_Recovery!K69</f>
        <v>6233.6216299999996</v>
      </c>
      <c r="J12" s="63">
        <f>Cost_Recovery!L69</f>
        <v>5374.5672200000008</v>
      </c>
      <c r="K12" s="4">
        <f>Cost_Recovery!M69</f>
        <v>8793.9093999999986</v>
      </c>
      <c r="L12" s="4">
        <f>Cost_Recovery!N69</f>
        <v>7431.700170000001</v>
      </c>
      <c r="M12" s="4">
        <f>Cost_Recovery!O69</f>
        <v>13981.59577</v>
      </c>
      <c r="N12" s="84">
        <f>Cost_Recovery!P69</f>
        <v>11585.892131923934</v>
      </c>
      <c r="O12" s="4">
        <f>O26*Capex_Fcast_Total!I81</f>
        <v>12829.150585269224</v>
      </c>
      <c r="P12" s="4">
        <f>P26*Capex_Fcast_Total!J81</f>
        <v>13051.632873999108</v>
      </c>
      <c r="Q12" s="4">
        <f>Q26*Capex_Fcast_Total!K81</f>
        <v>13193.339782149513</v>
      </c>
      <c r="R12" s="4">
        <f>R26*Capex_Fcast_Total!L81</f>
        <v>13593.04301946882</v>
      </c>
      <c r="S12" s="84">
        <f>S26*Capex_Fcast_Total!M81</f>
        <v>13916.36454594088</v>
      </c>
      <c r="T12" s="10"/>
    </row>
    <row r="13" spans="2:22" x14ac:dyDescent="0.3">
      <c r="B13" s="355" t="s">
        <v>393</v>
      </c>
      <c r="C13" s="356"/>
      <c r="D13" s="357"/>
      <c r="E13" s="358"/>
      <c r="F13" s="358"/>
      <c r="G13" s="358"/>
      <c r="H13" s="358"/>
      <c r="I13" s="357">
        <f>Cost_Recovery!K70</f>
        <v>0</v>
      </c>
      <c r="J13" s="357">
        <f>Cost_Recovery!L70</f>
        <v>0</v>
      </c>
      <c r="K13" s="358">
        <f>Cost_Recovery!M70</f>
        <v>0</v>
      </c>
      <c r="L13" s="358">
        <f>Cost_Recovery!N70</f>
        <v>0</v>
      </c>
      <c r="M13" s="358">
        <f>Cost_Recovery!O70</f>
        <v>0</v>
      </c>
      <c r="N13" s="359">
        <f>Cost_Recovery!P70</f>
        <v>0</v>
      </c>
      <c r="O13" s="358">
        <f>O27*Capex_Fcast_Total!I82</f>
        <v>0</v>
      </c>
      <c r="P13" s="358">
        <f>P27*Capex_Fcast_Total!J82</f>
        <v>0</v>
      </c>
      <c r="Q13" s="358">
        <f>Q27*Capex_Fcast_Total!K82</f>
        <v>0</v>
      </c>
      <c r="R13" s="358">
        <f>R27*Capex_Fcast_Total!L82</f>
        <v>0</v>
      </c>
      <c r="S13" s="359">
        <f>S27*Capex_Fcast_Total!M82</f>
        <v>0</v>
      </c>
      <c r="T13" s="10"/>
    </row>
    <row r="14" spans="2:22" x14ac:dyDescent="0.3">
      <c r="B14" s="62" t="s">
        <v>85</v>
      </c>
      <c r="C14" s="73">
        <f>Cost_Recovery!E71</f>
        <v>176.96199999999999</v>
      </c>
      <c r="D14" s="63">
        <f>Cost_Recovery!F71</f>
        <v>810.3508700000001</v>
      </c>
      <c r="E14" s="4">
        <f>Cost_Recovery!G71</f>
        <v>3197.7241100000001</v>
      </c>
      <c r="F14" s="4">
        <f>Cost_Recovery!H71</f>
        <v>3433.7036699999999</v>
      </c>
      <c r="G14" s="4">
        <f>Cost_Recovery!I71</f>
        <v>4045.9027300000007</v>
      </c>
      <c r="H14" s="4">
        <f>Cost_Recovery!J71</f>
        <v>4235.9633700000004</v>
      </c>
      <c r="I14" s="63">
        <f>Cost_Recovery!K71</f>
        <v>5678.36276</v>
      </c>
      <c r="J14" s="63">
        <f>Cost_Recovery!L71</f>
        <v>5829.9338699999989</v>
      </c>
      <c r="K14" s="4">
        <f>Cost_Recovery!M71</f>
        <v>5086.5892800000001</v>
      </c>
      <c r="L14" s="4">
        <f>Cost_Recovery!N71</f>
        <v>5271.7725899999996</v>
      </c>
      <c r="M14" s="4">
        <f>Cost_Recovery!O71</f>
        <v>5032.2840500000002</v>
      </c>
      <c r="N14" s="84">
        <f>Cost_Recovery!P71</f>
        <v>7612.9550425914795</v>
      </c>
      <c r="O14" s="4">
        <f>O28*Capex_Fcast_Total!I83</f>
        <v>7710.2680850926499</v>
      </c>
      <c r="P14" s="4">
        <f>P28*Capex_Fcast_Total!J83</f>
        <v>7843.9790489550614</v>
      </c>
      <c r="Q14" s="4">
        <f>Q28*Capex_Fcast_Total!K83</f>
        <v>7929.1443328206833</v>
      </c>
      <c r="R14" s="4">
        <f>R28*Capex_Fcast_Total!L83</f>
        <v>8169.3643765194374</v>
      </c>
      <c r="S14" s="84">
        <f>S28*Capex_Fcast_Total!M83</f>
        <v>8363.6793181215235</v>
      </c>
      <c r="T14" s="10"/>
    </row>
    <row r="15" spans="2:22" x14ac:dyDescent="0.3">
      <c r="B15" s="62" t="s">
        <v>77</v>
      </c>
      <c r="C15" s="73">
        <f>Cost_Recovery!E72</f>
        <v>4781.60275</v>
      </c>
      <c r="D15" s="63">
        <f>Cost_Recovery!F72</f>
        <v>3472.06583</v>
      </c>
      <c r="E15" s="4">
        <f>Cost_Recovery!G72</f>
        <v>3562.5261399999999</v>
      </c>
      <c r="F15" s="4">
        <f>Cost_Recovery!H72</f>
        <v>2428.6474199999993</v>
      </c>
      <c r="G15" s="4">
        <f>Cost_Recovery!I72</f>
        <v>2358.836859999999</v>
      </c>
      <c r="H15" s="4">
        <f>Cost_Recovery!J72</f>
        <v>1618.5523800000003</v>
      </c>
      <c r="I15" s="63">
        <f>Cost_Recovery!K72</f>
        <v>1312.5291</v>
      </c>
      <c r="J15" s="63">
        <f>Cost_Recovery!L72</f>
        <v>1251.9633199999998</v>
      </c>
      <c r="K15" s="4">
        <f>Cost_Recovery!M72</f>
        <v>937.3918000000001</v>
      </c>
      <c r="L15" s="4">
        <f>Cost_Recovery!N72</f>
        <v>1524.4162699999999</v>
      </c>
      <c r="M15" s="4">
        <f>Cost_Recovery!O72</f>
        <v>911.26866999999993</v>
      </c>
      <c r="N15" s="84">
        <f>Cost_Recovery!P72</f>
        <v>1338.0238772732473</v>
      </c>
      <c r="O15" s="4">
        <f>O29*Capex_Fcast_Total!I84</f>
        <v>1272.3960092955472</v>
      </c>
      <c r="P15" s="4">
        <f>P29*Capex_Fcast_Total!J84</f>
        <v>1294.4618175060991</v>
      </c>
      <c r="Q15" s="4">
        <f>Q29*Capex_Fcast_Total!K84</f>
        <v>1308.5163180922266</v>
      </c>
      <c r="R15" s="4">
        <f>R29*Capex_Fcast_Total!L84</f>
        <v>1348.1589117844044</v>
      </c>
      <c r="S15" s="84">
        <f>S29*Capex_Fcast_Total!M84</f>
        <v>1380.2259623087605</v>
      </c>
    </row>
    <row r="16" spans="2:22" x14ac:dyDescent="0.3">
      <c r="B16" s="62" t="s">
        <v>268</v>
      </c>
      <c r="C16" s="73">
        <f>Cost_Recovery!E73</f>
        <v>3847.0500200000024</v>
      </c>
      <c r="D16" s="63">
        <f>Cost_Recovery!F73</f>
        <v>5.5000000000000284</v>
      </c>
      <c r="E16" s="4">
        <f>Cost_Recovery!G73</f>
        <v>335.24520000000001</v>
      </c>
      <c r="F16" s="4">
        <f>Cost_Recovery!H73</f>
        <v>236.71700000000001</v>
      </c>
      <c r="G16" s="4">
        <f>Cost_Recovery!I73</f>
        <v>59.794150000000002</v>
      </c>
      <c r="H16" s="4">
        <f>Cost_Recovery!J73</f>
        <v>5822.3575300000002</v>
      </c>
      <c r="I16" s="63">
        <f>Cost_Recovery!K73</f>
        <v>7250.72145</v>
      </c>
      <c r="J16" s="166">
        <f>Cost_Recovery!L73</f>
        <v>0</v>
      </c>
      <c r="K16" s="69">
        <f>Cost_Recovery!M73</f>
        <v>186.27600000000001</v>
      </c>
      <c r="L16" s="69">
        <f>Cost_Recovery!N73</f>
        <v>82.167249999999996</v>
      </c>
      <c r="M16" s="69">
        <f>Cost_Recovery!O73</f>
        <v>5740.049</v>
      </c>
      <c r="N16" s="167">
        <f>Cost_Recovery!P73</f>
        <v>229.91474568542199</v>
      </c>
      <c r="O16" s="69">
        <f>O30*Capex_Fcast_Total!I85</f>
        <v>4634.665788248466</v>
      </c>
      <c r="P16" s="69">
        <f>P30*Capex_Fcast_Total!J85</f>
        <v>1831.4237711361802</v>
      </c>
      <c r="Q16" s="69">
        <f>Q30*Capex_Fcast_Total!K85</f>
        <v>2334.1695891555137</v>
      </c>
      <c r="R16" s="69">
        <f>R30*Capex_Fcast_Total!L85</f>
        <v>2359.3186524195444</v>
      </c>
      <c r="S16" s="167">
        <f>S30*Capex_Fcast_Total!M85</f>
        <v>2370.5382852667594</v>
      </c>
      <c r="T16" s="2"/>
    </row>
    <row r="17" spans="2:22" x14ac:dyDescent="0.3">
      <c r="B17" s="62" t="s">
        <v>86</v>
      </c>
      <c r="C17" s="73">
        <f>Cost_Recovery!E74</f>
        <v>0.5</v>
      </c>
      <c r="D17" s="63">
        <f>Cost_Recovery!F74</f>
        <v>325.93799999999999</v>
      </c>
      <c r="E17" s="4">
        <f>Cost_Recovery!G74</f>
        <v>49.964730000000003</v>
      </c>
      <c r="F17" s="4">
        <f>Cost_Recovery!H74</f>
        <v>31.336099999999998</v>
      </c>
      <c r="G17" s="4">
        <f>Cost_Recovery!I74</f>
        <v>6.0510000000000002</v>
      </c>
      <c r="H17" s="4">
        <f>Cost_Recovery!J74</f>
        <v>0.5</v>
      </c>
      <c r="I17" s="63">
        <f>Cost_Recovery!K74</f>
        <v>0</v>
      </c>
      <c r="J17" s="166">
        <f>Cost_Recovery!L74</f>
        <v>2.4</v>
      </c>
      <c r="K17" s="69">
        <f>Cost_Recovery!M74</f>
        <v>3.073</v>
      </c>
      <c r="L17" s="69">
        <f>Cost_Recovery!N74</f>
        <v>0</v>
      </c>
      <c r="M17" s="69">
        <f>Cost_Recovery!O74</f>
        <v>0.5</v>
      </c>
      <c r="N17" s="167">
        <f>Cost_Recovery!P74</f>
        <v>0</v>
      </c>
      <c r="O17" s="69">
        <f>O31*Capex_Fcast_Total!I86</f>
        <v>1.6744692892811761</v>
      </c>
      <c r="P17" s="69">
        <f>P31*Capex_Fcast_Total!J86</f>
        <v>1.6780988729097617</v>
      </c>
      <c r="Q17" s="69">
        <f>Q31*Capex_Fcast_Total!K86</f>
        <v>1.6715908886660635</v>
      </c>
      <c r="R17" s="69">
        <f>R31*Capex_Fcast_Total!L86</f>
        <v>1.6483913410732252</v>
      </c>
      <c r="S17" s="167">
        <f>S31*Capex_Fcast_Total!M86</f>
        <v>1.6158343330094422</v>
      </c>
    </row>
    <row r="18" spans="2:22" x14ac:dyDescent="0.3">
      <c r="B18" s="154" t="s">
        <v>207</v>
      </c>
      <c r="C18" s="150">
        <f>Cost_Recovery!E75</f>
        <v>0</v>
      </c>
      <c r="D18" s="146">
        <f>Cost_Recovery!F75</f>
        <v>0</v>
      </c>
      <c r="E18" s="147">
        <f>Cost_Recovery!G75</f>
        <v>0</v>
      </c>
      <c r="F18" s="147">
        <f>Cost_Recovery!H75</f>
        <v>0</v>
      </c>
      <c r="G18" s="147">
        <f>Cost_Recovery!I75</f>
        <v>0</v>
      </c>
      <c r="H18" s="147">
        <f>Cost_Recovery!J75</f>
        <v>0</v>
      </c>
      <c r="I18" s="146">
        <f>Cost_Recovery!K75</f>
        <v>0</v>
      </c>
      <c r="J18" s="146">
        <f>Cost_Recovery!L75</f>
        <v>0</v>
      </c>
      <c r="K18" s="147">
        <f>Cost_Recovery!M75</f>
        <v>0</v>
      </c>
      <c r="L18" s="147">
        <f>Cost_Recovery!N75</f>
        <v>78.673000000000002</v>
      </c>
      <c r="M18" s="147">
        <f>Cost_Recovery!O75</f>
        <v>4009.93696</v>
      </c>
      <c r="N18" s="148">
        <f>Cost_Recovery!P75</f>
        <v>17311.56876789096</v>
      </c>
      <c r="O18" s="147">
        <f>O32*Capex_Fcast_Total!I87</f>
        <v>14483.81594941894</v>
      </c>
      <c r="P18" s="147">
        <f>P32*Capex_Fcast_Total!J87</f>
        <v>27072.685349838761</v>
      </c>
      <c r="Q18" s="147">
        <f>Q32*Capex_Fcast_Total!K87</f>
        <v>28845.30912021736</v>
      </c>
      <c r="R18" s="147">
        <f>R32*Capex_Fcast_Total!L87</f>
        <v>24754.485911601983</v>
      </c>
      <c r="S18" s="148">
        <f>S32*Capex_Fcast_Total!M87</f>
        <v>22369.172502101152</v>
      </c>
    </row>
    <row r="19" spans="2:22" x14ac:dyDescent="0.3">
      <c r="B19" s="28" t="s">
        <v>340</v>
      </c>
      <c r="C19" s="219">
        <f>SUM(C10:C17)</f>
        <v>14190.668850000002</v>
      </c>
      <c r="D19" s="219">
        <f t="shared" ref="D19:G19" si="0">SUM(D10:D18)</f>
        <v>13002.834989999999</v>
      </c>
      <c r="E19" s="218">
        <f t="shared" si="0"/>
        <v>19384.998790000001</v>
      </c>
      <c r="F19" s="218">
        <f t="shared" si="0"/>
        <v>20018.341190000003</v>
      </c>
      <c r="G19" s="218">
        <f t="shared" si="0"/>
        <v>21746.730520000008</v>
      </c>
      <c r="H19" s="218">
        <f>SUM(H10:H18)</f>
        <v>24695.838390000004</v>
      </c>
      <c r="I19" s="219">
        <f t="shared" ref="I19:N19" si="1">SUM(I10:I18)</f>
        <v>27883.38018</v>
      </c>
      <c r="J19" s="306">
        <f t="shared" si="1"/>
        <v>19097.128869999997</v>
      </c>
      <c r="K19" s="307">
        <f t="shared" si="1"/>
        <v>22165.368150000002</v>
      </c>
      <c r="L19" s="307">
        <f t="shared" si="1"/>
        <v>21611.88679</v>
      </c>
      <c r="M19" s="307">
        <f t="shared" si="1"/>
        <v>36731.387370000004</v>
      </c>
      <c r="N19" s="308">
        <f t="shared" si="1"/>
        <v>46220.927631155348</v>
      </c>
      <c r="O19" s="219">
        <f t="shared" ref="O19" si="2">SUM(O10:O18)</f>
        <v>49799.894554503648</v>
      </c>
      <c r="P19" s="218">
        <f t="shared" ref="P19" si="3">SUM(P10:P18)</f>
        <v>60050.458430864208</v>
      </c>
      <c r="Q19" s="218">
        <f t="shared" ref="Q19" si="4">SUM(Q10:Q18)</f>
        <v>62660.735075305573</v>
      </c>
      <c r="R19" s="218">
        <f t="shared" ref="R19" si="5">SUM(R10:R18)</f>
        <v>59545.594291051893</v>
      </c>
      <c r="S19" s="294">
        <f t="shared" ref="S19" si="6">SUM(S10:S18)</f>
        <v>57939.765472087136</v>
      </c>
    </row>
    <row r="20" spans="2:22" x14ac:dyDescent="0.3">
      <c r="C20" s="90">
        <f>C19-Cost_Recovery!E76</f>
        <v>0</v>
      </c>
      <c r="D20" s="90">
        <f>D19-Cost_Recovery!F76</f>
        <v>0</v>
      </c>
      <c r="E20" s="90">
        <f>E19-Cost_Recovery!G76</f>
        <v>0</v>
      </c>
      <c r="F20" s="90">
        <f>F19-Cost_Recovery!H76</f>
        <v>0</v>
      </c>
      <c r="G20" s="90">
        <f>G19-Cost_Recovery!I76</f>
        <v>0</v>
      </c>
      <c r="H20" s="90">
        <f>H19-Cost_Recovery!J76</f>
        <v>0</v>
      </c>
      <c r="I20" s="90">
        <f>I19-Cost_Recovery!K76</f>
        <v>0</v>
      </c>
      <c r="J20" s="90">
        <f>J19-Cost_Recovery!L76</f>
        <v>0</v>
      </c>
      <c r="K20" s="90">
        <f>K19-Cost_Recovery!M76</f>
        <v>0</v>
      </c>
      <c r="L20" s="90">
        <f>L19-Cost_Recovery!N76</f>
        <v>0</v>
      </c>
      <c r="M20" s="90">
        <f>M19-Cost_Recovery!O76</f>
        <v>0</v>
      </c>
      <c r="N20" s="85">
        <f>N19-(Capex_Model_Inputs!Q18*(1+N21))*1/Escalation!Q11</f>
        <v>0</v>
      </c>
      <c r="O20" s="85">
        <f>O19-Capex_Model_Inputs!R18*(1+O21)</f>
        <v>0</v>
      </c>
      <c r="P20" s="85">
        <f>P19-Capex_Model_Inputs!S18*(1+P21)</f>
        <v>0</v>
      </c>
      <c r="Q20" s="85">
        <f>Q19-Capex_Model_Inputs!T18*(1+Q21)</f>
        <v>0</v>
      </c>
      <c r="R20" s="85">
        <f>R19-Capex_Model_Inputs!U18*(1+R21)</f>
        <v>0</v>
      </c>
      <c r="S20" s="85">
        <f>S19-Capex_Model_Inputs!V18*(1+S21)</f>
        <v>0</v>
      </c>
    </row>
    <row r="21" spans="2:22" x14ac:dyDescent="0.3">
      <c r="B21" t="s">
        <v>279</v>
      </c>
      <c r="C21" s="91"/>
      <c r="D21" s="91"/>
      <c r="E21" s="91"/>
      <c r="F21" s="91"/>
      <c r="G21" s="91"/>
      <c r="H21" s="91"/>
      <c r="I21" s="193">
        <f>Allocations!D49</f>
        <v>0.11015105966309197</v>
      </c>
      <c r="J21" s="193">
        <f>Allocations!E49</f>
        <v>0.11214972534928357</v>
      </c>
      <c r="K21" s="193">
        <f>Allocations!F49</f>
        <v>0.13631825105446069</v>
      </c>
      <c r="L21" s="193">
        <f>Allocations!G49</f>
        <v>0.14118272372737342</v>
      </c>
      <c r="M21" s="193">
        <f>Allocations!H49</f>
        <v>8.7431748806843776E-2</v>
      </c>
      <c r="N21" s="193">
        <f>Allocations!I49</f>
        <v>0.103731805295299</v>
      </c>
      <c r="O21" s="193">
        <f>Allocations!J49</f>
        <v>7.2001585239149915E-2</v>
      </c>
      <c r="P21" s="193">
        <f>Allocations!K49</f>
        <v>6.9294897899731464E-2</v>
      </c>
      <c r="Q21" s="193">
        <f>Allocations!L49</f>
        <v>6.2631057581628652E-2</v>
      </c>
      <c r="R21" s="193">
        <f>Allocations!M49</f>
        <v>7.1513980300364835E-2</v>
      </c>
      <c r="S21" s="193">
        <f>Allocations!N49</f>
        <v>7.4849999421876645E-2</v>
      </c>
    </row>
    <row r="22" spans="2:22" x14ac:dyDescent="0.3">
      <c r="B22" s="30" t="s">
        <v>140</v>
      </c>
      <c r="V22" s="9"/>
    </row>
    <row r="23" spans="2:22" x14ac:dyDescent="0.3">
      <c r="C23" s="109" t="s">
        <v>4</v>
      </c>
      <c r="D23" s="109" t="s">
        <v>5</v>
      </c>
      <c r="E23" s="140" t="s">
        <v>6</v>
      </c>
      <c r="F23" s="140" t="s">
        <v>7</v>
      </c>
      <c r="G23" s="140" t="s">
        <v>8</v>
      </c>
      <c r="H23" s="140" t="s">
        <v>9</v>
      </c>
      <c r="I23" s="29" t="str">
        <f>Allocations!G$53</f>
        <v>2020-21</v>
      </c>
      <c r="J23" s="109" t="str">
        <f>Allocations!H$53</f>
        <v>2021-22</v>
      </c>
      <c r="K23" s="140" t="str">
        <f>Allocations!I$53</f>
        <v>2022-23</v>
      </c>
      <c r="L23" s="140" t="str">
        <f>Allocations!J$53</f>
        <v>2023-24</v>
      </c>
      <c r="M23" s="140" t="str">
        <f>Allocations!K$53</f>
        <v>2024-25</v>
      </c>
      <c r="N23" s="168" t="str">
        <f>Allocations!L$53</f>
        <v>2025-26</v>
      </c>
      <c r="O23" s="143" t="str">
        <f>Allocations!M$53</f>
        <v>2026-27</v>
      </c>
      <c r="P23" s="144" t="str">
        <f>Allocations!N$53</f>
        <v>2027–28</v>
      </c>
      <c r="Q23" s="144" t="str">
        <f>Allocations!O$53</f>
        <v>2028–29</v>
      </c>
      <c r="R23" s="144" t="str">
        <f>Allocations!P$53</f>
        <v>2029–30</v>
      </c>
      <c r="S23" s="145" t="str">
        <f>Allocations!Q$53</f>
        <v>2030–31</v>
      </c>
      <c r="T23" s="7"/>
    </row>
    <row r="24" spans="2:22" x14ac:dyDescent="0.3">
      <c r="B24" s="110" t="s">
        <v>82</v>
      </c>
      <c r="C24" s="157">
        <f>Cost_Recovery!E79</f>
        <v>0.18458286318732742</v>
      </c>
      <c r="D24" s="156">
        <f>Cost_Recovery!F79</f>
        <v>7.6320195352792719E-2</v>
      </c>
      <c r="E24" s="155">
        <f>Cost_Recovery!G79</f>
        <v>0.12561569774287465</v>
      </c>
      <c r="F24" s="155">
        <f>Cost_Recovery!H79</f>
        <v>0.16388251387245734</v>
      </c>
      <c r="G24" s="155">
        <f>Cost_Recovery!I79</f>
        <v>0.17052725842794397</v>
      </c>
      <c r="H24" s="155">
        <f>Cost_Recovery!J79</f>
        <v>0.14671359179691235</v>
      </c>
      <c r="I24" s="157">
        <f>Cost_Recovery!K79</f>
        <v>0.13825955885302846</v>
      </c>
      <c r="J24" s="155">
        <f>Cost_Recovery!L79</f>
        <v>0.15003319556511538</v>
      </c>
      <c r="K24" s="155">
        <f>Cost_Recovery!M79</f>
        <v>0.11318162824060725</v>
      </c>
      <c r="L24" s="155">
        <f>Cost_Recovery!N79</f>
        <v>0.11963995932559411</v>
      </c>
      <c r="M24" s="155">
        <f>Cost_Recovery!O79</f>
        <v>0.11147955918967405</v>
      </c>
      <c r="N24" s="155">
        <f>Cost_Recovery!P79</f>
        <v>0.12761826104377225</v>
      </c>
      <c r="O24" s="254">
        <f t="shared" ref="O24:S24" si="7">$M24</f>
        <v>0.11147955918967405</v>
      </c>
      <c r="P24" s="255">
        <f t="shared" si="7"/>
        <v>0.11147955918967405</v>
      </c>
      <c r="Q24" s="255">
        <f t="shared" si="7"/>
        <v>0.11147955918967405</v>
      </c>
      <c r="R24" s="255">
        <f t="shared" si="7"/>
        <v>0.11147955918967405</v>
      </c>
      <c r="S24" s="256">
        <f t="shared" si="7"/>
        <v>0.11147955918967405</v>
      </c>
    </row>
    <row r="25" spans="2:22" x14ac:dyDescent="0.3">
      <c r="B25" s="162" t="s">
        <v>83</v>
      </c>
      <c r="C25" s="233">
        <f>Cost_Recovery!E80</f>
        <v>5.7449882143197864E-2</v>
      </c>
      <c r="D25" s="234">
        <f>Cost_Recovery!F80</f>
        <v>0.15179174166067255</v>
      </c>
      <c r="E25" s="235">
        <f>Cost_Recovery!G80</f>
        <v>0.31144032838298596</v>
      </c>
      <c r="F25" s="235">
        <f>Cost_Recovery!H80</f>
        <v>0.40376494459630813</v>
      </c>
      <c r="G25" s="235">
        <f>Cost_Recovery!I80</f>
        <v>0.50358791173881601</v>
      </c>
      <c r="H25" s="235">
        <f>Cost_Recovery!J80</f>
        <v>0.48582302225611063</v>
      </c>
      <c r="I25" s="233">
        <f>Cost_Recovery!K80</f>
        <v>0.82170988887040186</v>
      </c>
      <c r="J25" s="235">
        <f>Cost_Recovery!L80</f>
        <v>0.60182603411070168</v>
      </c>
      <c r="K25" s="235">
        <f>Cost_Recovery!M80</f>
        <v>0.67102295317276939</v>
      </c>
      <c r="L25" s="235">
        <f>Cost_Recovery!N80</f>
        <v>0.54605078902736526</v>
      </c>
      <c r="M25" s="21">
        <f>Cost_Recovery!O80</f>
        <v>0.41016772345242047</v>
      </c>
      <c r="N25" s="21">
        <f>Cost_Recovery!P80</f>
        <v>0.60629992543694555</v>
      </c>
      <c r="O25" s="320">
        <v>0.64270324328745299</v>
      </c>
      <c r="P25" s="321">
        <v>0.64270324328745299</v>
      </c>
      <c r="Q25" s="321">
        <v>0.64270324328745299</v>
      </c>
      <c r="R25" s="321">
        <v>0.64270324328745299</v>
      </c>
      <c r="S25" s="322">
        <v>0.64270324328745299</v>
      </c>
      <c r="T25" s="299" t="s">
        <v>316</v>
      </c>
    </row>
    <row r="26" spans="2:22" x14ac:dyDescent="0.3">
      <c r="B26" s="62" t="s">
        <v>84</v>
      </c>
      <c r="C26" s="142">
        <f>Cost_Recovery!E81</f>
        <v>0.16066936194723599</v>
      </c>
      <c r="D26" s="141">
        <f>Cost_Recovery!F81</f>
        <v>0.29638998936522581</v>
      </c>
      <c r="E26" s="158">
        <f>Cost_Recovery!G81</f>
        <v>0.3246333873528881</v>
      </c>
      <c r="F26" s="21">
        <f>Cost_Recovery!H81</f>
        <v>0.21246427368714854</v>
      </c>
      <c r="G26" s="21">
        <f>Cost_Recovery!I81</f>
        <v>0.28071877121864147</v>
      </c>
      <c r="H26" s="21">
        <f>Cost_Recovery!J81</f>
        <v>0.26364563430837124</v>
      </c>
      <c r="I26" s="142">
        <f>Cost_Recovery!K81</f>
        <v>0.26557068698747227</v>
      </c>
      <c r="J26" s="21">
        <f>Cost_Recovery!L81</f>
        <v>0.2664513028567766</v>
      </c>
      <c r="K26" s="21">
        <f>Cost_Recovery!M81</f>
        <v>0.25424190744904107</v>
      </c>
      <c r="L26" s="21">
        <f>Cost_Recovery!N81</f>
        <v>0.20662948349219257</v>
      </c>
      <c r="M26" s="21">
        <f>Cost_Recovery!O81</f>
        <v>0.27491071279641582</v>
      </c>
      <c r="N26" s="21">
        <f>Cost_Recovery!P81</f>
        <v>0.2424408979326701</v>
      </c>
      <c r="O26" s="320">
        <v>0.29689228303804704</v>
      </c>
      <c r="P26" s="321">
        <v>0.29689228303804704</v>
      </c>
      <c r="Q26" s="321">
        <v>0.29689228303804704</v>
      </c>
      <c r="R26" s="321">
        <v>0.29689228303804704</v>
      </c>
      <c r="S26" s="322">
        <v>0.29689228303804704</v>
      </c>
      <c r="T26" s="11" t="s">
        <v>317</v>
      </c>
    </row>
    <row r="27" spans="2:22" x14ac:dyDescent="0.3">
      <c r="B27" s="355" t="s">
        <v>393</v>
      </c>
      <c r="C27" s="360"/>
      <c r="D27" s="361"/>
      <c r="E27" s="362"/>
      <c r="F27" s="363"/>
      <c r="G27" s="363"/>
      <c r="H27" s="363"/>
      <c r="I27" s="360">
        <f>Cost_Recovery!K82</f>
        <v>0</v>
      </c>
      <c r="J27" s="363">
        <f>Cost_Recovery!L82</f>
        <v>0</v>
      </c>
      <c r="K27" s="363">
        <f>Cost_Recovery!M82</f>
        <v>0</v>
      </c>
      <c r="L27" s="363">
        <f>Cost_Recovery!N82</f>
        <v>0</v>
      </c>
      <c r="M27" s="363">
        <f>Cost_Recovery!O82</f>
        <v>0</v>
      </c>
      <c r="N27" s="363">
        <f>Cost_Recovery!P82</f>
        <v>0</v>
      </c>
      <c r="O27" s="364">
        <v>0</v>
      </c>
      <c r="P27" s="362">
        <v>0</v>
      </c>
      <c r="Q27" s="362">
        <v>0</v>
      </c>
      <c r="R27" s="362">
        <v>0</v>
      </c>
      <c r="S27" s="365">
        <v>0</v>
      </c>
      <c r="T27" s="251"/>
    </row>
    <row r="28" spans="2:22" x14ac:dyDescent="0.3">
      <c r="B28" s="62" t="s">
        <v>85</v>
      </c>
      <c r="C28" s="142">
        <f>Cost_Recovery!E83</f>
        <v>2.4585121900680823E-2</v>
      </c>
      <c r="D28" s="141">
        <f>Cost_Recovery!F83</f>
        <v>0.25812649807255111</v>
      </c>
      <c r="E28" s="158">
        <f>Cost_Recovery!G83</f>
        <v>0.45947977492077857</v>
      </c>
      <c r="F28" s="21">
        <f>Cost_Recovery!H83</f>
        <v>0.4289918029962535</v>
      </c>
      <c r="G28" s="21">
        <f>Cost_Recovery!I83</f>
        <v>0.48094691390333899</v>
      </c>
      <c r="H28" s="21">
        <f>Cost_Recovery!J83</f>
        <v>0.60345786766351017</v>
      </c>
      <c r="I28" s="142">
        <f>Cost_Recovery!K83</f>
        <v>0.66488420955935645</v>
      </c>
      <c r="J28" s="21">
        <f>Cost_Recovery!L83</f>
        <v>0.54443981326321189</v>
      </c>
      <c r="K28" s="21">
        <f>Cost_Recovery!M83</f>
        <v>0.52734844317637541</v>
      </c>
      <c r="L28" s="21">
        <f>Cost_Recovery!N83</f>
        <v>0.59268664943063576</v>
      </c>
      <c r="M28" s="21">
        <f>Cost_Recovery!O83</f>
        <v>0.41596312051002116</v>
      </c>
      <c r="N28" s="21">
        <f>Cost_Recovery!P83</f>
        <v>0.55482496862340769</v>
      </c>
      <c r="O28" s="320">
        <v>0.62143658070552521</v>
      </c>
      <c r="P28" s="321">
        <v>0.62143658070552521</v>
      </c>
      <c r="Q28" s="321">
        <v>0.62143658070552521</v>
      </c>
      <c r="R28" s="321">
        <v>0.62143658070552521</v>
      </c>
      <c r="S28" s="322">
        <v>0.62143658070552521</v>
      </c>
      <c r="T28" s="11" t="s">
        <v>318</v>
      </c>
    </row>
    <row r="29" spans="2:22" x14ac:dyDescent="0.3">
      <c r="B29" s="62" t="s">
        <v>77</v>
      </c>
      <c r="C29" s="142">
        <f>Cost_Recovery!E84</f>
        <v>0.55539178439621339</v>
      </c>
      <c r="D29" s="141">
        <f>Cost_Recovery!F84</f>
        <v>0.50648707439786234</v>
      </c>
      <c r="E29" s="158">
        <f>Cost_Recovery!G84</f>
        <v>0.64808306703589869</v>
      </c>
      <c r="F29" s="21">
        <f>Cost_Recovery!H84</f>
        <v>0.50751146701367578</v>
      </c>
      <c r="G29" s="21">
        <f>Cost_Recovery!I84</f>
        <v>0.56833259539361791</v>
      </c>
      <c r="H29" s="21">
        <f>Cost_Recovery!J84</f>
        <v>0.38401131943481542</v>
      </c>
      <c r="I29" s="142">
        <f>Cost_Recovery!K84</f>
        <v>0.55902433867897505</v>
      </c>
      <c r="J29" s="21">
        <f>Cost_Recovery!L84</f>
        <v>0.85112739750888211</v>
      </c>
      <c r="K29" s="21">
        <f>Cost_Recovery!M84</f>
        <v>0.33874423256157882</v>
      </c>
      <c r="L29" s="21">
        <f>Cost_Recovery!N84</f>
        <v>0.46127030070335989</v>
      </c>
      <c r="M29" s="21">
        <f>Cost_Recovery!O84</f>
        <v>0.32421806298254668</v>
      </c>
      <c r="N29" s="21">
        <f>Cost_Recovery!P84</f>
        <v>0.55038064359127359</v>
      </c>
      <c r="O29" s="320">
        <v>0.57882354665022517</v>
      </c>
      <c r="P29" s="321">
        <v>0.57882354665022517</v>
      </c>
      <c r="Q29" s="321">
        <v>0.57882354665022517</v>
      </c>
      <c r="R29" s="321">
        <v>0.57882354665022517</v>
      </c>
      <c r="S29" s="322">
        <v>0.57882354665022517</v>
      </c>
      <c r="T29" s="11" t="s">
        <v>319</v>
      </c>
    </row>
    <row r="30" spans="2:22" x14ac:dyDescent="0.3">
      <c r="B30" s="162" t="s">
        <v>268</v>
      </c>
      <c r="C30" s="142">
        <f>Cost_Recovery!E85</f>
        <v>1.624182847895884</v>
      </c>
      <c r="D30" s="141">
        <f>Cost_Recovery!F85</f>
        <v>2.0517749176047977E-2</v>
      </c>
      <c r="E30" s="158">
        <f>Cost_Recovery!G85</f>
        <v>2.4845346382773523</v>
      </c>
      <c r="F30" s="21">
        <f>Cost_Recovery!H85</f>
        <v>1.7709831734216028</v>
      </c>
      <c r="G30" s="21">
        <f>Cost_Recovery!I85</f>
        <v>1.2326851301038251E-2</v>
      </c>
      <c r="H30" s="21">
        <f>Cost_Recovery!J85</f>
        <v>1.6483557583515969</v>
      </c>
      <c r="I30" s="142">
        <f>Cost_Recovery!K85</f>
        <v>3.7868690870601527</v>
      </c>
      <c r="J30" s="21">
        <f>Cost_Recovery!L85</f>
        <v>0</v>
      </c>
      <c r="K30" s="21">
        <f>Cost_Recovery!M85</f>
        <v>0.15593169285234912</v>
      </c>
      <c r="L30" s="21">
        <f>Cost_Recovery!N85</f>
        <v>2.9692483157931802E-2</v>
      </c>
      <c r="M30" s="21">
        <f>Cost_Recovery!O85</f>
        <v>1.9865928003778124</v>
      </c>
      <c r="N30" s="21">
        <f>Cost_Recovery!P85</f>
        <v>0.2424408979326701</v>
      </c>
      <c r="O30" s="257">
        <v>0.78</v>
      </c>
      <c r="P30" s="158">
        <v>0.78</v>
      </c>
      <c r="Q30" s="158">
        <v>0.78</v>
      </c>
      <c r="R30" s="158">
        <v>0.78</v>
      </c>
      <c r="S30" s="258">
        <v>0.78</v>
      </c>
      <c r="T30" s="11" t="s">
        <v>398</v>
      </c>
    </row>
    <row r="31" spans="2:22" x14ac:dyDescent="0.3">
      <c r="B31" s="162" t="s">
        <v>86</v>
      </c>
      <c r="C31" s="142">
        <f>Cost_Recovery!E86</f>
        <v>4.2473145679199E-4</v>
      </c>
      <c r="D31" s="141">
        <f>Cost_Recovery!F86</f>
        <v>0.26783730750666696</v>
      </c>
      <c r="E31" s="158">
        <f>Cost_Recovery!G86</f>
        <v>8.1145079106234128E-2</v>
      </c>
      <c r="F31" s="21">
        <f>Cost_Recovery!H86</f>
        <v>2.8099507436697743E-2</v>
      </c>
      <c r="G31" s="21">
        <f>Cost_Recovery!I86</f>
        <v>7.160487877360424E-3</v>
      </c>
      <c r="H31" s="21">
        <f>Cost_Recovery!J86</f>
        <v>1.2435652941871038E-3</v>
      </c>
      <c r="I31" s="142">
        <f>Cost_Recovery!K86</f>
        <v>0</v>
      </c>
      <c r="J31" s="21">
        <f>Cost_Recovery!L86</f>
        <v>3.6177947068172099E-3</v>
      </c>
      <c r="K31" s="21">
        <f>Cost_Recovery!M86</f>
        <v>6.2681455981911834E-3</v>
      </c>
      <c r="L31" s="21">
        <f>Cost_Recovery!N86</f>
        <v>0</v>
      </c>
      <c r="M31" s="21">
        <f>Cost_Recovery!O86</f>
        <v>5.3062684774880927E-4</v>
      </c>
      <c r="N31" s="21">
        <f>Cost_Recovery!P86</f>
        <v>0</v>
      </c>
      <c r="O31" s="257">
        <f>AVERAGE(I31:L31)</f>
        <v>2.4714850762520982E-3</v>
      </c>
      <c r="P31" s="158">
        <f>$O31</f>
        <v>2.4714850762520982E-3</v>
      </c>
      <c r="Q31" s="158">
        <f t="shared" ref="Q31:S31" si="8">$O31</f>
        <v>2.4714850762520982E-3</v>
      </c>
      <c r="R31" s="158">
        <f t="shared" si="8"/>
        <v>2.4714850762520982E-3</v>
      </c>
      <c r="S31" s="258">
        <f t="shared" si="8"/>
        <v>2.4714850762520982E-3</v>
      </c>
    </row>
    <row r="32" spans="2:22" x14ac:dyDescent="0.3">
      <c r="B32" s="154" t="s">
        <v>207</v>
      </c>
      <c r="C32" s="161"/>
      <c r="D32" s="159"/>
      <c r="E32" s="160"/>
      <c r="F32" s="132"/>
      <c r="G32" s="132"/>
      <c r="H32" s="132"/>
      <c r="I32" s="161"/>
      <c r="J32" s="132">
        <f>Cost_Recovery!L87</f>
        <v>0</v>
      </c>
      <c r="K32" s="132">
        <f>Cost_Recovery!M87</f>
        <v>0</v>
      </c>
      <c r="L32" s="132">
        <f>Cost_Recovery!N87</f>
        <v>6.4652673393345364E-2</v>
      </c>
      <c r="M32" s="132">
        <f>Cost_Recovery!O87</f>
        <v>1.3964888208685597</v>
      </c>
      <c r="N32" s="374">
        <f>[2]Capcon_Summary!H$14</f>
        <v>0.85273170519660024</v>
      </c>
      <c r="O32" s="375">
        <f>[2]Capcon_Summary!I$14</f>
        <v>0.83955958122165331</v>
      </c>
      <c r="P32" s="374">
        <f>[2]Capcon_Summary!J$14</f>
        <v>1.0013965132349301</v>
      </c>
      <c r="Q32" s="374">
        <f>[2]Capcon_Summary!K$14</f>
        <v>0.82027912495306921</v>
      </c>
      <c r="R32" s="374">
        <f>[2]Capcon_Summary!L$14</f>
        <v>0.88306272157533738</v>
      </c>
      <c r="S32" s="376">
        <f>[2]Capcon_Summary!M$14</f>
        <v>0.59748516194777113</v>
      </c>
      <c r="T32" s="11" t="s">
        <v>320</v>
      </c>
    </row>
    <row r="33" spans="2:19" x14ac:dyDescent="0.3">
      <c r="C33" s="21"/>
      <c r="D33" s="21"/>
      <c r="E33" s="21"/>
      <c r="F33" s="21"/>
      <c r="G33" s="21"/>
      <c r="H33" s="21"/>
      <c r="I33" s="21"/>
      <c r="O33" s="11"/>
    </row>
    <row r="34" spans="2:19" x14ac:dyDescent="0.3">
      <c r="B34" t="s">
        <v>363</v>
      </c>
      <c r="C34" s="21"/>
      <c r="D34" s="21"/>
      <c r="E34" s="21"/>
      <c r="F34" s="21"/>
      <c r="G34" s="21"/>
      <c r="H34" s="21"/>
      <c r="I34" s="21">
        <f>I19/Capex_Fcast_Total!C88</f>
        <v>0.49116089393428852</v>
      </c>
      <c r="J34" s="21">
        <f>J19/Capex_Fcast_Total!D88</f>
        <v>0.35972189296437335</v>
      </c>
      <c r="K34" s="21">
        <f>K19/Capex_Fcast_Total!E88</f>
        <v>0.29640000724419441</v>
      </c>
      <c r="L34" s="21">
        <f>L19/Capex_Fcast_Total!F88</f>
        <v>0.26445670302395397</v>
      </c>
      <c r="M34" s="21">
        <f>M19/Capex_Fcast_Total!G88</f>
        <v>0.34587849229866435</v>
      </c>
      <c r="N34" s="21">
        <f>N19/Capex_Fcast_Total!H88</f>
        <v>0.37181315589787683</v>
      </c>
      <c r="O34" s="21">
        <f>O19/Capex_Fcast_Total!I88</f>
        <v>0.42973106109119785</v>
      </c>
      <c r="P34" s="21">
        <f>P19/Capex_Fcast_Total!J88</f>
        <v>0.50071841306475184</v>
      </c>
      <c r="Q34" s="21">
        <f>Q19/Capex_Fcast_Total!K88</f>
        <v>0.48841740698001229</v>
      </c>
      <c r="R34" s="21">
        <f>R19/Capex_Fcast_Total!L88</f>
        <v>0.48072741913485684</v>
      </c>
      <c r="S34" s="21">
        <f>S19/Capex_Fcast_Total!M88</f>
        <v>0.42779804127996124</v>
      </c>
    </row>
    <row r="35" spans="2:19" x14ac:dyDescent="0.3">
      <c r="C35" s="21"/>
      <c r="D35" s="21"/>
      <c r="E35" s="21"/>
      <c r="F35" s="21"/>
      <c r="G35" s="21"/>
      <c r="H35" s="21"/>
      <c r="I35" s="21"/>
      <c r="O35" s="11"/>
      <c r="P35" s="11"/>
      <c r="Q35" s="11"/>
      <c r="R35" s="11"/>
      <c r="S35" s="11"/>
    </row>
    <row r="36" spans="2:19" x14ac:dyDescent="0.3">
      <c r="C36" s="21"/>
      <c r="D36" s="21"/>
      <c r="E36" s="21"/>
      <c r="F36" s="21"/>
      <c r="G36" s="21"/>
      <c r="H36" s="21"/>
      <c r="I36" s="21"/>
      <c r="J36" s="25"/>
      <c r="K36" s="25"/>
      <c r="L36" s="25"/>
      <c r="M36" s="25"/>
      <c r="N36" s="25"/>
      <c r="O36" s="25"/>
      <c r="P36" s="25"/>
      <c r="Q36" s="25"/>
      <c r="R36" s="25"/>
      <c r="S36" s="25"/>
    </row>
    <row r="37" spans="2:19" x14ac:dyDescent="0.3">
      <c r="C37" s="21"/>
      <c r="D37" s="21"/>
      <c r="E37" s="21"/>
      <c r="F37" s="21"/>
      <c r="G37" s="21"/>
      <c r="H37" s="21"/>
      <c r="I37" s="21"/>
      <c r="J37" s="25"/>
      <c r="K37" s="25"/>
      <c r="L37" s="25"/>
      <c r="M37" s="25"/>
      <c r="N37" s="25"/>
      <c r="O37" s="11"/>
      <c r="P37" s="11"/>
      <c r="Q37" s="11"/>
      <c r="R37" s="11"/>
      <c r="S37" s="11"/>
    </row>
    <row r="38" spans="2:19" x14ac:dyDescent="0.3">
      <c r="C38" s="21"/>
      <c r="D38" s="21"/>
      <c r="E38" s="21"/>
      <c r="F38" s="21"/>
      <c r="G38" s="21"/>
      <c r="H38" s="21"/>
      <c r="I38" s="21"/>
      <c r="J38" s="25"/>
      <c r="K38" s="25"/>
      <c r="L38" s="25"/>
      <c r="M38" s="25"/>
      <c r="N38" s="25"/>
      <c r="O38" s="11"/>
      <c r="P38" s="11"/>
      <c r="Q38" s="11"/>
      <c r="R38" s="11"/>
      <c r="S38" s="11"/>
    </row>
    <row r="39" spans="2:19" x14ac:dyDescent="0.3">
      <c r="C39" s="21"/>
      <c r="D39" s="21"/>
      <c r="E39" s="21"/>
      <c r="F39" s="21"/>
      <c r="G39" s="21"/>
      <c r="H39" s="21"/>
      <c r="I39" s="21"/>
      <c r="J39" s="25"/>
      <c r="K39" s="25"/>
      <c r="L39" s="25"/>
      <c r="M39" s="25"/>
      <c r="N39" s="25"/>
      <c r="O39" s="11"/>
      <c r="P39" s="11"/>
      <c r="Q39" s="11"/>
      <c r="R39" s="11"/>
      <c r="S39" s="11"/>
    </row>
    <row r="40" spans="2:19" x14ac:dyDescent="0.3">
      <c r="G40" s="25"/>
      <c r="H40" s="25"/>
      <c r="I40" s="25"/>
      <c r="J40" s="25"/>
      <c r="K40" s="25"/>
      <c r="L40" s="25"/>
      <c r="M40" s="25"/>
      <c r="N40" s="25"/>
      <c r="O40" s="11"/>
      <c r="P40" s="11"/>
      <c r="Q40" s="11"/>
      <c r="R40" s="11"/>
      <c r="S40" s="11"/>
    </row>
    <row r="41" spans="2:19" x14ac:dyDescent="0.3">
      <c r="O41" s="11"/>
      <c r="P41" s="11"/>
      <c r="Q41" s="11"/>
      <c r="R41" s="11"/>
      <c r="S41" s="11"/>
    </row>
    <row r="42" spans="2:19" x14ac:dyDescent="0.3">
      <c r="B42" s="1"/>
      <c r="O42" s="11"/>
      <c r="P42" s="11"/>
      <c r="Q42" s="11"/>
      <c r="R42" s="11"/>
      <c r="S42" s="11"/>
    </row>
    <row r="43" spans="2:19" x14ac:dyDescent="0.3">
      <c r="B43" s="1"/>
      <c r="O43" s="165"/>
      <c r="P43" s="165"/>
      <c r="Q43" s="165"/>
      <c r="R43" s="165"/>
      <c r="S43" s="165"/>
    </row>
    <row r="44" spans="2:19" x14ac:dyDescent="0.3">
      <c r="B44" s="1"/>
      <c r="C44" s="3"/>
      <c r="D44" s="3"/>
      <c r="E44" s="3"/>
      <c r="F44" s="3"/>
      <c r="G44" s="3"/>
      <c r="H44" s="3"/>
      <c r="I44" s="3"/>
      <c r="J44" s="3"/>
      <c r="K44" s="3"/>
      <c r="L44" s="3"/>
      <c r="M44" s="3"/>
      <c r="N44" s="3"/>
      <c r="O44" s="165"/>
      <c r="P44" s="165"/>
      <c r="Q44" s="165"/>
      <c r="R44" s="165"/>
      <c r="S44" s="165"/>
    </row>
    <row r="45" spans="2:19" x14ac:dyDescent="0.3">
      <c r="C45" s="21"/>
      <c r="D45" s="21"/>
      <c r="E45" s="21"/>
      <c r="F45" s="21"/>
      <c r="G45" s="21"/>
      <c r="H45" s="21"/>
      <c r="I45" s="21"/>
      <c r="J45" s="21"/>
      <c r="K45" s="21"/>
      <c r="L45" s="21"/>
      <c r="M45" s="21"/>
      <c r="N45" s="21"/>
      <c r="O45" s="165"/>
      <c r="P45" s="165"/>
      <c r="Q45" s="165"/>
      <c r="R45" s="165"/>
      <c r="S45" s="165"/>
    </row>
    <row r="46" spans="2:19" x14ac:dyDescent="0.3">
      <c r="C46" s="21"/>
      <c r="D46" s="21"/>
      <c r="E46" s="21"/>
      <c r="F46" s="21"/>
      <c r="G46" s="21"/>
      <c r="H46" s="21"/>
      <c r="I46" s="21"/>
      <c r="J46" s="21"/>
      <c r="K46" s="21"/>
      <c r="L46" s="21"/>
      <c r="M46" s="21"/>
      <c r="N46" s="21"/>
      <c r="O46" s="165"/>
      <c r="P46" s="165"/>
      <c r="Q46" s="165"/>
      <c r="R46" s="165"/>
      <c r="S46" s="165"/>
    </row>
    <row r="47" spans="2:19" x14ac:dyDescent="0.3">
      <c r="C47" s="21"/>
      <c r="D47" s="21"/>
      <c r="E47" s="21"/>
      <c r="F47" s="21"/>
      <c r="G47" s="21"/>
      <c r="H47" s="21"/>
      <c r="I47" s="21"/>
      <c r="J47" s="21"/>
      <c r="K47" s="21"/>
      <c r="L47" s="21"/>
      <c r="M47" s="21"/>
      <c r="N47" s="21"/>
      <c r="O47" s="165"/>
      <c r="P47" s="165"/>
      <c r="Q47" s="165"/>
      <c r="R47" s="165"/>
      <c r="S47" s="165"/>
    </row>
    <row r="48" spans="2:19" x14ac:dyDescent="0.3">
      <c r="C48" s="21"/>
      <c r="D48" s="21"/>
      <c r="E48" s="21"/>
      <c r="F48" s="21"/>
      <c r="G48" s="21"/>
      <c r="H48" s="21"/>
      <c r="I48" s="21"/>
      <c r="J48" s="21"/>
      <c r="K48" s="21"/>
      <c r="L48" s="21"/>
      <c r="M48" s="21"/>
      <c r="N48" s="21"/>
      <c r="O48" s="21"/>
      <c r="P48" s="21"/>
      <c r="Q48" s="21"/>
      <c r="R48" s="21"/>
      <c r="S48" s="21"/>
    </row>
    <row r="49" spans="2:2" x14ac:dyDescent="0.3">
      <c r="B49" s="8"/>
    </row>
  </sheetData>
  <mergeCells count="3">
    <mergeCell ref="O8:S8"/>
    <mergeCell ref="D7:N7"/>
    <mergeCell ref="O7:S7"/>
  </mergeCells>
  <phoneticPr fontId="29" type="noConversion"/>
  <hyperlinks>
    <hyperlink ref="B3" location="Contents!A1" display="Table of Contents" xr:uid="{00000000-0004-0000-1000-000000000000}"/>
  </hyperlinks>
  <pageMargins left="0.25" right="0.25" top="0.75" bottom="0.75" header="0.3" footer="0.3"/>
  <pageSetup paperSize="9" scale="85" orientation="portrait" r:id="rId1"/>
  <headerFooter>
    <oddFooter>&amp;C_x000D_&amp;1#&amp;"Century Gothic"&amp;7&amp;K7F7F7F BUSINESS USE ONLY</oddFooter>
  </headerFooter>
  <colBreaks count="2" manualBreakCount="2">
    <brk id="19" max="44" man="1"/>
    <brk id="21" max="44" man="1"/>
  </col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B59C-6324-4288-8971-05D391D83E93}">
  <sheetPr codeName="Sheet19"/>
  <dimension ref="B1:AA34"/>
  <sheetViews>
    <sheetView zoomScale="85" zoomScaleNormal="85" workbookViewId="0">
      <pane xSplit="3" topLeftCell="D1" activePane="topRight" state="frozen"/>
      <selection pane="topRight" activeCell="J26" sqref="J26"/>
    </sheetView>
  </sheetViews>
  <sheetFormatPr defaultRowHeight="14.65" x14ac:dyDescent="0.3"/>
  <cols>
    <col min="1" max="1" width="3.77734375" customWidth="1"/>
    <col min="2" max="2" width="49.33203125" bestFit="1" customWidth="1"/>
    <col min="4" max="4" width="3.77734375" customWidth="1"/>
    <col min="5" max="5" width="12.6640625" bestFit="1" customWidth="1"/>
    <col min="6" max="6" width="21" bestFit="1" customWidth="1"/>
    <col min="7" max="7" width="3.6640625" customWidth="1"/>
    <col min="8" max="14" width="10.5546875" customWidth="1"/>
    <col min="15" max="15" width="4.44140625" customWidth="1"/>
    <col min="16" max="22" width="10.109375" bestFit="1" customWidth="1"/>
    <col min="23" max="23" width="4.44140625" customWidth="1"/>
    <col min="24" max="24" width="14.88671875" bestFit="1" customWidth="1"/>
    <col min="25" max="25" width="22.77734375" bestFit="1" customWidth="1"/>
    <col min="26" max="26" width="10.6640625" customWidth="1"/>
  </cols>
  <sheetData>
    <row r="1" spans="2:27" x14ac:dyDescent="0.3">
      <c r="B1" s="279"/>
      <c r="C1" s="279"/>
      <c r="D1" s="279"/>
      <c r="E1" s="279"/>
      <c r="F1" s="279"/>
      <c r="G1" s="279"/>
      <c r="H1" s="279"/>
      <c r="I1" s="279"/>
      <c r="J1" s="279"/>
      <c r="K1" s="279"/>
      <c r="L1" s="279"/>
      <c r="M1" s="279"/>
      <c r="N1" s="279"/>
      <c r="O1" s="279"/>
      <c r="P1" s="279"/>
      <c r="Q1" s="279"/>
      <c r="R1" s="279"/>
      <c r="S1" s="279"/>
      <c r="T1" s="279"/>
      <c r="U1" s="279"/>
      <c r="V1" s="279"/>
    </row>
    <row r="2" spans="2:27" ht="18.5" x14ac:dyDescent="0.35">
      <c r="B2" s="39" t="s">
        <v>309</v>
      </c>
      <c r="C2" s="279"/>
      <c r="D2" s="279"/>
      <c r="E2" s="279"/>
      <c r="F2" s="279"/>
      <c r="G2" s="279"/>
      <c r="H2" s="279"/>
      <c r="I2" s="279"/>
      <c r="J2" s="279"/>
      <c r="K2" s="279"/>
      <c r="L2" s="279"/>
      <c r="M2" s="279"/>
      <c r="N2" s="279"/>
      <c r="O2" s="279"/>
      <c r="P2" s="279"/>
      <c r="Q2" s="279"/>
      <c r="R2" s="279"/>
      <c r="S2" s="279"/>
      <c r="T2" s="279"/>
      <c r="U2" s="279"/>
      <c r="V2" s="279"/>
    </row>
    <row r="3" spans="2:27" x14ac:dyDescent="0.3">
      <c r="B3" s="40" t="s">
        <v>53</v>
      </c>
      <c r="C3" s="279"/>
      <c r="D3" s="279"/>
      <c r="E3" s="279"/>
      <c r="F3" s="279"/>
      <c r="G3" s="279"/>
      <c r="H3" s="289" t="s">
        <v>133</v>
      </c>
      <c r="I3" s="289" t="s">
        <v>132</v>
      </c>
      <c r="J3" s="289"/>
      <c r="K3" s="289"/>
      <c r="L3" s="289"/>
      <c r="M3" s="289"/>
      <c r="N3" s="289"/>
      <c r="O3" s="279"/>
      <c r="P3" s="289" t="s">
        <v>133</v>
      </c>
      <c r="Q3" s="289" t="s">
        <v>132</v>
      </c>
      <c r="R3" s="279"/>
      <c r="S3" s="279"/>
      <c r="T3" s="279"/>
      <c r="U3" s="279"/>
      <c r="V3" s="279"/>
    </row>
    <row r="4" spans="2:27" x14ac:dyDescent="0.3">
      <c r="B4" s="279"/>
      <c r="C4" s="279"/>
      <c r="D4" s="279"/>
      <c r="E4" s="290"/>
      <c r="F4" s="1" t="s">
        <v>254</v>
      </c>
      <c r="G4" s="279"/>
      <c r="H4" s="291">
        <f>1/Escalation!P11</f>
        <v>1.0405198776758409</v>
      </c>
      <c r="I4" s="291">
        <f>1/Escalation!Q11</f>
        <v>1.0657492354740061</v>
      </c>
      <c r="J4" s="291"/>
      <c r="K4" s="291"/>
      <c r="L4" s="291"/>
      <c r="M4" s="291"/>
      <c r="O4" s="310" t="s">
        <v>326</v>
      </c>
      <c r="P4" s="309">
        <f>Escalation!P11</f>
        <v>0.96105804555473928</v>
      </c>
      <c r="Q4" s="309">
        <f>Escalation!Q11</f>
        <v>0.93830703012912475</v>
      </c>
      <c r="R4" s="309"/>
      <c r="S4" s="309"/>
      <c r="T4" s="309"/>
      <c r="U4" s="309"/>
      <c r="V4" s="309"/>
    </row>
    <row r="5" spans="2:27" x14ac:dyDescent="0.3">
      <c r="B5" s="279"/>
      <c r="C5" s="279"/>
      <c r="D5" s="279"/>
      <c r="E5" s="279"/>
      <c r="F5" s="279"/>
      <c r="G5" s="279"/>
      <c r="H5" s="279"/>
      <c r="I5" s="279"/>
      <c r="J5" s="279"/>
      <c r="K5" s="279"/>
      <c r="L5" s="279"/>
      <c r="M5" s="279"/>
      <c r="N5" s="279"/>
      <c r="O5" s="279"/>
      <c r="P5" s="279"/>
      <c r="Q5" s="279"/>
      <c r="R5" s="279"/>
      <c r="S5" s="279"/>
      <c r="T5" s="279"/>
      <c r="U5" s="279"/>
      <c r="V5" s="279"/>
    </row>
    <row r="6" spans="2:27" ht="26.8" customHeight="1" x14ac:dyDescent="0.3">
      <c r="B6" s="279"/>
      <c r="C6" s="279"/>
      <c r="D6" s="279"/>
      <c r="E6" s="279"/>
      <c r="F6" s="279"/>
      <c r="G6" s="279"/>
      <c r="H6" s="446" t="s">
        <v>301</v>
      </c>
      <c r="I6" s="446"/>
      <c r="J6" s="446"/>
      <c r="K6" s="446"/>
      <c r="L6" s="446"/>
      <c r="M6" s="446"/>
      <c r="N6" s="446"/>
      <c r="O6" s="279"/>
      <c r="P6" s="446" t="s">
        <v>302</v>
      </c>
      <c r="Q6" s="446"/>
      <c r="R6" s="446"/>
      <c r="S6" s="446"/>
      <c r="T6" s="446"/>
      <c r="U6" s="446"/>
      <c r="V6" s="446"/>
      <c r="X6" s="446" t="s">
        <v>379</v>
      </c>
      <c r="Y6" s="446"/>
    </row>
    <row r="7" spans="2:27" x14ac:dyDescent="0.3">
      <c r="B7" s="278" t="s">
        <v>303</v>
      </c>
      <c r="C7" s="278" t="s">
        <v>304</v>
      </c>
      <c r="D7" s="279"/>
      <c r="E7" s="278" t="s">
        <v>305</v>
      </c>
      <c r="F7" s="278" t="s">
        <v>306</v>
      </c>
      <c r="G7" s="279"/>
      <c r="H7" s="278" t="s">
        <v>133</v>
      </c>
      <c r="I7" s="278" t="s">
        <v>132</v>
      </c>
      <c r="J7" s="278" t="s">
        <v>196</v>
      </c>
      <c r="K7" s="278" t="s">
        <v>203</v>
      </c>
      <c r="L7" s="278" t="s">
        <v>204</v>
      </c>
      <c r="M7" s="278" t="s">
        <v>205</v>
      </c>
      <c r="N7" s="278" t="s">
        <v>206</v>
      </c>
      <c r="O7" s="279"/>
      <c r="P7" s="278" t="s">
        <v>133</v>
      </c>
      <c r="Q7" s="278" t="s">
        <v>132</v>
      </c>
      <c r="R7" s="278" t="s">
        <v>196</v>
      </c>
      <c r="S7" s="278" t="s">
        <v>203</v>
      </c>
      <c r="T7" s="278" t="s">
        <v>204</v>
      </c>
      <c r="U7" s="278" t="s">
        <v>205</v>
      </c>
      <c r="V7" s="278" t="s">
        <v>206</v>
      </c>
      <c r="X7" s="336" t="s">
        <v>116</v>
      </c>
      <c r="Y7" s="336" t="s">
        <v>380</v>
      </c>
    </row>
    <row r="8" spans="2:27" x14ac:dyDescent="0.3">
      <c r="B8" s="280" t="s">
        <v>82</v>
      </c>
      <c r="C8" s="281">
        <v>1012</v>
      </c>
      <c r="D8" s="279"/>
      <c r="E8" s="282" t="s">
        <v>58</v>
      </c>
      <c r="F8" s="283" t="s">
        <v>308</v>
      </c>
      <c r="G8" s="277"/>
      <c r="H8" s="284">
        <f>Capex_Fcast_Total!G52/H$4</f>
        <v>15179.301173254957</v>
      </c>
      <c r="I8" s="284">
        <f>Capex_Fcast_Total!H52/I$4</f>
        <v>19190.88795902858</v>
      </c>
      <c r="J8" s="284">
        <f>Capex_Fcast_Total!I52</f>
        <v>18051.999861101958</v>
      </c>
      <c r="K8" s="284">
        <f>Capex_Fcast_Total!J52</f>
        <v>17848.535201971685</v>
      </c>
      <c r="L8" s="284">
        <f>Capex_Fcast_Total!K52</f>
        <v>18128.144789980452</v>
      </c>
      <c r="M8" s="284">
        <f>Capex_Fcast_Total!L52</f>
        <v>18496.197632094354</v>
      </c>
      <c r="N8" s="284">
        <f>Capex_Fcast_Total!M52</f>
        <v>18851.671044832954</v>
      </c>
      <c r="O8" s="277"/>
      <c r="P8" s="284">
        <f>Contr_Fcast!M24*H8</f>
        <v>1692.1818036017646</v>
      </c>
      <c r="Q8" s="284">
        <f>Contr_Fcast!N24*I8</f>
        <v>2449.1077492170948</v>
      </c>
      <c r="R8" s="284">
        <f>Contr_Fcast!O24*J8</f>
        <v>2012.4289870077034</v>
      </c>
      <c r="S8" s="284">
        <f>Contr_Fcast!P24*K8</f>
        <v>1989.7468364971833</v>
      </c>
      <c r="T8" s="284">
        <f>Contr_Fcast!Q24*L8</f>
        <v>2020.917590113607</v>
      </c>
      <c r="U8" s="284">
        <f>Contr_Fcast!R24*M8</f>
        <v>2061.9479587109713</v>
      </c>
      <c r="V8" s="284">
        <f>Contr_Fcast!S24*N8</f>
        <v>2101.5759780667195</v>
      </c>
      <c r="X8" s="337">
        <v>0</v>
      </c>
      <c r="Y8" s="337">
        <v>1</v>
      </c>
      <c r="Z8" s="57"/>
      <c r="AA8" s="57"/>
    </row>
    <row r="9" spans="2:27" x14ac:dyDescent="0.3">
      <c r="B9" s="280" t="s">
        <v>83</v>
      </c>
      <c r="C9" s="282">
        <v>1013</v>
      </c>
      <c r="D9" s="279"/>
      <c r="E9" s="282" t="s">
        <v>58</v>
      </c>
      <c r="F9" s="283" t="s">
        <v>308</v>
      </c>
      <c r="G9" s="277"/>
      <c r="H9" s="284">
        <f>Capex_Fcast_Total!G53/H$4</f>
        <v>11033.19091379868</v>
      </c>
      <c r="I9" s="284">
        <f>Capex_Fcast_Total!H53/I$4</f>
        <v>7377.6609130328688</v>
      </c>
      <c r="J9" s="284">
        <f>Capex_Fcast_Total!I53</f>
        <v>9739.9160497916855</v>
      </c>
      <c r="K9" s="284">
        <f>Capex_Fcast_Total!J53</f>
        <v>9933.9070699197637</v>
      </c>
      <c r="L9" s="284">
        <f>Capex_Fcast_Total!K53</f>
        <v>10104.736220080717</v>
      </c>
      <c r="M9" s="284">
        <f>Capex_Fcast_Total!L53</f>
        <v>10324.560844811323</v>
      </c>
      <c r="N9" s="284">
        <f>Capex_Fcast_Total!M53</f>
        <v>10537.332267572519</v>
      </c>
      <c r="O9" s="277"/>
      <c r="P9" s="284">
        <f>Contr_Fcast!M25*H9</f>
        <v>4525.4587995287357</v>
      </c>
      <c r="Q9" s="284">
        <f>Contr_Fcast!N25*I9</f>
        <v>4473.0752614708963</v>
      </c>
      <c r="R9" s="284">
        <f>Contr_Fcast!O25*J9</f>
        <v>6259.8756345486336</v>
      </c>
      <c r="S9" s="284">
        <f>Contr_Fcast!P25*K9</f>
        <v>6384.5542923535913</v>
      </c>
      <c r="T9" s="284">
        <f>Contr_Fcast!Q25*L9</f>
        <v>6494.3467412100745</v>
      </c>
      <c r="U9" s="284">
        <f>Contr_Fcast!R25*M9</f>
        <v>6635.6287404788827</v>
      </c>
      <c r="V9" s="284">
        <f>Contr_Fcast!S25*N9</f>
        <v>6772.3776239663894</v>
      </c>
      <c r="X9" s="337">
        <v>0</v>
      </c>
      <c r="Y9" s="337">
        <v>1</v>
      </c>
      <c r="Z9" s="57"/>
      <c r="AA9" s="57"/>
    </row>
    <row r="10" spans="2:27" x14ac:dyDescent="0.3">
      <c r="B10" s="280" t="s">
        <v>84</v>
      </c>
      <c r="C10" s="282">
        <v>1014</v>
      </c>
      <c r="D10" s="279"/>
      <c r="E10" s="282" t="s">
        <v>58</v>
      </c>
      <c r="F10" s="283" t="s">
        <v>308</v>
      </c>
      <c r="G10" s="277"/>
      <c r="H10" s="285">
        <f>Capex_Fcast_Total!G54/H$4</f>
        <v>44974.576818780326</v>
      </c>
      <c r="I10" s="285">
        <f>Capex_Fcast_Total!H54/I$4</f>
        <v>40626.088451249692</v>
      </c>
      <c r="J10" s="285">
        <f>Capex_Fcast_Total!I54</f>
        <v>40309.143094005558</v>
      </c>
      <c r="K10" s="285">
        <f>Capex_Fcast_Total!J54</f>
        <v>41111.984899758296</v>
      </c>
      <c r="L10" s="285">
        <f>Capex_Fcast_Total!K54</f>
        <v>41818.970116392928</v>
      </c>
      <c r="M10" s="285">
        <f>Capex_Fcast_Total!L54</f>
        <v>42728.725622349433</v>
      </c>
      <c r="N10" s="285">
        <f>Capex_Fcast_Total!M54</f>
        <v>43609.29108950041</v>
      </c>
      <c r="O10" s="277"/>
      <c r="P10" s="285">
        <f>Contr_Fcast!M26*H10</f>
        <v>12363.992970968058</v>
      </c>
      <c r="Q10" s="285">
        <f>Contr_Fcast!N26*I10</f>
        <v>9849.4253636130543</v>
      </c>
      <c r="R10" s="285">
        <f>Contr_Fcast!O26*J10</f>
        <v>11967.473520486637</v>
      </c>
      <c r="S10" s="285">
        <f>Contr_Fcast!P26*K10</f>
        <v>12205.831057114956</v>
      </c>
      <c r="T10" s="285">
        <f>Contr_Fcast!Q26*L10</f>
        <v>12415.72951215576</v>
      </c>
      <c r="U10" s="285">
        <f>Contr_Fcast!R26*M10</f>
        <v>12685.82890132562</v>
      </c>
      <c r="V10" s="285">
        <f>Contr_Fcast!S26*N10</f>
        <v>12947.261993232538</v>
      </c>
      <c r="X10" s="337">
        <v>0</v>
      </c>
      <c r="Y10" s="337">
        <v>1</v>
      </c>
      <c r="Z10" s="57"/>
      <c r="AA10" s="57"/>
    </row>
    <row r="11" spans="2:27" x14ac:dyDescent="0.3">
      <c r="B11" s="280" t="s">
        <v>393</v>
      </c>
      <c r="C11" s="282">
        <v>1014</v>
      </c>
      <c r="D11" s="279"/>
      <c r="E11" s="282" t="s">
        <v>58</v>
      </c>
      <c r="F11" s="283" t="s">
        <v>308</v>
      </c>
      <c r="G11" s="277"/>
      <c r="H11" s="285">
        <f>Capex_Fcast_Total!G55/H$4</f>
        <v>3578.2397433063938</v>
      </c>
      <c r="I11" s="285">
        <f>Capex_Fcast_Total!H55/I$4</f>
        <v>6043.1649579555551</v>
      </c>
      <c r="J11" s="285">
        <f>Capex_Fcast_Total!I55</f>
        <v>4109.3725016356821</v>
      </c>
      <c r="K11" s="285">
        <f>Capex_Fcast_Total!J55</f>
        <v>1252.7392500580534</v>
      </c>
      <c r="L11" s="285">
        <f>Capex_Fcast_Total!K55</f>
        <v>0</v>
      </c>
      <c r="M11" s="285">
        <f>Capex_Fcast_Total!L55</f>
        <v>0</v>
      </c>
      <c r="N11" s="285">
        <f>Capex_Fcast_Total!M55</f>
        <v>0</v>
      </c>
      <c r="O11" s="277"/>
      <c r="P11" s="285">
        <f>Contr_Fcast!M27*H11</f>
        <v>0</v>
      </c>
      <c r="Q11" s="285">
        <f>Contr_Fcast!N27*I11</f>
        <v>0</v>
      </c>
      <c r="R11" s="285">
        <f>Contr_Fcast!O27*J11</f>
        <v>0</v>
      </c>
      <c r="S11" s="285">
        <f>Contr_Fcast!P27*K11</f>
        <v>0</v>
      </c>
      <c r="T11" s="285">
        <f>Contr_Fcast!Q27*L11</f>
        <v>0</v>
      </c>
      <c r="U11" s="285">
        <f>Contr_Fcast!R27*M11</f>
        <v>0</v>
      </c>
      <c r="V11" s="285">
        <f>Contr_Fcast!S27*N11</f>
        <v>0</v>
      </c>
      <c r="X11" s="337">
        <v>0</v>
      </c>
      <c r="Y11" s="337">
        <v>1</v>
      </c>
      <c r="Z11" s="57"/>
      <c r="AA11" s="57"/>
    </row>
    <row r="12" spans="2:27" x14ac:dyDescent="0.3">
      <c r="B12" s="280" t="s">
        <v>85</v>
      </c>
      <c r="C12" s="282">
        <v>1018</v>
      </c>
      <c r="D12" s="279"/>
      <c r="E12" s="282" t="s">
        <v>58</v>
      </c>
      <c r="F12" s="283" t="s">
        <v>308</v>
      </c>
      <c r="G12" s="277"/>
      <c r="H12" s="285">
        <f>Capex_Fcast_Total!G56/H$4</f>
        <v>10679.146432858195</v>
      </c>
      <c r="I12" s="285">
        <f>Capex_Fcast_Total!H56/I$4</f>
        <v>11664.837165339415</v>
      </c>
      <c r="J12" s="285">
        <f>Capex_Fcast_Total!I56</f>
        <v>11573.833671685336</v>
      </c>
      <c r="K12" s="285">
        <f>Capex_Fcast_Total!J56</f>
        <v>11804.351038496825</v>
      </c>
      <c r="L12" s="285">
        <f>Capex_Fcast_Total!K56</f>
        <v>12007.345413410407</v>
      </c>
      <c r="M12" s="285">
        <f>Capex_Fcast_Total!L56</f>
        <v>12268.560564605383</v>
      </c>
      <c r="N12" s="285">
        <f>Capex_Fcast_Total!M56</f>
        <v>12521.394474521738</v>
      </c>
      <c r="O12" s="277"/>
      <c r="P12" s="285">
        <f>Contr_Fcast!M28*H12</f>
        <v>4442.131074595156</v>
      </c>
      <c r="Q12" s="285">
        <f>Contr_Fcast!N28*I12</f>
        <v>6471.9429142566005</v>
      </c>
      <c r="R12" s="285">
        <f>Contr_Fcast!O28*J12</f>
        <v>7192.4036225866093</v>
      </c>
      <c r="S12" s="285">
        <f>Contr_Fcast!P28*K12</f>
        <v>7335.6555468111828</v>
      </c>
      <c r="T12" s="285">
        <f>Contr_Fcast!Q28*L12</f>
        <v>7461.8036770599338</v>
      </c>
      <c r="U12" s="285">
        <f>Contr_Fcast!R28*M12</f>
        <v>7624.1323274470169</v>
      </c>
      <c r="V12" s="285">
        <f>Contr_Fcast!S28*N12</f>
        <v>7781.2525679118453</v>
      </c>
      <c r="X12" s="337">
        <v>0</v>
      </c>
      <c r="Y12" s="337">
        <v>1</v>
      </c>
      <c r="Z12" s="57"/>
      <c r="AA12" s="57"/>
    </row>
    <row r="13" spans="2:27" x14ac:dyDescent="0.3">
      <c r="B13" s="280" t="s">
        <v>77</v>
      </c>
      <c r="C13" s="282">
        <v>1019</v>
      </c>
      <c r="D13" s="279"/>
      <c r="E13" s="282" t="s">
        <v>58</v>
      </c>
      <c r="F13" s="283" t="s">
        <v>308</v>
      </c>
      <c r="G13" s="277"/>
      <c r="H13" s="285">
        <f>Capex_Fcast_Total!G57/H$4</f>
        <v>2480.4454151947111</v>
      </c>
      <c r="I13" s="285">
        <f>Capex_Fcast_Total!H57/I$4</f>
        <v>2066.7222956235182</v>
      </c>
      <c r="J13" s="285">
        <f>Capex_Fcast_Total!I57</f>
        <v>2050.5987144154265</v>
      </c>
      <c r="K13" s="285">
        <f>Capex_Fcast_Total!J57</f>
        <v>2091.4407231605924</v>
      </c>
      <c r="L13" s="285">
        <f>Capex_Fcast_Total!K57</f>
        <v>2127.4063345594927</v>
      </c>
      <c r="M13" s="285">
        <f>Capex_Fcast_Total!L57</f>
        <v>2173.6872358080282</v>
      </c>
      <c r="N13" s="285">
        <f>Capex_Fcast_Total!M57</f>
        <v>2218.4831872051436</v>
      </c>
      <c r="O13" s="277"/>
      <c r="P13" s="285">
        <f>Contr_Fcast!M29*H13</f>
        <v>804.20520784836799</v>
      </c>
      <c r="Q13" s="285">
        <f>Contr_Fcast!N29*I13</f>
        <v>1137.4839471897064</v>
      </c>
      <c r="R13" s="285">
        <f>Contr_Fcast!O29*J13</f>
        <v>1186.9348206343293</v>
      </c>
      <c r="S13" s="285">
        <f>Contr_Fcast!P29*K13</f>
        <v>1210.5751369885259</v>
      </c>
      <c r="T13" s="285">
        <f>Contr_Fcast!Q29*L13</f>
        <v>1231.392879735881</v>
      </c>
      <c r="U13" s="285">
        <f>Contr_Fcast!R29*M13</f>
        <v>1258.1813551387272</v>
      </c>
      <c r="V13" s="285">
        <f>Contr_Fcast!S29*N13</f>
        <v>1284.1103066019766</v>
      </c>
      <c r="X13" s="337">
        <v>0</v>
      </c>
      <c r="Y13" s="337">
        <v>1</v>
      </c>
      <c r="Z13" s="57"/>
      <c r="AA13" s="57"/>
    </row>
    <row r="14" spans="2:27" x14ac:dyDescent="0.3">
      <c r="B14" s="280" t="s">
        <v>268</v>
      </c>
      <c r="C14" s="282">
        <v>1015</v>
      </c>
      <c r="D14" s="279"/>
      <c r="E14" s="282" t="s">
        <v>58</v>
      </c>
      <c r="F14" s="283" t="s">
        <v>308</v>
      </c>
      <c r="G14" s="277"/>
      <c r="H14" s="285">
        <f>Capex_Fcast_Total!G58/H$4</f>
        <v>2552.5837391329906</v>
      </c>
      <c r="I14" s="285">
        <f>Capex_Fcast_Total!H58/I$4</f>
        <v>806.19918501791312</v>
      </c>
      <c r="J14" s="285">
        <f>Capex_Fcast_Total!I58</f>
        <v>5542.7895793433954</v>
      </c>
      <c r="K14" s="285">
        <f>Capex_Fcast_Total!J58</f>
        <v>2195.8200664532724</v>
      </c>
      <c r="L14" s="285">
        <f>Capex_Fcast_Total!K58</f>
        <v>2816.146858263704</v>
      </c>
      <c r="M14" s="285">
        <f>Capex_Fcast_Total!L58</f>
        <v>2822.891309597363</v>
      </c>
      <c r="N14" s="285">
        <f>Capex_Fcast_Total!M58</f>
        <v>2827.5123500139998</v>
      </c>
      <c r="O14" s="277"/>
      <c r="P14" s="285">
        <f>Contr_Fcast!M30*H14</f>
        <v>5070.9444785230753</v>
      </c>
      <c r="Q14" s="285">
        <f>Contr_Fcast!N30*I14</f>
        <v>195.4556543283297</v>
      </c>
      <c r="R14" s="285">
        <f>Contr_Fcast!O30*J14</f>
        <v>4323.3758718878489</v>
      </c>
      <c r="S14" s="285">
        <f>Contr_Fcast!P30*K14</f>
        <v>1712.7396518335524</v>
      </c>
      <c r="T14" s="285">
        <f>Contr_Fcast!Q30*L14</f>
        <v>2196.5945494456892</v>
      </c>
      <c r="U14" s="285">
        <f>Contr_Fcast!R30*M14</f>
        <v>2201.8552214859433</v>
      </c>
      <c r="V14" s="285">
        <f>Contr_Fcast!S30*N14</f>
        <v>2205.4596330109198</v>
      </c>
      <c r="X14" s="337">
        <v>0</v>
      </c>
      <c r="Y14" s="337">
        <v>1</v>
      </c>
      <c r="Z14" s="57"/>
      <c r="AA14" s="57"/>
    </row>
    <row r="15" spans="2:27" x14ac:dyDescent="0.3">
      <c r="B15" s="280" t="s">
        <v>86</v>
      </c>
      <c r="C15" s="282">
        <v>1016</v>
      </c>
      <c r="D15" s="279"/>
      <c r="E15" s="282" t="s">
        <v>58</v>
      </c>
      <c r="F15" s="283" t="s">
        <v>308</v>
      </c>
      <c r="G15" s="277"/>
      <c r="H15" s="285">
        <f>Capex_Fcast_Total!G59/H$4</f>
        <v>831.67166583394567</v>
      </c>
      <c r="I15" s="285">
        <f>Capex_Fcast_Total!H59/I$4</f>
        <v>646.4560089535928</v>
      </c>
      <c r="J15" s="285">
        <f>Capex_Fcast_Total!I59</f>
        <v>632.00973341921792</v>
      </c>
      <c r="K15" s="285">
        <f>Capex_Fcast_Total!J59</f>
        <v>634.98294205109175</v>
      </c>
      <c r="L15" s="285">
        <f>Capex_Fcast_Total!K59</f>
        <v>636.48694167629026</v>
      </c>
      <c r="M15" s="285">
        <f>Capex_Fcast_Total!L59</f>
        <v>622.45002740496113</v>
      </c>
      <c r="N15" s="285">
        <f>Capex_Fcast_Total!M59</f>
        <v>608.26241063306077</v>
      </c>
      <c r="O15" s="277"/>
      <c r="P15" s="285">
        <f>Contr_Fcast!M31*H15</f>
        <v>0.44130731440346765</v>
      </c>
      <c r="Q15" s="285">
        <f>Contr_Fcast!N31*I15</f>
        <v>0</v>
      </c>
      <c r="R15" s="285">
        <f>Contr_Fcast!O31*J15</f>
        <v>1.562002624191664</v>
      </c>
      <c r="S15" s="285">
        <f>Contr_Fcast!P31*K15</f>
        <v>1.5693508649539241</v>
      </c>
      <c r="T15" s="285">
        <f>Contr_Fcast!Q31*L15</f>
        <v>1.5730679775822911</v>
      </c>
      <c r="U15" s="285">
        <f>Contr_Fcast!R31*M15</f>
        <v>1.5383759534440711</v>
      </c>
      <c r="V15" s="285">
        <f>Contr_Fcast!S31*N15</f>
        <v>1.5033114703247352</v>
      </c>
      <c r="X15" s="337">
        <v>0</v>
      </c>
      <c r="Y15" s="337">
        <v>1</v>
      </c>
      <c r="Z15" s="57"/>
      <c r="AA15" s="57"/>
    </row>
    <row r="16" spans="2:27" x14ac:dyDescent="0.3">
      <c r="B16" s="280" t="s">
        <v>207</v>
      </c>
      <c r="C16" s="282">
        <v>1048</v>
      </c>
      <c r="D16" s="279"/>
      <c r="E16" s="282" t="s">
        <v>58</v>
      </c>
      <c r="F16" s="283" t="s">
        <v>229</v>
      </c>
      <c r="G16" s="277"/>
      <c r="H16" s="285">
        <f>Capex_Fcast_Total!G60/H$4</f>
        <v>2546.7023233798682</v>
      </c>
      <c r="I16" s="285">
        <f>Capex_Fcast_Total!H60/I$4</f>
        <v>17258.594599713055</v>
      </c>
      <c r="J16" s="285">
        <f>Capex_Fcast_Total!I60</f>
        <v>16092.964291563148</v>
      </c>
      <c r="K16" s="285">
        <f>Capex_Fcast_Total!J60</f>
        <v>25282.951189981366</v>
      </c>
      <c r="L16" s="285">
        <f>Capex_Fcast_Total!K60</f>
        <v>33092.610909082134</v>
      </c>
      <c r="M16" s="285">
        <f>Capex_Fcast_Total!L60</f>
        <v>26161.613081557691</v>
      </c>
      <c r="N16" s="285">
        <f>Capex_Fcast_Total!M60</f>
        <v>34831.721050298736</v>
      </c>
      <c r="O16" s="277"/>
      <c r="P16" s="285">
        <f>Contr_Fcast!M32*H16</f>
        <v>3556.4413246799736</v>
      </c>
      <c r="Q16" s="285">
        <f>Contr_Fcast!N32*I16</f>
        <v>14716.95080231015</v>
      </c>
      <c r="R16" s="285">
        <f>Contr_Fcast!O32*J16</f>
        <v>13511.002361239778</v>
      </c>
      <c r="S16" s="285">
        <f>Contr_Fcast!P32*K16</f>
        <v>25318.259165936266</v>
      </c>
      <c r="T16" s="285">
        <f>Contr_Fcast!Q32*L16</f>
        <v>27145.177918914284</v>
      </c>
      <c r="U16" s="285">
        <f>Contr_Fcast!R32*M16</f>
        <v>23102.345248601283</v>
      </c>
      <c r="V16" s="285">
        <f>Contr_Fcast!S32*N16</f>
        <v>20811.436492657329</v>
      </c>
      <c r="X16" s="337">
        <f>[2]Assumptions!E$5</f>
        <v>0.5</v>
      </c>
      <c r="Y16" s="337">
        <f>[2]Assumptions!F$5</f>
        <v>0.5</v>
      </c>
      <c r="Z16" s="57"/>
      <c r="AA16" s="57"/>
    </row>
    <row r="17" spans="2:22" x14ac:dyDescent="0.3">
      <c r="B17" s="279"/>
      <c r="C17" s="279"/>
      <c r="D17" s="279"/>
      <c r="E17" s="279"/>
      <c r="F17" s="279"/>
      <c r="G17" s="279"/>
      <c r="H17" s="286"/>
      <c r="I17" s="286"/>
      <c r="J17" s="286"/>
      <c r="K17" s="286"/>
      <c r="L17" s="286"/>
      <c r="M17" s="286"/>
      <c r="N17" s="286"/>
      <c r="O17" s="286"/>
      <c r="P17" s="286"/>
      <c r="Q17" s="286"/>
      <c r="R17" s="286"/>
      <c r="S17" s="286"/>
      <c r="T17" s="286"/>
      <c r="U17" s="286"/>
      <c r="V17" s="286"/>
    </row>
    <row r="18" spans="2:22" x14ac:dyDescent="0.3">
      <c r="C18" s="279"/>
      <c r="D18" s="279"/>
      <c r="E18" s="279"/>
      <c r="F18" s="287" t="s">
        <v>307</v>
      </c>
      <c r="G18" s="279"/>
      <c r="H18" s="288">
        <f>SUM(H8:H16)</f>
        <v>93855.858225540054</v>
      </c>
      <c r="I18" s="288">
        <f t="shared" ref="I18:N18" si="0">SUM(I8:I16)</f>
        <v>105680.61153591418</v>
      </c>
      <c r="J18" s="288">
        <f t="shared" si="0"/>
        <v>108102.62749696142</v>
      </c>
      <c r="K18" s="288">
        <f t="shared" si="0"/>
        <v>112156.71238185094</v>
      </c>
      <c r="L18" s="288">
        <f t="shared" si="0"/>
        <v>120731.84758344613</v>
      </c>
      <c r="M18" s="288">
        <f t="shared" si="0"/>
        <v>115598.68631822856</v>
      </c>
      <c r="N18" s="288">
        <f t="shared" si="0"/>
        <v>126005.66787457856</v>
      </c>
      <c r="O18" s="279"/>
      <c r="P18" s="288">
        <f>SUM(P8:P16)</f>
        <v>32455.796967059534</v>
      </c>
      <c r="Q18" s="288">
        <f t="shared" ref="Q18:V18" si="1">SUM(Q8:Q16)</f>
        <v>39293.44169238583</v>
      </c>
      <c r="R18" s="288">
        <f t="shared" si="1"/>
        <v>46455.056821015729</v>
      </c>
      <c r="S18" s="288">
        <f t="shared" si="1"/>
        <v>56158.931038400216</v>
      </c>
      <c r="T18" s="288">
        <f t="shared" si="1"/>
        <v>58967.53593661281</v>
      </c>
      <c r="U18" s="288">
        <f t="shared" si="1"/>
        <v>55571.458129141887</v>
      </c>
      <c r="V18" s="288">
        <f t="shared" si="1"/>
        <v>53904.977906918037</v>
      </c>
    </row>
    <row r="19" spans="2:22" x14ac:dyDescent="0.3">
      <c r="F19" t="s">
        <v>201</v>
      </c>
      <c r="H19" s="57">
        <f>H18-Capex_Fcast_Total!G$61/H4</f>
        <v>0</v>
      </c>
      <c r="I19" s="57">
        <f>I18-Capex_Fcast_Total!H$61/I4</f>
        <v>0</v>
      </c>
      <c r="J19" s="57">
        <f>J18-Capex_Fcast_Total!I$61</f>
        <v>0</v>
      </c>
      <c r="K19" s="57">
        <f>K18-Capex_Fcast_Total!J$61</f>
        <v>0</v>
      </c>
      <c r="L19" s="57">
        <f>L18-Capex_Fcast_Total!K$61</f>
        <v>0</v>
      </c>
      <c r="M19" s="57">
        <f>M18-Capex_Fcast_Total!L$61</f>
        <v>0</v>
      </c>
      <c r="N19" s="57">
        <f>N18-Capex_Fcast_Total!M$61</f>
        <v>0</v>
      </c>
      <c r="P19" s="292">
        <f>P18-SUMPRODUCT(Contr_Fcast!M24:M32,Capex_Model_Inputs!H8:H16)</f>
        <v>0</v>
      </c>
      <c r="Q19" s="292">
        <f>Q18-SUMPRODUCT(Contr_Fcast!N24:N32,Capex_Model_Inputs!I8:I16)</f>
        <v>0</v>
      </c>
      <c r="R19" s="292">
        <f>R18-SUMPRODUCT(Contr_Fcast!O24:O32,Capex_Model_Inputs!J8:J16)</f>
        <v>0</v>
      </c>
      <c r="S19" s="292">
        <f>S18-SUMPRODUCT(Contr_Fcast!P24:P32,Capex_Model_Inputs!K8:K16)</f>
        <v>0</v>
      </c>
      <c r="T19" s="292">
        <f>T18-SUMPRODUCT(Contr_Fcast!Q24:Q32,Capex_Model_Inputs!L8:L16)</f>
        <v>0</v>
      </c>
      <c r="U19" s="292">
        <f>U18-SUMPRODUCT(Contr_Fcast!R24:R32,Capex_Model_Inputs!M8:M16)</f>
        <v>0</v>
      </c>
      <c r="V19" s="292">
        <f>V18-SUMPRODUCT(Contr_Fcast!S24:S32,Capex_Model_Inputs!N8:N16)</f>
        <v>0</v>
      </c>
    </row>
    <row r="20" spans="2:22" x14ac:dyDescent="0.3">
      <c r="P20" s="57"/>
      <c r="Q20" s="57"/>
      <c r="R20" s="57"/>
      <c r="S20" s="57"/>
      <c r="T20" s="57"/>
      <c r="U20" s="57"/>
      <c r="V20" s="57"/>
    </row>
    <row r="21" spans="2:22" ht="26.8" customHeight="1" x14ac:dyDescent="0.3">
      <c r="H21" s="446" t="s">
        <v>311</v>
      </c>
      <c r="I21" s="446"/>
      <c r="J21" s="446"/>
      <c r="K21" s="446"/>
      <c r="L21" s="446"/>
      <c r="M21" s="446"/>
      <c r="N21" s="446"/>
      <c r="V21" s="57"/>
    </row>
    <row r="22" spans="2:22" x14ac:dyDescent="0.3">
      <c r="B22" s="278" t="s">
        <v>303</v>
      </c>
      <c r="C22" s="278" t="s">
        <v>304</v>
      </c>
      <c r="D22" s="279"/>
      <c r="E22" s="278" t="s">
        <v>305</v>
      </c>
      <c r="F22" s="278" t="s">
        <v>306</v>
      </c>
      <c r="H22" s="278" t="s">
        <v>133</v>
      </c>
      <c r="I22" s="278" t="s">
        <v>132</v>
      </c>
      <c r="J22" s="278" t="s">
        <v>196</v>
      </c>
      <c r="K22" s="278" t="s">
        <v>203</v>
      </c>
      <c r="L22" s="278" t="s">
        <v>204</v>
      </c>
      <c r="M22" s="278" t="s">
        <v>205</v>
      </c>
      <c r="N22" s="278" t="s">
        <v>206</v>
      </c>
      <c r="P22" s="57"/>
      <c r="Q22" s="57"/>
      <c r="V22" s="57"/>
    </row>
    <row r="23" spans="2:22" x14ac:dyDescent="0.3">
      <c r="B23" s="280" t="s">
        <v>82</v>
      </c>
      <c r="C23" s="281">
        <v>1012</v>
      </c>
      <c r="D23" s="279"/>
      <c r="E23" s="282" t="s">
        <v>58</v>
      </c>
      <c r="F23" s="283" t="s">
        <v>308</v>
      </c>
      <c r="H23" s="284">
        <f>Capex_Fcast_Total!T5*P$4</f>
        <v>29535.26757090375</v>
      </c>
      <c r="I23" s="284">
        <f>Capex_Fcast_Total!U5</f>
        <v>32636.104456312511</v>
      </c>
      <c r="J23" s="284">
        <f>Capex_Fcast_Total!V5</f>
        <v>37589.72176460467</v>
      </c>
      <c r="K23" s="284">
        <f>Capex_Fcast_Total!W5</f>
        <v>38345.027873657506</v>
      </c>
      <c r="L23" s="284">
        <f>Capex_Fcast_Total!X5</f>
        <v>39102.080534127483</v>
      </c>
      <c r="M23" s="284">
        <f>Capex_Fcast_Total!Y5</f>
        <v>39857.276101951385</v>
      </c>
      <c r="N23" s="284">
        <f>Capex_Fcast_Total!Z5</f>
        <v>40612.184262580056</v>
      </c>
    </row>
    <row r="24" spans="2:22" x14ac:dyDescent="0.3">
      <c r="B24" s="280" t="s">
        <v>83</v>
      </c>
      <c r="C24" s="282">
        <v>1013</v>
      </c>
      <c r="D24" s="279"/>
      <c r="E24" s="282" t="s">
        <v>58</v>
      </c>
      <c r="F24" s="283" t="s">
        <v>308</v>
      </c>
      <c r="H24" s="284">
        <f>Capex_Fcast_Total!T6*P$4</f>
        <v>0</v>
      </c>
      <c r="I24" s="284">
        <f>Capex_Fcast_Total!U6</f>
        <v>0</v>
      </c>
      <c r="J24" s="284">
        <f>Capex_Fcast_Total!V6</f>
        <v>0</v>
      </c>
      <c r="K24" s="284">
        <f>Capex_Fcast_Total!W6</f>
        <v>0</v>
      </c>
      <c r="L24" s="284">
        <f>Capex_Fcast_Total!X6</f>
        <v>0</v>
      </c>
      <c r="M24" s="284">
        <f>Capex_Fcast_Total!Y6</f>
        <v>0</v>
      </c>
      <c r="N24" s="284">
        <f>Capex_Fcast_Total!Z6</f>
        <v>0</v>
      </c>
      <c r="R24" s="57"/>
      <c r="S24" s="57"/>
      <c r="T24" s="57"/>
      <c r="U24" s="57"/>
      <c r="V24" s="57"/>
    </row>
    <row r="25" spans="2:22" x14ac:dyDescent="0.3">
      <c r="B25" s="280" t="s">
        <v>84</v>
      </c>
      <c r="C25" s="282">
        <v>1014</v>
      </c>
      <c r="D25" s="279"/>
      <c r="E25" s="282" t="s">
        <v>58</v>
      </c>
      <c r="F25" s="283" t="s">
        <v>308</v>
      </c>
      <c r="H25" s="284">
        <f>Capex_Fcast_Total!T7*P$4</f>
        <v>11735.49517119765</v>
      </c>
      <c r="I25" s="284">
        <f>Capex_Fcast_Total!U7</f>
        <v>7257.5885052854901</v>
      </c>
      <c r="J25" s="284">
        <f>Capex_Fcast_Total!V7</f>
        <v>7257.5885052854901</v>
      </c>
      <c r="K25" s="284">
        <f>Capex_Fcast_Total!W7</f>
        <v>7257.5885052854901</v>
      </c>
      <c r="L25" s="284">
        <f>Capex_Fcast_Total!X7</f>
        <v>7257.5885052854901</v>
      </c>
      <c r="M25" s="284">
        <f>Capex_Fcast_Total!Y7</f>
        <v>7257.5885052854901</v>
      </c>
      <c r="N25" s="284">
        <f>Capex_Fcast_Total!Z7</f>
        <v>7257.5885052854901</v>
      </c>
      <c r="R25" s="57"/>
      <c r="S25" s="57"/>
      <c r="T25" s="57"/>
      <c r="U25" s="57"/>
      <c r="V25" s="57"/>
    </row>
    <row r="26" spans="2:22" x14ac:dyDescent="0.3">
      <c r="B26" s="280" t="s">
        <v>393</v>
      </c>
      <c r="C26" s="282">
        <v>1014</v>
      </c>
      <c r="D26" s="279"/>
      <c r="E26" s="282" t="s">
        <v>58</v>
      </c>
      <c r="F26" s="283" t="s">
        <v>308</v>
      </c>
      <c r="H26" s="284">
        <f>Capex_Fcast_Total!T8*P$4</f>
        <v>87.455321087435721</v>
      </c>
      <c r="I26" s="284">
        <f>Capex_Fcast_Total!U8</f>
        <v>0</v>
      </c>
      <c r="J26" s="284">
        <f>Capex_Fcast_Total!V8</f>
        <v>0</v>
      </c>
      <c r="K26" s="284">
        <f>Capex_Fcast_Total!W8</f>
        <v>0</v>
      </c>
      <c r="L26" s="284">
        <f>Capex_Fcast_Total!X8</f>
        <v>0</v>
      </c>
      <c r="M26" s="284">
        <f>Capex_Fcast_Total!Y8</f>
        <v>0</v>
      </c>
      <c r="N26" s="284">
        <f>Capex_Fcast_Total!Z8</f>
        <v>0</v>
      </c>
      <c r="R26" s="57"/>
      <c r="S26" s="57"/>
      <c r="T26" s="57"/>
      <c r="U26" s="57"/>
      <c r="V26" s="57"/>
    </row>
    <row r="27" spans="2:22" x14ac:dyDescent="0.3">
      <c r="B27" s="280" t="s">
        <v>85</v>
      </c>
      <c r="C27" s="282">
        <v>1018</v>
      </c>
      <c r="D27" s="279"/>
      <c r="E27" s="282" t="s">
        <v>58</v>
      </c>
      <c r="F27" s="283" t="s">
        <v>308</v>
      </c>
      <c r="H27" s="284">
        <f>Capex_Fcast_Total!T9*P$4</f>
        <v>272.32540778839092</v>
      </c>
      <c r="I27" s="284">
        <f>Capex_Fcast_Total!U9</f>
        <v>0</v>
      </c>
      <c r="J27" s="284">
        <f>Capex_Fcast_Total!V9</f>
        <v>0</v>
      </c>
      <c r="K27" s="284">
        <f>Capex_Fcast_Total!W9</f>
        <v>0</v>
      </c>
      <c r="L27" s="284">
        <f>Capex_Fcast_Total!X9</f>
        <v>0</v>
      </c>
      <c r="M27" s="284">
        <f>Capex_Fcast_Total!Y9</f>
        <v>0</v>
      </c>
      <c r="N27" s="284">
        <f>Capex_Fcast_Total!Z9</f>
        <v>0</v>
      </c>
      <c r="R27" s="57"/>
      <c r="S27" s="57"/>
      <c r="T27" s="57"/>
      <c r="U27" s="57"/>
      <c r="V27" s="57"/>
    </row>
    <row r="28" spans="2:22" x14ac:dyDescent="0.3">
      <c r="B28" s="280" t="s">
        <v>77</v>
      </c>
      <c r="C28" s="282">
        <v>1019</v>
      </c>
      <c r="D28" s="279"/>
      <c r="E28" s="282" t="s">
        <v>58</v>
      </c>
      <c r="F28" s="283" t="s">
        <v>308</v>
      </c>
      <c r="H28" s="284">
        <f>Capex_Fcast_Total!T10*P$4</f>
        <v>4279.8355855988248</v>
      </c>
      <c r="I28" s="284">
        <f>Capex_Fcast_Total!U10</f>
        <v>2563.5238021149826</v>
      </c>
      <c r="J28" s="284">
        <f>Capex_Fcast_Total!V10</f>
        <v>2563.5238021149826</v>
      </c>
      <c r="K28" s="284">
        <f>Capex_Fcast_Total!W10</f>
        <v>2563.5238021149826</v>
      </c>
      <c r="L28" s="284">
        <f>Capex_Fcast_Total!X10</f>
        <v>2563.5238021149826</v>
      </c>
      <c r="M28" s="284">
        <f>Capex_Fcast_Total!Y10</f>
        <v>2563.5238021149826</v>
      </c>
      <c r="N28" s="284">
        <f>Capex_Fcast_Total!Z10</f>
        <v>2563.5238021149826</v>
      </c>
      <c r="V28" s="57"/>
    </row>
    <row r="29" spans="2:22" x14ac:dyDescent="0.3">
      <c r="B29" s="280" t="s">
        <v>268</v>
      </c>
      <c r="C29" s="282">
        <v>1015</v>
      </c>
      <c r="D29" s="279"/>
      <c r="E29" s="282" t="s">
        <v>58</v>
      </c>
      <c r="F29" s="283" t="s">
        <v>308</v>
      </c>
      <c r="H29" s="284">
        <f>Capex_Fcast_Total!T11*P$4</f>
        <v>0</v>
      </c>
      <c r="I29" s="284">
        <f>Capex_Fcast_Total!U11</f>
        <v>4973.0272596843615</v>
      </c>
      <c r="J29" s="284">
        <f>Capex_Fcast_Total!V11</f>
        <v>0</v>
      </c>
      <c r="K29" s="284">
        <f>Capex_Fcast_Total!W11</f>
        <v>0</v>
      </c>
      <c r="L29" s="284">
        <f>Capex_Fcast_Total!X11</f>
        <v>0</v>
      </c>
      <c r="M29" s="284">
        <f>Capex_Fcast_Total!Y11</f>
        <v>0</v>
      </c>
      <c r="N29" s="284">
        <f>Capex_Fcast_Total!Z11</f>
        <v>0</v>
      </c>
      <c r="O29" s="57"/>
      <c r="P29" s="57"/>
      <c r="Q29" s="57"/>
      <c r="R29" s="57"/>
      <c r="S29" s="57"/>
      <c r="T29" s="57"/>
      <c r="U29" s="57"/>
      <c r="V29" s="57"/>
    </row>
    <row r="30" spans="2:22" x14ac:dyDescent="0.3">
      <c r="B30" s="280" t="s">
        <v>86</v>
      </c>
      <c r="C30" s="282">
        <v>1016</v>
      </c>
      <c r="D30" s="279"/>
      <c r="E30" s="282" t="s">
        <v>58</v>
      </c>
      <c r="F30" s="283" t="s">
        <v>308</v>
      </c>
      <c r="H30" s="284">
        <f>Capex_Fcast_Total!T12*P$4</f>
        <v>0</v>
      </c>
      <c r="I30" s="284">
        <f>Capex_Fcast_Total!U12</f>
        <v>0</v>
      </c>
      <c r="J30" s="284">
        <f>Capex_Fcast_Total!V12</f>
        <v>0</v>
      </c>
      <c r="K30" s="284">
        <f>Capex_Fcast_Total!W12</f>
        <v>0</v>
      </c>
      <c r="L30" s="284">
        <f>Capex_Fcast_Total!X12</f>
        <v>0</v>
      </c>
      <c r="M30" s="284">
        <f>Capex_Fcast_Total!Y12</f>
        <v>0</v>
      </c>
      <c r="N30" s="284">
        <f>Capex_Fcast_Total!Z12</f>
        <v>0</v>
      </c>
      <c r="O30" s="57"/>
      <c r="P30" s="57"/>
      <c r="Q30" s="57"/>
      <c r="R30" s="57"/>
      <c r="S30" s="57"/>
      <c r="T30" s="57"/>
      <c r="U30" s="57"/>
    </row>
    <row r="31" spans="2:22" x14ac:dyDescent="0.3">
      <c r="B31" s="280" t="s">
        <v>207</v>
      </c>
      <c r="C31" s="282">
        <v>1048</v>
      </c>
      <c r="D31" s="279"/>
      <c r="E31" s="282" t="s">
        <v>58</v>
      </c>
      <c r="F31" s="283" t="s">
        <v>229</v>
      </c>
      <c r="H31" s="284">
        <f>Capex_Fcast_Total!T13*P$4</f>
        <v>0</v>
      </c>
      <c r="I31" s="284">
        <f>Capex_Fcast_Total!U13</f>
        <v>4691.5351506456236</v>
      </c>
      <c r="J31" s="284">
        <f>Capex_Fcast_Total!V13</f>
        <v>7524.7646708891771</v>
      </c>
      <c r="K31" s="284">
        <f>Capex_Fcast_Total!W13</f>
        <v>0</v>
      </c>
      <c r="L31" s="284">
        <f>Capex_Fcast_Total!X13</f>
        <v>0</v>
      </c>
      <c r="M31" s="284">
        <f>Capex_Fcast_Total!Y13</f>
        <v>0</v>
      </c>
      <c r="N31" s="284">
        <f>Capex_Fcast_Total!Z13</f>
        <v>0</v>
      </c>
      <c r="O31" s="57"/>
      <c r="P31" s="57"/>
      <c r="Q31" s="57"/>
      <c r="R31" s="57"/>
      <c r="S31" s="57"/>
      <c r="T31" s="57"/>
      <c r="U31" s="57"/>
    </row>
    <row r="32" spans="2:22" x14ac:dyDescent="0.3">
      <c r="H32" s="286"/>
      <c r="I32" s="286"/>
      <c r="J32" s="286"/>
      <c r="K32" s="286"/>
      <c r="L32" s="286"/>
      <c r="M32" s="286"/>
      <c r="N32" s="286"/>
      <c r="O32" s="57"/>
      <c r="P32" s="57"/>
      <c r="Q32" s="57"/>
      <c r="R32" s="57"/>
      <c r="S32" s="57"/>
      <c r="T32" s="57"/>
      <c r="U32" s="57"/>
    </row>
    <row r="33" spans="6:21" x14ac:dyDescent="0.3">
      <c r="F33" s="287" t="s">
        <v>307</v>
      </c>
      <c r="H33" s="288">
        <f>SUM(H23:H31)</f>
        <v>45910.379056576057</v>
      </c>
      <c r="I33" s="288">
        <f t="shared" ref="I33:N33" si="2">SUM(I23:I31)</f>
        <v>52121.779174042975</v>
      </c>
      <c r="J33" s="288">
        <f t="shared" si="2"/>
        <v>54935.598742894326</v>
      </c>
      <c r="K33" s="288">
        <f t="shared" si="2"/>
        <v>48166.140181057985</v>
      </c>
      <c r="L33" s="288">
        <f t="shared" si="2"/>
        <v>48923.192841527954</v>
      </c>
      <c r="M33" s="288">
        <f t="shared" si="2"/>
        <v>49678.388409351857</v>
      </c>
      <c r="N33" s="288">
        <f t="shared" si="2"/>
        <v>50433.296569980535</v>
      </c>
      <c r="O33" s="57"/>
      <c r="P33" s="57"/>
      <c r="Q33" s="57"/>
      <c r="R33" s="57"/>
      <c r="S33" s="57"/>
      <c r="T33" s="57"/>
      <c r="U33" s="57"/>
    </row>
    <row r="34" spans="6:21" x14ac:dyDescent="0.3">
      <c r="F34" t="s">
        <v>201</v>
      </c>
      <c r="H34" s="57">
        <f>H33-Capex_Fcast_Total!T14*P4</f>
        <v>0</v>
      </c>
      <c r="I34" s="57">
        <f>I33-Capex_Fcast_Total!U14</f>
        <v>0</v>
      </c>
      <c r="J34" s="57">
        <f>J33-Capex_Fcast_Total!V14</f>
        <v>0</v>
      </c>
      <c r="K34" s="57">
        <f>K33-Capex_Fcast_Total!W14</f>
        <v>0</v>
      </c>
      <c r="L34" s="57">
        <f>L33-Capex_Fcast_Total!X14</f>
        <v>0</v>
      </c>
      <c r="M34" s="57">
        <f>M33-Capex_Fcast_Total!Y14</f>
        <v>0</v>
      </c>
      <c r="N34" s="57">
        <f>N33-Capex_Fcast_Total!Z14</f>
        <v>0</v>
      </c>
    </row>
  </sheetData>
  <mergeCells count="4">
    <mergeCell ref="H6:N6"/>
    <mergeCell ref="P6:V6"/>
    <mergeCell ref="H21:N21"/>
    <mergeCell ref="X6:Y6"/>
  </mergeCells>
  <hyperlinks>
    <hyperlink ref="B3" location="Contents!A1" display="Table of Contents" xr:uid="{F77DBC78-763C-4CBE-A8B9-02B10AA2D62F}"/>
  </hyperlinks>
  <pageMargins left="0.7" right="0.7" top="0.75" bottom="0.75" header="0.3" footer="0.3"/>
  <ignoredErrors>
    <ignoredError sqref="H12:N16 P12:V16 I27:N31 H8:N10 P8:V10 I23:N25"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theme="8" tint="-0.249977111117893"/>
  </sheetPr>
  <dimension ref="C3:C4"/>
  <sheetViews>
    <sheetView workbookViewId="0">
      <selection activeCell="C4" sqref="C4"/>
    </sheetView>
  </sheetViews>
  <sheetFormatPr defaultColWidth="9.109375" defaultRowHeight="14.65" x14ac:dyDescent="0.3"/>
  <cols>
    <col min="1" max="16384" width="9.109375" style="26"/>
  </cols>
  <sheetData>
    <row r="3" spans="3:3" ht="18.5" x14ac:dyDescent="0.35">
      <c r="C3" s="27" t="s">
        <v>31</v>
      </c>
    </row>
    <row r="4" spans="3:3" x14ac:dyDescent="0.3">
      <c r="C4" s="41" t="s">
        <v>53</v>
      </c>
    </row>
  </sheetData>
  <hyperlinks>
    <hyperlink ref="C4" location="Contents!A1" display="Table of Contents" xr:uid="{00000000-0004-0000-1800-000000000000}"/>
  </hyperlinks>
  <pageMargins left="0.7" right="0.7" top="0.75" bottom="0.75" header="0.3" footer="0.3"/>
  <headerFooter>
    <oddFooter>&amp;C_x000D_&amp;1#&amp;"Century Gothic"&amp;7&amp;K7F7F7F BUSINESS USE ONLY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dimension ref="B1:N53"/>
  <sheetViews>
    <sheetView zoomScale="85" zoomScaleNormal="85" workbookViewId="0">
      <selection activeCell="E27" sqref="E27"/>
    </sheetView>
  </sheetViews>
  <sheetFormatPr defaultRowHeight="14.65" x14ac:dyDescent="0.3"/>
  <cols>
    <col min="1" max="1" width="4.44140625" customWidth="1"/>
    <col min="2" max="2" width="47" customWidth="1"/>
    <col min="12" max="12" width="25" customWidth="1"/>
  </cols>
  <sheetData>
    <row r="1" spans="2:14" x14ac:dyDescent="0.3">
      <c r="B1" s="52" t="s">
        <v>53</v>
      </c>
    </row>
    <row r="2" spans="2:14" x14ac:dyDescent="0.3">
      <c r="B2" s="1" t="s">
        <v>130</v>
      </c>
      <c r="D2" s="1"/>
    </row>
    <row r="3" spans="2:14" x14ac:dyDescent="0.3">
      <c r="D3" s="7" t="s">
        <v>15</v>
      </c>
      <c r="E3" s="7" t="s">
        <v>15</v>
      </c>
      <c r="F3" s="7" t="s">
        <v>16</v>
      </c>
      <c r="G3" s="395" t="s">
        <v>264</v>
      </c>
      <c r="H3" s="396"/>
      <c r="I3" s="396"/>
      <c r="J3" s="396"/>
      <c r="K3" s="397"/>
    </row>
    <row r="4" spans="2:14" x14ac:dyDescent="0.3">
      <c r="B4" s="28" t="s">
        <v>30</v>
      </c>
      <c r="C4" s="109" t="s">
        <v>29</v>
      </c>
      <c r="D4" s="217" t="str">
        <f>Allocations!J$53</f>
        <v>2023-24</v>
      </c>
      <c r="E4" s="29" t="str">
        <f>Allocations!K$53</f>
        <v>2024-25</v>
      </c>
      <c r="F4" s="29" t="str">
        <f>Allocations!L$53</f>
        <v>2025-26</v>
      </c>
      <c r="G4" s="29" t="str">
        <f>Allocations!M$53</f>
        <v>2026-27</v>
      </c>
      <c r="H4" s="29" t="str">
        <f>Allocations!N$53</f>
        <v>2027–28</v>
      </c>
      <c r="I4" s="29" t="str">
        <f>Allocations!O$53</f>
        <v>2028–29</v>
      </c>
      <c r="J4" s="29" t="str">
        <f>Allocations!P$53</f>
        <v>2029–30</v>
      </c>
      <c r="K4" s="29" t="str">
        <f>Allocations!Q$53</f>
        <v>2030–31</v>
      </c>
      <c r="M4" s="3" t="s">
        <v>124</v>
      </c>
    </row>
    <row r="5" spans="2:14" x14ac:dyDescent="0.3">
      <c r="B5" s="110" t="s">
        <v>25</v>
      </c>
      <c r="C5" s="115">
        <v>1013</v>
      </c>
      <c r="D5" s="125">
        <f>Connections!R40</f>
        <v>1216</v>
      </c>
      <c r="E5" s="116">
        <f>Connections!S13</f>
        <v>1214</v>
      </c>
      <c r="F5" s="116">
        <f>Connections!T13</f>
        <v>1223.781243375829</v>
      </c>
      <c r="G5" s="116">
        <f>Connections!U13</f>
        <v>1248.0469345607607</v>
      </c>
      <c r="H5" s="116">
        <f>Connections!V13</f>
        <v>1273.1244671895347</v>
      </c>
      <c r="I5" s="116">
        <f>Connections!W13</f>
        <v>1298.2599884928688</v>
      </c>
      <c r="J5" s="116">
        <f>Connections!X13</f>
        <v>1323.3338509523667</v>
      </c>
      <c r="K5" s="117">
        <f>Connections!Y13</f>
        <v>1348.3981709717473</v>
      </c>
      <c r="M5" s="21">
        <v>1</v>
      </c>
    </row>
    <row r="6" spans="2:14" x14ac:dyDescent="0.3">
      <c r="B6" s="62"/>
      <c r="C6">
        <v>1018</v>
      </c>
      <c r="D6" s="126">
        <f>Connections!R47</f>
        <v>603</v>
      </c>
      <c r="E6" s="10">
        <f>Connections!S17</f>
        <v>553.5</v>
      </c>
      <c r="F6" s="10">
        <f>Connections!T17</f>
        <v>508.89913090876058</v>
      </c>
      <c r="G6" s="10">
        <f>Connections!U17</f>
        <v>518.98981437180146</v>
      </c>
      <c r="H6" s="10">
        <f>Connections!V17</f>
        <v>529.41809526693521</v>
      </c>
      <c r="I6" s="10">
        <f>Connections!W17</f>
        <v>539.87049026436125</v>
      </c>
      <c r="J6" s="10">
        <f>Connections!X17</f>
        <v>550.29724495048913</v>
      </c>
      <c r="K6" s="118">
        <f>Connections!Y17</f>
        <v>560.72003149320176</v>
      </c>
      <c r="M6" s="21">
        <v>1</v>
      </c>
    </row>
    <row r="7" spans="2:14" x14ac:dyDescent="0.3">
      <c r="B7" s="62"/>
      <c r="C7">
        <v>1019</v>
      </c>
      <c r="D7" s="126">
        <f>Connections!R$48*$M7</f>
        <v>17.819594969316412</v>
      </c>
      <c r="E7" s="10">
        <f>Connections!S$48*$M7</f>
        <v>13.626749094183138</v>
      </c>
      <c r="F7" s="10">
        <f>Connections!T$48*$M7</f>
        <v>13.626749094183138</v>
      </c>
      <c r="G7" s="10">
        <f>Connections!U$48*$M7</f>
        <v>13.626749094183138</v>
      </c>
      <c r="H7" s="10">
        <f>Connections!V$48*$M7</f>
        <v>13.626749094183138</v>
      </c>
      <c r="I7" s="10">
        <f>Connections!W$48*$M7</f>
        <v>13.626749094183138</v>
      </c>
      <c r="J7" s="10">
        <f>Connections!X$48*$M7</f>
        <v>13.626749094183138</v>
      </c>
      <c r="K7" s="118">
        <f>Connections!Y$48*$M7</f>
        <v>13.626749094183138</v>
      </c>
      <c r="M7" s="21">
        <v>0.34940382292777278</v>
      </c>
      <c r="N7" t="s">
        <v>127</v>
      </c>
    </row>
    <row r="8" spans="2:14" x14ac:dyDescent="0.3">
      <c r="B8" s="129" t="s">
        <v>126</v>
      </c>
      <c r="C8" s="130"/>
      <c r="D8" s="271">
        <v>14561.183165565368</v>
      </c>
      <c r="E8" s="272">
        <f t="shared" ref="E8:K8" si="0">E$27*$M8</f>
        <v>16429.5</v>
      </c>
      <c r="F8" s="272">
        <f t="shared" si="0"/>
        <v>16748.905838355084</v>
      </c>
      <c r="G8" s="272">
        <f t="shared" si="0"/>
        <v>17087.376523635041</v>
      </c>
      <c r="H8" s="272">
        <f t="shared" si="0"/>
        <v>17428.792508857459</v>
      </c>
      <c r="I8" s="272">
        <f t="shared" si="0"/>
        <v>17768.835347485092</v>
      </c>
      <c r="J8" s="272">
        <f t="shared" si="0"/>
        <v>18108.579675983408</v>
      </c>
      <c r="K8" s="273">
        <f t="shared" si="0"/>
        <v>18448.363805832298</v>
      </c>
      <c r="M8" s="21">
        <v>0.9</v>
      </c>
    </row>
    <row r="9" spans="2:14" x14ac:dyDescent="0.3">
      <c r="B9" s="119" t="s">
        <v>125</v>
      </c>
      <c r="C9" s="16"/>
      <c r="D9" s="127">
        <f>SUBTOTAL(9,D5:D8)</f>
        <v>16398.002760534684</v>
      </c>
      <c r="E9" s="54">
        <f>SUBTOTAL(9,E5:E8)</f>
        <v>18210.626749094183</v>
      </c>
      <c r="F9" s="54">
        <f t="shared" ref="F9:K9" si="1">SUBTOTAL(9,F5:F8)</f>
        <v>18495.212961733858</v>
      </c>
      <c r="G9" s="54">
        <f t="shared" si="1"/>
        <v>18868.040021661785</v>
      </c>
      <c r="H9" s="54">
        <f t="shared" si="1"/>
        <v>19244.961820408113</v>
      </c>
      <c r="I9" s="54">
        <f t="shared" si="1"/>
        <v>19620.592575336505</v>
      </c>
      <c r="J9" s="54">
        <f t="shared" si="1"/>
        <v>19995.837520980447</v>
      </c>
      <c r="K9" s="120">
        <f t="shared" si="1"/>
        <v>20371.10875739143</v>
      </c>
    </row>
    <row r="10" spans="2:14" x14ac:dyDescent="0.3">
      <c r="B10" s="110" t="s">
        <v>26</v>
      </c>
      <c r="C10" s="115">
        <v>1014</v>
      </c>
      <c r="D10" s="125">
        <f>Connections!R43</f>
        <v>599</v>
      </c>
      <c r="E10" s="116">
        <f>Connections!S14</f>
        <v>573</v>
      </c>
      <c r="F10" s="116">
        <f>Connections!T14</f>
        <v>552.31711231565873</v>
      </c>
      <c r="G10" s="116">
        <f>Connections!U14</f>
        <v>563.2687072646338</v>
      </c>
      <c r="H10" s="116">
        <f>Connections!V14</f>
        <v>574.58670260121733</v>
      </c>
      <c r="I10" s="116">
        <f>Connections!W14</f>
        <v>585.93086939405862</v>
      </c>
      <c r="J10" s="116">
        <f>Connections!X14</f>
        <v>597.24720830936008</v>
      </c>
      <c r="K10" s="117">
        <f>Connections!Y14</f>
        <v>608.55924052932801</v>
      </c>
      <c r="M10" s="21">
        <v>1</v>
      </c>
    </row>
    <row r="11" spans="2:14" x14ac:dyDescent="0.3">
      <c r="B11" s="129" t="s">
        <v>129</v>
      </c>
      <c r="C11" s="130"/>
      <c r="D11" s="274">
        <v>1687.8168344346323</v>
      </c>
      <c r="E11" s="275">
        <f t="shared" ref="E11:K11" si="2">E$27*$M11</f>
        <v>1825.5</v>
      </c>
      <c r="F11" s="275">
        <f t="shared" si="2"/>
        <v>1860.9895375950091</v>
      </c>
      <c r="G11" s="275">
        <f t="shared" si="2"/>
        <v>1898.5973915150043</v>
      </c>
      <c r="H11" s="275">
        <f t="shared" si="2"/>
        <v>1936.5325009841622</v>
      </c>
      <c r="I11" s="275">
        <f t="shared" si="2"/>
        <v>1974.3150386094546</v>
      </c>
      <c r="J11" s="275">
        <f t="shared" si="2"/>
        <v>2012.0644084426012</v>
      </c>
      <c r="K11" s="276">
        <f t="shared" si="2"/>
        <v>2049.8182006480329</v>
      </c>
      <c r="M11" s="21">
        <v>0.1</v>
      </c>
    </row>
    <row r="12" spans="2:14" x14ac:dyDescent="0.3">
      <c r="B12" s="129"/>
      <c r="C12" s="14">
        <v>1014</v>
      </c>
      <c r="D12" s="246"/>
      <c r="E12" s="253"/>
      <c r="F12" s="253"/>
      <c r="G12" s="253">
        <f>[2]Volumes!K$6+[2]Volumes!K$9</f>
        <v>0</v>
      </c>
      <c r="H12" s="253">
        <f>[2]Volumes!L$6+[2]Volumes!L$9</f>
        <v>0</v>
      </c>
      <c r="I12" s="253">
        <f>[2]Volumes!M$6+[2]Volumes!M$9</f>
        <v>0</v>
      </c>
      <c r="J12" s="253">
        <f>[2]Volumes!N$6+[2]Volumes!N$9</f>
        <v>1</v>
      </c>
      <c r="K12" s="247">
        <f>[2]Volumes!O$6+[2]Volumes!O$9</f>
        <v>0</v>
      </c>
      <c r="L12" s="49" t="s">
        <v>357</v>
      </c>
      <c r="M12" s="21"/>
    </row>
    <row r="13" spans="2:14" x14ac:dyDescent="0.3">
      <c r="B13" s="129"/>
      <c r="C13" s="14">
        <v>1014</v>
      </c>
      <c r="D13" s="246"/>
      <c r="E13" s="253"/>
      <c r="F13" s="253">
        <f>[4]Output!D$14</f>
        <v>204.58532720223428</v>
      </c>
      <c r="G13" s="253">
        <f>[4]Output!E$14</f>
        <v>260.97654542114475</v>
      </c>
      <c r="H13" s="253">
        <f>[4]Output!F$14</f>
        <v>403.25098599402838</v>
      </c>
      <c r="I13" s="253">
        <f>[4]Output!G$14</f>
        <v>528.41619662622531</v>
      </c>
      <c r="J13" s="253">
        <f>[4]Output!H$14</f>
        <v>659.64594931916531</v>
      </c>
      <c r="K13" s="247">
        <f>[4]Output!I$14</f>
        <v>767.51555430334247</v>
      </c>
      <c r="L13" s="49" t="s">
        <v>233</v>
      </c>
      <c r="M13" s="21"/>
    </row>
    <row r="14" spans="2:14" x14ac:dyDescent="0.3">
      <c r="B14" s="129"/>
      <c r="C14" s="14">
        <v>1014</v>
      </c>
      <c r="D14" s="248"/>
      <c r="E14" s="249"/>
      <c r="F14" s="249"/>
      <c r="G14" s="249">
        <f>27/5</f>
        <v>5.4</v>
      </c>
      <c r="H14" s="249">
        <f t="shared" ref="H14:K14" si="3">27/5</f>
        <v>5.4</v>
      </c>
      <c r="I14" s="249">
        <f t="shared" si="3"/>
        <v>5.4</v>
      </c>
      <c r="J14" s="249">
        <f t="shared" si="3"/>
        <v>5.4</v>
      </c>
      <c r="K14" s="250">
        <f t="shared" si="3"/>
        <v>5.4</v>
      </c>
      <c r="L14" s="49" t="s">
        <v>252</v>
      </c>
      <c r="M14" s="21"/>
    </row>
    <row r="15" spans="2:14" x14ac:dyDescent="0.3">
      <c r="B15" s="119" t="s">
        <v>125</v>
      </c>
      <c r="C15" s="16"/>
      <c r="D15" s="127">
        <f>SUBTOTAL(9,D10:D14)</f>
        <v>2286.8168344346323</v>
      </c>
      <c r="E15" s="54">
        <f t="shared" ref="E15:K15" si="4">SUBTOTAL(9,E10:E14)</f>
        <v>2398.5</v>
      </c>
      <c r="F15" s="54">
        <f t="shared" si="4"/>
        <v>2617.8919771129022</v>
      </c>
      <c r="G15" s="54">
        <f t="shared" si="4"/>
        <v>2728.2426442007832</v>
      </c>
      <c r="H15" s="54">
        <f t="shared" si="4"/>
        <v>2919.770189579408</v>
      </c>
      <c r="I15" s="54">
        <f t="shared" si="4"/>
        <v>3094.0621046297388</v>
      </c>
      <c r="J15" s="54">
        <f t="shared" si="4"/>
        <v>3275.3575660711263</v>
      </c>
      <c r="K15" s="120">
        <f t="shared" si="4"/>
        <v>3431.2929954807037</v>
      </c>
    </row>
    <row r="16" spans="2:14" x14ac:dyDescent="0.3">
      <c r="B16" s="110" t="s">
        <v>27</v>
      </c>
      <c r="C16" s="115">
        <v>1012</v>
      </c>
      <c r="D16" s="125">
        <f>Connections!R38</f>
        <v>388</v>
      </c>
      <c r="E16" s="116">
        <f>Connections!S38</f>
        <v>302</v>
      </c>
      <c r="F16" s="116">
        <f>Connections!T38</f>
        <v>387.09928011833341</v>
      </c>
      <c r="G16" s="116">
        <f>Connections!U38</f>
        <v>394.92198566564082</v>
      </c>
      <c r="H16" s="116">
        <f>Connections!V38</f>
        <v>402.81276273346811</v>
      </c>
      <c r="I16" s="116">
        <f>Connections!W38</f>
        <v>410.67180375456655</v>
      </c>
      <c r="J16" s="116">
        <f>Connections!X38</f>
        <v>418.5239456350717</v>
      </c>
      <c r="K16" s="117">
        <f>Connections!Y38</f>
        <v>426.37700740098933</v>
      </c>
      <c r="M16" s="21">
        <v>1</v>
      </c>
    </row>
    <row r="17" spans="2:14" x14ac:dyDescent="0.3">
      <c r="B17" s="62"/>
      <c r="C17">
        <v>1019</v>
      </c>
      <c r="D17" s="127">
        <f>Connections!R$48*$M17</f>
        <v>33.180405030683588</v>
      </c>
      <c r="E17" s="54">
        <f>Connections!S$48*$M17</f>
        <v>25.373250905816864</v>
      </c>
      <c r="F17" s="54">
        <f>Connections!T$48*$M17</f>
        <v>25.373250905816864</v>
      </c>
      <c r="G17" s="54">
        <f>Connections!U$48*$M17</f>
        <v>25.373250905816864</v>
      </c>
      <c r="H17" s="54">
        <f>Connections!V$48*$M17</f>
        <v>25.373250905816864</v>
      </c>
      <c r="I17" s="54">
        <f>Connections!W$48*$M17</f>
        <v>25.373250905816864</v>
      </c>
      <c r="J17" s="54">
        <f>Connections!X$48*$M17</f>
        <v>25.373250905816864</v>
      </c>
      <c r="K17" s="120">
        <f>Connections!Y$48*$M17</f>
        <v>25.373250905816864</v>
      </c>
      <c r="M17" s="21">
        <f>1-M7</f>
        <v>0.65059617707222728</v>
      </c>
      <c r="N17" t="s">
        <v>127</v>
      </c>
    </row>
    <row r="18" spans="2:14" x14ac:dyDescent="0.3">
      <c r="B18" s="119" t="s">
        <v>125</v>
      </c>
      <c r="C18" s="16"/>
      <c r="D18" s="127">
        <f>SUBTOTAL(9,D16:D17)</f>
        <v>421.18040503068357</v>
      </c>
      <c r="E18" s="54">
        <f>SUBTOTAL(9,E16:E17)</f>
        <v>327.37325090581686</v>
      </c>
      <c r="F18" s="54">
        <f t="shared" ref="F18:K18" si="5">SUBTOTAL(9,F16:F17)</f>
        <v>412.47253102415027</v>
      </c>
      <c r="G18" s="54">
        <f t="shared" si="5"/>
        <v>420.29523657145768</v>
      </c>
      <c r="H18" s="54">
        <f t="shared" si="5"/>
        <v>428.18601363928497</v>
      </c>
      <c r="I18" s="54">
        <f t="shared" si="5"/>
        <v>436.04505466038341</v>
      </c>
      <c r="J18" s="54">
        <f t="shared" si="5"/>
        <v>443.89719654088856</v>
      </c>
      <c r="K18" s="120">
        <f t="shared" si="5"/>
        <v>451.75025830680619</v>
      </c>
    </row>
    <row r="19" spans="2:14" x14ac:dyDescent="0.3">
      <c r="B19" s="110" t="s">
        <v>28</v>
      </c>
      <c r="C19" s="115">
        <v>1015</v>
      </c>
      <c r="D19" s="125">
        <f>Connections!R20</f>
        <v>0</v>
      </c>
      <c r="E19" s="116">
        <f>Connections!S20</f>
        <v>5</v>
      </c>
      <c r="F19" s="116">
        <f>Connections!T20</f>
        <v>7.5</v>
      </c>
      <c r="G19" s="116">
        <f>Connections!U20</f>
        <v>53</v>
      </c>
      <c r="H19" s="116">
        <f>Connections!V20</f>
        <v>21</v>
      </c>
      <c r="I19" s="116">
        <f>Connections!W20</f>
        <v>27</v>
      </c>
      <c r="J19" s="116">
        <f>Connections!X20</f>
        <v>27</v>
      </c>
      <c r="K19" s="117">
        <f>Connections!Y20</f>
        <v>27</v>
      </c>
      <c r="M19" s="21">
        <v>1</v>
      </c>
    </row>
    <row r="20" spans="2:14" x14ac:dyDescent="0.3">
      <c r="B20" s="62"/>
      <c r="C20">
        <v>1047</v>
      </c>
      <c r="D20" s="126">
        <v>1</v>
      </c>
      <c r="E20" s="10"/>
      <c r="F20" s="10"/>
      <c r="G20" s="10"/>
      <c r="H20" s="10"/>
      <c r="I20" s="10"/>
      <c r="J20" s="10"/>
      <c r="K20" s="118"/>
      <c r="M20" s="21">
        <v>1</v>
      </c>
    </row>
    <row r="21" spans="2:14" x14ac:dyDescent="0.3">
      <c r="B21" s="154"/>
      <c r="C21" s="16">
        <v>1048</v>
      </c>
      <c r="D21" s="127">
        <f>Connections!R22</f>
        <v>1</v>
      </c>
      <c r="E21" s="54">
        <f>Connections!S22</f>
        <v>0</v>
      </c>
      <c r="F21" s="54">
        <f>Connections!T22</f>
        <v>2</v>
      </c>
      <c r="G21" s="54">
        <f>Connections!U22</f>
        <v>3</v>
      </c>
      <c r="H21" s="54">
        <f>Connections!V22</f>
        <v>5</v>
      </c>
      <c r="I21" s="54">
        <f>Connections!W22</f>
        <v>2</v>
      </c>
      <c r="J21" s="54">
        <f>Connections!X22</f>
        <v>3</v>
      </c>
      <c r="K21" s="120">
        <f>Connections!Y22</f>
        <v>3</v>
      </c>
      <c r="M21" s="21">
        <v>1</v>
      </c>
    </row>
    <row r="22" spans="2:14" x14ac:dyDescent="0.3">
      <c r="B22" s="111"/>
      <c r="C22" s="112"/>
      <c r="D22" s="128">
        <f>SUBTOTAL(9,D19:D21)</f>
        <v>2</v>
      </c>
      <c r="E22" s="121">
        <f t="shared" ref="E22:K22" si="6">SUBTOTAL(9,E19:E21)</f>
        <v>5</v>
      </c>
      <c r="F22" s="121">
        <f t="shared" si="6"/>
        <v>9.5</v>
      </c>
      <c r="G22" s="121">
        <f t="shared" si="6"/>
        <v>56</v>
      </c>
      <c r="H22" s="121">
        <f t="shared" si="6"/>
        <v>26</v>
      </c>
      <c r="I22" s="121">
        <f t="shared" si="6"/>
        <v>29</v>
      </c>
      <c r="J22" s="121">
        <f t="shared" si="6"/>
        <v>30</v>
      </c>
      <c r="K22" s="122">
        <f t="shared" si="6"/>
        <v>30</v>
      </c>
      <c r="M22" s="21"/>
    </row>
    <row r="23" spans="2:14" x14ac:dyDescent="0.3">
      <c r="B23" s="113" t="s">
        <v>128</v>
      </c>
      <c r="C23" s="112"/>
      <c r="D23" s="83">
        <f>SUBTOTAL(9,D5:D22)</f>
        <v>19108</v>
      </c>
      <c r="E23" s="123">
        <f t="shared" ref="E23:K23" si="7">SUBTOTAL(9,E5:E22)</f>
        <v>20941.5</v>
      </c>
      <c r="F23" s="123">
        <f t="shared" si="7"/>
        <v>21535.07746987091</v>
      </c>
      <c r="G23" s="123">
        <f t="shared" si="7"/>
        <v>22072.57790243403</v>
      </c>
      <c r="H23" s="123">
        <f t="shared" si="7"/>
        <v>22618.918023626808</v>
      </c>
      <c r="I23" s="123">
        <f t="shared" si="7"/>
        <v>23179.699734626625</v>
      </c>
      <c r="J23" s="123">
        <f t="shared" si="7"/>
        <v>23745.092283592465</v>
      </c>
      <c r="K23" s="124">
        <f t="shared" si="7"/>
        <v>24284.15201117894</v>
      </c>
    </row>
    <row r="24" spans="2:14" x14ac:dyDescent="0.3">
      <c r="D24" s="205"/>
      <c r="E24" s="10"/>
      <c r="F24" s="10"/>
      <c r="G24" s="10"/>
      <c r="H24" s="10"/>
      <c r="I24" s="10"/>
      <c r="J24" s="10"/>
      <c r="K24" s="10"/>
    </row>
    <row r="25" spans="2:14" x14ac:dyDescent="0.3">
      <c r="D25" s="10"/>
      <c r="E25" s="10"/>
    </row>
    <row r="26" spans="2:14" x14ac:dyDescent="0.3">
      <c r="D26" s="7" t="s">
        <v>15</v>
      </c>
      <c r="E26" s="7" t="s">
        <v>15</v>
      </c>
      <c r="F26" s="59" t="s">
        <v>16</v>
      </c>
      <c r="G26" s="59" t="s">
        <v>16</v>
      </c>
      <c r="H26" s="59" t="s">
        <v>16</v>
      </c>
      <c r="I26" s="59" t="s">
        <v>16</v>
      </c>
      <c r="J26" s="59" t="s">
        <v>16</v>
      </c>
      <c r="K26" s="59" t="s">
        <v>16</v>
      </c>
    </row>
    <row r="27" spans="2:14" x14ac:dyDescent="0.3">
      <c r="B27" t="s">
        <v>267</v>
      </c>
      <c r="D27" s="10">
        <f>SUM([5]Fcast_Revenue!D$5:D$24,[5]Fcast_Revenue!D$29)</f>
        <v>16951.55</v>
      </c>
      <c r="E27" s="206">
        <f>SUM([5]Fcast_Revenue!E$5:E$24,[5]Fcast_Revenue!E$29)</f>
        <v>18255</v>
      </c>
      <c r="F27" s="206">
        <f>SUM([5]Fcast_Revenue!F$5:F$24,[5]Fcast_Revenue!F$29)</f>
        <v>18609.895375950091</v>
      </c>
      <c r="G27" s="206">
        <f>SUM([5]Fcast_Revenue!G$5:G$24,[5]Fcast_Revenue!G$29)</f>
        <v>18985.973915150043</v>
      </c>
      <c r="H27" s="206">
        <f>SUM([5]Fcast_Revenue!H$5:H$24,[5]Fcast_Revenue!H$29)</f>
        <v>19365.325009841621</v>
      </c>
      <c r="I27" s="206">
        <f>SUM([5]Fcast_Revenue!I$5:I$24,[5]Fcast_Revenue!I$29)</f>
        <v>19743.150386094545</v>
      </c>
      <c r="J27" s="206">
        <f>SUM([5]Fcast_Revenue!J$5:J$24,[5]Fcast_Revenue!J$29)</f>
        <v>20120.644084426011</v>
      </c>
      <c r="K27" s="206">
        <f>SUM([5]Fcast_Revenue!K$5:K$24,[5]Fcast_Revenue!K$29)</f>
        <v>20498.182006480329</v>
      </c>
    </row>
    <row r="28" spans="2:14" x14ac:dyDescent="0.3">
      <c r="B28" t="s">
        <v>201</v>
      </c>
      <c r="D28" s="205">
        <v>0</v>
      </c>
      <c r="E28" s="205">
        <v>2053.1651924320831</v>
      </c>
      <c r="F28" s="205">
        <v>2408.0605683821741</v>
      </c>
      <c r="G28" s="205">
        <v>2276.4958665798331</v>
      </c>
      <c r="H28" s="205">
        <v>2672.946523073595</v>
      </c>
      <c r="I28" s="205">
        <v>3048.634454101244</v>
      </c>
      <c r="J28" s="205">
        <v>3412.2347584684394</v>
      </c>
      <c r="K28" s="205">
        <v>3796.1850161985749</v>
      </c>
    </row>
    <row r="29" spans="2:14" x14ac:dyDescent="0.3">
      <c r="D29" s="10"/>
      <c r="E29" s="10"/>
      <c r="F29" s="10"/>
      <c r="G29" s="10"/>
      <c r="H29" s="10"/>
      <c r="I29" s="10"/>
      <c r="J29" s="10"/>
    </row>
    <row r="30" spans="2:14" x14ac:dyDescent="0.3">
      <c r="B30" s="1" t="s">
        <v>131</v>
      </c>
    </row>
    <row r="31" spans="2:14" x14ac:dyDescent="0.3">
      <c r="D31" s="7" t="s">
        <v>15</v>
      </c>
      <c r="E31" s="7" t="s">
        <v>15</v>
      </c>
      <c r="F31" s="7" t="s">
        <v>16</v>
      </c>
      <c r="G31" s="395" t="s">
        <v>137</v>
      </c>
      <c r="H31" s="396"/>
      <c r="I31" s="396"/>
      <c r="J31" s="396"/>
      <c r="K31" s="397"/>
    </row>
    <row r="32" spans="2:14" x14ac:dyDescent="0.3">
      <c r="B32" s="28" t="s">
        <v>30</v>
      </c>
      <c r="C32" s="109" t="s">
        <v>29</v>
      </c>
      <c r="D32" s="217" t="str">
        <f>Allocations!J$53</f>
        <v>2023-24</v>
      </c>
      <c r="E32" s="29" t="str">
        <f>Allocations!K$53</f>
        <v>2024-25</v>
      </c>
      <c r="F32" s="29" t="str">
        <f>Allocations!L$53</f>
        <v>2025-26</v>
      </c>
      <c r="G32" s="29" t="str">
        <f>Allocations!M$53</f>
        <v>2026-27</v>
      </c>
      <c r="H32" s="29" t="str">
        <f>Allocations!N$53</f>
        <v>2027–28</v>
      </c>
      <c r="I32" s="29" t="str">
        <f>Allocations!O$53</f>
        <v>2028–29</v>
      </c>
      <c r="J32" s="29" t="str">
        <f>Allocations!P$53</f>
        <v>2029–30</v>
      </c>
      <c r="K32" s="29" t="str">
        <f>Allocations!Q$53</f>
        <v>2030–31</v>
      </c>
    </row>
    <row r="33" spans="2:11" x14ac:dyDescent="0.3">
      <c r="B33" s="110" t="s">
        <v>25</v>
      </c>
      <c r="C33" s="115">
        <v>1013</v>
      </c>
      <c r="D33" s="125">
        <f t="shared" ref="D33:K35" si="8">D5</f>
        <v>1216</v>
      </c>
      <c r="E33" s="116">
        <f t="shared" si="8"/>
        <v>1214</v>
      </c>
      <c r="F33" s="116">
        <f t="shared" si="8"/>
        <v>1223.781243375829</v>
      </c>
      <c r="G33" s="116">
        <f t="shared" si="8"/>
        <v>1248.0469345607607</v>
      </c>
      <c r="H33" s="116">
        <f t="shared" si="8"/>
        <v>1273.1244671895347</v>
      </c>
      <c r="I33" s="116">
        <f t="shared" si="8"/>
        <v>1298.2599884928688</v>
      </c>
      <c r="J33" s="116">
        <f t="shared" si="8"/>
        <v>1323.3338509523667</v>
      </c>
      <c r="K33" s="117">
        <f t="shared" si="8"/>
        <v>1348.3981709717473</v>
      </c>
    </row>
    <row r="34" spans="2:11" x14ac:dyDescent="0.3">
      <c r="B34" s="62"/>
      <c r="C34">
        <v>1018</v>
      </c>
      <c r="D34" s="126">
        <f t="shared" si="8"/>
        <v>603</v>
      </c>
      <c r="E34" s="10">
        <f t="shared" si="8"/>
        <v>553.5</v>
      </c>
      <c r="F34" s="10">
        <f t="shared" si="8"/>
        <v>508.89913090876058</v>
      </c>
      <c r="G34" s="10">
        <f t="shared" si="8"/>
        <v>518.98981437180146</v>
      </c>
      <c r="H34" s="10">
        <f t="shared" si="8"/>
        <v>529.41809526693521</v>
      </c>
      <c r="I34" s="10">
        <f t="shared" si="8"/>
        <v>539.87049026436125</v>
      </c>
      <c r="J34" s="10">
        <f t="shared" si="8"/>
        <v>550.29724495048913</v>
      </c>
      <c r="K34" s="118">
        <f t="shared" si="8"/>
        <v>560.72003149320176</v>
      </c>
    </row>
    <row r="35" spans="2:11" x14ac:dyDescent="0.3">
      <c r="B35" s="62"/>
      <c r="C35">
        <v>1019</v>
      </c>
      <c r="D35" s="126">
        <f t="shared" si="8"/>
        <v>17.819594969316412</v>
      </c>
      <c r="E35" s="10">
        <f t="shared" si="8"/>
        <v>13.626749094183138</v>
      </c>
      <c r="F35" s="10">
        <f t="shared" si="8"/>
        <v>13.626749094183138</v>
      </c>
      <c r="G35" s="10">
        <f t="shared" si="8"/>
        <v>13.626749094183138</v>
      </c>
      <c r="H35" s="10">
        <f t="shared" si="8"/>
        <v>13.626749094183138</v>
      </c>
      <c r="I35" s="10">
        <f t="shared" si="8"/>
        <v>13.626749094183138</v>
      </c>
      <c r="J35" s="10">
        <f t="shared" si="8"/>
        <v>13.626749094183138</v>
      </c>
      <c r="K35" s="118">
        <f t="shared" si="8"/>
        <v>13.626749094183138</v>
      </c>
    </row>
    <row r="36" spans="2:11" x14ac:dyDescent="0.3">
      <c r="B36" s="62"/>
      <c r="D36" s="127"/>
      <c r="E36" s="54"/>
      <c r="F36" s="54"/>
      <c r="G36" s="54"/>
      <c r="H36" s="54"/>
      <c r="I36" s="54"/>
      <c r="J36" s="54"/>
      <c r="K36" s="120"/>
    </row>
    <row r="37" spans="2:11" x14ac:dyDescent="0.3">
      <c r="B37" s="119" t="s">
        <v>125</v>
      </c>
      <c r="C37" s="16"/>
      <c r="D37" s="127">
        <f>SUBTOTAL(9,D33:D36)</f>
        <v>1836.8195949693163</v>
      </c>
      <c r="E37" s="54">
        <f>SUBTOTAL(9,E33:E36)</f>
        <v>1781.1267490941832</v>
      </c>
      <c r="F37" s="54">
        <f t="shared" ref="F37:K37" si="9">SUBTOTAL(9,F33:F36)</f>
        <v>1746.3071233787728</v>
      </c>
      <c r="G37" s="54">
        <f t="shared" si="9"/>
        <v>1780.6634980267454</v>
      </c>
      <c r="H37" s="54">
        <f t="shared" si="9"/>
        <v>1816.1693115506532</v>
      </c>
      <c r="I37" s="54">
        <f t="shared" si="9"/>
        <v>1851.7572278514133</v>
      </c>
      <c r="J37" s="54">
        <f t="shared" si="9"/>
        <v>1887.257844997039</v>
      </c>
      <c r="K37" s="120">
        <f t="shared" si="9"/>
        <v>1922.7449515591322</v>
      </c>
    </row>
    <row r="38" spans="2:11" x14ac:dyDescent="0.3">
      <c r="B38" s="110" t="s">
        <v>26</v>
      </c>
      <c r="C38" s="115">
        <v>1014</v>
      </c>
      <c r="D38" s="125">
        <f t="shared" ref="D38:K38" si="10">D10</f>
        <v>599</v>
      </c>
      <c r="E38" s="116">
        <f t="shared" si="10"/>
        <v>573</v>
      </c>
      <c r="F38" s="116">
        <f t="shared" si="10"/>
        <v>552.31711231565873</v>
      </c>
      <c r="G38" s="116">
        <f t="shared" si="10"/>
        <v>563.2687072646338</v>
      </c>
      <c r="H38" s="116">
        <f t="shared" si="10"/>
        <v>574.58670260121733</v>
      </c>
      <c r="I38" s="116">
        <f t="shared" si="10"/>
        <v>585.93086939405862</v>
      </c>
      <c r="J38" s="116">
        <f t="shared" si="10"/>
        <v>597.24720830936008</v>
      </c>
      <c r="K38" s="117">
        <f t="shared" si="10"/>
        <v>608.55924052932801</v>
      </c>
    </row>
    <row r="39" spans="2:11" x14ac:dyDescent="0.3">
      <c r="B39" s="62"/>
      <c r="D39" s="126"/>
      <c r="E39" s="10"/>
      <c r="F39" s="10"/>
      <c r="G39" s="10"/>
      <c r="H39" s="10"/>
      <c r="I39" s="10"/>
      <c r="J39" s="10"/>
      <c r="K39" s="118"/>
    </row>
    <row r="40" spans="2:11" x14ac:dyDescent="0.3">
      <c r="B40" s="62"/>
      <c r="D40" s="126">
        <f t="shared" ref="D40:K42" si="11">D12</f>
        <v>0</v>
      </c>
      <c r="E40" s="10">
        <f t="shared" si="11"/>
        <v>0</v>
      </c>
      <c r="F40" s="10">
        <f t="shared" si="11"/>
        <v>0</v>
      </c>
      <c r="G40" s="10">
        <f t="shared" si="11"/>
        <v>0</v>
      </c>
      <c r="H40" s="10">
        <f t="shared" si="11"/>
        <v>0</v>
      </c>
      <c r="I40" s="10">
        <f t="shared" si="11"/>
        <v>0</v>
      </c>
      <c r="J40" s="10">
        <f t="shared" si="11"/>
        <v>1</v>
      </c>
      <c r="K40" s="118">
        <f t="shared" si="11"/>
        <v>0</v>
      </c>
    </row>
    <row r="41" spans="2:11" x14ac:dyDescent="0.3">
      <c r="B41" s="62"/>
      <c r="D41" s="126">
        <f t="shared" si="11"/>
        <v>0</v>
      </c>
      <c r="E41" s="10">
        <f t="shared" si="11"/>
        <v>0</v>
      </c>
      <c r="F41" s="10">
        <f t="shared" si="11"/>
        <v>204.58532720223428</v>
      </c>
      <c r="G41" s="10">
        <f t="shared" si="11"/>
        <v>260.97654542114475</v>
      </c>
      <c r="H41" s="10">
        <f t="shared" si="11"/>
        <v>403.25098599402838</v>
      </c>
      <c r="I41" s="10">
        <f t="shared" si="11"/>
        <v>528.41619662622531</v>
      </c>
      <c r="J41" s="10">
        <f t="shared" si="11"/>
        <v>659.64594931916531</v>
      </c>
      <c r="K41" s="118">
        <f t="shared" si="11"/>
        <v>767.51555430334247</v>
      </c>
    </row>
    <row r="42" spans="2:11" x14ac:dyDescent="0.3">
      <c r="B42" s="62"/>
      <c r="D42" s="127">
        <f t="shared" si="11"/>
        <v>0</v>
      </c>
      <c r="E42" s="54">
        <f t="shared" si="11"/>
        <v>0</v>
      </c>
      <c r="F42" s="54">
        <f t="shared" si="11"/>
        <v>0</v>
      </c>
      <c r="G42" s="54">
        <f t="shared" si="11"/>
        <v>5.4</v>
      </c>
      <c r="H42" s="54">
        <f t="shared" si="11"/>
        <v>5.4</v>
      </c>
      <c r="I42" s="54">
        <f t="shared" si="11"/>
        <v>5.4</v>
      </c>
      <c r="J42" s="54">
        <f t="shared" si="11"/>
        <v>5.4</v>
      </c>
      <c r="K42" s="120">
        <f t="shared" si="11"/>
        <v>5.4</v>
      </c>
    </row>
    <row r="43" spans="2:11" x14ac:dyDescent="0.3">
      <c r="B43" s="119" t="s">
        <v>125</v>
      </c>
      <c r="C43" s="16"/>
      <c r="D43" s="127">
        <f>SUBTOTAL(9,D38:D42)</f>
        <v>599</v>
      </c>
      <c r="E43" s="54">
        <f t="shared" ref="E43:K43" si="12">SUBTOTAL(9,E38:E42)</f>
        <v>573</v>
      </c>
      <c r="F43" s="54">
        <f t="shared" si="12"/>
        <v>756.90243951789307</v>
      </c>
      <c r="G43" s="54">
        <f t="shared" si="12"/>
        <v>829.64525268577847</v>
      </c>
      <c r="H43" s="54">
        <f t="shared" si="12"/>
        <v>983.23768859524569</v>
      </c>
      <c r="I43" s="54">
        <f t="shared" si="12"/>
        <v>1119.7470660202839</v>
      </c>
      <c r="J43" s="54">
        <f t="shared" si="12"/>
        <v>1263.2931576285255</v>
      </c>
      <c r="K43" s="120">
        <f t="shared" si="12"/>
        <v>1381.4747948326706</v>
      </c>
    </row>
    <row r="44" spans="2:11" x14ac:dyDescent="0.3">
      <c r="B44" s="110" t="s">
        <v>27</v>
      </c>
      <c r="C44" s="115">
        <v>1012</v>
      </c>
      <c r="D44" s="125">
        <f t="shared" ref="D44:K45" si="13">D16</f>
        <v>388</v>
      </c>
      <c r="E44" s="116">
        <f t="shared" si="13"/>
        <v>302</v>
      </c>
      <c r="F44" s="116">
        <f t="shared" si="13"/>
        <v>387.09928011833341</v>
      </c>
      <c r="G44" s="116">
        <f t="shared" si="13"/>
        <v>394.92198566564082</v>
      </c>
      <c r="H44" s="116">
        <f t="shared" si="13"/>
        <v>402.81276273346811</v>
      </c>
      <c r="I44" s="116">
        <f t="shared" si="13"/>
        <v>410.67180375456655</v>
      </c>
      <c r="J44" s="116">
        <f t="shared" si="13"/>
        <v>418.5239456350717</v>
      </c>
      <c r="K44" s="117">
        <f t="shared" si="13"/>
        <v>426.37700740098933</v>
      </c>
    </row>
    <row r="45" spans="2:11" x14ac:dyDescent="0.3">
      <c r="B45" s="62"/>
      <c r="C45">
        <v>1019</v>
      </c>
      <c r="D45" s="127">
        <f t="shared" si="13"/>
        <v>33.180405030683588</v>
      </c>
      <c r="E45" s="54">
        <f t="shared" si="13"/>
        <v>25.373250905816864</v>
      </c>
      <c r="F45" s="54">
        <f t="shared" si="13"/>
        <v>25.373250905816864</v>
      </c>
      <c r="G45" s="54">
        <f t="shared" si="13"/>
        <v>25.373250905816864</v>
      </c>
      <c r="H45" s="54">
        <f t="shared" si="13"/>
        <v>25.373250905816864</v>
      </c>
      <c r="I45" s="54">
        <f t="shared" si="13"/>
        <v>25.373250905816864</v>
      </c>
      <c r="J45" s="54">
        <f t="shared" si="13"/>
        <v>25.373250905816864</v>
      </c>
      <c r="K45" s="120">
        <f t="shared" si="13"/>
        <v>25.373250905816864</v>
      </c>
    </row>
    <row r="46" spans="2:11" x14ac:dyDescent="0.3">
      <c r="B46" s="119" t="s">
        <v>125</v>
      </c>
      <c r="C46" s="16"/>
      <c r="D46" s="127">
        <f>SUBTOTAL(9,D44:D45)</f>
        <v>421.18040503068357</v>
      </c>
      <c r="E46" s="54">
        <f>SUBTOTAL(9,E44:E45)</f>
        <v>327.37325090581686</v>
      </c>
      <c r="F46" s="54">
        <f t="shared" ref="F46:K46" si="14">SUBTOTAL(9,F44:F45)</f>
        <v>412.47253102415027</v>
      </c>
      <c r="G46" s="54">
        <f t="shared" si="14"/>
        <v>420.29523657145768</v>
      </c>
      <c r="H46" s="54">
        <f t="shared" si="14"/>
        <v>428.18601363928497</v>
      </c>
      <c r="I46" s="54">
        <f t="shared" si="14"/>
        <v>436.04505466038341</v>
      </c>
      <c r="J46" s="54">
        <f t="shared" si="14"/>
        <v>443.89719654088856</v>
      </c>
      <c r="K46" s="120">
        <f t="shared" si="14"/>
        <v>451.75025830680619</v>
      </c>
    </row>
    <row r="47" spans="2:11" x14ac:dyDescent="0.3">
      <c r="B47" s="110" t="s">
        <v>28</v>
      </c>
      <c r="C47" s="115">
        <v>1015</v>
      </c>
      <c r="D47" s="125">
        <f t="shared" ref="D47:K49" si="15">D19</f>
        <v>0</v>
      </c>
      <c r="E47" s="116">
        <f t="shared" si="15"/>
        <v>5</v>
      </c>
      <c r="F47" s="116">
        <f t="shared" si="15"/>
        <v>7.5</v>
      </c>
      <c r="G47" s="116">
        <f t="shared" si="15"/>
        <v>53</v>
      </c>
      <c r="H47" s="116">
        <f t="shared" si="15"/>
        <v>21</v>
      </c>
      <c r="I47" s="116">
        <f t="shared" si="15"/>
        <v>27</v>
      </c>
      <c r="J47" s="116">
        <f t="shared" si="15"/>
        <v>27</v>
      </c>
      <c r="K47" s="117">
        <f t="shared" si="15"/>
        <v>27</v>
      </c>
    </row>
    <row r="48" spans="2:11" x14ac:dyDescent="0.3">
      <c r="B48" s="62"/>
      <c r="C48">
        <v>1047</v>
      </c>
      <c r="D48" s="126">
        <f t="shared" si="15"/>
        <v>1</v>
      </c>
      <c r="E48" s="10">
        <f t="shared" si="15"/>
        <v>0</v>
      </c>
      <c r="F48" s="10">
        <f t="shared" si="15"/>
        <v>0</v>
      </c>
      <c r="G48" s="10">
        <f t="shared" si="15"/>
        <v>0</v>
      </c>
      <c r="H48" s="10">
        <f t="shared" si="15"/>
        <v>0</v>
      </c>
      <c r="I48" s="10">
        <f t="shared" si="15"/>
        <v>0</v>
      </c>
      <c r="J48" s="10">
        <f t="shared" si="15"/>
        <v>0</v>
      </c>
      <c r="K48" s="118">
        <f t="shared" si="15"/>
        <v>0</v>
      </c>
    </row>
    <row r="49" spans="2:11" x14ac:dyDescent="0.3">
      <c r="B49" s="154"/>
      <c r="C49" s="16">
        <v>1048</v>
      </c>
      <c r="D49" s="127">
        <f t="shared" si="15"/>
        <v>1</v>
      </c>
      <c r="E49" s="54">
        <f t="shared" si="15"/>
        <v>0</v>
      </c>
      <c r="F49" s="54">
        <f t="shared" si="15"/>
        <v>2</v>
      </c>
      <c r="G49" s="54">
        <f t="shared" si="15"/>
        <v>3</v>
      </c>
      <c r="H49" s="54">
        <f t="shared" si="15"/>
        <v>5</v>
      </c>
      <c r="I49" s="54">
        <f t="shared" si="15"/>
        <v>2</v>
      </c>
      <c r="J49" s="54">
        <f t="shared" si="15"/>
        <v>3</v>
      </c>
      <c r="K49" s="120">
        <f t="shared" si="15"/>
        <v>3</v>
      </c>
    </row>
    <row r="50" spans="2:11" x14ac:dyDescent="0.3">
      <c r="B50" s="111"/>
      <c r="C50" s="112"/>
      <c r="D50" s="128">
        <f>SUBTOTAL(9,D47:D49)</f>
        <v>2</v>
      </c>
      <c r="E50" s="121">
        <f t="shared" ref="E50" si="16">SUBTOTAL(9,E47:E49)</f>
        <v>5</v>
      </c>
      <c r="F50" s="121">
        <f t="shared" ref="F50" si="17">SUBTOTAL(9,F47:F49)</f>
        <v>9.5</v>
      </c>
      <c r="G50" s="121">
        <f t="shared" ref="G50" si="18">SUBTOTAL(9,G47:G49)</f>
        <v>56</v>
      </c>
      <c r="H50" s="121">
        <f t="shared" ref="H50" si="19">SUBTOTAL(9,H47:H49)</f>
        <v>26</v>
      </c>
      <c r="I50" s="121">
        <f t="shared" ref="I50" si="20">SUBTOTAL(9,I47:I49)</f>
        <v>29</v>
      </c>
      <c r="J50" s="121">
        <f t="shared" ref="J50" si="21">SUBTOTAL(9,J47:J49)</f>
        <v>30</v>
      </c>
      <c r="K50" s="122">
        <f t="shared" ref="K50" si="22">SUBTOTAL(9,K47:K49)</f>
        <v>30</v>
      </c>
    </row>
    <row r="51" spans="2:11" x14ac:dyDescent="0.3">
      <c r="B51" s="113" t="s">
        <v>128</v>
      </c>
      <c r="C51" s="112"/>
      <c r="D51" s="83">
        <f>SUBTOTAL(9,D33:D50)</f>
        <v>2859</v>
      </c>
      <c r="E51" s="123">
        <f t="shared" ref="E51" si="23">SUBTOTAL(9,E33:E50)</f>
        <v>2686.5</v>
      </c>
      <c r="F51" s="123">
        <f t="shared" ref="F51" si="24">SUBTOTAL(9,F33:F50)</f>
        <v>2925.1820939208155</v>
      </c>
      <c r="G51" s="123">
        <f t="shared" ref="G51" si="25">SUBTOTAL(9,G33:G50)</f>
        <v>3086.603987283982</v>
      </c>
      <c r="H51" s="123">
        <f t="shared" ref="H51" si="26">SUBTOTAL(9,H33:H50)</f>
        <v>3253.5930137851838</v>
      </c>
      <c r="I51" s="123">
        <f t="shared" ref="I51" si="27">SUBTOTAL(9,I33:I50)</f>
        <v>3436.5493485320808</v>
      </c>
      <c r="J51" s="123">
        <f t="shared" ref="J51" si="28">SUBTOTAL(9,J33:J50)</f>
        <v>3624.4481991664534</v>
      </c>
      <c r="K51" s="124">
        <f t="shared" ref="K51" si="29">SUBTOTAL(9,K33:K50)</f>
        <v>3785.970004698609</v>
      </c>
    </row>
    <row r="52" spans="2:11" x14ac:dyDescent="0.3">
      <c r="D52" s="58">
        <f t="shared" ref="D52:K52" si="30">D51-(D23-D8-D11)</f>
        <v>0</v>
      </c>
      <c r="E52" s="58">
        <f t="shared" si="30"/>
        <v>0</v>
      </c>
      <c r="F52" s="58">
        <f t="shared" si="30"/>
        <v>0</v>
      </c>
      <c r="G52" s="58">
        <f t="shared" si="30"/>
        <v>0</v>
      </c>
      <c r="H52" s="58">
        <f t="shared" si="30"/>
        <v>0</v>
      </c>
      <c r="I52" s="58">
        <f t="shared" si="30"/>
        <v>0</v>
      </c>
      <c r="J52" s="58">
        <f t="shared" si="30"/>
        <v>0</v>
      </c>
      <c r="K52" s="58">
        <f t="shared" si="30"/>
        <v>0</v>
      </c>
    </row>
    <row r="53" spans="2:11" x14ac:dyDescent="0.3">
      <c r="D53" s="10"/>
    </row>
  </sheetData>
  <mergeCells count="2">
    <mergeCell ref="G3:K3"/>
    <mergeCell ref="G31:K31"/>
  </mergeCells>
  <hyperlinks>
    <hyperlink ref="B1" location="Contents!A1" display="Table of Contents" xr:uid="{35BB2CBF-0E1D-4DBB-856A-3F770FD73F2C}"/>
  </hyperlinks>
  <pageMargins left="0.7" right="0.7" top="0.75" bottom="0.75" header="0.3" footer="0.3"/>
  <pageSetup paperSize="9" orientation="portrait" verticalDpi="0" r:id="rId1"/>
  <headerFooter>
    <oddFooter>&amp;C_x000D_&amp;1#&amp;"Century Gothic"&amp;7&amp;K7F7F7F BUSINESS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5827-5E8A-4EDD-930C-4716EC3515A4}">
  <sheetPr codeName="Sheet2">
    <tabColor rgb="FF00FFFF"/>
  </sheetPr>
  <dimension ref="B3:N22"/>
  <sheetViews>
    <sheetView workbookViewId="0">
      <selection activeCell="J21" sqref="J21"/>
    </sheetView>
  </sheetViews>
  <sheetFormatPr defaultRowHeight="14.65" x14ac:dyDescent="0.3"/>
  <cols>
    <col min="1" max="1" width="5.33203125" customWidth="1"/>
    <col min="2" max="2" width="51.21875" bestFit="1" customWidth="1"/>
  </cols>
  <sheetData>
    <row r="3" spans="2:14" x14ac:dyDescent="0.3">
      <c r="B3" s="324" t="s">
        <v>372</v>
      </c>
      <c r="C3" s="324"/>
      <c r="D3" s="326" t="s">
        <v>366</v>
      </c>
      <c r="E3" s="323"/>
      <c r="F3" s="323"/>
      <c r="G3" s="323"/>
      <c r="H3" s="323"/>
      <c r="I3" s="323"/>
      <c r="J3" s="323"/>
      <c r="K3" s="323"/>
    </row>
    <row r="4" spans="2:14" x14ac:dyDescent="0.3">
      <c r="B4" s="200"/>
      <c r="C4" s="200"/>
      <c r="D4" s="200"/>
      <c r="E4" s="200"/>
      <c r="F4" s="200"/>
      <c r="G4" s="200"/>
      <c r="H4" s="200"/>
      <c r="I4" s="200"/>
      <c r="J4" s="200"/>
      <c r="K4" s="200"/>
    </row>
    <row r="5" spans="2:14" x14ac:dyDescent="0.3">
      <c r="B5" s="325"/>
      <c r="C5" s="325"/>
      <c r="D5" s="325" t="s">
        <v>123</v>
      </c>
      <c r="E5" s="325" t="s">
        <v>136</v>
      </c>
      <c r="F5" s="325" t="s">
        <v>135</v>
      </c>
      <c r="G5" s="325" t="s">
        <v>134</v>
      </c>
      <c r="H5" s="325" t="s">
        <v>133</v>
      </c>
      <c r="I5" s="325" t="s">
        <v>132</v>
      </c>
      <c r="J5" s="325" t="s">
        <v>196</v>
      </c>
      <c r="K5" s="325" t="s">
        <v>373</v>
      </c>
    </row>
    <row r="6" spans="2:14" x14ac:dyDescent="0.3">
      <c r="B6" s="200" t="s">
        <v>367</v>
      </c>
      <c r="C6" s="200"/>
      <c r="D6" s="327">
        <f>'[1]Input| Escalations'!D$15</f>
        <v>2.0225001952140609E-2</v>
      </c>
      <c r="E6" s="327">
        <f>'[1]Input| Escalations'!E$15</f>
        <v>8.6058519793459354E-3</v>
      </c>
      <c r="F6" s="327">
        <f>'[1]Input| Escalations'!F$15</f>
        <v>3.4982935153583528E-2</v>
      </c>
      <c r="G6" s="327">
        <f>'[1]Input| Escalations'!G$15</f>
        <v>7.8318219291014124E-2</v>
      </c>
      <c r="H6" s="327">
        <f>'[1]Input| Escalations'!H$15</f>
        <v>4.0519877675840865E-2</v>
      </c>
      <c r="I6" s="327">
        <f>'[1]Input| Escalations'!I$15</f>
        <v>2.4246877296105973E-2</v>
      </c>
      <c r="J6" s="327">
        <f>'[1]Input| Escalations'!J$15</f>
        <v>3.6999999999999998E-2</v>
      </c>
      <c r="K6" s="328"/>
    </row>
    <row r="9" spans="2:14" x14ac:dyDescent="0.3">
      <c r="B9" s="324" t="s">
        <v>374</v>
      </c>
      <c r="C9" s="324"/>
      <c r="D9" s="326"/>
      <c r="E9" s="323"/>
      <c r="F9" s="323"/>
      <c r="G9" s="323"/>
      <c r="H9" s="323"/>
      <c r="I9" s="323"/>
      <c r="J9" s="323"/>
      <c r="K9" s="323"/>
      <c r="L9" s="323"/>
      <c r="M9" s="323"/>
      <c r="N9" s="323"/>
    </row>
    <row r="10" spans="2:14" x14ac:dyDescent="0.3">
      <c r="B10" s="200"/>
      <c r="C10" s="200"/>
      <c r="D10" s="200"/>
      <c r="E10" s="200"/>
      <c r="F10" s="200"/>
      <c r="G10" s="200"/>
      <c r="H10" s="200"/>
      <c r="I10" s="200"/>
      <c r="J10" s="200"/>
      <c r="K10" s="200"/>
      <c r="L10" s="200"/>
      <c r="M10" s="200"/>
      <c r="N10" s="200"/>
    </row>
    <row r="11" spans="2:14" x14ac:dyDescent="0.3">
      <c r="B11" s="325"/>
      <c r="C11" s="325"/>
      <c r="D11" s="325"/>
      <c r="E11" s="325"/>
      <c r="F11" s="325"/>
      <c r="G11" s="325"/>
      <c r="H11" s="325" t="s">
        <v>133</v>
      </c>
      <c r="I11" s="325" t="s">
        <v>132</v>
      </c>
      <c r="J11" s="325" t="s">
        <v>196</v>
      </c>
      <c r="K11" s="325" t="s">
        <v>203</v>
      </c>
      <c r="L11" s="325" t="s">
        <v>204</v>
      </c>
      <c r="M11" s="325" t="s">
        <v>205</v>
      </c>
      <c r="N11" s="325" t="s">
        <v>206</v>
      </c>
    </row>
    <row r="12" spans="2:14" x14ac:dyDescent="0.3">
      <c r="B12" s="329" t="s">
        <v>368</v>
      </c>
      <c r="C12" s="329"/>
      <c r="D12" s="330"/>
      <c r="E12" s="330"/>
      <c r="F12" s="330"/>
      <c r="G12" s="330"/>
      <c r="H12" s="330"/>
      <c r="I12" s="330"/>
      <c r="J12" s="330"/>
      <c r="K12" s="330"/>
      <c r="L12" s="330"/>
      <c r="M12" s="330"/>
      <c r="N12" s="330"/>
    </row>
    <row r="13" spans="2:14" x14ac:dyDescent="0.3">
      <c r="B13" s="200" t="s">
        <v>369</v>
      </c>
      <c r="C13" s="200"/>
      <c r="D13" s="327"/>
      <c r="E13" s="327"/>
      <c r="F13" s="327"/>
      <c r="G13" s="327"/>
      <c r="H13" s="327">
        <f>'[1]Input| Escalations'!H25</f>
        <v>1.45425712680987E-2</v>
      </c>
      <c r="I13" s="327">
        <f>'[1]Input| Escalations'!I25</f>
        <v>7.8732945610719401E-3</v>
      </c>
      <c r="J13" s="327">
        <f>'[1]Input| Escalations'!J25</f>
        <v>8.1208180725738949E-3</v>
      </c>
      <c r="K13" s="327">
        <f>'[1]Input| Escalations'!K25</f>
        <v>9.5505821675600702E-3</v>
      </c>
      <c r="L13" s="327">
        <f>'[1]Input| Escalations'!L25</f>
        <v>1.1199334904118834E-2</v>
      </c>
      <c r="M13" s="327">
        <f>'[1]Input| Escalations'!M25</f>
        <v>1.2274361918209275E-2</v>
      </c>
      <c r="N13" s="327">
        <f>'[1]Input| Escalations'!N25</f>
        <v>1.2025416152939063E-2</v>
      </c>
    </row>
    <row r="14" spans="2:14" x14ac:dyDescent="0.3">
      <c r="B14" s="200" t="s">
        <v>370</v>
      </c>
      <c r="C14" s="200"/>
      <c r="D14" s="327"/>
      <c r="E14" s="327"/>
      <c r="F14" s="327"/>
      <c r="G14" s="327"/>
      <c r="H14" s="327">
        <f>'[1]Input| Escalations'!H26</f>
        <v>1.45425712680987E-2</v>
      </c>
      <c r="I14" s="327">
        <f>'[1]Input| Escalations'!I26</f>
        <v>7.8732945610719401E-3</v>
      </c>
      <c r="J14" s="327">
        <f>'[1]Input| Escalations'!J26</f>
        <v>8.1208180725738949E-3</v>
      </c>
      <c r="K14" s="327">
        <f>'[1]Input| Escalations'!K26</f>
        <v>9.5505821675600702E-3</v>
      </c>
      <c r="L14" s="327">
        <f>'[1]Input| Escalations'!L26</f>
        <v>1.1199334904118834E-2</v>
      </c>
      <c r="M14" s="327">
        <f>'[1]Input| Escalations'!M26</f>
        <v>1.2274361918209275E-2</v>
      </c>
      <c r="N14" s="327">
        <f>'[1]Input| Escalations'!N26</f>
        <v>1.2025416152939063E-2</v>
      </c>
    </row>
    <row r="15" spans="2:14" x14ac:dyDescent="0.3">
      <c r="B15" s="200" t="s">
        <v>371</v>
      </c>
      <c r="C15" s="200"/>
      <c r="D15" s="327"/>
      <c r="E15" s="327"/>
      <c r="F15" s="327"/>
      <c r="G15" s="327"/>
      <c r="H15" s="327"/>
      <c r="I15" s="327"/>
      <c r="J15" s="327"/>
      <c r="K15" s="327"/>
      <c r="L15" s="327"/>
      <c r="M15" s="327"/>
      <c r="N15" s="327"/>
    </row>
    <row r="18" spans="2:14" ht="15.95" x14ac:dyDescent="0.3">
      <c r="B18" s="331" t="s">
        <v>375</v>
      </c>
      <c r="C18" s="331"/>
      <c r="D18" s="331"/>
      <c r="E18" s="331"/>
      <c r="F18" s="331"/>
      <c r="G18" s="331"/>
      <c r="H18" s="326"/>
      <c r="I18" s="323"/>
      <c r="J18" s="323"/>
      <c r="K18" s="323"/>
      <c r="L18" s="323"/>
      <c r="M18" s="323"/>
      <c r="N18" s="323"/>
    </row>
    <row r="19" spans="2:14" x14ac:dyDescent="0.3">
      <c r="B19" s="200"/>
      <c r="C19" s="200"/>
      <c r="D19" s="200"/>
      <c r="E19" s="200"/>
      <c r="F19" s="200"/>
      <c r="G19" s="200"/>
      <c r="H19" s="200"/>
      <c r="I19" s="200"/>
      <c r="J19" s="200"/>
      <c r="K19" s="200"/>
      <c r="L19" s="200"/>
      <c r="M19" s="200"/>
      <c r="N19" s="200"/>
    </row>
    <row r="20" spans="2:14" x14ac:dyDescent="0.3">
      <c r="B20" s="332"/>
      <c r="C20" s="332"/>
      <c r="D20" s="332"/>
      <c r="E20" s="332"/>
      <c r="F20" s="332"/>
      <c r="G20" s="332"/>
      <c r="H20" s="332" t="s">
        <v>133</v>
      </c>
      <c r="I20" s="332" t="s">
        <v>132</v>
      </c>
      <c r="J20" s="332" t="s">
        <v>196</v>
      </c>
      <c r="K20" s="332" t="s">
        <v>203</v>
      </c>
      <c r="L20" s="332" t="s">
        <v>204</v>
      </c>
      <c r="M20" s="332" t="s">
        <v>205</v>
      </c>
      <c r="N20" s="332" t="s">
        <v>206</v>
      </c>
    </row>
    <row r="21" spans="2:14" x14ac:dyDescent="0.3">
      <c r="B21" s="200" t="s">
        <v>376</v>
      </c>
      <c r="C21" s="333"/>
      <c r="D21" s="333"/>
      <c r="E21" s="333"/>
      <c r="F21" s="333"/>
      <c r="G21" s="333"/>
      <c r="H21" s="334"/>
      <c r="I21" s="334"/>
      <c r="J21" s="334">
        <f>'[1]Calc| Overheads Allocation'!E8</f>
        <v>7.2001585239149915E-2</v>
      </c>
      <c r="K21" s="334">
        <f>'[1]Calc| Overheads Allocation'!F8</f>
        <v>6.9294897899731464E-2</v>
      </c>
      <c r="L21" s="334">
        <f>'[1]Calc| Overheads Allocation'!G8</f>
        <v>6.2631057581628652E-2</v>
      </c>
      <c r="M21" s="334">
        <f>'[1]Calc| Overheads Allocation'!H8</f>
        <v>7.1513980300364835E-2</v>
      </c>
      <c r="N21" s="334">
        <f>'[1]Calc| Overheads Allocation'!I8</f>
        <v>7.4849999421876645E-2</v>
      </c>
    </row>
    <row r="22" spans="2:14" x14ac:dyDescent="0.3">
      <c r="B22" s="200" t="s">
        <v>377</v>
      </c>
      <c r="C22" s="333"/>
      <c r="D22" s="333"/>
      <c r="E22" s="333"/>
      <c r="F22" s="333"/>
      <c r="G22" s="333"/>
      <c r="H22" s="334"/>
      <c r="I22" s="334"/>
      <c r="J22" s="334" t="str">
        <f>'[1]Calc| Overheads Allocation'!E9</f>
        <v/>
      </c>
      <c r="K22" s="334" t="str">
        <f>'[1]Calc| Overheads Allocation'!F9</f>
        <v/>
      </c>
      <c r="L22" s="334" t="str">
        <f>'[1]Calc| Overheads Allocation'!G9</f>
        <v/>
      </c>
      <c r="M22" s="334" t="str">
        <f>'[1]Calc| Overheads Allocation'!H9</f>
        <v/>
      </c>
      <c r="N22" s="334" t="str">
        <f>'[1]Calc| Overheads Allocation'!I9</f>
        <v/>
      </c>
    </row>
  </sheetData>
  <conditionalFormatting sqref="D13:N13">
    <cfRule type="expression" dxfId="2" priority="1">
      <formula>D11=""</formula>
    </cfRule>
  </conditionalFormatting>
  <conditionalFormatting sqref="D14:N14">
    <cfRule type="expression" dxfId="1" priority="3">
      <formula>D11=""</formula>
    </cfRule>
  </conditionalFormatting>
  <conditionalFormatting sqref="D15:N15">
    <cfRule type="expression" dxfId="0" priority="2">
      <formula>D11=""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B3:G42"/>
  <sheetViews>
    <sheetView topLeftCell="A6" zoomScaleNormal="100" workbookViewId="0">
      <selection activeCell="D24" sqref="D24"/>
    </sheetView>
  </sheetViews>
  <sheetFormatPr defaultColWidth="9.109375" defaultRowHeight="14.65" x14ac:dyDescent="0.3"/>
  <cols>
    <col min="1" max="1" width="5.5546875" style="31" customWidth="1"/>
    <col min="2" max="2" width="4" style="34" customWidth="1"/>
    <col min="3" max="3" width="3.5546875" style="32" customWidth="1"/>
    <col min="4" max="16384" width="9.109375" style="31"/>
  </cols>
  <sheetData>
    <row r="3" spans="2:7" ht="18.5" x14ac:dyDescent="0.35">
      <c r="G3" s="178" t="s">
        <v>163</v>
      </c>
    </row>
    <row r="6" spans="2:7" ht="21.05" x14ac:dyDescent="0.4">
      <c r="B6" s="36" t="s">
        <v>53</v>
      </c>
    </row>
    <row r="7" spans="2:7" ht="9.75" customHeight="1" x14ac:dyDescent="0.3"/>
    <row r="8" spans="2:7" x14ac:dyDescent="0.3">
      <c r="B8" s="34" t="s">
        <v>40</v>
      </c>
    </row>
    <row r="9" spans="2:7" ht="7.35" customHeight="1" x14ac:dyDescent="0.3"/>
    <row r="10" spans="2:7" x14ac:dyDescent="0.3">
      <c r="B10" s="34" t="s">
        <v>100</v>
      </c>
    </row>
    <row r="11" spans="2:7" ht="8.4499999999999993" customHeight="1" x14ac:dyDescent="0.3"/>
    <row r="12" spans="2:7" x14ac:dyDescent="0.3">
      <c r="B12" s="34" t="s">
        <v>101</v>
      </c>
    </row>
    <row r="13" spans="2:7" ht="8" customHeight="1" x14ac:dyDescent="0.3"/>
    <row r="14" spans="2:7" x14ac:dyDescent="0.3">
      <c r="B14" s="34" t="s">
        <v>102</v>
      </c>
    </row>
    <row r="15" spans="2:7" ht="8" customHeight="1" x14ac:dyDescent="0.3"/>
    <row r="16" spans="2:7" x14ac:dyDescent="0.3">
      <c r="B16" s="34" t="s">
        <v>164</v>
      </c>
      <c r="C16" s="31"/>
    </row>
    <row r="17" spans="2:4" ht="6.05" customHeight="1" x14ac:dyDescent="0.3">
      <c r="B17" s="179"/>
      <c r="C17" s="31"/>
    </row>
    <row r="18" spans="2:4" x14ac:dyDescent="0.3">
      <c r="C18" s="35" t="s">
        <v>42</v>
      </c>
      <c r="D18" s="33" t="s">
        <v>212</v>
      </c>
    </row>
    <row r="19" spans="2:4" x14ac:dyDescent="0.3">
      <c r="C19" s="35" t="s">
        <v>43</v>
      </c>
      <c r="D19" s="33" t="s">
        <v>343</v>
      </c>
    </row>
    <row r="20" spans="2:4" x14ac:dyDescent="0.3">
      <c r="C20" s="35" t="s">
        <v>44</v>
      </c>
      <c r="D20" s="33" t="s">
        <v>344</v>
      </c>
    </row>
    <row r="21" spans="2:4" ht="6.4" customHeight="1" x14ac:dyDescent="0.3">
      <c r="C21" s="35"/>
      <c r="D21" s="33"/>
    </row>
    <row r="22" spans="2:4" x14ac:dyDescent="0.3">
      <c r="B22" s="34" t="s">
        <v>165</v>
      </c>
    </row>
    <row r="23" spans="2:4" ht="5.3" customHeight="1" x14ac:dyDescent="0.3"/>
    <row r="24" spans="2:4" x14ac:dyDescent="0.3">
      <c r="C24" s="35" t="s">
        <v>42</v>
      </c>
      <c r="D24" s="33" t="s">
        <v>345</v>
      </c>
    </row>
    <row r="25" spans="2:4" x14ac:dyDescent="0.3">
      <c r="C25" s="35" t="s">
        <v>43</v>
      </c>
      <c r="D25" s="33" t="s">
        <v>346</v>
      </c>
    </row>
    <row r="26" spans="2:4" x14ac:dyDescent="0.3">
      <c r="C26" s="35" t="s">
        <v>44</v>
      </c>
      <c r="D26" s="33" t="s">
        <v>50</v>
      </c>
    </row>
    <row r="27" spans="2:4" x14ac:dyDescent="0.3">
      <c r="C27" s="35" t="s">
        <v>45</v>
      </c>
      <c r="D27" s="33" t="s">
        <v>49</v>
      </c>
    </row>
    <row r="28" spans="2:4" x14ac:dyDescent="0.3">
      <c r="C28" s="35" t="s">
        <v>161</v>
      </c>
      <c r="D28" s="33" t="s">
        <v>46</v>
      </c>
    </row>
    <row r="29" spans="2:4" ht="4.1500000000000004" customHeight="1" x14ac:dyDescent="0.3">
      <c r="C29" s="35"/>
    </row>
    <row r="30" spans="2:4" x14ac:dyDescent="0.3">
      <c r="B30" s="34" t="s">
        <v>353</v>
      </c>
      <c r="C30" s="35"/>
    </row>
    <row r="31" spans="2:4" ht="6.05" customHeight="1" x14ac:dyDescent="0.3">
      <c r="C31" s="35"/>
    </row>
    <row r="32" spans="2:4" x14ac:dyDescent="0.3">
      <c r="C32" s="35" t="s">
        <v>42</v>
      </c>
      <c r="D32" s="33" t="s">
        <v>355</v>
      </c>
    </row>
    <row r="33" spans="2:4" ht="15" customHeight="1" x14ac:dyDescent="0.3">
      <c r="C33" s="35" t="s">
        <v>43</v>
      </c>
      <c r="D33" s="33" t="s">
        <v>354</v>
      </c>
    </row>
    <row r="34" spans="2:4" ht="6.55" customHeight="1" x14ac:dyDescent="0.3">
      <c r="C34" s="35"/>
    </row>
    <row r="35" spans="2:4" x14ac:dyDescent="0.3">
      <c r="B35" s="34" t="s">
        <v>351</v>
      </c>
      <c r="C35" s="35"/>
    </row>
    <row r="36" spans="2:4" ht="6.05" customHeight="1" x14ac:dyDescent="0.3">
      <c r="C36" s="35"/>
    </row>
    <row r="37" spans="2:4" x14ac:dyDescent="0.3">
      <c r="C37" s="35" t="s">
        <v>42</v>
      </c>
      <c r="D37" s="33" t="s">
        <v>41</v>
      </c>
    </row>
    <row r="38" spans="2:4" x14ac:dyDescent="0.3">
      <c r="C38" s="35" t="s">
        <v>43</v>
      </c>
      <c r="D38" s="33" t="s">
        <v>156</v>
      </c>
    </row>
    <row r="39" spans="2:4" x14ac:dyDescent="0.3">
      <c r="C39" s="35" t="s">
        <v>44</v>
      </c>
      <c r="D39" s="33" t="s">
        <v>157</v>
      </c>
    </row>
    <row r="40" spans="2:4" x14ac:dyDescent="0.3">
      <c r="C40" s="35" t="s">
        <v>45</v>
      </c>
      <c r="D40" s="33" t="s">
        <v>158</v>
      </c>
    </row>
    <row r="41" spans="2:4" x14ac:dyDescent="0.3">
      <c r="C41" s="35" t="s">
        <v>161</v>
      </c>
      <c r="D41" s="33" t="s">
        <v>159</v>
      </c>
    </row>
    <row r="42" spans="2:4" x14ac:dyDescent="0.3">
      <c r="C42" s="35" t="s">
        <v>162</v>
      </c>
      <c r="D42" s="33" t="s">
        <v>160</v>
      </c>
    </row>
  </sheetData>
  <hyperlinks>
    <hyperlink ref="B35" location="RIN_Outputs!A1" display="7. EDPR RIN Outputs" xr:uid="{00000000-0004-0000-0200-000000000000}"/>
    <hyperlink ref="D37" location="'2.5 Connections'!A1" display="2.5 Connections" xr:uid="{00000000-0004-0000-0200-000001000000}"/>
    <hyperlink ref="D28" location="Capex_Fcast_Total!A1" display="Total Expenditure Forecast" xr:uid="{00000000-0004-0000-0200-000005000000}"/>
    <hyperlink ref="D27" location="Other_codes!A1" display="Non Connections Related Direct Expenditure Forecast" xr:uid="{00000000-0004-0000-0200-000007000000}"/>
    <hyperlink ref="D26" location="Capex_Fcast_Direct!A1" display="Connections Related Direct Expenditure Forecast" xr:uid="{00000000-0004-0000-0200-000008000000}"/>
    <hyperlink ref="B14" location="Connections!A1" display="3. Connections (Historical / Forecast)" xr:uid="{00000000-0004-0000-0200-000009000000}"/>
    <hyperlink ref="B12" location="Allocations!A1" display="2. Regulatory &amp; Financial Allocations" xr:uid="{00000000-0004-0000-0200-00000A000000}"/>
    <hyperlink ref="B8" location="Assumptions!A1" display="1.  Assumptions" xr:uid="{00000000-0004-0000-0200-00000B000000}"/>
    <hyperlink ref="B10" location="Escalation!A1" display="2.  Escalation" xr:uid="{00000000-0004-0000-0200-00000C000000}"/>
    <hyperlink ref="D39" location="Direct_view!A1" display="Direct_view" xr:uid="{00000000-0004-0000-0200-00000F000000}"/>
    <hyperlink ref="D40" location="CapCon_view!A1" display="CapCon_view" xr:uid="{00000000-0004-0000-0200-000010000000}"/>
    <hyperlink ref="D41" location="Historical_CY!A1" display="Historical_CY" xr:uid="{00000000-0004-0000-0200-000011000000}"/>
    <hyperlink ref="D42" location="'2.5.3_Volumes'!A1" display="2.5.3 Volumes" xr:uid="{00000000-0004-0000-0200-000012000000}"/>
    <hyperlink ref="D18" location="Historical_Cost!A1" display="Historical Connections Capex - Disaggregation" xr:uid="{00000000-0004-0000-0200-000015000000}"/>
    <hyperlink ref="D32" location="Contr_Fcast!A1" display="Actual / Forecast Type 1 capital contributions" xr:uid="{00000000-0004-0000-0200-000003000000}"/>
    <hyperlink ref="D38" location="'2.17-2.18 CapCons'!A1" display="2.17-2.17 CapCons" xr:uid="{00000000-0004-0000-0200-000002000000}"/>
    <hyperlink ref="D33" location="Capex_Model_Inputs!A1" display="Base Year Forecast capex and capital contributions - for SCS capex model input" xr:uid="{00000000-0004-0000-0200-00000D000000}"/>
    <hyperlink ref="D25" location="HV_rebate!A1" display="HV rebate payments to land developers" xr:uid="{00000000-0004-0000-0200-000006000000}"/>
    <hyperlink ref="D24" location="Contracts_input!A1" display="Contracts Input" xr:uid="{00000000-0004-0000-0200-000014000000}"/>
    <hyperlink ref="D20" location="Cost_Recovery!A1" display="Historical cost recovery - current EDPR period" xr:uid="{00000000-0004-0000-0200-000017000000}"/>
    <hyperlink ref="D19" location="Historical_Cap_Cons!A1" display="Historical capital contributions - Type 1 and Type 2" xr:uid="{00000000-0004-0000-0200-000016000000}"/>
    <hyperlink ref="B16" location="'Historical_data &gt;'!A1" display="5. Historical capex" xr:uid="{E6A52D32-E610-418D-9CD8-E12026819F76}"/>
    <hyperlink ref="B22" location="'Forecast &gt;'!A1" display="6. Capital Expenditure Forecast" xr:uid="{4EB25714-D5DB-466F-8C7C-31063DB7D2F3}"/>
    <hyperlink ref="B30" location="'Outputs &gt;'!A1" display="7. Forecast outputs" xr:uid="{12449DD0-F367-42B1-8768-D9683BFE3D65}"/>
  </hyperlinks>
  <pageMargins left="0.7" right="0.7" top="0.75" bottom="0.75" header="0.3" footer="0.3"/>
  <headerFooter>
    <oddFooter>&amp;C_x000D_&amp;1#&amp;"Century Gothic"&amp;7&amp;K7F7F7F BUSINESS USE ONLY</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V32"/>
  <sheetViews>
    <sheetView zoomScale="85" zoomScaleNormal="85" workbookViewId="0">
      <selection activeCell="N32" sqref="N32"/>
    </sheetView>
  </sheetViews>
  <sheetFormatPr defaultRowHeight="14.65" outlineLevelRow="1" outlineLevelCol="1" x14ac:dyDescent="0.3"/>
  <cols>
    <col min="1" max="2" width="3.88671875" customWidth="1"/>
    <col min="3" max="3" width="33.33203125" customWidth="1"/>
    <col min="4" max="4" width="8.44140625" customWidth="1" outlineLevel="1"/>
    <col min="5" max="8" width="9.109375" customWidth="1" outlineLevel="1"/>
    <col min="9" max="10" width="8.88671875" customWidth="1" outlineLevel="1"/>
    <col min="11" max="12" width="8.88671875" customWidth="1"/>
    <col min="15" max="15" width="9" customWidth="1"/>
  </cols>
  <sheetData>
    <row r="1" spans="2:22" x14ac:dyDescent="0.3">
      <c r="B1" s="40" t="s">
        <v>53</v>
      </c>
      <c r="M1" s="503" t="s">
        <v>150</v>
      </c>
      <c r="N1" s="503"/>
    </row>
    <row r="2" spans="2:22" x14ac:dyDescent="0.3">
      <c r="D2" s="81" t="s">
        <v>15</v>
      </c>
      <c r="E2" s="81" t="s">
        <v>15</v>
      </c>
      <c r="F2" s="81" t="s">
        <v>15</v>
      </c>
      <c r="G2" s="81" t="s">
        <v>15</v>
      </c>
      <c r="H2" s="81" t="s">
        <v>15</v>
      </c>
      <c r="I2" s="81" t="s">
        <v>15</v>
      </c>
      <c r="J2" s="81" t="s">
        <v>15</v>
      </c>
      <c r="K2" s="81" t="s">
        <v>15</v>
      </c>
      <c r="L2" s="81" t="s">
        <v>15</v>
      </c>
      <c r="M2" s="81" t="s">
        <v>15</v>
      </c>
      <c r="N2" s="81" t="s">
        <v>15</v>
      </c>
      <c r="O2" s="81" t="s">
        <v>15</v>
      </c>
      <c r="P2" s="81" t="s">
        <v>15</v>
      </c>
      <c r="Q2" s="81" t="s">
        <v>15</v>
      </c>
      <c r="R2" s="81" t="s">
        <v>16</v>
      </c>
      <c r="S2" s="81" t="s">
        <v>16</v>
      </c>
      <c r="T2" s="81" t="s">
        <v>16</v>
      </c>
      <c r="U2" s="81" t="s">
        <v>16</v>
      </c>
      <c r="V2" s="81" t="s">
        <v>16</v>
      </c>
    </row>
    <row r="3" spans="2:22" x14ac:dyDescent="0.3">
      <c r="C3" s="1" t="s">
        <v>98</v>
      </c>
      <c r="D3" s="81">
        <v>2013</v>
      </c>
      <c r="E3" s="81">
        <v>2014</v>
      </c>
      <c r="F3" s="81">
        <v>2015</v>
      </c>
      <c r="G3" s="81">
        <v>2016</v>
      </c>
      <c r="H3" s="81">
        <v>2017</v>
      </c>
      <c r="I3" s="81">
        <v>2018</v>
      </c>
      <c r="J3" s="81">
        <v>2019</v>
      </c>
      <c r="K3" s="81">
        <v>2020</v>
      </c>
      <c r="L3" s="81" t="s">
        <v>215</v>
      </c>
      <c r="M3" s="215" t="str">
        <f>Allocations!H$53</f>
        <v>2021-22</v>
      </c>
      <c r="N3" s="215" t="str">
        <f>Allocations!I$53</f>
        <v>2022-23</v>
      </c>
      <c r="O3" s="215" t="str">
        <f>Allocations!J$53</f>
        <v>2023-24</v>
      </c>
      <c r="P3" s="215" t="str">
        <f>Allocations!K$53</f>
        <v>2024-25</v>
      </c>
      <c r="Q3" s="215" t="str">
        <f>Allocations!L$53</f>
        <v>2025-26</v>
      </c>
      <c r="R3" s="215" t="str">
        <f>Allocations!M$53</f>
        <v>2026-27</v>
      </c>
      <c r="S3" s="215" t="str">
        <f>Allocations!N$53</f>
        <v>2027–28</v>
      </c>
      <c r="T3" s="215" t="str">
        <f>Allocations!O$53</f>
        <v>2028–29</v>
      </c>
      <c r="U3" s="215" t="str">
        <f>Allocations!P$53</f>
        <v>2029–30</v>
      </c>
      <c r="V3" s="215" t="str">
        <f>Allocations!Q$53</f>
        <v>2030–31</v>
      </c>
    </row>
    <row r="4" spans="2:22" x14ac:dyDescent="0.3">
      <c r="C4" s="67" t="s">
        <v>358</v>
      </c>
      <c r="D4" s="81" t="s">
        <v>359</v>
      </c>
      <c r="E4" s="81" t="s">
        <v>359</v>
      </c>
      <c r="F4" s="81" t="s">
        <v>359</v>
      </c>
      <c r="G4" s="81" t="s">
        <v>360</v>
      </c>
      <c r="H4" s="81" t="s">
        <v>360</v>
      </c>
      <c r="I4" s="81" t="s">
        <v>360</v>
      </c>
      <c r="J4" s="81" t="s">
        <v>360</v>
      </c>
      <c r="K4" s="81" t="s">
        <v>360</v>
      </c>
      <c r="L4" s="81" t="s">
        <v>360</v>
      </c>
      <c r="M4" s="81" t="s">
        <v>361</v>
      </c>
      <c r="N4" s="81" t="s">
        <v>361</v>
      </c>
      <c r="O4" s="81" t="s">
        <v>361</v>
      </c>
      <c r="P4" s="81" t="s">
        <v>361</v>
      </c>
      <c r="Q4" s="81" t="s">
        <v>361</v>
      </c>
      <c r="R4" s="67"/>
      <c r="S4" s="67"/>
      <c r="T4" s="67"/>
      <c r="U4" s="67"/>
      <c r="V4" s="67"/>
    </row>
    <row r="5" spans="2:22" hidden="1" outlineLevel="1" x14ac:dyDescent="0.3">
      <c r="C5" s="67" t="s">
        <v>96</v>
      </c>
      <c r="D5" s="75">
        <v>2.0040080160320661E-2</v>
      </c>
      <c r="E5" s="75">
        <v>2.16110019646365E-2</v>
      </c>
      <c r="F5" s="75">
        <v>2.3076923076923217E-2</v>
      </c>
      <c r="G5" s="76"/>
      <c r="H5" s="76"/>
      <c r="I5" s="76"/>
      <c r="J5" s="76"/>
      <c r="K5" s="76"/>
      <c r="L5" s="76"/>
      <c r="M5" s="76"/>
      <c r="N5" s="76"/>
      <c r="O5" s="76"/>
      <c r="P5" s="76"/>
      <c r="Q5" s="76"/>
      <c r="R5" s="76"/>
      <c r="S5" s="76"/>
      <c r="T5" s="76"/>
      <c r="U5" s="76"/>
      <c r="V5" s="76"/>
    </row>
    <row r="6" spans="2:22" collapsed="1" x14ac:dyDescent="0.3">
      <c r="C6" s="67" t="s">
        <v>362</v>
      </c>
      <c r="D6" s="76"/>
      <c r="E6" s="77"/>
      <c r="F6" s="77"/>
      <c r="G6" s="75">
        <v>1.5108593012275628E-2</v>
      </c>
      <c r="H6" s="75">
        <v>1.0232558139534831E-2</v>
      </c>
      <c r="I6" s="78">
        <v>1.9337016574585641E-2</v>
      </c>
      <c r="J6" s="78">
        <v>2.0776874435411097E-2</v>
      </c>
      <c r="K6" s="78">
        <v>1.5929203539823078E-2</v>
      </c>
      <c r="L6" s="78">
        <v>1.2195121951219523E-2</v>
      </c>
      <c r="M6" s="78">
        <f>'Inputs from Capex model'!E6</f>
        <v>8.6058519793459354E-3</v>
      </c>
      <c r="N6" s="78">
        <f>'Inputs from Capex model'!F6</f>
        <v>3.4982935153583528E-2</v>
      </c>
      <c r="O6" s="78">
        <f>'Inputs from Capex model'!G6</f>
        <v>7.8318219291014124E-2</v>
      </c>
      <c r="P6" s="78">
        <f>'Inputs from Capex model'!H6</f>
        <v>4.0519877675840865E-2</v>
      </c>
      <c r="Q6" s="78">
        <f>'Inputs from Capex model'!I6</f>
        <v>2.4246877296105973E-2</v>
      </c>
      <c r="R6" s="78">
        <v>2.5000000000000001E-2</v>
      </c>
      <c r="S6" s="78">
        <v>2.5000000000000001E-2</v>
      </c>
      <c r="T6" s="78">
        <v>2.5000000000000001E-2</v>
      </c>
      <c r="U6" s="78">
        <v>2.5000000000000001E-2</v>
      </c>
      <c r="V6" s="78">
        <v>2.5000000000000001E-2</v>
      </c>
    </row>
    <row r="7" spans="2:22" x14ac:dyDescent="0.3">
      <c r="C7" s="67" t="s">
        <v>88</v>
      </c>
      <c r="D7" s="67"/>
      <c r="E7" s="79">
        <v>1</v>
      </c>
      <c r="F7" s="79">
        <f t="shared" ref="F7" si="0">E7*(1+F5)</f>
        <v>1.0230769230769232</v>
      </c>
      <c r="G7" s="79">
        <f t="shared" ref="G7:Q7" si="1">F7*(1+G6)</f>
        <v>1.0385341759279436</v>
      </c>
      <c r="H7" s="79">
        <f t="shared" si="1"/>
        <v>1.0491610372630202</v>
      </c>
      <c r="I7" s="79">
        <f t="shared" si="1"/>
        <v>1.0694486816299846</v>
      </c>
      <c r="J7" s="79">
        <f t="shared" si="1"/>
        <v>1.0916684826033267</v>
      </c>
      <c r="K7" s="79">
        <f t="shared" si="1"/>
        <v>1.109057892060725</v>
      </c>
      <c r="L7" s="79">
        <f t="shared" si="1"/>
        <v>1.122582988305368</v>
      </c>
      <c r="M7" s="79">
        <f t="shared" si="1"/>
        <v>1.1322437713372557</v>
      </c>
      <c r="N7" s="79">
        <f t="shared" si="1"/>
        <v>1.1718529817679959</v>
      </c>
      <c r="O7" s="79">
        <f t="shared" si="1"/>
        <v>1.2636304205709306</v>
      </c>
      <c r="P7" s="79">
        <f t="shared" si="1"/>
        <v>1.314832570639936</v>
      </c>
      <c r="Q7" s="79">
        <f t="shared" si="1"/>
        <v>1.3467131546451661</v>
      </c>
      <c r="R7" s="67"/>
      <c r="S7" s="67"/>
      <c r="T7" s="67"/>
      <c r="U7" s="67"/>
      <c r="V7" s="67"/>
    </row>
    <row r="8" spans="2:22" x14ac:dyDescent="0.3">
      <c r="C8" s="67" t="s">
        <v>89</v>
      </c>
      <c r="D8" s="102">
        <f>E8*(1+E5)^0.5*(1+D5)^0.5</f>
        <v>1.0929372581315751</v>
      </c>
      <c r="E8" s="102">
        <f>F8*(1+F5)^0.5*(1+E5)^0.5</f>
        <v>1.0706409055182704</v>
      </c>
      <c r="F8" s="102">
        <f>G8*(1+G6)^0.5*(1+F5)^0.5</f>
        <v>1.0472416524432422</v>
      </c>
      <c r="G8" s="102">
        <f>H8*(1+H6)^0.5*(1+G6)^0.5</f>
        <v>1.0276293766945241</v>
      </c>
      <c r="H8" s="102">
        <f>I8*(1+I6)^0.5*(1+H6)^0.5</f>
        <v>1.0147745768693976</v>
      </c>
      <c r="I8" s="102">
        <v>1</v>
      </c>
      <c r="J8" s="102">
        <f>I8/(1+J6)^0.5/(1+I6)^0.5</f>
        <v>0.98033766983762027</v>
      </c>
      <c r="K8" s="102">
        <f t="shared" ref="K8" si="2">J8/(1+K6)^0.5/(1+J6)^0.5</f>
        <v>0.9626724811387547</v>
      </c>
      <c r="L8" s="102">
        <f>K8/(1+L6)/(1+K6)^0.5</f>
        <v>0.94358840382929021</v>
      </c>
      <c r="M8" s="102">
        <f>L8/(1+M6)^0.5/(1+L6)</f>
        <v>0.9282343017724517</v>
      </c>
      <c r="N8" s="80">
        <f t="shared" ref="N8:Q8" si="3">M8/(1+N6)</f>
        <v>0.89685952322944229</v>
      </c>
      <c r="O8" s="80">
        <f t="shared" si="3"/>
        <v>0.83172064348418451</v>
      </c>
      <c r="P8" s="80">
        <f t="shared" si="3"/>
        <v>0.79933181607444048</v>
      </c>
      <c r="Q8" s="80">
        <f t="shared" si="3"/>
        <v>0.78040932688472975</v>
      </c>
      <c r="R8" s="67"/>
      <c r="S8" s="67"/>
      <c r="T8" s="67"/>
      <c r="U8" s="67"/>
      <c r="V8" s="67"/>
    </row>
    <row r="9" spans="2:22" x14ac:dyDescent="0.3">
      <c r="C9" s="67" t="s">
        <v>148</v>
      </c>
      <c r="D9" s="102">
        <f>E9*(1+E5)^0.5*(1+D5)^0.5</f>
        <v>1.158277543149316</v>
      </c>
      <c r="E9" s="102">
        <f>F9*(1+F5)^0.5*(1+E5)^0.5</f>
        <v>1.1346482228621853</v>
      </c>
      <c r="F9" s="102">
        <f>G9*(1+G6)^0.5*(1+F5)^0.5</f>
        <v>1.1098500661870196</v>
      </c>
      <c r="G9" s="102">
        <f t="shared" ref="G9:H9" si="4">H9*(1+H6)^0.5*(1+G6)^0.5</f>
        <v>1.089065287920217</v>
      </c>
      <c r="H9" s="102">
        <f t="shared" si="4"/>
        <v>1.075441975284158</v>
      </c>
      <c r="I9" s="102">
        <f>J9*(1+J6)^0.5*(1+I6)^0.5</f>
        <v>1.0597841134352426</v>
      </c>
      <c r="J9" s="102">
        <f>K9*(1+K6)^0.5*(1+J6)^0.5</f>
        <v>1.0389462882960341</v>
      </c>
      <c r="K9" s="102">
        <f>L9*(1+L6)*(1+K6)^0.5</f>
        <v>1.0202250019521406</v>
      </c>
      <c r="L9" s="102">
        <v>1</v>
      </c>
      <c r="M9" s="102">
        <f>L9/(1+M6)</f>
        <v>0.99146757679180886</v>
      </c>
      <c r="N9" s="80">
        <f t="shared" ref="N9:Q9" si="5">M9/(1+N6)</f>
        <v>0.95795548227535043</v>
      </c>
      <c r="O9" s="80">
        <f t="shared" si="5"/>
        <v>0.88837920489296629</v>
      </c>
      <c r="P9" s="80">
        <f t="shared" si="5"/>
        <v>0.85378398236590747</v>
      </c>
      <c r="Q9" s="80">
        <f t="shared" si="5"/>
        <v>0.83357245337159247</v>
      </c>
      <c r="R9" s="67"/>
      <c r="S9" s="67"/>
      <c r="T9" s="67"/>
      <c r="U9" s="67"/>
      <c r="V9" s="67"/>
    </row>
    <row r="10" spans="2:22" x14ac:dyDescent="0.3">
      <c r="C10" s="67" t="s">
        <v>217</v>
      </c>
      <c r="D10" s="213"/>
      <c r="E10" s="213"/>
      <c r="F10" s="213"/>
      <c r="G10" s="213"/>
      <c r="H10" s="213"/>
      <c r="I10" s="80">
        <f>J10*(1+J6)^0.5*(1+I6)^0.5</f>
        <v>1.1007019178881863</v>
      </c>
      <c r="J10" s="80">
        <f>K10*(1+K6)^0.5*(1+J6)^0.5</f>
        <v>1.0790595533683043</v>
      </c>
      <c r="K10" s="80">
        <f t="shared" ref="K10" si="6">L10*(1+L6)*(1+K6)^0.5</f>
        <v>1.0596154462876064</v>
      </c>
      <c r="L10" s="80">
        <f>M10*(1+M6)^0.5*(1+L6)</f>
        <v>1.0386095657919523</v>
      </c>
      <c r="M10" s="102">
        <f>N10*(1+N6)^0.5*(1+M6)^0.5</f>
        <v>1.0217092762105393</v>
      </c>
      <c r="N10" s="80">
        <v>1</v>
      </c>
      <c r="O10" s="80">
        <f>N10/(1+O6)</f>
        <v>0.92737003058103962</v>
      </c>
      <c r="P10" s="80">
        <f t="shared" ref="P10:V10" si="7">O10/(1+P6)</f>
        <v>0.89125642909625269</v>
      </c>
      <c r="Q10" s="80">
        <f t="shared" si="7"/>
        <v>0.87015781922525082</v>
      </c>
      <c r="R10" s="80">
        <f t="shared" si="7"/>
        <v>0.84893445778073262</v>
      </c>
      <c r="S10" s="80">
        <f t="shared" si="7"/>
        <v>0.82822873929827578</v>
      </c>
      <c r="T10" s="80">
        <f t="shared" si="7"/>
        <v>0.80802803833978132</v>
      </c>
      <c r="U10" s="80">
        <f t="shared" si="7"/>
        <v>0.78832003740466472</v>
      </c>
      <c r="V10" s="80">
        <f t="shared" si="7"/>
        <v>0.76909271941918511</v>
      </c>
    </row>
    <row r="11" spans="2:22" x14ac:dyDescent="0.3">
      <c r="C11" s="67" t="s">
        <v>234</v>
      </c>
      <c r="D11" s="213"/>
      <c r="E11" s="213"/>
      <c r="F11" s="213"/>
      <c r="G11" s="213"/>
      <c r="H11" s="213"/>
      <c r="I11" s="79">
        <f t="shared" ref="I11:I12" si="8">J11*(1+J$6)</f>
        <v>1.1815718157181574</v>
      </c>
      <c r="J11" s="79">
        <f t="shared" ref="J11:J12" si="9">K11*(1+K$6)</f>
        <v>1.1575221238938054</v>
      </c>
      <c r="K11" s="79">
        <f t="shared" ref="K11:K12" si="10">L11*(1+L$6)</f>
        <v>1.1393728222996515</v>
      </c>
      <c r="L11" s="79">
        <f t="shared" ref="L11:L12" si="11">M11*(1+M$6)</f>
        <v>1.1256454388984509</v>
      </c>
      <c r="M11" s="79">
        <f t="shared" ref="M11:O12" si="12">N11*(1+N$6)</f>
        <v>1.1160409556313993</v>
      </c>
      <c r="N11" s="79">
        <f t="shared" si="12"/>
        <v>1.0783182192910141</v>
      </c>
      <c r="O11" s="80">
        <v>1</v>
      </c>
      <c r="P11" s="80">
        <f>O11/(1+P6)</f>
        <v>0.96105804555473928</v>
      </c>
      <c r="Q11" s="80">
        <f t="shared" ref="Q11:V11" si="13">P11/(1+Q6)</f>
        <v>0.93830703012912475</v>
      </c>
      <c r="R11" s="80">
        <f t="shared" si="13"/>
        <v>0.91542149280890228</v>
      </c>
      <c r="S11" s="80">
        <f t="shared" si="13"/>
        <v>0.89309413932575843</v>
      </c>
      <c r="T11" s="80">
        <f t="shared" si="13"/>
        <v>0.87131135543976435</v>
      </c>
      <c r="U11" s="80">
        <f t="shared" si="13"/>
        <v>0.85005985896562386</v>
      </c>
      <c r="V11" s="80">
        <f t="shared" si="13"/>
        <v>0.82932669167377948</v>
      </c>
    </row>
    <row r="12" spans="2:22" ht="15.95" x14ac:dyDescent="0.3">
      <c r="C12" s="67" t="s">
        <v>230</v>
      </c>
      <c r="D12" s="72"/>
      <c r="I12" s="79">
        <f t="shared" si="8"/>
        <v>1.2592592592592595</v>
      </c>
      <c r="J12" s="79">
        <f t="shared" si="9"/>
        <v>1.2336283185840711</v>
      </c>
      <c r="K12" s="79">
        <f t="shared" si="10"/>
        <v>1.2142857142857144</v>
      </c>
      <c r="L12" s="79">
        <f t="shared" si="11"/>
        <v>1.1996557659208262</v>
      </c>
      <c r="M12" s="79">
        <f t="shared" si="12"/>
        <v>1.189419795221843</v>
      </c>
      <c r="N12" s="79">
        <f t="shared" si="12"/>
        <v>1.1492168178070901</v>
      </c>
      <c r="O12" s="79">
        <f t="shared" si="12"/>
        <v>1.0657492354740061</v>
      </c>
      <c r="P12" s="79">
        <f>Q12*(1+Q$6)</f>
        <v>1.024246877296106</v>
      </c>
      <c r="Q12" s="79">
        <v>1</v>
      </c>
      <c r="R12" s="79"/>
      <c r="S12" s="79"/>
      <c r="T12" s="79"/>
      <c r="U12" s="67"/>
      <c r="V12" s="67"/>
    </row>
    <row r="13" spans="2:22" x14ac:dyDescent="0.3">
      <c r="C13" s="74" t="s">
        <v>97</v>
      </c>
    </row>
    <row r="15" spans="2:22" ht="15.95" x14ac:dyDescent="0.3">
      <c r="C15" s="72"/>
      <c r="D15" s="72"/>
      <c r="I15" s="91"/>
      <c r="J15" s="5"/>
      <c r="K15" s="66" t="s">
        <v>152</v>
      </c>
      <c r="L15" s="91">
        <f>1/L8</f>
        <v>1.0597841134352426</v>
      </c>
      <c r="M15" s="5" t="b">
        <f>L15=CPI_adj_Jun21</f>
        <v>1</v>
      </c>
      <c r="N15" s="5"/>
      <c r="O15" s="5"/>
      <c r="P15" s="5"/>
      <c r="Q15" s="5"/>
      <c r="R15" s="5"/>
      <c r="S15" s="5"/>
      <c r="T15" s="5"/>
    </row>
    <row r="16" spans="2:22" x14ac:dyDescent="0.3">
      <c r="C16" s="30" t="s">
        <v>99</v>
      </c>
      <c r="D16" s="1"/>
      <c r="I16" s="91"/>
      <c r="K16" s="5"/>
    </row>
    <row r="17" spans="3:22" x14ac:dyDescent="0.3">
      <c r="C17" s="5"/>
    </row>
    <row r="18" spans="3:22" x14ac:dyDescent="0.3">
      <c r="C18" s="45" t="s">
        <v>61</v>
      </c>
      <c r="D18" s="46">
        <v>2013</v>
      </c>
      <c r="E18" s="46">
        <v>2014</v>
      </c>
      <c r="F18" s="46">
        <v>2015</v>
      </c>
      <c r="G18" s="46">
        <v>2016</v>
      </c>
      <c r="H18" s="46">
        <v>2017</v>
      </c>
      <c r="I18" s="46">
        <v>2018</v>
      </c>
      <c r="J18" s="46">
        <v>2019</v>
      </c>
      <c r="K18" s="46">
        <v>2020</v>
      </c>
      <c r="L18" s="106">
        <v>44377</v>
      </c>
      <c r="M18" s="106" t="str">
        <f>Allocations!H$53</f>
        <v>2021-22</v>
      </c>
      <c r="N18" s="106" t="str">
        <f>Allocations!I$53</f>
        <v>2022-23</v>
      </c>
      <c r="O18" s="106" t="str">
        <f>Allocations!J$53</f>
        <v>2023-24</v>
      </c>
      <c r="P18" s="106" t="str">
        <f>Allocations!K$53</f>
        <v>2024-25</v>
      </c>
      <c r="Q18" s="106" t="str">
        <f>Allocations!L$53</f>
        <v>2025-26</v>
      </c>
      <c r="R18" s="106" t="str">
        <f>Allocations!M$53</f>
        <v>2026-27</v>
      </c>
      <c r="S18" s="106" t="str">
        <f>Allocations!N$53</f>
        <v>2027–28</v>
      </c>
      <c r="T18" s="106" t="str">
        <f>Allocations!O$53</f>
        <v>2028–29</v>
      </c>
      <c r="U18" s="106" t="str">
        <f>Allocations!P$53</f>
        <v>2029–30</v>
      </c>
      <c r="V18" s="106" t="str">
        <f>Allocations!Q$53</f>
        <v>2030–31</v>
      </c>
    </row>
    <row r="19" spans="3:22" x14ac:dyDescent="0.3">
      <c r="C19" s="23" t="s">
        <v>62</v>
      </c>
      <c r="D19" s="82"/>
      <c r="E19" s="67"/>
      <c r="F19" s="78"/>
      <c r="G19" s="78"/>
      <c r="H19" s="78"/>
      <c r="I19" s="78"/>
      <c r="J19" s="78"/>
      <c r="K19" s="78"/>
      <c r="L19" s="78"/>
      <c r="M19" s="78"/>
      <c r="N19" s="78"/>
      <c r="O19" s="78"/>
      <c r="P19" s="335"/>
      <c r="Q19" s="335"/>
      <c r="R19" s="335"/>
      <c r="S19" s="335"/>
      <c r="T19" s="335"/>
      <c r="U19" s="335"/>
      <c r="V19" s="335"/>
    </row>
    <row r="20" spans="3:22" x14ac:dyDescent="0.3">
      <c r="C20" s="23" t="s">
        <v>63</v>
      </c>
      <c r="D20" s="67"/>
      <c r="E20" s="67"/>
      <c r="F20" s="138"/>
      <c r="G20" s="138"/>
      <c r="H20" s="138"/>
      <c r="I20" s="138"/>
      <c r="J20" s="138"/>
      <c r="K20" s="138"/>
      <c r="L20" s="138"/>
      <c r="M20" s="138">
        <v>1</v>
      </c>
      <c r="N20" s="138">
        <v>1</v>
      </c>
      <c r="O20" s="138">
        <v>1</v>
      </c>
      <c r="P20" s="138">
        <f t="shared" ref="P20:Q20" si="14">(1+P19)*O20</f>
        <v>1</v>
      </c>
      <c r="Q20" s="138">
        <f t="shared" si="14"/>
        <v>1</v>
      </c>
      <c r="R20" s="138">
        <f t="shared" ref="R20" si="15">(1+R19)*Q20</f>
        <v>1</v>
      </c>
      <c r="S20" s="138">
        <f t="shared" ref="S20" si="16">(1+S19)*R20</f>
        <v>1</v>
      </c>
      <c r="T20" s="138">
        <f t="shared" ref="T20" si="17">(1+T19)*S20</f>
        <v>1</v>
      </c>
      <c r="U20" s="138">
        <f t="shared" ref="U20" si="18">(1+U19)*T20</f>
        <v>1</v>
      </c>
      <c r="V20" s="138">
        <f t="shared" ref="V20" si="19">(1+V19)*U20</f>
        <v>1</v>
      </c>
    </row>
    <row r="21" spans="3:22" x14ac:dyDescent="0.3">
      <c r="C21" s="23" t="s">
        <v>64</v>
      </c>
      <c r="D21" s="67"/>
      <c r="E21" s="67"/>
      <c r="F21" s="78"/>
      <c r="G21" s="78"/>
      <c r="H21" s="78"/>
      <c r="I21" s="78"/>
      <c r="J21" s="78"/>
      <c r="K21" s="78"/>
      <c r="L21" s="78"/>
      <c r="M21" s="78"/>
      <c r="N21" s="78"/>
      <c r="O21" s="78"/>
      <c r="P21" s="335"/>
      <c r="Q21" s="335"/>
      <c r="R21" s="335"/>
      <c r="S21" s="335"/>
      <c r="T21" s="335"/>
      <c r="U21" s="335"/>
      <c r="V21" s="335"/>
    </row>
    <row r="22" spans="3:22" x14ac:dyDescent="0.3">
      <c r="C22" s="23" t="s">
        <v>65</v>
      </c>
      <c r="D22" s="67"/>
      <c r="E22" s="67"/>
      <c r="F22" s="138"/>
      <c r="G22" s="138"/>
      <c r="H22" s="138"/>
      <c r="I22" s="138"/>
      <c r="J22" s="138"/>
      <c r="K22" s="138"/>
      <c r="L22" s="138"/>
      <c r="M22" s="44">
        <v>1</v>
      </c>
      <c r="N22" s="44">
        <v>1</v>
      </c>
      <c r="O22" s="44">
        <v>1</v>
      </c>
      <c r="P22" s="44">
        <f t="shared" ref="P22:Q22" si="20">(1+P21)*O22</f>
        <v>1</v>
      </c>
      <c r="Q22" s="44">
        <f t="shared" si="20"/>
        <v>1</v>
      </c>
      <c r="R22" s="44">
        <f t="shared" ref="R22" si="21">(1+R21)*Q22</f>
        <v>1</v>
      </c>
      <c r="S22" s="44">
        <f t="shared" ref="S22" si="22">(1+S21)*R22</f>
        <v>1</v>
      </c>
      <c r="T22" s="44">
        <f t="shared" ref="T22" si="23">(1+T21)*S22</f>
        <v>1</v>
      </c>
      <c r="U22" s="44">
        <f t="shared" ref="U22" si="24">(1+U21)*T22</f>
        <v>1</v>
      </c>
      <c r="V22" s="44">
        <f t="shared" ref="V22" si="25">(1+V21)*U22</f>
        <v>1</v>
      </c>
    </row>
    <row r="23" spans="3:22" x14ac:dyDescent="0.3">
      <c r="C23" s="265"/>
    </row>
    <row r="25" spans="3:22" x14ac:dyDescent="0.3">
      <c r="C25" s="1" t="s">
        <v>241</v>
      </c>
    </row>
    <row r="26" spans="3:22" x14ac:dyDescent="0.3">
      <c r="C26" s="1"/>
    </row>
    <row r="27" spans="3:22" x14ac:dyDescent="0.3">
      <c r="C27" s="67" t="s">
        <v>242</v>
      </c>
      <c r="J27" s="221"/>
      <c r="K27" s="221"/>
      <c r="L27" s="221"/>
      <c r="M27" s="106" t="str">
        <f>Allocations!H$53</f>
        <v>2021-22</v>
      </c>
      <c r="N27" s="106" t="str">
        <f>Allocations!I$53</f>
        <v>2022-23</v>
      </c>
      <c r="O27" s="106" t="str">
        <f>Allocations!J$53</f>
        <v>2023-24</v>
      </c>
      <c r="P27" s="106" t="str">
        <f>Allocations!K$53</f>
        <v>2024-25</v>
      </c>
      <c r="Q27" s="106" t="str">
        <f>Allocations!L$53</f>
        <v>2025-26</v>
      </c>
      <c r="R27" s="106" t="str">
        <f>Allocations!M$53</f>
        <v>2026-27</v>
      </c>
      <c r="S27" s="106" t="str">
        <f>Allocations!N$53</f>
        <v>2027–28</v>
      </c>
      <c r="T27" s="106" t="str">
        <f>Allocations!O$53</f>
        <v>2028–29</v>
      </c>
      <c r="U27" s="106" t="str">
        <f>Allocations!P$53</f>
        <v>2029–30</v>
      </c>
      <c r="V27" s="106" t="str">
        <f>Allocations!Q$53</f>
        <v>2030–31</v>
      </c>
    </row>
    <row r="28" spans="3:22" x14ac:dyDescent="0.3">
      <c r="C28" s="499"/>
      <c r="M28" s="499"/>
      <c r="N28" s="499"/>
      <c r="O28" s="500"/>
      <c r="P28" s="497"/>
      <c r="Q28" s="499"/>
      <c r="R28" s="499"/>
      <c r="S28" s="499"/>
      <c r="T28" s="499"/>
      <c r="U28" s="499"/>
      <c r="V28" s="499"/>
    </row>
    <row r="29" spans="3:22" x14ac:dyDescent="0.3">
      <c r="C29" s="499"/>
      <c r="M29" s="499"/>
      <c r="N29" s="499"/>
      <c r="O29" s="501"/>
      <c r="P29" s="499"/>
      <c r="Q29" s="499"/>
      <c r="R29" s="499"/>
      <c r="S29" s="499"/>
      <c r="T29" s="499"/>
      <c r="U29" s="499"/>
      <c r="V29" s="499"/>
    </row>
    <row r="30" spans="3:22" x14ac:dyDescent="0.3">
      <c r="C30" s="499"/>
      <c r="M30" s="499"/>
      <c r="N30" s="499"/>
      <c r="O30" s="502"/>
      <c r="P30" s="499"/>
      <c r="Q30" s="499"/>
      <c r="R30" s="499"/>
      <c r="S30" s="499"/>
      <c r="T30" s="499"/>
      <c r="U30" s="499"/>
      <c r="V30" s="499"/>
    </row>
    <row r="31" spans="3:22" x14ac:dyDescent="0.3">
      <c r="C31" s="499"/>
      <c r="M31" s="499"/>
      <c r="N31" s="499"/>
      <c r="O31" s="502"/>
      <c r="P31" s="499"/>
      <c r="Q31" s="499"/>
      <c r="R31" s="499"/>
      <c r="S31" s="499"/>
      <c r="T31" s="499"/>
      <c r="U31" s="499"/>
      <c r="V31" s="499"/>
    </row>
    <row r="32" spans="3:22" x14ac:dyDescent="0.3">
      <c r="C32" s="499"/>
      <c r="M32" s="499"/>
      <c r="N32" s="499"/>
      <c r="O32" s="502"/>
      <c r="P32" s="499"/>
      <c r="Q32" s="499"/>
      <c r="R32" s="499"/>
      <c r="S32" s="499"/>
      <c r="T32" s="499"/>
      <c r="U32" s="499"/>
      <c r="V32" s="499"/>
    </row>
  </sheetData>
  <mergeCells count="1">
    <mergeCell ref="M1:N1"/>
  </mergeCells>
  <phoneticPr fontId="29" type="noConversion"/>
  <hyperlinks>
    <hyperlink ref="B1" location="Contents!A1" display="Table of Contents" xr:uid="{F8F99758-4A73-4C37-B30D-EA6471F51A93}"/>
  </hyperlinks>
  <pageMargins left="0.7" right="0.7" top="0.75" bottom="0.75" header="0.3" footer="0.3"/>
  <pageSetup paperSize="9" orientation="portrait" r:id="rId1"/>
  <headerFooter>
    <oddFooter>&amp;C_x000D_&amp;1#&amp;"Century Gothic"&amp;7&amp;K7F7F7F BUSINESS USE ONLY</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I25"/>
  <sheetViews>
    <sheetView zoomScale="85" zoomScaleNormal="85" workbookViewId="0">
      <selection activeCell="D14" sqref="D14:F14"/>
    </sheetView>
  </sheetViews>
  <sheetFormatPr defaultRowHeight="14.65" x14ac:dyDescent="0.3"/>
  <cols>
    <col min="1" max="1" width="5.44140625" customWidth="1"/>
    <col min="2" max="2" width="7.6640625" customWidth="1"/>
    <col min="3" max="3" width="43.88671875" customWidth="1"/>
    <col min="4" max="5" width="18.88671875" customWidth="1"/>
    <col min="6" max="6" width="13.33203125" customWidth="1"/>
    <col min="7" max="8" width="10.33203125" customWidth="1"/>
    <col min="9" max="9" width="7.77734375" customWidth="1"/>
    <col min="12" max="12" width="9.109375" customWidth="1"/>
  </cols>
  <sheetData>
    <row r="2" spans="2:9" ht="18.5" x14ac:dyDescent="0.35">
      <c r="B2" s="39" t="s">
        <v>32</v>
      </c>
    </row>
    <row r="3" spans="2:9" x14ac:dyDescent="0.3">
      <c r="B3" s="40" t="s">
        <v>53</v>
      </c>
    </row>
    <row r="4" spans="2:9" x14ac:dyDescent="0.3">
      <c r="B4" s="40"/>
    </row>
    <row r="5" spans="2:9" x14ac:dyDescent="0.3">
      <c r="B5" s="1" t="s">
        <v>54</v>
      </c>
    </row>
    <row r="6" spans="2:9" ht="6.7" customHeight="1" x14ac:dyDescent="0.3">
      <c r="B6" s="1"/>
    </row>
    <row r="7" spans="2:9" x14ac:dyDescent="0.3">
      <c r="B7" s="29" t="s">
        <v>29</v>
      </c>
      <c r="C7" s="28" t="s">
        <v>33</v>
      </c>
      <c r="D7" s="395" t="s">
        <v>34</v>
      </c>
      <c r="E7" s="396"/>
      <c r="F7" s="397"/>
      <c r="G7" s="395" t="s">
        <v>35</v>
      </c>
      <c r="H7" s="396"/>
      <c r="I7" s="397"/>
    </row>
    <row r="8" spans="2:9" ht="133.19999999999999" customHeight="1" x14ac:dyDescent="0.3">
      <c r="B8" s="92">
        <v>1012</v>
      </c>
      <c r="C8" s="93" t="s">
        <v>82</v>
      </c>
      <c r="D8" s="392" t="s">
        <v>400</v>
      </c>
      <c r="E8" s="398"/>
      <c r="F8" s="399"/>
      <c r="G8" s="392" t="s">
        <v>36</v>
      </c>
      <c r="H8" s="393"/>
      <c r="I8" s="394"/>
    </row>
    <row r="9" spans="2:9" ht="65" customHeight="1" x14ac:dyDescent="0.3">
      <c r="B9" s="92">
        <v>1013</v>
      </c>
      <c r="C9" s="93" t="s">
        <v>83</v>
      </c>
      <c r="D9" s="392" t="s">
        <v>399</v>
      </c>
      <c r="E9" s="393"/>
      <c r="F9" s="394"/>
      <c r="G9" s="392" t="s">
        <v>36</v>
      </c>
      <c r="H9" s="393"/>
      <c r="I9" s="394"/>
    </row>
    <row r="10" spans="2:9" ht="31.9" customHeight="1" x14ac:dyDescent="0.3">
      <c r="B10" s="92">
        <v>1014</v>
      </c>
      <c r="C10" s="93" t="s">
        <v>84</v>
      </c>
      <c r="D10" s="392" t="s">
        <v>385</v>
      </c>
      <c r="E10" s="393"/>
      <c r="F10" s="394"/>
      <c r="G10" s="400" t="s">
        <v>37</v>
      </c>
      <c r="H10" s="401"/>
      <c r="I10" s="402"/>
    </row>
    <row r="11" spans="2:9" ht="29.95" customHeight="1" x14ac:dyDescent="0.3">
      <c r="B11" s="92">
        <v>1016</v>
      </c>
      <c r="C11" s="93" t="s">
        <v>86</v>
      </c>
      <c r="D11" s="392" t="s">
        <v>386</v>
      </c>
      <c r="E11" s="393"/>
      <c r="F11" s="394"/>
      <c r="G11" s="392" t="s">
        <v>38</v>
      </c>
      <c r="H11" s="393"/>
      <c r="I11" s="394"/>
    </row>
    <row r="12" spans="2:9" ht="29.95" customHeight="1" x14ac:dyDescent="0.3">
      <c r="B12" s="92">
        <v>1018</v>
      </c>
      <c r="C12" s="93" t="s">
        <v>85</v>
      </c>
      <c r="D12" s="392" t="s">
        <v>385</v>
      </c>
      <c r="E12" s="393"/>
      <c r="F12" s="394"/>
      <c r="G12" s="392" t="s">
        <v>36</v>
      </c>
      <c r="H12" s="393"/>
      <c r="I12" s="394"/>
    </row>
    <row r="13" spans="2:9" ht="29.95" customHeight="1" x14ac:dyDescent="0.3">
      <c r="B13" s="92">
        <v>1019</v>
      </c>
      <c r="C13" s="93" t="s">
        <v>77</v>
      </c>
      <c r="D13" s="392" t="s">
        <v>387</v>
      </c>
      <c r="E13" s="393"/>
      <c r="F13" s="394"/>
      <c r="G13" s="392" t="s">
        <v>36</v>
      </c>
      <c r="H13" s="393"/>
      <c r="I13" s="394"/>
    </row>
    <row r="14" spans="2:9" ht="96.25" customHeight="1" x14ac:dyDescent="0.3">
      <c r="B14" s="92">
        <v>1015</v>
      </c>
      <c r="C14" s="93" t="s">
        <v>268</v>
      </c>
      <c r="D14" s="392" t="s">
        <v>416</v>
      </c>
      <c r="E14" s="393"/>
      <c r="F14" s="394"/>
      <c r="G14" s="392" t="s">
        <v>114</v>
      </c>
      <c r="H14" s="393"/>
      <c r="I14" s="394"/>
    </row>
    <row r="15" spans="2:9" ht="47.8" customHeight="1" x14ac:dyDescent="0.3">
      <c r="B15" s="92">
        <v>1048</v>
      </c>
      <c r="C15" s="93" t="s">
        <v>207</v>
      </c>
      <c r="D15" s="392" t="s">
        <v>291</v>
      </c>
      <c r="E15" s="393"/>
      <c r="F15" s="394"/>
      <c r="G15" s="392" t="s">
        <v>114</v>
      </c>
      <c r="H15" s="393"/>
      <c r="I15" s="394"/>
    </row>
    <row r="16" spans="2:9" ht="6.7" customHeight="1" x14ac:dyDescent="0.3"/>
    <row r="18" spans="2:3" x14ac:dyDescent="0.3">
      <c r="B18" s="1" t="s">
        <v>52</v>
      </c>
    </row>
    <row r="19" spans="2:3" x14ac:dyDescent="0.3">
      <c r="B19">
        <v>1000</v>
      </c>
      <c r="C19" t="s">
        <v>51</v>
      </c>
    </row>
    <row r="20" spans="2:3" x14ac:dyDescent="0.3">
      <c r="B20" s="5"/>
    </row>
    <row r="25" spans="2:3" x14ac:dyDescent="0.3">
      <c r="B25" s="1"/>
    </row>
  </sheetData>
  <mergeCells count="18">
    <mergeCell ref="G7:I7"/>
    <mergeCell ref="G8:I8"/>
    <mergeCell ref="G9:I9"/>
    <mergeCell ref="G10:I10"/>
    <mergeCell ref="G11:I11"/>
    <mergeCell ref="D7:F7"/>
    <mergeCell ref="D8:F8"/>
    <mergeCell ref="D9:F9"/>
    <mergeCell ref="D10:F10"/>
    <mergeCell ref="D11:F11"/>
    <mergeCell ref="D15:F15"/>
    <mergeCell ref="G15:I15"/>
    <mergeCell ref="D14:F14"/>
    <mergeCell ref="G12:I12"/>
    <mergeCell ref="G14:I14"/>
    <mergeCell ref="D12:F12"/>
    <mergeCell ref="D13:F13"/>
    <mergeCell ref="G13:I13"/>
  </mergeCells>
  <hyperlinks>
    <hyperlink ref="B3" location="Contents!A1" display="Table of Contents" xr:uid="{00000000-0004-0000-0400-000000000000}"/>
  </hyperlinks>
  <pageMargins left="0.7" right="0.7" top="0.75" bottom="0.75" header="0.3" footer="0.3"/>
  <pageSetup paperSize="9" orientation="portrait" verticalDpi="0" r:id="rId1"/>
  <headerFooter>
    <oddFooter>&amp;C_x000D_&amp;1#&amp;"Century Gothic"&amp;7&amp;K7F7F7F BUSINESS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66"/>
  <sheetViews>
    <sheetView zoomScale="85" zoomScaleNormal="85" workbookViewId="0">
      <pane ySplit="2" topLeftCell="A6" activePane="bottomLeft" state="frozen"/>
      <selection pane="bottomLeft" activeCell="H57" sqref="H57"/>
    </sheetView>
  </sheetViews>
  <sheetFormatPr defaultColWidth="9.109375" defaultRowHeight="14.65" x14ac:dyDescent="0.3"/>
  <cols>
    <col min="1" max="1" width="5.21875" customWidth="1"/>
    <col min="2" max="2" width="7.88671875" customWidth="1"/>
    <col min="3" max="3" width="49.5546875" customWidth="1"/>
    <col min="4" max="4" width="10.88671875" customWidth="1"/>
    <col min="5" max="5" width="10" customWidth="1"/>
    <col min="6" max="6" width="10.44140625" customWidth="1"/>
    <col min="7" max="8" width="10" customWidth="1"/>
    <col min="9" max="9" width="10.33203125" customWidth="1"/>
    <col min="10" max="10" width="10.109375" customWidth="1"/>
  </cols>
  <sheetData>
    <row r="1" spans="2:17" x14ac:dyDescent="0.3">
      <c r="H1" s="462" t="s">
        <v>150</v>
      </c>
      <c r="I1" s="462"/>
    </row>
    <row r="2" spans="2:17" ht="18.5" x14ac:dyDescent="0.35">
      <c r="B2" s="39" t="s">
        <v>59</v>
      </c>
    </row>
    <row r="3" spans="2:17" x14ac:dyDescent="0.3">
      <c r="B3" s="40" t="s">
        <v>53</v>
      </c>
    </row>
    <row r="4" spans="2:17" x14ac:dyDescent="0.3">
      <c r="B4" s="40"/>
    </row>
    <row r="5" spans="2:17" x14ac:dyDescent="0.3">
      <c r="B5" s="20" t="s">
        <v>57</v>
      </c>
    </row>
    <row r="7" spans="2:17" x14ac:dyDescent="0.3">
      <c r="B7" s="29" t="s">
        <v>29</v>
      </c>
      <c r="C7" s="28" t="s">
        <v>166</v>
      </c>
      <c r="D7" s="29" t="s">
        <v>1</v>
      </c>
    </row>
    <row r="8" spans="2:17" x14ac:dyDescent="0.3">
      <c r="B8" s="81">
        <v>1012</v>
      </c>
      <c r="C8" s="67" t="s">
        <v>82</v>
      </c>
      <c r="D8" s="231">
        <v>1</v>
      </c>
    </row>
    <row r="9" spans="2:17" x14ac:dyDescent="0.3">
      <c r="B9" s="81">
        <v>1013</v>
      </c>
      <c r="C9" s="67" t="s">
        <v>83</v>
      </c>
      <c r="D9" s="231">
        <v>1</v>
      </c>
    </row>
    <row r="10" spans="2:17" x14ac:dyDescent="0.3">
      <c r="B10" s="81">
        <v>1014</v>
      </c>
      <c r="C10" s="67" t="s">
        <v>84</v>
      </c>
      <c r="D10" s="231">
        <v>1</v>
      </c>
    </row>
    <row r="11" spans="2:17" x14ac:dyDescent="0.3">
      <c r="B11" s="81">
        <v>1016</v>
      </c>
      <c r="C11" s="67" t="s">
        <v>86</v>
      </c>
      <c r="D11" s="231">
        <v>1</v>
      </c>
    </row>
    <row r="12" spans="2:17" x14ac:dyDescent="0.3">
      <c r="B12" s="81">
        <v>1018</v>
      </c>
      <c r="C12" s="67" t="s">
        <v>85</v>
      </c>
      <c r="D12" s="231">
        <v>1</v>
      </c>
    </row>
    <row r="13" spans="2:17" x14ac:dyDescent="0.3">
      <c r="B13" s="81">
        <v>1019</v>
      </c>
      <c r="C13" s="67" t="s">
        <v>77</v>
      </c>
      <c r="D13" s="231">
        <v>1</v>
      </c>
    </row>
    <row r="14" spans="2:17" x14ac:dyDescent="0.3">
      <c r="B14" s="81">
        <v>1020</v>
      </c>
      <c r="C14" s="67" t="s">
        <v>109</v>
      </c>
      <c r="D14" s="262">
        <v>0</v>
      </c>
      <c r="E14" s="403" t="s">
        <v>269</v>
      </c>
      <c r="F14" s="404"/>
      <c r="G14" s="404"/>
      <c r="H14" s="404"/>
      <c r="I14" s="404"/>
      <c r="J14" s="404"/>
      <c r="K14" s="404"/>
      <c r="L14" s="404"/>
      <c r="M14" s="404"/>
      <c r="N14" s="404"/>
      <c r="O14" s="404"/>
      <c r="P14" s="404"/>
      <c r="Q14" s="404"/>
    </row>
    <row r="15" spans="2:17" x14ac:dyDescent="0.3">
      <c r="B15" s="81">
        <v>1002</v>
      </c>
      <c r="C15" s="67" t="s">
        <v>0</v>
      </c>
      <c r="D15" s="231">
        <v>0</v>
      </c>
      <c r="E15" s="403" t="s">
        <v>270</v>
      </c>
      <c r="F15" s="404"/>
      <c r="G15" s="404"/>
      <c r="H15" s="404"/>
      <c r="I15" s="404"/>
      <c r="J15" s="404"/>
      <c r="K15" s="404"/>
      <c r="L15" s="404"/>
      <c r="M15" s="404"/>
      <c r="N15" s="404"/>
      <c r="O15" s="404"/>
      <c r="P15" s="404"/>
      <c r="Q15" s="404"/>
    </row>
    <row r="16" spans="2:17" x14ac:dyDescent="0.3">
      <c r="B16" s="81">
        <v>1015</v>
      </c>
      <c r="C16" s="67" t="s">
        <v>268</v>
      </c>
      <c r="D16" s="231">
        <v>1</v>
      </c>
      <c r="E16" s="405" t="s">
        <v>273</v>
      </c>
      <c r="F16" s="406"/>
      <c r="G16" s="406"/>
      <c r="H16" s="406"/>
      <c r="I16" s="406"/>
      <c r="J16" s="406"/>
      <c r="K16" s="406"/>
      <c r="L16" s="406"/>
      <c r="M16" s="406"/>
      <c r="N16" s="406"/>
      <c r="O16" s="406"/>
      <c r="P16" s="406"/>
      <c r="Q16" s="406"/>
    </row>
    <row r="17" spans="1:17" x14ac:dyDescent="0.3">
      <c r="B17" s="81">
        <v>1047</v>
      </c>
      <c r="C17" s="67" t="s">
        <v>226</v>
      </c>
      <c r="D17" s="231">
        <v>0</v>
      </c>
      <c r="E17" s="405" t="s">
        <v>274</v>
      </c>
      <c r="F17" s="406"/>
      <c r="G17" s="406"/>
      <c r="H17" s="406"/>
      <c r="I17" s="406"/>
      <c r="J17" s="406"/>
      <c r="K17" s="406"/>
      <c r="L17" s="406"/>
      <c r="M17" s="406"/>
      <c r="N17" s="406"/>
      <c r="O17" s="406"/>
      <c r="P17" s="406"/>
      <c r="Q17" s="406"/>
    </row>
    <row r="18" spans="1:17" x14ac:dyDescent="0.3">
      <c r="B18" s="81">
        <v>1048</v>
      </c>
      <c r="C18" s="67" t="s">
        <v>207</v>
      </c>
      <c r="D18" s="231">
        <v>1</v>
      </c>
      <c r="E18" s="405" t="s">
        <v>275</v>
      </c>
      <c r="F18" s="406"/>
      <c r="G18" s="406"/>
      <c r="H18" s="406"/>
      <c r="I18" s="406"/>
      <c r="J18" s="406"/>
      <c r="K18" s="406"/>
      <c r="L18" s="406"/>
      <c r="M18" s="406"/>
      <c r="N18" s="406"/>
      <c r="O18" s="406"/>
      <c r="P18" s="406"/>
      <c r="Q18" s="406"/>
    </row>
    <row r="19" spans="1:17" x14ac:dyDescent="0.3">
      <c r="B19" s="270" t="s">
        <v>276</v>
      </c>
    </row>
    <row r="21" spans="1:17" x14ac:dyDescent="0.3">
      <c r="B21" s="20" t="s">
        <v>231</v>
      </c>
    </row>
    <row r="23" spans="1:17" x14ac:dyDescent="0.3">
      <c r="D23" s="407" t="s">
        <v>255</v>
      </c>
      <c r="E23" s="407"/>
      <c r="F23" s="407"/>
      <c r="G23" s="407"/>
    </row>
    <row r="24" spans="1:17" ht="44" x14ac:dyDescent="0.3">
      <c r="B24" s="136" t="s">
        <v>18</v>
      </c>
      <c r="C24" s="137"/>
      <c r="D24" s="42" t="s">
        <v>19</v>
      </c>
      <c r="E24" s="42" t="s">
        <v>20</v>
      </c>
      <c r="F24" s="42" t="s">
        <v>21</v>
      </c>
      <c r="G24" s="42" t="s">
        <v>22</v>
      </c>
      <c r="H24" s="43" t="s">
        <v>2</v>
      </c>
    </row>
    <row r="25" spans="1:17" x14ac:dyDescent="0.3">
      <c r="B25" s="408">
        <v>1012</v>
      </c>
      <c r="C25" s="93" t="s">
        <v>82</v>
      </c>
      <c r="D25" s="68">
        <v>2.704208690288197E-2</v>
      </c>
      <c r="E25" s="68">
        <v>4.6766294692029073E-2</v>
      </c>
      <c r="F25" s="68">
        <v>0.92119174455346264</v>
      </c>
      <c r="G25" s="223">
        <v>4.9998738516263564E-3</v>
      </c>
      <c r="H25" s="68">
        <f t="shared" ref="H25:H41" si="0">SUM(D25:G25)</f>
        <v>1</v>
      </c>
      <c r="I25" s="14" t="s">
        <v>87</v>
      </c>
      <c r="L25" s="12"/>
      <c r="M25" s="12"/>
      <c r="N25" s="12"/>
      <c r="O25" s="12"/>
    </row>
    <row r="26" spans="1:17" x14ac:dyDescent="0.3">
      <c r="B26" s="411"/>
      <c r="C26" s="93" t="s">
        <v>90</v>
      </c>
      <c r="D26" s="68">
        <v>0.05</v>
      </c>
      <c r="E26" s="68">
        <v>0</v>
      </c>
      <c r="F26" s="68">
        <v>0.95</v>
      </c>
      <c r="G26" s="223">
        <v>0</v>
      </c>
      <c r="H26" s="68">
        <f t="shared" si="0"/>
        <v>1</v>
      </c>
      <c r="I26" s="14" t="s">
        <v>110</v>
      </c>
      <c r="L26" s="12"/>
      <c r="M26" s="12"/>
      <c r="N26" s="12"/>
      <c r="O26" s="12"/>
    </row>
    <row r="27" spans="1:17" x14ac:dyDescent="0.3">
      <c r="B27" s="411"/>
      <c r="C27" s="93" t="s">
        <v>118</v>
      </c>
      <c r="D27" s="68">
        <v>0</v>
      </c>
      <c r="E27" s="68">
        <v>0</v>
      </c>
      <c r="F27" s="68">
        <v>1</v>
      </c>
      <c r="G27" s="223">
        <v>0</v>
      </c>
      <c r="H27" s="68">
        <f t="shared" si="0"/>
        <v>1</v>
      </c>
      <c r="I27" s="14"/>
      <c r="L27" s="12"/>
      <c r="M27" s="12"/>
      <c r="N27" s="12"/>
      <c r="O27" s="12"/>
    </row>
    <row r="28" spans="1:17" x14ac:dyDescent="0.3">
      <c r="B28" s="411"/>
      <c r="C28" s="93" t="s">
        <v>91</v>
      </c>
      <c r="D28" s="68">
        <v>9.7809695514815262E-2</v>
      </c>
      <c r="E28" s="68">
        <v>3.9887324274357677E-2</v>
      </c>
      <c r="F28" s="68">
        <v>0.85652079304297002</v>
      </c>
      <c r="G28" s="223">
        <v>5.7821871678570003E-3</v>
      </c>
      <c r="H28" s="68">
        <f t="shared" si="0"/>
        <v>1</v>
      </c>
      <c r="I28" s="14"/>
      <c r="L28" s="12"/>
      <c r="M28" s="12"/>
      <c r="N28" s="12"/>
      <c r="O28" s="12"/>
    </row>
    <row r="29" spans="1:17" x14ac:dyDescent="0.3">
      <c r="A29" s="66" t="s">
        <v>239</v>
      </c>
      <c r="B29" s="411"/>
      <c r="C29" s="93" t="s">
        <v>238</v>
      </c>
      <c r="D29" s="68">
        <v>5.741045137456896E-2</v>
      </c>
      <c r="E29" s="68">
        <v>0.40931197331214531</v>
      </c>
      <c r="F29" s="68">
        <v>0.52600648727750809</v>
      </c>
      <c r="G29" s="68">
        <v>7.2710880357777091E-3</v>
      </c>
      <c r="H29" s="22">
        <f t="shared" si="0"/>
        <v>1.0000000000000002</v>
      </c>
      <c r="I29" s="14" t="s">
        <v>243</v>
      </c>
      <c r="L29" s="12"/>
      <c r="M29" s="12"/>
      <c r="N29" s="12"/>
      <c r="O29" s="12"/>
    </row>
    <row r="30" spans="1:17" x14ac:dyDescent="0.3">
      <c r="A30" s="66" t="s">
        <v>239</v>
      </c>
      <c r="B30" s="411"/>
      <c r="C30" s="387" t="s">
        <v>246</v>
      </c>
      <c r="D30" s="388">
        <f>D25</f>
        <v>2.704208690288197E-2</v>
      </c>
      <c r="E30" s="388">
        <f t="shared" ref="E30:G30" si="1">E25</f>
        <v>4.6766294692029073E-2</v>
      </c>
      <c r="F30" s="388">
        <f t="shared" si="1"/>
        <v>0.92119174455346264</v>
      </c>
      <c r="G30" s="388">
        <f t="shared" si="1"/>
        <v>4.9998738516263564E-3</v>
      </c>
      <c r="H30" s="22">
        <f t="shared" si="0"/>
        <v>1</v>
      </c>
      <c r="I30" s="14"/>
      <c r="L30" s="12"/>
      <c r="M30" s="12"/>
      <c r="N30" s="12"/>
      <c r="O30" s="12"/>
    </row>
    <row r="31" spans="1:17" x14ac:dyDescent="0.3">
      <c r="B31" s="409"/>
      <c r="C31" s="93" t="s">
        <v>153</v>
      </c>
      <c r="D31" s="68">
        <v>1</v>
      </c>
      <c r="E31" s="68">
        <v>0</v>
      </c>
      <c r="F31" s="68">
        <v>0</v>
      </c>
      <c r="G31" s="223">
        <v>0</v>
      </c>
      <c r="H31" s="22">
        <f t="shared" si="0"/>
        <v>1</v>
      </c>
      <c r="I31" s="14"/>
      <c r="L31" s="12"/>
      <c r="M31" s="12"/>
      <c r="N31" s="12"/>
      <c r="O31" s="12"/>
    </row>
    <row r="32" spans="1:17" x14ac:dyDescent="0.3">
      <c r="B32" s="81">
        <v>1013</v>
      </c>
      <c r="C32" s="23" t="s">
        <v>83</v>
      </c>
      <c r="D32" s="68">
        <v>0.16967166657979615</v>
      </c>
      <c r="E32" s="68">
        <v>6.2642714328495025E-2</v>
      </c>
      <c r="F32" s="68">
        <v>0.76236538417702226</v>
      </c>
      <c r="G32" s="223">
        <v>5.3202349146866633E-3</v>
      </c>
      <c r="H32" s="22">
        <f t="shared" si="0"/>
        <v>1</v>
      </c>
      <c r="I32" s="14"/>
      <c r="L32" s="12"/>
      <c r="M32" s="12"/>
      <c r="N32" s="12"/>
      <c r="O32" s="12"/>
    </row>
    <row r="33" spans="1:20" x14ac:dyDescent="0.3">
      <c r="B33" s="408">
        <v>1014</v>
      </c>
      <c r="C33" s="23" t="s">
        <v>84</v>
      </c>
      <c r="D33" s="68">
        <v>7.4952655348431471E-2</v>
      </c>
      <c r="E33" s="68">
        <v>0.17849421171650015</v>
      </c>
      <c r="F33" s="68">
        <v>0.73335128992896081</v>
      </c>
      <c r="G33" s="223">
        <v>1.3201843006107536E-2</v>
      </c>
      <c r="H33" s="22">
        <f t="shared" si="0"/>
        <v>0.99999999999999989</v>
      </c>
      <c r="I33" s="14"/>
      <c r="L33" s="12"/>
      <c r="M33" s="12"/>
      <c r="N33" s="12"/>
      <c r="O33" s="12"/>
    </row>
    <row r="34" spans="1:20" x14ac:dyDescent="0.3">
      <c r="B34" s="409"/>
      <c r="C34" s="169" t="s">
        <v>149</v>
      </c>
      <c r="D34" s="224">
        <v>0.05</v>
      </c>
      <c r="E34" s="224">
        <v>0</v>
      </c>
      <c r="F34" s="224">
        <v>0.95</v>
      </c>
      <c r="G34" s="225">
        <v>0</v>
      </c>
      <c r="H34" s="68">
        <f t="shared" ref="H34:H35" si="2">SUM(D34:G34)</f>
        <v>1</v>
      </c>
      <c r="I34" s="14" t="s">
        <v>110</v>
      </c>
      <c r="L34" s="12"/>
      <c r="M34" s="12"/>
      <c r="N34" s="12"/>
      <c r="O34" s="12"/>
    </row>
    <row r="35" spans="1:20" x14ac:dyDescent="0.3">
      <c r="A35" s="66" t="s">
        <v>239</v>
      </c>
      <c r="B35" s="389" t="s">
        <v>394</v>
      </c>
      <c r="C35" s="390" t="s">
        <v>393</v>
      </c>
      <c r="D35" s="391">
        <f>D33</f>
        <v>7.4952655348431471E-2</v>
      </c>
      <c r="E35" s="391">
        <f t="shared" ref="E35:G35" si="3">E33</f>
        <v>0.17849421171650015</v>
      </c>
      <c r="F35" s="391">
        <f t="shared" si="3"/>
        <v>0.73335128992896081</v>
      </c>
      <c r="G35" s="391">
        <f t="shared" si="3"/>
        <v>1.3201843006107536E-2</v>
      </c>
      <c r="H35" s="68">
        <f t="shared" si="2"/>
        <v>0.99999999999999989</v>
      </c>
      <c r="I35" s="14"/>
      <c r="L35" s="12"/>
      <c r="M35" s="12"/>
      <c r="N35" s="12"/>
      <c r="O35" s="12"/>
    </row>
    <row r="36" spans="1:20" x14ac:dyDescent="0.3">
      <c r="B36" s="81">
        <v>1018</v>
      </c>
      <c r="C36" s="67" t="s">
        <v>85</v>
      </c>
      <c r="D36" s="68">
        <v>0.13449303621719566</v>
      </c>
      <c r="E36" s="68">
        <v>0.10934282424458522</v>
      </c>
      <c r="F36" s="68">
        <v>0.75128916871136653</v>
      </c>
      <c r="G36" s="223">
        <v>4.8749708268526135E-3</v>
      </c>
      <c r="H36" s="22">
        <f t="shared" si="0"/>
        <v>1</v>
      </c>
      <c r="L36" s="12"/>
      <c r="M36" s="12"/>
      <c r="N36" s="12"/>
      <c r="O36" s="12"/>
    </row>
    <row r="37" spans="1:20" x14ac:dyDescent="0.3">
      <c r="B37" s="81">
        <v>1019</v>
      </c>
      <c r="C37" s="67" t="s">
        <v>77</v>
      </c>
      <c r="D37" s="68">
        <v>3.4053353745780335E-2</v>
      </c>
      <c r="E37" s="68">
        <v>7.6485393135663327E-2</v>
      </c>
      <c r="F37" s="68">
        <v>0.88466105604969381</v>
      </c>
      <c r="G37" s="223">
        <v>4.8001970688627341E-3</v>
      </c>
      <c r="H37" s="68">
        <f t="shared" si="0"/>
        <v>1.0000000000000002</v>
      </c>
      <c r="I37" s="14"/>
      <c r="L37" s="12"/>
      <c r="M37" s="12"/>
      <c r="N37" s="12"/>
      <c r="O37" s="12"/>
    </row>
    <row r="38" spans="1:20" x14ac:dyDescent="0.3">
      <c r="B38" s="67"/>
      <c r="C38" s="67" t="s">
        <v>188</v>
      </c>
      <c r="D38" s="224">
        <v>0.05</v>
      </c>
      <c r="E38" s="224">
        <v>0</v>
      </c>
      <c r="F38" s="224">
        <v>0.95</v>
      </c>
      <c r="G38" s="225">
        <v>0</v>
      </c>
      <c r="H38" s="68">
        <f t="shared" ref="H38" si="4">SUM(D38:G38)</f>
        <v>1</v>
      </c>
      <c r="I38" s="14" t="s">
        <v>110</v>
      </c>
      <c r="L38" s="12"/>
      <c r="M38" s="12"/>
      <c r="N38" s="12"/>
      <c r="O38" s="12"/>
    </row>
    <row r="39" spans="1:20" x14ac:dyDescent="0.3">
      <c r="B39" s="408">
        <v>1015</v>
      </c>
      <c r="C39" s="23" t="s">
        <v>268</v>
      </c>
      <c r="D39" s="68">
        <v>2.8976751227010468E-2</v>
      </c>
      <c r="E39" s="68">
        <v>3.1342716528484103E-2</v>
      </c>
      <c r="F39" s="68">
        <v>0.8798354147504952</v>
      </c>
      <c r="G39" s="68">
        <v>5.9845117494010253E-2</v>
      </c>
      <c r="H39" s="68">
        <f t="shared" si="0"/>
        <v>1</v>
      </c>
      <c r="I39" s="14"/>
      <c r="L39" s="12"/>
      <c r="M39" s="12"/>
      <c r="N39" s="12"/>
      <c r="O39" s="12"/>
    </row>
    <row r="40" spans="1:20" x14ac:dyDescent="0.3">
      <c r="B40" s="409"/>
      <c r="C40" s="23" t="s">
        <v>216</v>
      </c>
      <c r="D40" s="224">
        <v>0.05</v>
      </c>
      <c r="E40" s="224">
        <v>0</v>
      </c>
      <c r="F40" s="224">
        <v>0.95</v>
      </c>
      <c r="G40" s="225">
        <v>0</v>
      </c>
      <c r="H40" s="68">
        <f t="shared" si="0"/>
        <v>1</v>
      </c>
      <c r="I40" s="14" t="s">
        <v>110</v>
      </c>
      <c r="L40" s="12"/>
      <c r="M40" s="12"/>
      <c r="N40" s="12"/>
      <c r="O40" s="12"/>
    </row>
    <row r="41" spans="1:20" x14ac:dyDescent="0.3">
      <c r="A41" s="66" t="s">
        <v>239</v>
      </c>
      <c r="B41" s="81">
        <v>1048</v>
      </c>
      <c r="C41" s="67" t="s">
        <v>207</v>
      </c>
      <c r="D41" s="68">
        <f>[2]Direct_cost_estimates!$D$87</f>
        <v>6.0091526495503068E-2</v>
      </c>
      <c r="E41" s="68">
        <f>[2]Direct_cost_estimates!$E$87</f>
        <v>0.12401797077026892</v>
      </c>
      <c r="F41" s="68">
        <f>SUM([2]Direct_cost_estimates!$F$87:$I$87)+[2]Direct_cost_estimates!$K$87</f>
        <v>0.81589050273422803</v>
      </c>
      <c r="G41" s="68">
        <f>[2]Direct_cost_estimates!$J$87</f>
        <v>0</v>
      </c>
      <c r="H41" s="68">
        <f t="shared" si="0"/>
        <v>1</v>
      </c>
      <c r="I41" s="14" t="s">
        <v>388</v>
      </c>
      <c r="L41" s="88"/>
      <c r="M41" s="88"/>
      <c r="N41" s="88"/>
    </row>
    <row r="42" spans="1:20" x14ac:dyDescent="0.3">
      <c r="A42" s="66"/>
      <c r="B42" s="81"/>
      <c r="C42" s="67" t="s">
        <v>384</v>
      </c>
      <c r="D42" s="224">
        <v>0.05</v>
      </c>
      <c r="E42" s="224">
        <v>0</v>
      </c>
      <c r="F42" s="224">
        <v>0.95</v>
      </c>
      <c r="G42" s="225">
        <v>0</v>
      </c>
      <c r="H42" s="68">
        <f t="shared" ref="H42" si="5">SUM(D42:G42)</f>
        <v>1</v>
      </c>
      <c r="I42" s="14" t="s">
        <v>110</v>
      </c>
    </row>
    <row r="43" spans="1:20" x14ac:dyDescent="0.3">
      <c r="B43" s="81">
        <v>1016</v>
      </c>
      <c r="C43" s="67" t="s">
        <v>86</v>
      </c>
      <c r="D43" s="134">
        <v>0.1875283143669981</v>
      </c>
      <c r="E43" s="134">
        <v>7.7390697366495037E-2</v>
      </c>
      <c r="F43" s="134">
        <v>0.72902011386363008</v>
      </c>
      <c r="G43" s="134">
        <v>6.0608744028766773E-3</v>
      </c>
      <c r="H43" s="135">
        <f>SUM(D43:G43)</f>
        <v>1</v>
      </c>
    </row>
    <row r="45" spans="1:20" x14ac:dyDescent="0.3">
      <c r="C45" s="8"/>
    </row>
    <row r="47" spans="1:20" x14ac:dyDescent="0.3">
      <c r="D47" s="7" t="s">
        <v>15</v>
      </c>
      <c r="E47" s="7" t="s">
        <v>15</v>
      </c>
      <c r="F47" s="7" t="s">
        <v>15</v>
      </c>
      <c r="G47" s="7" t="s">
        <v>15</v>
      </c>
      <c r="H47" s="7" t="s">
        <v>16</v>
      </c>
      <c r="I47" s="7" t="s">
        <v>16</v>
      </c>
      <c r="J47" s="410" t="s">
        <v>256</v>
      </c>
      <c r="K47" s="410"/>
      <c r="L47" s="410"/>
      <c r="M47" s="410"/>
      <c r="N47" s="410"/>
    </row>
    <row r="48" spans="1:20" ht="15.3" thickBot="1" x14ac:dyDescent="0.35">
      <c r="B48" s="1" t="s">
        <v>107</v>
      </c>
      <c r="D48" s="104" t="s">
        <v>123</v>
      </c>
      <c r="E48" s="104" t="s">
        <v>136</v>
      </c>
      <c r="F48" s="104" t="s">
        <v>135</v>
      </c>
      <c r="G48" s="104" t="s">
        <v>134</v>
      </c>
      <c r="H48" s="104" t="s">
        <v>133</v>
      </c>
      <c r="I48" s="104" t="s">
        <v>132</v>
      </c>
      <c r="J48" s="104" t="s">
        <v>196</v>
      </c>
      <c r="K48" s="104" t="s">
        <v>197</v>
      </c>
      <c r="L48" s="104" t="s">
        <v>218</v>
      </c>
      <c r="M48" s="104" t="s">
        <v>219</v>
      </c>
      <c r="N48" s="104" t="s">
        <v>220</v>
      </c>
      <c r="O48" s="104"/>
      <c r="P48" s="104"/>
      <c r="Q48" s="104"/>
      <c r="R48" s="104"/>
      <c r="S48" s="104"/>
      <c r="T48" s="104"/>
    </row>
    <row r="49" spans="2:24" ht="15.3" thickBot="1" x14ac:dyDescent="0.35">
      <c r="B49" t="s">
        <v>108</v>
      </c>
      <c r="D49" s="193">
        <f>Capex_Fcast_Total!C75/Capex_Fcast_Total!C61</f>
        <v>0.11015105966309197</v>
      </c>
      <c r="E49" s="193">
        <f>Capex_Fcast_Total!D75/Capex_Fcast_Total!D61</f>
        <v>0.11214972534928357</v>
      </c>
      <c r="F49" s="193">
        <f>Capex_Fcast_Total!E75/Capex_Fcast_Total!E61</f>
        <v>0.13631825105446069</v>
      </c>
      <c r="G49" s="193">
        <f>Capex_Fcast_Total!F75/Capex_Fcast_Total!F61</f>
        <v>0.14118272372737342</v>
      </c>
      <c r="H49" s="193">
        <f>Capex_Fcast_Total!G75/Capex_Fcast_Total!G61</f>
        <v>8.7431748806843776E-2</v>
      </c>
      <c r="I49" s="354">
        <v>0.103731805295299</v>
      </c>
      <c r="J49" s="259">
        <f>'Inputs from Capex model'!J21</f>
        <v>7.2001585239149915E-2</v>
      </c>
      <c r="K49" s="260">
        <f>'Inputs from Capex model'!K21</f>
        <v>6.9294897899731464E-2</v>
      </c>
      <c r="L49" s="260">
        <f>'Inputs from Capex model'!L21</f>
        <v>6.2631057581628652E-2</v>
      </c>
      <c r="M49" s="260">
        <f>'Inputs from Capex model'!M21</f>
        <v>7.1513980300364835E-2</v>
      </c>
      <c r="N49" s="261">
        <f>'Inputs from Capex model'!N21</f>
        <v>7.4849999421876645E-2</v>
      </c>
      <c r="O49" s="133"/>
      <c r="P49" s="108"/>
      <c r="Q49" s="108"/>
      <c r="R49" s="108"/>
      <c r="S49" s="108"/>
      <c r="T49" s="108"/>
      <c r="U49" s="181"/>
      <c r="V49" s="181"/>
      <c r="W49" s="181"/>
      <c r="X49" s="181"/>
    </row>
    <row r="50" spans="2:24" x14ac:dyDescent="0.3">
      <c r="J50" s="170"/>
    </row>
    <row r="51" spans="2:24" x14ac:dyDescent="0.3">
      <c r="D51" s="58"/>
      <c r="E51" s="58"/>
      <c r="F51" s="58"/>
      <c r="G51" s="58"/>
      <c r="H51" s="58"/>
      <c r="I51" s="58"/>
      <c r="J51" s="108"/>
      <c r="K51" s="108"/>
      <c r="L51" s="108"/>
      <c r="M51" s="108"/>
      <c r="N51" s="108"/>
      <c r="O51" s="108"/>
    </row>
    <row r="52" spans="2:24" x14ac:dyDescent="0.3">
      <c r="B52" t="s">
        <v>82</v>
      </c>
      <c r="H52" s="88"/>
      <c r="I52" s="165"/>
      <c r="J52" s="165"/>
      <c r="K52" s="165"/>
      <c r="L52" s="165"/>
      <c r="M52" s="165"/>
      <c r="N52" s="165"/>
      <c r="O52" s="165"/>
    </row>
    <row r="53" spans="2:24" x14ac:dyDescent="0.3">
      <c r="C53" t="s">
        <v>111</v>
      </c>
      <c r="D53" s="3" t="s">
        <v>7</v>
      </c>
      <c r="E53" s="3" t="s">
        <v>8</v>
      </c>
      <c r="F53" s="3" t="s">
        <v>9</v>
      </c>
      <c r="G53" s="104" t="s">
        <v>123</v>
      </c>
      <c r="H53" s="104" t="s">
        <v>136</v>
      </c>
      <c r="I53" s="104" t="s">
        <v>135</v>
      </c>
      <c r="J53" s="104" t="s">
        <v>134</v>
      </c>
      <c r="K53" s="104" t="s">
        <v>133</v>
      </c>
      <c r="L53" s="104" t="s">
        <v>132</v>
      </c>
      <c r="M53" s="104" t="s">
        <v>196</v>
      </c>
      <c r="N53" s="104" t="s">
        <v>197</v>
      </c>
      <c r="O53" s="104" t="s">
        <v>218</v>
      </c>
      <c r="P53" s="104" t="s">
        <v>219</v>
      </c>
      <c r="Q53" s="104" t="s">
        <v>220</v>
      </c>
    </row>
    <row r="54" spans="2:24" x14ac:dyDescent="0.3">
      <c r="C54" s="67" t="s">
        <v>112</v>
      </c>
      <c r="D54" s="231">
        <f t="shared" ref="D54:G54" si="6">1-D55-D56</f>
        <v>0.98</v>
      </c>
      <c r="E54" s="231">
        <f t="shared" si="6"/>
        <v>0.98</v>
      </c>
      <c r="F54" s="231">
        <f t="shared" si="6"/>
        <v>0.99</v>
      </c>
      <c r="G54" s="231">
        <f t="shared" si="6"/>
        <v>0.99</v>
      </c>
      <c r="H54" s="231">
        <f>1-H55-H56</f>
        <v>1</v>
      </c>
      <c r="I54" s="231">
        <v>0.95</v>
      </c>
      <c r="J54" s="231">
        <v>0.95</v>
      </c>
      <c r="K54" s="231">
        <v>0.95</v>
      </c>
      <c r="L54" s="231">
        <v>0.95</v>
      </c>
      <c r="M54" s="231">
        <v>0.95</v>
      </c>
      <c r="N54" s="231">
        <v>0.95</v>
      </c>
      <c r="O54" s="231">
        <v>0.95</v>
      </c>
      <c r="P54" s="231">
        <v>0.95</v>
      </c>
      <c r="Q54" s="231">
        <v>0.95</v>
      </c>
    </row>
    <row r="55" spans="2:24" x14ac:dyDescent="0.3">
      <c r="C55" s="67" t="s">
        <v>113</v>
      </c>
      <c r="D55" s="231">
        <v>0.02</v>
      </c>
      <c r="E55" s="231">
        <v>0.02</v>
      </c>
      <c r="F55" s="231">
        <f>ROUND(Connections!N35/Connections!N37,2)</f>
        <v>0.01</v>
      </c>
      <c r="G55" s="231">
        <f>ROUND(Connections!O35/Connections!O37,2)</f>
        <v>0.01</v>
      </c>
      <c r="H55" s="231">
        <f>ROUND(Connections!P35/Connections!P37,2)</f>
        <v>0</v>
      </c>
      <c r="I55" s="231">
        <f>ROUND(Connections!Q35/Connections!Q37,2)</f>
        <v>0.01</v>
      </c>
      <c r="J55" s="231">
        <v>0.01</v>
      </c>
      <c r="K55" s="231">
        <v>0.01</v>
      </c>
      <c r="L55" s="231">
        <v>0.01</v>
      </c>
      <c r="M55" s="231">
        <v>0.01</v>
      </c>
      <c r="N55" s="231">
        <v>0.01</v>
      </c>
      <c r="O55" s="231">
        <v>0.01</v>
      </c>
      <c r="P55" s="231">
        <v>0.01</v>
      </c>
      <c r="Q55" s="231">
        <v>0.01</v>
      </c>
    </row>
    <row r="56" spans="2:24" x14ac:dyDescent="0.3">
      <c r="C56" s="67" t="s">
        <v>244</v>
      </c>
      <c r="D56" s="67"/>
      <c r="E56" s="67"/>
      <c r="F56" s="67"/>
      <c r="G56" s="67"/>
      <c r="H56" s="67"/>
      <c r="I56" s="231">
        <v>0.04</v>
      </c>
      <c r="J56" s="231">
        <f>$I56</f>
        <v>0.04</v>
      </c>
      <c r="K56" s="231">
        <f t="shared" ref="K56:Q56" si="7">$I56</f>
        <v>0.04</v>
      </c>
      <c r="L56" s="231">
        <f t="shared" si="7"/>
        <v>0.04</v>
      </c>
      <c r="M56" s="231">
        <f t="shared" si="7"/>
        <v>0.04</v>
      </c>
      <c r="N56" s="231">
        <f t="shared" si="7"/>
        <v>0.04</v>
      </c>
      <c r="O56" s="231">
        <f t="shared" si="7"/>
        <v>0.04</v>
      </c>
      <c r="P56" s="231">
        <f t="shared" si="7"/>
        <v>0.04</v>
      </c>
      <c r="Q56" s="231">
        <f t="shared" si="7"/>
        <v>0.04</v>
      </c>
    </row>
    <row r="57" spans="2:24" x14ac:dyDescent="0.3">
      <c r="C57" s="67" t="s">
        <v>2</v>
      </c>
      <c r="D57" s="231">
        <f t="shared" ref="D57:H57" si="8">SUM(D54:D56)</f>
        <v>1</v>
      </c>
      <c r="E57" s="231">
        <f t="shared" si="8"/>
        <v>1</v>
      </c>
      <c r="F57" s="231">
        <f t="shared" si="8"/>
        <v>1</v>
      </c>
      <c r="G57" s="231">
        <f t="shared" si="8"/>
        <v>1</v>
      </c>
      <c r="H57" s="231">
        <f t="shared" si="8"/>
        <v>1</v>
      </c>
      <c r="I57" s="231">
        <f>SUM(I54:I56)</f>
        <v>1</v>
      </c>
      <c r="J57" s="231">
        <f t="shared" ref="J57:Q57" si="9">SUM(J54:J56)</f>
        <v>1</v>
      </c>
      <c r="K57" s="231">
        <f t="shared" si="9"/>
        <v>1</v>
      </c>
      <c r="L57" s="231">
        <f t="shared" si="9"/>
        <v>1</v>
      </c>
      <c r="M57" s="231">
        <f t="shared" si="9"/>
        <v>1</v>
      </c>
      <c r="N57" s="231">
        <f t="shared" si="9"/>
        <v>1</v>
      </c>
      <c r="O57" s="231">
        <f t="shared" si="9"/>
        <v>1</v>
      </c>
      <c r="P57" s="231">
        <f t="shared" si="9"/>
        <v>1</v>
      </c>
      <c r="Q57" s="231">
        <f t="shared" si="9"/>
        <v>1</v>
      </c>
    </row>
    <row r="58" spans="2:24" x14ac:dyDescent="0.3">
      <c r="I58" s="21"/>
    </row>
    <row r="59" spans="2:24" x14ac:dyDescent="0.3">
      <c r="C59" t="s">
        <v>142</v>
      </c>
      <c r="D59" s="7" t="s">
        <v>151</v>
      </c>
      <c r="E59" s="7"/>
    </row>
    <row r="60" spans="2:24" x14ac:dyDescent="0.3">
      <c r="C60" s="67" t="s">
        <v>141</v>
      </c>
      <c r="D60" s="504"/>
      <c r="E60" s="14" t="s">
        <v>115</v>
      </c>
    </row>
    <row r="61" spans="2:24" x14ac:dyDescent="0.3">
      <c r="C61" s="67" t="s">
        <v>155</v>
      </c>
      <c r="D61" s="504"/>
      <c r="E61" s="14" t="s">
        <v>115</v>
      </c>
    </row>
    <row r="62" spans="2:24" x14ac:dyDescent="0.3">
      <c r="C62" s="67" t="s">
        <v>2</v>
      </c>
      <c r="D62" s="238">
        <f>SUM(D60:D61)</f>
        <v>0</v>
      </c>
      <c r="E62" s="2"/>
    </row>
    <row r="64" spans="2:24" x14ac:dyDescent="0.3">
      <c r="C64" t="s">
        <v>261</v>
      </c>
    </row>
    <row r="65" spans="3:5" ht="29.35" x14ac:dyDescent="0.3">
      <c r="C65" s="245" t="s">
        <v>240</v>
      </c>
      <c r="D65" s="231">
        <v>0.2</v>
      </c>
      <c r="E65" s="14"/>
    </row>
    <row r="66" spans="3:5" x14ac:dyDescent="0.3">
      <c r="C66" s="67" t="s">
        <v>260</v>
      </c>
      <c r="D66" s="231">
        <f>1-D65</f>
        <v>0.8</v>
      </c>
    </row>
  </sheetData>
  <mergeCells count="11">
    <mergeCell ref="H1:I1"/>
    <mergeCell ref="D23:G23"/>
    <mergeCell ref="B33:B34"/>
    <mergeCell ref="J47:N47"/>
    <mergeCell ref="B25:B31"/>
    <mergeCell ref="B39:B40"/>
    <mergeCell ref="E14:Q14"/>
    <mergeCell ref="E15:Q15"/>
    <mergeCell ref="E16:Q16"/>
    <mergeCell ref="E17:Q17"/>
    <mergeCell ref="E18:Q18"/>
  </mergeCells>
  <hyperlinks>
    <hyperlink ref="B3" location="Contents!A1" display="Table of Contents" xr:uid="{00000000-0004-0000-0500-000000000000}"/>
  </hyperlinks>
  <pageMargins left="0.7" right="0.7" top="0.75" bottom="0.75" header="0.3" footer="0.3"/>
  <pageSetup paperSize="9" orientation="landscape" r:id="rId1"/>
  <headerFooter>
    <oddFooter>&amp;C_x000D_&amp;1#&amp;"Century Gothic"&amp;7&amp;K7F7F7F BUSINESS USE ONLY</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AK67"/>
  <sheetViews>
    <sheetView zoomScale="85" zoomScaleNormal="85" workbookViewId="0">
      <pane xSplit="3" ySplit="8" topLeftCell="D9" activePane="bottomRight" state="frozen"/>
      <selection activeCell="AC23" sqref="AC23"/>
      <selection pane="topRight" activeCell="AC23" sqref="AC23"/>
      <selection pane="bottomLeft" activeCell="AC23" sqref="AC23"/>
      <selection pane="bottomRight" activeCell="M9" sqref="M9"/>
    </sheetView>
  </sheetViews>
  <sheetFormatPr defaultColWidth="9.109375" defaultRowHeight="14.65" outlineLevelRow="1" outlineLevelCol="1" x14ac:dyDescent="0.3"/>
  <cols>
    <col min="1" max="1" width="6.88671875" customWidth="1"/>
    <col min="2" max="2" width="45.33203125" customWidth="1"/>
    <col min="3" max="3" width="8" hidden="1" customWidth="1"/>
    <col min="4" max="7" width="10.6640625" customWidth="1" outlineLevel="1"/>
    <col min="8" max="8" width="10" customWidth="1" outlineLevel="1"/>
    <col min="9" max="9" width="10" customWidth="1" outlineLevel="1" collapsed="1"/>
    <col min="10" max="12" width="10" customWidth="1" outlineLevel="1"/>
    <col min="13" max="15" width="10" customWidth="1"/>
    <col min="16" max="17" width="9.109375" customWidth="1"/>
    <col min="18" max="18" width="10" bestFit="1" customWidth="1"/>
    <col min="19" max="19" width="9.21875" customWidth="1"/>
    <col min="20" max="25" width="10" bestFit="1" customWidth="1"/>
  </cols>
  <sheetData>
    <row r="2" spans="1:37" ht="18.5" x14ac:dyDescent="0.35">
      <c r="B2" s="39" t="s">
        <v>58</v>
      </c>
    </row>
    <row r="3" spans="1:37" x14ac:dyDescent="0.3">
      <c r="B3" s="40" t="s">
        <v>53</v>
      </c>
      <c r="L3" s="70"/>
      <c r="P3" s="14"/>
    </row>
    <row r="4" spans="1:37" x14ac:dyDescent="0.3">
      <c r="B4" s="40"/>
      <c r="I4" s="70"/>
      <c r="P4" s="214"/>
      <c r="Q4" s="1"/>
      <c r="R4" s="11"/>
    </row>
    <row r="5" spans="1:37" ht="15.95" x14ac:dyDescent="0.3">
      <c r="B5" s="1" t="s">
        <v>56</v>
      </c>
      <c r="D5" s="1"/>
      <c r="E5" s="1"/>
      <c r="F5" s="1"/>
    </row>
    <row r="6" spans="1:37" x14ac:dyDescent="0.3">
      <c r="C6" s="1"/>
      <c r="O6" s="7" t="s">
        <v>122</v>
      </c>
      <c r="P6" s="7" t="s">
        <v>122</v>
      </c>
      <c r="Q6" s="7" t="s">
        <v>122</v>
      </c>
      <c r="R6" s="7" t="s">
        <v>122</v>
      </c>
      <c r="S6" s="7" t="s">
        <v>122</v>
      </c>
      <c r="T6" s="7" t="s">
        <v>122</v>
      </c>
      <c r="U6" s="7" t="s">
        <v>122</v>
      </c>
      <c r="V6" s="7" t="s">
        <v>122</v>
      </c>
      <c r="W6" s="7" t="s">
        <v>122</v>
      </c>
      <c r="X6" s="7" t="s">
        <v>122</v>
      </c>
      <c r="Y6" s="7" t="s">
        <v>122</v>
      </c>
    </row>
    <row r="7" spans="1:37" x14ac:dyDescent="0.3">
      <c r="D7" s="3" t="s">
        <v>15</v>
      </c>
      <c r="E7" s="3" t="s">
        <v>15</v>
      </c>
      <c r="F7" s="3" t="s">
        <v>15</v>
      </c>
      <c r="G7" s="3" t="s">
        <v>15</v>
      </c>
      <c r="H7" s="3" t="s">
        <v>15</v>
      </c>
      <c r="I7" s="3" t="s">
        <v>15</v>
      </c>
      <c r="J7" s="3" t="s">
        <v>15</v>
      </c>
      <c r="K7" s="3" t="s">
        <v>15</v>
      </c>
      <c r="L7" s="3" t="s">
        <v>15</v>
      </c>
      <c r="M7" s="3" t="s">
        <v>15</v>
      </c>
      <c r="N7" s="3" t="s">
        <v>15</v>
      </c>
      <c r="O7" s="3" t="s">
        <v>15</v>
      </c>
      <c r="P7" s="3" t="s">
        <v>15</v>
      </c>
      <c r="Q7" s="3" t="s">
        <v>15</v>
      </c>
      <c r="R7" s="3" t="s">
        <v>15</v>
      </c>
      <c r="S7" s="3" t="s">
        <v>15</v>
      </c>
      <c r="T7" s="207" t="s">
        <v>16</v>
      </c>
      <c r="U7" s="207" t="s">
        <v>16</v>
      </c>
      <c r="V7" s="207" t="s">
        <v>16</v>
      </c>
      <c r="W7" s="207" t="s">
        <v>16</v>
      </c>
      <c r="X7" s="207" t="s">
        <v>16</v>
      </c>
      <c r="Y7" s="207" t="s">
        <v>16</v>
      </c>
    </row>
    <row r="8" spans="1:37" x14ac:dyDescent="0.3">
      <c r="B8" t="s">
        <v>3</v>
      </c>
      <c r="D8" s="3" t="s">
        <v>10</v>
      </c>
      <c r="E8" s="3" t="s">
        <v>11</v>
      </c>
      <c r="F8" s="3" t="s">
        <v>12</v>
      </c>
      <c r="G8" s="3" t="s">
        <v>13</v>
      </c>
      <c r="H8" s="3" t="s">
        <v>14</v>
      </c>
      <c r="I8" s="3" t="s">
        <v>4</v>
      </c>
      <c r="J8" s="3" t="s">
        <v>5</v>
      </c>
      <c r="K8" s="3" t="s">
        <v>6</v>
      </c>
      <c r="L8" s="3" t="s">
        <v>7</v>
      </c>
      <c r="M8" s="3" t="s">
        <v>8</v>
      </c>
      <c r="N8" s="3" t="s">
        <v>9</v>
      </c>
      <c r="O8" s="104" t="s">
        <v>123</v>
      </c>
      <c r="P8" s="104" t="s">
        <v>136</v>
      </c>
      <c r="Q8" s="104" t="s">
        <v>135</v>
      </c>
      <c r="R8" s="104" t="s">
        <v>134</v>
      </c>
      <c r="S8" s="104" t="s">
        <v>133</v>
      </c>
      <c r="T8" s="104" t="s">
        <v>132</v>
      </c>
      <c r="U8" s="3" t="s">
        <v>196</v>
      </c>
      <c r="V8" s="3" t="s">
        <v>203</v>
      </c>
      <c r="W8" s="3" t="s">
        <v>204</v>
      </c>
      <c r="X8" s="3" t="s">
        <v>205</v>
      </c>
      <c r="Y8" s="3" t="s">
        <v>206</v>
      </c>
    </row>
    <row r="9" spans="1:37" x14ac:dyDescent="0.3">
      <c r="A9" s="7">
        <v>1012</v>
      </c>
      <c r="B9" t="s">
        <v>82</v>
      </c>
      <c r="C9" t="s">
        <v>73</v>
      </c>
      <c r="D9" s="10">
        <v>8754.5</v>
      </c>
      <c r="E9" s="10">
        <v>11216</v>
      </c>
      <c r="F9" s="10">
        <v>12310.5</v>
      </c>
      <c r="G9" s="10">
        <v>10367</v>
      </c>
      <c r="H9" s="10">
        <v>7340.5</v>
      </c>
      <c r="I9" s="10">
        <f t="shared" ref="I9" si="0">AVERAGE(H37:I37)</f>
        <v>6656.5</v>
      </c>
      <c r="J9" s="10">
        <f t="shared" ref="J9" si="1">AVERAGE(I37:J37)</f>
        <v>9409.5</v>
      </c>
      <c r="K9" s="10">
        <f t="shared" ref="K9" si="2">AVERAGE(J37:K37)</f>
        <v>11395</v>
      </c>
      <c r="L9" s="10">
        <f t="shared" ref="L9:M9" si="3">AVERAGE(K37:L37)</f>
        <v>12338.5</v>
      </c>
      <c r="M9" s="10">
        <f t="shared" si="3"/>
        <v>14822</v>
      </c>
      <c r="N9" s="10">
        <f t="shared" ref="N9" si="4">AVERAGE(M37:N37)</f>
        <v>13792</v>
      </c>
      <c r="O9" s="10">
        <f t="shared" ref="O9" si="5">AVERAGE(N37:O37)</f>
        <v>11105.5</v>
      </c>
      <c r="P9" s="10">
        <f t="shared" ref="P9" si="6">AVERAGE(O37:P37)</f>
        <v>10178.5</v>
      </c>
      <c r="Q9" s="10">
        <f t="shared" ref="Q9" si="7">AVERAGE(P37:Q37)</f>
        <v>10724.5</v>
      </c>
      <c r="R9" s="10">
        <f t="shared" ref="R9" si="8">AVERAGE(Q37:R37)</f>
        <v>12683</v>
      </c>
      <c r="S9" s="10">
        <f t="shared" ref="S9" si="9">AVERAGE(R37:S37)</f>
        <v>11799.5</v>
      </c>
      <c r="T9" s="10">
        <f t="shared" ref="T9" si="10">AVERAGE(S37:T37)</f>
        <v>11666.342776246858</v>
      </c>
      <c r="U9" s="10">
        <f t="shared" ref="U9" si="11">AVERAGE(T37:U37)</f>
        <v>13437.09938043182</v>
      </c>
      <c r="V9" s="10">
        <f t="shared" ref="V9" si="12">AVERAGE(U37:V37)</f>
        <v>13707.096676861582</v>
      </c>
      <c r="W9" s="10">
        <f t="shared" ref="W9" si="13">AVERAGE(V37:W37)</f>
        <v>13977.718308451686</v>
      </c>
      <c r="X9" s="10">
        <f t="shared" ref="X9" si="14">AVERAGE(W37:X37)</f>
        <v>14247.67608999788</v>
      </c>
      <c r="Y9" s="10">
        <f t="shared" ref="Y9" si="15">AVERAGE(X37:Y37)</f>
        <v>14517.531132846803</v>
      </c>
      <c r="Z9" s="10"/>
      <c r="AA9" s="10"/>
      <c r="AB9" s="10"/>
      <c r="AC9" s="10"/>
      <c r="AD9" s="10"/>
      <c r="AF9" s="10"/>
      <c r="AG9" s="10"/>
      <c r="AH9" s="10"/>
      <c r="AI9" s="10"/>
      <c r="AJ9" s="10"/>
      <c r="AK9" s="10"/>
    </row>
    <row r="10" spans="1:37" outlineLevel="1" x14ac:dyDescent="0.3">
      <c r="A10" s="7">
        <v>1012</v>
      </c>
      <c r="B10" s="101" t="s">
        <v>90</v>
      </c>
      <c r="C10" t="s">
        <v>73</v>
      </c>
      <c r="D10" s="10"/>
      <c r="E10" s="10"/>
      <c r="F10" s="10"/>
      <c r="G10" s="10"/>
      <c r="H10" s="10"/>
      <c r="I10" s="10"/>
      <c r="J10" s="10"/>
      <c r="K10" s="10">
        <f>K33</f>
        <v>608</v>
      </c>
      <c r="L10" s="10">
        <f>L33</f>
        <v>10570</v>
      </c>
      <c r="M10" s="10">
        <f>M33</f>
        <v>14030</v>
      </c>
      <c r="N10" s="10">
        <f t="shared" ref="N10:R10" si="16">N33</f>
        <v>10815</v>
      </c>
      <c r="O10" s="10">
        <f t="shared" si="16"/>
        <v>10008</v>
      </c>
      <c r="P10" s="10">
        <f t="shared" si="16"/>
        <v>8594</v>
      </c>
      <c r="Q10" s="10">
        <f t="shared" si="16"/>
        <v>10602</v>
      </c>
      <c r="R10" s="10">
        <f t="shared" si="16"/>
        <v>13044</v>
      </c>
      <c r="S10" s="10">
        <f t="shared" ref="S10" si="17">S33</f>
        <v>10030</v>
      </c>
      <c r="T10" s="10">
        <f>T9*Allocations!L54</f>
        <v>11083.025637434515</v>
      </c>
      <c r="U10" s="10">
        <f>U9*Allocations!M54</f>
        <v>12765.244411410229</v>
      </c>
      <c r="V10" s="10">
        <f>V9*Allocations!N54</f>
        <v>13021.741843018503</v>
      </c>
      <c r="W10" s="10">
        <f>W9*Allocations!O54</f>
        <v>13278.832393029101</v>
      </c>
      <c r="X10" s="10">
        <f>X9*Allocations!P54</f>
        <v>13535.292285497986</v>
      </c>
      <c r="Y10" s="10">
        <f>Y9*Allocations!Q54</f>
        <v>13791.654576204463</v>
      </c>
      <c r="Z10" s="103" t="s">
        <v>119</v>
      </c>
      <c r="AA10" s="10"/>
      <c r="AB10" s="10"/>
      <c r="AC10" s="10"/>
      <c r="AD10" s="10"/>
      <c r="AF10" s="10"/>
      <c r="AG10" s="10"/>
      <c r="AH10" s="10"/>
      <c r="AI10" s="10"/>
      <c r="AJ10" s="10"/>
      <c r="AK10" s="10"/>
    </row>
    <row r="11" spans="1:37" outlineLevel="1" x14ac:dyDescent="0.3">
      <c r="A11" s="7">
        <v>1012</v>
      </c>
      <c r="B11" s="101" t="s">
        <v>92</v>
      </c>
      <c r="C11" t="s">
        <v>73</v>
      </c>
      <c r="D11" s="10"/>
      <c r="E11" s="10"/>
      <c r="F11" s="10"/>
      <c r="G11" s="10"/>
      <c r="H11" s="10"/>
      <c r="I11" s="10">
        <f t="shared" ref="I11:J11" si="18">I32</f>
        <v>6781</v>
      </c>
      <c r="J11" s="10">
        <f t="shared" si="18"/>
        <v>11679</v>
      </c>
      <c r="K11" s="10">
        <f>K32</f>
        <v>10503</v>
      </c>
      <c r="L11" s="10">
        <v>7668</v>
      </c>
      <c r="M11" s="10">
        <v>6347</v>
      </c>
      <c r="N11" s="10">
        <f>N34</f>
        <v>7370</v>
      </c>
      <c r="O11" s="10">
        <f t="shared" ref="O11:Q11" si="19">O34</f>
        <v>7442</v>
      </c>
      <c r="P11" s="10">
        <f t="shared" si="19"/>
        <v>6985</v>
      </c>
      <c r="Q11" s="10">
        <f t="shared" si="19"/>
        <v>8330</v>
      </c>
      <c r="R11" s="10">
        <f t="shared" ref="R11:S11" si="20">R34</f>
        <v>9635</v>
      </c>
      <c r="S11" s="10">
        <f t="shared" si="20"/>
        <v>8507</v>
      </c>
      <c r="T11" s="10"/>
      <c r="Y11" s="10"/>
      <c r="Z11" s="103" t="s">
        <v>120</v>
      </c>
      <c r="AA11" s="10"/>
      <c r="AB11" s="10"/>
      <c r="AC11" s="10"/>
      <c r="AD11" s="10"/>
      <c r="AF11" s="10"/>
      <c r="AG11" s="10"/>
      <c r="AH11" s="10"/>
      <c r="AI11" s="10"/>
      <c r="AJ11" s="10"/>
      <c r="AK11" s="10"/>
    </row>
    <row r="12" spans="1:37" outlineLevel="1" x14ac:dyDescent="0.3">
      <c r="A12" s="7">
        <v>1012</v>
      </c>
      <c r="B12" s="101" t="s">
        <v>93</v>
      </c>
      <c r="C12" t="s">
        <v>73</v>
      </c>
      <c r="D12" s="10"/>
      <c r="E12" s="10"/>
      <c r="F12" s="10"/>
      <c r="G12" s="10"/>
      <c r="H12" s="10"/>
      <c r="I12" s="10"/>
      <c r="J12" s="10"/>
      <c r="K12" s="10"/>
      <c r="L12" s="10">
        <v>303</v>
      </c>
      <c r="M12" s="10">
        <v>36</v>
      </c>
      <c r="N12" s="10">
        <f t="shared" ref="N12:Q12" si="21">N35</f>
        <v>96</v>
      </c>
      <c r="O12" s="10">
        <f t="shared" si="21"/>
        <v>103</v>
      </c>
      <c r="P12" s="10">
        <f t="shared" si="21"/>
        <v>8</v>
      </c>
      <c r="Q12" s="10">
        <f t="shared" si="21"/>
        <v>88</v>
      </c>
      <c r="R12" s="10">
        <f t="shared" ref="R12:S12" si="22">R35</f>
        <v>46</v>
      </c>
      <c r="S12" s="10">
        <f t="shared" si="22"/>
        <v>85</v>
      </c>
      <c r="T12" s="10"/>
      <c r="Y12" s="10"/>
      <c r="Z12" s="103" t="s">
        <v>154</v>
      </c>
      <c r="AA12" s="10"/>
      <c r="AB12" s="10"/>
      <c r="AC12" s="10"/>
      <c r="AD12" s="10"/>
      <c r="AF12" s="10"/>
      <c r="AG12" s="10"/>
      <c r="AH12" s="10"/>
      <c r="AI12" s="10"/>
      <c r="AJ12" s="10"/>
      <c r="AK12" s="10"/>
    </row>
    <row r="13" spans="1:37" x14ac:dyDescent="0.3">
      <c r="A13" s="7">
        <v>1013</v>
      </c>
      <c r="B13" t="s">
        <v>83</v>
      </c>
      <c r="C13" t="s">
        <v>74</v>
      </c>
      <c r="D13" s="10">
        <v>2019.5</v>
      </c>
      <c r="E13" s="10">
        <v>2080</v>
      </c>
      <c r="F13" s="10">
        <v>1868.5</v>
      </c>
      <c r="G13" s="10">
        <v>2026</v>
      </c>
      <c r="H13" s="10">
        <v>2021</v>
      </c>
      <c r="I13" s="10">
        <f>AVERAGE(H42:I42)</f>
        <v>1443</v>
      </c>
      <c r="J13" s="10">
        <f>AVERAGE(I42:J42)</f>
        <v>1454.5</v>
      </c>
      <c r="K13" s="10">
        <f t="shared" ref="K13:P13" si="23">AVERAGE(J42:K42)</f>
        <v>1873.5</v>
      </c>
      <c r="L13" s="10">
        <f t="shared" si="23"/>
        <v>1776</v>
      </c>
      <c r="M13" s="10">
        <f t="shared" si="23"/>
        <v>1692</v>
      </c>
      <c r="N13" s="10">
        <f t="shared" si="23"/>
        <v>1573.5</v>
      </c>
      <c r="O13" s="10">
        <f t="shared" si="23"/>
        <v>1504</v>
      </c>
      <c r="P13" s="10">
        <f t="shared" si="23"/>
        <v>1596</v>
      </c>
      <c r="Q13" s="10">
        <f>AVERAGE(P40:Q40)</f>
        <v>1436.5</v>
      </c>
      <c r="R13" s="10">
        <f t="shared" ref="R13:T13" si="24">AVERAGE(Q40:R40)</f>
        <v>1313.5</v>
      </c>
      <c r="S13" s="10">
        <f t="shared" si="24"/>
        <v>1214</v>
      </c>
      <c r="T13" s="10">
        <f t="shared" si="24"/>
        <v>1223.781243375829</v>
      </c>
      <c r="U13" s="10">
        <f t="shared" ref="U13" si="25">AVERAGE(T40:U40)</f>
        <v>1248.0469345607607</v>
      </c>
      <c r="V13" s="10">
        <f t="shared" ref="V13" si="26">AVERAGE(U40:V40)</f>
        <v>1273.1244671895347</v>
      </c>
      <c r="W13" s="10">
        <f t="shared" ref="W13" si="27">AVERAGE(V40:W40)</f>
        <v>1298.2599884928688</v>
      </c>
      <c r="X13" s="10">
        <f t="shared" ref="X13" si="28">AVERAGE(W40:X40)</f>
        <v>1323.3338509523667</v>
      </c>
      <c r="Y13" s="10">
        <f t="shared" ref="Y13" si="29">AVERAGE(X40:Y40)</f>
        <v>1348.3981709717473</v>
      </c>
      <c r="Z13" s="10"/>
      <c r="AA13" s="10"/>
      <c r="AB13" s="10"/>
      <c r="AC13" s="10"/>
      <c r="AD13" s="10"/>
      <c r="AF13" s="10"/>
      <c r="AG13" s="10"/>
      <c r="AH13" s="10"/>
      <c r="AI13" s="10"/>
      <c r="AJ13" s="10"/>
      <c r="AK13" s="10"/>
    </row>
    <row r="14" spans="1:37" x14ac:dyDescent="0.3">
      <c r="A14" s="7">
        <v>1014</v>
      </c>
      <c r="B14" t="s">
        <v>84</v>
      </c>
      <c r="C14" t="s">
        <v>74</v>
      </c>
      <c r="D14" s="10">
        <v>391</v>
      </c>
      <c r="E14" s="10">
        <v>428</v>
      </c>
      <c r="F14" s="10">
        <v>408.5</v>
      </c>
      <c r="G14" s="10">
        <v>408</v>
      </c>
      <c r="H14" s="10">
        <v>367</v>
      </c>
      <c r="I14" s="10">
        <f>AVERAGE(H45:I45)</f>
        <v>277</v>
      </c>
      <c r="J14" s="10">
        <f>AVERAGE(I45:J45)</f>
        <v>298.5</v>
      </c>
      <c r="K14" s="10">
        <f>AVERAGE(J43:K43)</f>
        <v>393.5</v>
      </c>
      <c r="L14" s="10">
        <f t="shared" ref="L14:P14" si="30">AVERAGE(K43:L43)</f>
        <v>413</v>
      </c>
      <c r="M14" s="10">
        <f t="shared" si="30"/>
        <v>398</v>
      </c>
      <c r="N14" s="10">
        <f t="shared" si="30"/>
        <v>361.5</v>
      </c>
      <c r="O14" s="10">
        <f t="shared" si="30"/>
        <v>350.5</v>
      </c>
      <c r="P14" s="10">
        <f t="shared" si="30"/>
        <v>436</v>
      </c>
      <c r="Q14" s="10">
        <f>AVERAGE(P43:Q43)</f>
        <v>499</v>
      </c>
      <c r="R14" s="10">
        <f t="shared" ref="R14:T14" si="31">AVERAGE(Q43:R43)</f>
        <v>565.5</v>
      </c>
      <c r="S14" s="10">
        <f t="shared" si="31"/>
        <v>573</v>
      </c>
      <c r="T14" s="10">
        <f t="shared" si="31"/>
        <v>552.31711231565873</v>
      </c>
      <c r="U14" s="10">
        <f t="shared" ref="U14" si="32">AVERAGE(T43:U43)</f>
        <v>563.2687072646338</v>
      </c>
      <c r="V14" s="10">
        <f t="shared" ref="V14" si="33">AVERAGE(U43:V43)</f>
        <v>574.58670260121733</v>
      </c>
      <c r="W14" s="10">
        <f t="shared" ref="W14" si="34">AVERAGE(V43:W43)</f>
        <v>585.93086939405862</v>
      </c>
      <c r="X14" s="10">
        <f t="shared" ref="X14" si="35">AVERAGE(W43:X43)</f>
        <v>597.24720830936008</v>
      </c>
      <c r="Y14" s="10">
        <f t="shared" ref="Y14" si="36">AVERAGE(X43:Y43)</f>
        <v>608.55924052932801</v>
      </c>
      <c r="Z14" s="10"/>
      <c r="AA14" s="17"/>
      <c r="AB14" s="10"/>
      <c r="AC14" s="10"/>
      <c r="AD14" s="10"/>
      <c r="AF14" s="10"/>
      <c r="AG14" s="10"/>
      <c r="AH14" s="10"/>
      <c r="AI14" s="10"/>
      <c r="AJ14" s="10"/>
      <c r="AK14" s="10"/>
    </row>
    <row r="15" spans="1:37" x14ac:dyDescent="0.3">
      <c r="A15" s="7">
        <v>1014</v>
      </c>
      <c r="B15" s="101" t="s">
        <v>149</v>
      </c>
      <c r="C15" t="s">
        <v>74</v>
      </c>
      <c r="D15" s="10"/>
      <c r="E15" s="10"/>
      <c r="F15" s="10"/>
      <c r="G15" s="10"/>
      <c r="H15" s="10"/>
      <c r="I15" s="10"/>
      <c r="J15" s="10"/>
      <c r="K15" s="10">
        <f t="shared" ref="K15:N15" si="37">K44</f>
        <v>40</v>
      </c>
      <c r="L15" s="10">
        <f t="shared" si="37"/>
        <v>41</v>
      </c>
      <c r="M15" s="10">
        <f t="shared" si="37"/>
        <v>82</v>
      </c>
      <c r="N15" s="10">
        <f t="shared" si="37"/>
        <v>36</v>
      </c>
      <c r="O15" s="10">
        <f>O44</f>
        <v>41</v>
      </c>
      <c r="P15" s="10">
        <f>P44</f>
        <v>25</v>
      </c>
      <c r="Q15" s="10">
        <f t="shared" ref="Q15:X15" si="38">Q44</f>
        <v>43</v>
      </c>
      <c r="R15" s="10">
        <f t="shared" si="38"/>
        <v>28</v>
      </c>
      <c r="S15" s="10">
        <f t="shared" si="38"/>
        <v>41</v>
      </c>
      <c r="T15" s="10">
        <f t="shared" si="38"/>
        <v>41</v>
      </c>
      <c r="U15" s="10">
        <f t="shared" si="38"/>
        <v>41</v>
      </c>
      <c r="V15" s="10">
        <f t="shared" si="38"/>
        <v>41</v>
      </c>
      <c r="W15" s="10">
        <f t="shared" si="38"/>
        <v>41</v>
      </c>
      <c r="X15" s="10">
        <f t="shared" si="38"/>
        <v>41</v>
      </c>
      <c r="Y15" s="10">
        <f>Y44</f>
        <v>41</v>
      </c>
      <c r="Z15" s="10"/>
      <c r="AA15" s="17"/>
      <c r="AB15" s="10"/>
      <c r="AC15" s="10"/>
      <c r="AD15" s="10"/>
      <c r="AF15" s="10"/>
      <c r="AG15" s="10"/>
      <c r="AH15" s="10"/>
      <c r="AI15" s="10"/>
      <c r="AJ15" s="10"/>
      <c r="AK15" s="10"/>
    </row>
    <row r="16" spans="1:37" x14ac:dyDescent="0.3">
      <c r="A16" s="7" t="s">
        <v>394</v>
      </c>
      <c r="B16" s="56" t="s">
        <v>393</v>
      </c>
      <c r="D16" s="10"/>
      <c r="E16" s="10"/>
      <c r="F16" s="10"/>
      <c r="G16" s="10"/>
      <c r="H16" s="10"/>
      <c r="I16" s="10"/>
      <c r="J16" s="10"/>
      <c r="K16" s="10"/>
      <c r="L16" s="10"/>
      <c r="M16" s="10"/>
      <c r="N16" s="10"/>
      <c r="O16" s="10"/>
      <c r="P16" s="10"/>
      <c r="Q16" s="10"/>
      <c r="R16" s="10"/>
      <c r="S16" s="10">
        <v>2</v>
      </c>
      <c r="T16" s="10">
        <v>3</v>
      </c>
      <c r="U16" s="10">
        <v>1</v>
      </c>
      <c r="V16" s="10">
        <v>1</v>
      </c>
      <c r="W16" s="10"/>
      <c r="X16" s="10"/>
      <c r="Y16" s="10"/>
      <c r="Z16" s="10"/>
      <c r="AA16" s="17"/>
      <c r="AB16" s="10"/>
      <c r="AC16" s="10"/>
      <c r="AD16" s="10"/>
      <c r="AF16" s="10"/>
      <c r="AG16" s="10"/>
      <c r="AH16" s="10"/>
      <c r="AI16" s="10"/>
      <c r="AJ16" s="10"/>
      <c r="AK16" s="10"/>
    </row>
    <row r="17" spans="1:37" x14ac:dyDescent="0.3">
      <c r="A17" s="7">
        <v>1018</v>
      </c>
      <c r="B17" t="s">
        <v>85</v>
      </c>
      <c r="C17" t="s">
        <v>74</v>
      </c>
      <c r="D17" s="10">
        <v>733.5</v>
      </c>
      <c r="E17" s="10">
        <v>783</v>
      </c>
      <c r="F17" s="10">
        <v>766.5</v>
      </c>
      <c r="G17" s="10">
        <v>700</v>
      </c>
      <c r="H17" s="10">
        <v>583.5</v>
      </c>
      <c r="I17" s="10">
        <f>I47</f>
        <v>478</v>
      </c>
      <c r="J17" s="10">
        <f>J47</f>
        <v>127</v>
      </c>
      <c r="K17" s="10">
        <f>AVERAGE(J47:K47)</f>
        <v>316.5</v>
      </c>
      <c r="L17" s="10">
        <f t="shared" ref="L17:P17" si="39">AVERAGE(K47:L47)</f>
        <v>428.5</v>
      </c>
      <c r="M17" s="10">
        <f t="shared" si="39"/>
        <v>378.5</v>
      </c>
      <c r="N17" s="10">
        <f t="shared" si="39"/>
        <v>347.5</v>
      </c>
      <c r="O17" s="10">
        <f t="shared" si="39"/>
        <v>429.5</v>
      </c>
      <c r="P17" s="10">
        <f t="shared" si="39"/>
        <v>643.5</v>
      </c>
      <c r="Q17" s="10">
        <f>AVERAGE(P47:Q47)</f>
        <v>689</v>
      </c>
      <c r="R17" s="10">
        <f t="shared" ref="R17:T17" si="40">AVERAGE(Q47:R47)</f>
        <v>632</v>
      </c>
      <c r="S17" s="10">
        <f t="shared" si="40"/>
        <v>553.5</v>
      </c>
      <c r="T17" s="10">
        <f t="shared" si="40"/>
        <v>508.89913090876058</v>
      </c>
      <c r="U17" s="10">
        <f t="shared" ref="U17" si="41">AVERAGE(T47:U47)</f>
        <v>518.98981437180146</v>
      </c>
      <c r="V17" s="10">
        <f t="shared" ref="V17" si="42">AVERAGE(U47:V47)</f>
        <v>529.41809526693521</v>
      </c>
      <c r="W17" s="10">
        <f t="shared" ref="W17" si="43">AVERAGE(V47:W47)</f>
        <v>539.87049026436125</v>
      </c>
      <c r="X17" s="10">
        <f t="shared" ref="X17" si="44">AVERAGE(W47:X47)</f>
        <v>550.29724495048913</v>
      </c>
      <c r="Y17" s="10">
        <f t="shared" ref="Y17" si="45">AVERAGE(X47:Y47)</f>
        <v>560.72003149320176</v>
      </c>
      <c r="Z17" s="10"/>
      <c r="AA17" s="17"/>
      <c r="AB17" s="10"/>
      <c r="AC17" s="10"/>
      <c r="AD17" s="10"/>
      <c r="AF17" s="10"/>
      <c r="AG17" s="10"/>
      <c r="AH17" s="10"/>
      <c r="AI17" s="10"/>
      <c r="AJ17" s="10"/>
      <c r="AK17" s="10"/>
    </row>
    <row r="18" spans="1:37" x14ac:dyDescent="0.3">
      <c r="A18" s="7">
        <v>1019</v>
      </c>
      <c r="B18" t="s">
        <v>77</v>
      </c>
      <c r="C18" t="s">
        <v>73</v>
      </c>
      <c r="D18" s="10"/>
      <c r="E18" s="10"/>
      <c r="F18" s="10"/>
      <c r="G18" s="10"/>
      <c r="H18" s="10"/>
      <c r="I18" s="10">
        <f>I51</f>
        <v>386</v>
      </c>
      <c r="J18" s="10">
        <f>J51</f>
        <v>756</v>
      </c>
      <c r="K18" s="10">
        <f>AVERAGE(J51:K51)</f>
        <v>586.5</v>
      </c>
      <c r="L18" s="10">
        <f t="shared" ref="L18:P18" si="46">AVERAGE(K51:L51)</f>
        <v>484.5</v>
      </c>
      <c r="M18" s="10">
        <f t="shared" si="46"/>
        <v>439</v>
      </c>
      <c r="N18" s="10">
        <f t="shared" si="46"/>
        <v>376</v>
      </c>
      <c r="O18" s="10">
        <f t="shared" si="46"/>
        <v>345</v>
      </c>
      <c r="P18" s="10">
        <f t="shared" si="46"/>
        <v>230</v>
      </c>
      <c r="Q18" s="10">
        <f>AVERAGE(P51:Q51)</f>
        <v>186</v>
      </c>
      <c r="R18" s="10">
        <f t="shared" ref="R18:T18" si="47">AVERAGE(Q51:R51)</f>
        <v>124</v>
      </c>
      <c r="S18" s="10">
        <f t="shared" si="47"/>
        <v>68.5</v>
      </c>
      <c r="T18" s="10">
        <f t="shared" si="47"/>
        <v>65.631832359264763</v>
      </c>
      <c r="U18" s="10">
        <f t="shared" ref="U18" si="48">AVERAGE(T51:U51)</f>
        <v>66.933210186839489</v>
      </c>
      <c r="V18" s="10">
        <f t="shared" ref="V18" si="49">AVERAGE(U51:V51)</f>
        <v>68.27812736577539</v>
      </c>
      <c r="W18" s="10">
        <f t="shared" ref="W18" si="50">AVERAGE(V51:W51)</f>
        <v>69.626154498379933</v>
      </c>
      <c r="X18" s="10">
        <f t="shared" ref="X18" si="51">AVERAGE(W51:X51)</f>
        <v>70.970874844805138</v>
      </c>
      <c r="Y18" s="10">
        <f t="shared" ref="Y18" si="52">AVERAGE(X51:Y51)</f>
        <v>72.315083426702614</v>
      </c>
      <c r="Z18" s="10"/>
      <c r="AA18" s="17"/>
      <c r="AB18" s="10"/>
      <c r="AC18" s="10"/>
      <c r="AD18" s="10"/>
      <c r="AF18" s="10"/>
      <c r="AG18" s="10"/>
      <c r="AH18" s="10"/>
      <c r="AI18" s="10"/>
      <c r="AJ18" s="10"/>
      <c r="AK18" s="10"/>
    </row>
    <row r="19" spans="1:37" x14ac:dyDescent="0.3">
      <c r="A19" s="7">
        <v>1019</v>
      </c>
      <c r="B19" s="101" t="s">
        <v>188</v>
      </c>
      <c r="C19" t="s">
        <v>73</v>
      </c>
      <c r="D19" s="10"/>
      <c r="E19" s="10"/>
      <c r="F19" s="10"/>
      <c r="G19" s="10"/>
      <c r="H19" s="10"/>
      <c r="I19" s="10"/>
      <c r="J19" s="10">
        <f>J52</f>
        <v>4</v>
      </c>
      <c r="K19" s="10">
        <f t="shared" ref="K19:M19" si="53">K52</f>
        <v>231</v>
      </c>
      <c r="L19" s="10">
        <f t="shared" si="53"/>
        <v>83</v>
      </c>
      <c r="M19" s="10">
        <f t="shared" si="53"/>
        <v>363</v>
      </c>
      <c r="N19" s="10">
        <f>N52</f>
        <v>351</v>
      </c>
      <c r="O19" s="10">
        <f>O52</f>
        <v>379</v>
      </c>
      <c r="P19" s="10">
        <f>P52</f>
        <v>254</v>
      </c>
      <c r="Q19" s="10">
        <f t="shared" ref="Q19:T19" si="54">Q52</f>
        <v>523</v>
      </c>
      <c r="R19" s="10">
        <f t="shared" si="54"/>
        <v>334</v>
      </c>
      <c r="S19" s="10">
        <f t="shared" si="54"/>
        <v>238</v>
      </c>
      <c r="T19" s="10">
        <f t="shared" si="54"/>
        <v>238</v>
      </c>
      <c r="U19" s="10">
        <f t="shared" ref="U19:Y19" si="55">U52</f>
        <v>238</v>
      </c>
      <c r="V19" s="10">
        <f t="shared" si="55"/>
        <v>238</v>
      </c>
      <c r="W19" s="10">
        <f t="shared" si="55"/>
        <v>238</v>
      </c>
      <c r="X19" s="10">
        <f t="shared" si="55"/>
        <v>238</v>
      </c>
      <c r="Y19" s="10">
        <f t="shared" si="55"/>
        <v>238</v>
      </c>
      <c r="Z19" s="10"/>
      <c r="AA19" s="17"/>
      <c r="AB19" s="10"/>
      <c r="AC19" s="10"/>
      <c r="AD19" s="10"/>
      <c r="AF19" s="10"/>
      <c r="AG19" s="10"/>
      <c r="AH19" s="10"/>
      <c r="AI19" s="10"/>
      <c r="AJ19" s="10"/>
      <c r="AK19" s="10"/>
    </row>
    <row r="20" spans="1:37" x14ac:dyDescent="0.3">
      <c r="A20" s="7">
        <v>1015</v>
      </c>
      <c r="B20" t="s">
        <v>268</v>
      </c>
      <c r="C20" t="s">
        <v>74</v>
      </c>
      <c r="D20">
        <v>4</v>
      </c>
      <c r="E20">
        <v>4</v>
      </c>
      <c r="F20">
        <v>0</v>
      </c>
      <c r="G20">
        <v>1</v>
      </c>
      <c r="H20">
        <v>2</v>
      </c>
      <c r="I20" s="10">
        <f>I55</f>
        <v>2</v>
      </c>
      <c r="J20" s="10">
        <f>J55</f>
        <v>1</v>
      </c>
      <c r="K20" s="10">
        <f t="shared" ref="K20:P20" si="56">K55</f>
        <v>0</v>
      </c>
      <c r="L20" s="10">
        <f t="shared" si="56"/>
        <v>0</v>
      </c>
      <c r="M20" s="10">
        <f t="shared" si="56"/>
        <v>0</v>
      </c>
      <c r="N20" s="10">
        <f t="shared" si="56"/>
        <v>1</v>
      </c>
      <c r="O20" s="10">
        <f t="shared" si="56"/>
        <v>1</v>
      </c>
      <c r="P20" s="10">
        <f t="shared" si="56"/>
        <v>0</v>
      </c>
      <c r="Q20" s="10">
        <f t="shared" ref="Q20:Y20" si="57">Q55</f>
        <v>2</v>
      </c>
      <c r="R20" s="10">
        <f t="shared" si="57"/>
        <v>0</v>
      </c>
      <c r="S20" s="10">
        <f t="shared" si="57"/>
        <v>5</v>
      </c>
      <c r="T20" s="10">
        <f t="shared" si="57"/>
        <v>7.5</v>
      </c>
      <c r="U20" s="10">
        <f t="shared" si="57"/>
        <v>53</v>
      </c>
      <c r="V20" s="10">
        <f t="shared" si="57"/>
        <v>21</v>
      </c>
      <c r="W20" s="10">
        <f t="shared" si="57"/>
        <v>27</v>
      </c>
      <c r="X20" s="10">
        <f t="shared" si="57"/>
        <v>27</v>
      </c>
      <c r="Y20" s="10">
        <f t="shared" si="57"/>
        <v>27</v>
      </c>
      <c r="Z20" s="236"/>
      <c r="AA20" s="10"/>
      <c r="AB20" s="10"/>
      <c r="AC20" s="10"/>
      <c r="AD20" s="10"/>
      <c r="AE20" s="2"/>
      <c r="AF20" s="10"/>
      <c r="AG20" s="164"/>
      <c r="AH20" s="10"/>
      <c r="AI20" s="10"/>
      <c r="AJ20" s="10"/>
      <c r="AK20" s="10"/>
    </row>
    <row r="21" spans="1:37" x14ac:dyDescent="0.3">
      <c r="A21" s="7">
        <v>1015</v>
      </c>
      <c r="B21" s="101" t="s">
        <v>216</v>
      </c>
      <c r="C21" t="s">
        <v>74</v>
      </c>
      <c r="I21" s="10"/>
      <c r="J21" s="10"/>
      <c r="K21" s="10"/>
      <c r="L21" s="10"/>
      <c r="M21" s="10"/>
      <c r="N21" s="10">
        <v>1</v>
      </c>
      <c r="O21" s="10">
        <v>1</v>
      </c>
      <c r="P21" s="10">
        <v>1</v>
      </c>
      <c r="Q21" s="10">
        <v>1</v>
      </c>
      <c r="R21" s="10">
        <v>0</v>
      </c>
      <c r="S21" s="10">
        <v>1</v>
      </c>
      <c r="T21" s="10">
        <v>1</v>
      </c>
      <c r="U21" s="10">
        <v>1</v>
      </c>
      <c r="V21" s="10">
        <v>1</v>
      </c>
      <c r="W21" s="10">
        <v>1</v>
      </c>
      <c r="X21" s="10">
        <v>1</v>
      </c>
      <c r="Y21" s="10">
        <v>1</v>
      </c>
      <c r="Z21" s="10"/>
      <c r="AA21" s="10"/>
      <c r="AB21" s="10"/>
      <c r="AC21" s="10"/>
      <c r="AD21" s="10"/>
      <c r="AF21" s="10"/>
      <c r="AG21" s="164"/>
      <c r="AH21" s="10"/>
      <c r="AI21" s="10"/>
      <c r="AJ21" s="10"/>
      <c r="AK21" s="10"/>
    </row>
    <row r="22" spans="1:37" x14ac:dyDescent="0.3">
      <c r="A22" s="7">
        <v>1048</v>
      </c>
      <c r="B22" t="s">
        <v>207</v>
      </c>
      <c r="C22" t="s">
        <v>74</v>
      </c>
      <c r="I22" s="10"/>
      <c r="J22" s="10"/>
      <c r="K22" s="10"/>
      <c r="L22" s="10"/>
      <c r="M22" s="10"/>
      <c r="N22" s="10">
        <v>0</v>
      </c>
      <c r="O22" s="10">
        <v>0</v>
      </c>
      <c r="P22" s="10">
        <f t="shared" ref="P22:T22" si="58">P56</f>
        <v>0</v>
      </c>
      <c r="Q22" s="10">
        <f t="shared" si="58"/>
        <v>1</v>
      </c>
      <c r="R22" s="10">
        <f t="shared" si="58"/>
        <v>1</v>
      </c>
      <c r="S22" s="10">
        <f t="shared" si="58"/>
        <v>0</v>
      </c>
      <c r="T22" s="10">
        <f t="shared" si="58"/>
        <v>2</v>
      </c>
      <c r="U22" s="10">
        <f t="shared" ref="U22:Y22" si="59">U56</f>
        <v>3</v>
      </c>
      <c r="V22" s="10">
        <f t="shared" si="59"/>
        <v>5</v>
      </c>
      <c r="W22" s="10">
        <f t="shared" si="59"/>
        <v>2</v>
      </c>
      <c r="X22" s="10">
        <f t="shared" si="59"/>
        <v>3</v>
      </c>
      <c r="Y22" s="10">
        <f t="shared" si="59"/>
        <v>3</v>
      </c>
      <c r="Z22" s="10" t="s">
        <v>208</v>
      </c>
      <c r="AA22" s="10"/>
      <c r="AB22" s="10"/>
      <c r="AC22" s="10"/>
      <c r="AD22" s="10"/>
      <c r="AF22" s="10"/>
      <c r="AG22" s="164"/>
      <c r="AH22" s="10"/>
      <c r="AI22" s="10"/>
      <c r="AJ22" s="10"/>
      <c r="AK22" s="10"/>
    </row>
    <row r="23" spans="1:37" x14ac:dyDescent="0.3">
      <c r="A23" s="7">
        <v>1048</v>
      </c>
      <c r="B23" s="101" t="s">
        <v>384</v>
      </c>
      <c r="D23" s="16"/>
      <c r="E23" s="16"/>
      <c r="F23" s="16"/>
      <c r="G23" s="16"/>
      <c r="H23" s="16"/>
      <c r="I23" s="54"/>
      <c r="J23" s="54"/>
      <c r="K23" s="54"/>
      <c r="L23" s="54"/>
      <c r="M23" s="54"/>
      <c r="N23" s="54"/>
      <c r="O23" s="54"/>
      <c r="P23" s="54"/>
      <c r="Q23" s="54"/>
      <c r="R23" s="54"/>
      <c r="S23" s="54">
        <f>[2]Volumes!I$15</f>
        <v>0</v>
      </c>
      <c r="T23" s="54">
        <f>[2]Volumes!J$15</f>
        <v>1</v>
      </c>
      <c r="U23" s="54">
        <f>[2]Volumes!K$15</f>
        <v>3</v>
      </c>
      <c r="V23" s="54">
        <f>[2]Volumes!L$15</f>
        <v>0</v>
      </c>
      <c r="W23" s="54">
        <f>[2]Volumes!M$15</f>
        <v>0</v>
      </c>
      <c r="X23" s="54">
        <f>[2]Volumes!N$15</f>
        <v>0</v>
      </c>
      <c r="Y23" s="54">
        <f>[2]Volumes!O$15</f>
        <v>0</v>
      </c>
      <c r="Z23" s="10"/>
      <c r="AA23" s="10"/>
      <c r="AB23" s="10"/>
      <c r="AC23" s="10"/>
      <c r="AD23" s="10"/>
      <c r="AF23" s="10"/>
      <c r="AG23" s="164"/>
      <c r="AH23" s="10"/>
      <c r="AI23" s="10"/>
      <c r="AJ23" s="10"/>
      <c r="AK23" s="10"/>
    </row>
    <row r="24" spans="1:37" x14ac:dyDescent="0.3">
      <c r="B24" s="1" t="s">
        <v>2</v>
      </c>
      <c r="D24" s="17">
        <f t="shared" ref="D24:S24" si="60">SUM(D9,D13:D23)</f>
        <v>11902.5</v>
      </c>
      <c r="E24" s="17">
        <f t="shared" si="60"/>
        <v>14511</v>
      </c>
      <c r="F24" s="17">
        <f t="shared" si="60"/>
        <v>15354</v>
      </c>
      <c r="G24" s="17">
        <f t="shared" si="60"/>
        <v>13502</v>
      </c>
      <c r="H24" s="17">
        <f t="shared" si="60"/>
        <v>10314</v>
      </c>
      <c r="I24" s="17">
        <f t="shared" si="60"/>
        <v>9242.5</v>
      </c>
      <c r="J24" s="17">
        <f t="shared" si="60"/>
        <v>12050.5</v>
      </c>
      <c r="K24" s="17">
        <f t="shared" si="60"/>
        <v>14836</v>
      </c>
      <c r="L24" s="17">
        <f t="shared" si="60"/>
        <v>15564.5</v>
      </c>
      <c r="M24" s="17">
        <f t="shared" si="60"/>
        <v>18174.5</v>
      </c>
      <c r="N24" s="17">
        <f t="shared" si="60"/>
        <v>16839.5</v>
      </c>
      <c r="O24" s="17">
        <f t="shared" si="60"/>
        <v>14156.5</v>
      </c>
      <c r="P24" s="17">
        <f t="shared" si="60"/>
        <v>13364</v>
      </c>
      <c r="Q24" s="17">
        <f t="shared" si="60"/>
        <v>14105</v>
      </c>
      <c r="R24" s="17">
        <f t="shared" si="60"/>
        <v>15681</v>
      </c>
      <c r="S24" s="17">
        <f t="shared" si="60"/>
        <v>14495.5</v>
      </c>
      <c r="T24" s="17">
        <f>SUM(T9,T13:T23)</f>
        <v>14310.472095206371</v>
      </c>
      <c r="U24" s="17">
        <f t="shared" ref="U24:Y24" si="61">SUM(U9,U13:U23)</f>
        <v>16174.338046815856</v>
      </c>
      <c r="V24" s="17">
        <f t="shared" si="61"/>
        <v>16459.504069285045</v>
      </c>
      <c r="W24" s="17">
        <f t="shared" si="61"/>
        <v>16780.405811101355</v>
      </c>
      <c r="X24" s="17">
        <f t="shared" si="61"/>
        <v>17099.525269054902</v>
      </c>
      <c r="Y24" s="17">
        <f t="shared" si="61"/>
        <v>17417.523659267783</v>
      </c>
    </row>
    <row r="25" spans="1:37" x14ac:dyDescent="0.3">
      <c r="B25" t="s">
        <v>201</v>
      </c>
      <c r="I25" s="202">
        <v>0</v>
      </c>
      <c r="J25" s="202">
        <v>0</v>
      </c>
      <c r="K25" s="202">
        <v>0</v>
      </c>
      <c r="L25" s="202">
        <v>0</v>
      </c>
      <c r="M25" s="202">
        <v>0</v>
      </c>
      <c r="N25" s="240">
        <v>0</v>
      </c>
      <c r="O25" s="240">
        <v>0</v>
      </c>
      <c r="P25" s="240">
        <v>0</v>
      </c>
      <c r="Q25" s="241">
        <v>0</v>
      </c>
      <c r="R25" s="241">
        <v>0</v>
      </c>
      <c r="S25" s="10"/>
    </row>
    <row r="26" spans="1:37" x14ac:dyDescent="0.3">
      <c r="B26" s="8" t="s">
        <v>202</v>
      </c>
      <c r="J26" s="10"/>
      <c r="K26" s="18">
        <f t="shared" ref="K26" si="62">K37+K40+K47+K51</f>
        <v>14071</v>
      </c>
      <c r="L26" s="18">
        <f t="shared" ref="L26:N26" si="63">L37+L40+L47+L51</f>
        <v>15984</v>
      </c>
      <c r="M26" s="18">
        <f t="shared" si="63"/>
        <v>18679</v>
      </c>
      <c r="N26" s="18">
        <f t="shared" si="63"/>
        <v>13499</v>
      </c>
      <c r="O26" s="18">
        <f t="shared" ref="O26:R26" si="64">O37+O40+O47+O51</f>
        <v>13269</v>
      </c>
      <c r="P26" s="18">
        <f t="shared" si="64"/>
        <v>12027</v>
      </c>
      <c r="Q26" s="18">
        <f t="shared" si="64"/>
        <v>14045</v>
      </c>
      <c r="R26" s="18">
        <f t="shared" si="64"/>
        <v>15460</v>
      </c>
      <c r="S26" s="18">
        <f>S37+S40+S47+S51</f>
        <v>11811</v>
      </c>
      <c r="T26" s="18">
        <f t="shared" ref="T26:Y26" si="65">T37+T40+T47+T51</f>
        <v>15118.309965781425</v>
      </c>
      <c r="U26" s="18">
        <f t="shared" si="65"/>
        <v>15423.828713321018</v>
      </c>
      <c r="V26" s="18">
        <f t="shared" si="65"/>
        <v>15732.006020046634</v>
      </c>
      <c r="W26" s="18">
        <f t="shared" si="65"/>
        <v>16038.943863367957</v>
      </c>
      <c r="X26" s="18">
        <f t="shared" si="65"/>
        <v>16345.612258123125</v>
      </c>
      <c r="Y26" s="18">
        <f t="shared" si="65"/>
        <v>16652.316579353785</v>
      </c>
      <c r="Z26" s="1" t="s">
        <v>396</v>
      </c>
    </row>
    <row r="27" spans="1:37" x14ac:dyDescent="0.3">
      <c r="I27" s="10"/>
      <c r="J27" s="10"/>
      <c r="K27" s="10">
        <f t="shared" ref="K27" si="66">K43</f>
        <v>458</v>
      </c>
      <c r="L27" s="10">
        <f t="shared" ref="L27:N27" si="67">L43</f>
        <v>368</v>
      </c>
      <c r="M27" s="10">
        <f t="shared" si="67"/>
        <v>428</v>
      </c>
      <c r="N27" s="10">
        <f t="shared" si="67"/>
        <v>295</v>
      </c>
      <c r="O27" s="10">
        <f t="shared" ref="O27:R27" si="68">O43</f>
        <v>406</v>
      </c>
      <c r="P27" s="10">
        <f t="shared" si="68"/>
        <v>466</v>
      </c>
      <c r="Q27" s="10">
        <f t="shared" si="68"/>
        <v>532</v>
      </c>
      <c r="R27" s="10">
        <f t="shared" si="68"/>
        <v>599</v>
      </c>
      <c r="S27" s="10">
        <f>S43</f>
        <v>547</v>
      </c>
      <c r="T27" s="10">
        <f t="shared" ref="T27:Y27" si="69">T43</f>
        <v>557.63422463131758</v>
      </c>
      <c r="U27" s="10">
        <f t="shared" si="69"/>
        <v>568.90318989794991</v>
      </c>
      <c r="V27" s="10">
        <f t="shared" si="69"/>
        <v>580.27021530448474</v>
      </c>
      <c r="W27" s="10">
        <f t="shared" si="69"/>
        <v>591.59152348363261</v>
      </c>
      <c r="X27" s="10">
        <f t="shared" si="69"/>
        <v>602.90289313508765</v>
      </c>
      <c r="Y27" s="10">
        <f t="shared" si="69"/>
        <v>614.21558792356848</v>
      </c>
      <c r="Z27" s="1" t="s">
        <v>397</v>
      </c>
    </row>
    <row r="28" spans="1:37" x14ac:dyDescent="0.3">
      <c r="B28" s="10" t="s">
        <v>55</v>
      </c>
      <c r="O28" s="11"/>
      <c r="P28" s="11"/>
      <c r="Q28" s="11"/>
      <c r="R28" s="11"/>
      <c r="S28" s="10"/>
      <c r="Y28" s="228"/>
      <c r="Z28" s="8"/>
    </row>
    <row r="29" spans="1:37" x14ac:dyDescent="0.3">
      <c r="I29" s="18"/>
      <c r="K29" s="19"/>
      <c r="M29" s="18"/>
      <c r="N29" s="18"/>
      <c r="O29" t="s">
        <v>121</v>
      </c>
    </row>
    <row r="30" spans="1:37" x14ac:dyDescent="0.3">
      <c r="B30" t="s">
        <v>78</v>
      </c>
      <c r="H30" s="7" t="s">
        <v>15</v>
      </c>
      <c r="I30" s="7" t="s">
        <v>15</v>
      </c>
      <c r="J30" s="7" t="s">
        <v>15</v>
      </c>
      <c r="K30" s="7" t="s">
        <v>15</v>
      </c>
      <c r="L30" s="7" t="s">
        <v>15</v>
      </c>
      <c r="M30" s="7" t="s">
        <v>15</v>
      </c>
      <c r="N30" s="7" t="s">
        <v>15</v>
      </c>
      <c r="O30" s="7" t="s">
        <v>15</v>
      </c>
      <c r="P30" s="7" t="s">
        <v>15</v>
      </c>
      <c r="Q30" s="7" t="s">
        <v>15</v>
      </c>
      <c r="R30" s="65" t="s">
        <v>16</v>
      </c>
      <c r="S30" s="65" t="s">
        <v>16</v>
      </c>
      <c r="T30" s="65" t="s">
        <v>16</v>
      </c>
      <c r="U30" s="65" t="s">
        <v>16</v>
      </c>
      <c r="V30" s="65" t="s">
        <v>16</v>
      </c>
      <c r="W30" s="65" t="s">
        <v>16</v>
      </c>
      <c r="X30" s="65" t="s">
        <v>16</v>
      </c>
      <c r="Y30" s="65" t="s">
        <v>16</v>
      </c>
    </row>
    <row r="31" spans="1:37" x14ac:dyDescent="0.3">
      <c r="H31" s="55">
        <v>2014</v>
      </c>
      <c r="I31" s="55">
        <v>2015</v>
      </c>
      <c r="J31" s="55">
        <v>2016</v>
      </c>
      <c r="K31" s="55">
        <v>2017</v>
      </c>
      <c r="L31" s="55">
        <v>2018</v>
      </c>
      <c r="M31" s="55">
        <v>2019</v>
      </c>
      <c r="N31" s="55">
        <v>2020</v>
      </c>
      <c r="O31" s="105" t="s">
        <v>123</v>
      </c>
      <c r="P31" s="105" t="s">
        <v>136</v>
      </c>
      <c r="Q31" s="105" t="s">
        <v>135</v>
      </c>
      <c r="R31" s="105" t="s">
        <v>134</v>
      </c>
      <c r="S31" s="105" t="s">
        <v>133</v>
      </c>
      <c r="T31" s="105" t="s">
        <v>132</v>
      </c>
      <c r="U31" s="7" t="s">
        <v>196</v>
      </c>
      <c r="V31" s="7" t="s">
        <v>203</v>
      </c>
      <c r="W31" s="7" t="s">
        <v>204</v>
      </c>
      <c r="X31" s="7" t="s">
        <v>205</v>
      </c>
      <c r="Y31" s="7" t="s">
        <v>206</v>
      </c>
    </row>
    <row r="32" spans="1:37" x14ac:dyDescent="0.3">
      <c r="B32" t="s">
        <v>198</v>
      </c>
      <c r="E32">
        <v>12395</v>
      </c>
      <c r="F32">
        <v>12226</v>
      </c>
      <c r="G32">
        <v>8508</v>
      </c>
      <c r="H32">
        <v>6173</v>
      </c>
      <c r="I32">
        <v>6781</v>
      </c>
      <c r="J32">
        <v>11679</v>
      </c>
      <c r="K32" s="18">
        <v>10503</v>
      </c>
      <c r="L32" s="18">
        <v>2996</v>
      </c>
      <c r="M32" s="18">
        <v>2048</v>
      </c>
      <c r="N32" s="18"/>
      <c r="O32" s="18"/>
      <c r="P32" s="18"/>
      <c r="Q32" s="18"/>
      <c r="R32" s="10"/>
      <c r="S32" s="10"/>
      <c r="T32" s="10">
        <v>13302.685552493716</v>
      </c>
      <c r="U32" s="10">
        <f t="shared" ref="U32:Y32" si="70">T32*(1+U59)</f>
        <v>13571.513208369925</v>
      </c>
      <c r="V32" s="10">
        <f t="shared" si="70"/>
        <v>13842.680145353239</v>
      </c>
      <c r="W32" s="10">
        <f t="shared" si="70"/>
        <v>14112.756471550132</v>
      </c>
      <c r="X32" s="10">
        <f t="shared" si="70"/>
        <v>14382.595708445628</v>
      </c>
      <c r="Y32" s="10">
        <f t="shared" si="70"/>
        <v>14652.466557247979</v>
      </c>
    </row>
    <row r="33" spans="2:35" x14ac:dyDescent="0.3">
      <c r="B33" t="s">
        <v>199</v>
      </c>
      <c r="C33" t="s">
        <v>117</v>
      </c>
      <c r="I33">
        <f>194+165</f>
        <v>359</v>
      </c>
      <c r="J33">
        <v>0</v>
      </c>
      <c r="K33" s="18">
        <v>608</v>
      </c>
      <c r="L33">
        <v>10570</v>
      </c>
      <c r="M33">
        <v>14030</v>
      </c>
      <c r="N33" s="10">
        <v>10815</v>
      </c>
      <c r="O33" s="10">
        <v>10008</v>
      </c>
      <c r="P33" s="10">
        <v>8594</v>
      </c>
      <c r="Q33" s="10">
        <v>10602</v>
      </c>
      <c r="R33" s="10">
        <v>13044</v>
      </c>
      <c r="S33" s="10">
        <v>10030</v>
      </c>
    </row>
    <row r="34" spans="2:35" x14ac:dyDescent="0.3">
      <c r="B34" t="s">
        <v>92</v>
      </c>
      <c r="K34" s="18"/>
      <c r="N34" s="10">
        <v>7370</v>
      </c>
      <c r="O34" s="10">
        <v>7442</v>
      </c>
      <c r="P34" s="10">
        <v>6985</v>
      </c>
      <c r="Q34" s="10">
        <v>8330</v>
      </c>
      <c r="R34" s="10">
        <v>9635</v>
      </c>
      <c r="S34" s="10">
        <v>8507</v>
      </c>
    </row>
    <row r="35" spans="2:35" x14ac:dyDescent="0.3">
      <c r="B35" t="s">
        <v>91</v>
      </c>
      <c r="K35" s="18"/>
      <c r="N35" s="10">
        <v>96</v>
      </c>
      <c r="O35" s="10">
        <v>103</v>
      </c>
      <c r="P35" s="10">
        <v>8</v>
      </c>
      <c r="Q35" s="10">
        <v>88</v>
      </c>
      <c r="R35" s="10">
        <v>46</v>
      </c>
      <c r="S35" s="10">
        <v>85</v>
      </c>
    </row>
    <row r="36" spans="2:35" x14ac:dyDescent="0.3">
      <c r="B36" t="s">
        <v>200</v>
      </c>
      <c r="K36" s="18"/>
      <c r="N36" s="10">
        <v>-6775</v>
      </c>
      <c r="O36" s="10">
        <v>-6848</v>
      </c>
      <c r="P36" s="10">
        <v>-5935</v>
      </c>
      <c r="Q36" s="10">
        <v>-7223</v>
      </c>
      <c r="R36" s="10">
        <v>-9156</v>
      </c>
      <c r="S36" s="10">
        <v>-8053</v>
      </c>
    </row>
    <row r="37" spans="2:35" ht="15.3" thickBot="1" x14ac:dyDescent="0.35">
      <c r="G37" s="56" t="s">
        <v>2</v>
      </c>
      <c r="H37" s="171">
        <f>SUM(H32:H33)</f>
        <v>6173</v>
      </c>
      <c r="I37" s="369">
        <f t="shared" ref="I37:Y37" si="71">SUM(I32:I33)</f>
        <v>7140</v>
      </c>
      <c r="J37" s="369">
        <f t="shared" si="71"/>
        <v>11679</v>
      </c>
      <c r="K37" s="369">
        <f t="shared" si="71"/>
        <v>11111</v>
      </c>
      <c r="L37" s="369">
        <f t="shared" si="71"/>
        <v>13566</v>
      </c>
      <c r="M37" s="369">
        <f t="shared" si="71"/>
        <v>16078</v>
      </c>
      <c r="N37" s="369">
        <f t="shared" ref="N37:P37" si="72">SUM(N33:N36)</f>
        <v>11506</v>
      </c>
      <c r="O37" s="369">
        <f t="shared" si="72"/>
        <v>10705</v>
      </c>
      <c r="P37" s="369">
        <f t="shared" si="72"/>
        <v>9652</v>
      </c>
      <c r="Q37" s="369">
        <f>SUM(Q33:Q36)</f>
        <v>11797</v>
      </c>
      <c r="R37" s="369">
        <f>SUM(R33:R36)</f>
        <v>13569</v>
      </c>
      <c r="S37" s="369">
        <f t="shared" si="71"/>
        <v>10030</v>
      </c>
      <c r="T37" s="369">
        <f t="shared" si="71"/>
        <v>13302.685552493716</v>
      </c>
      <c r="U37" s="369">
        <f t="shared" si="71"/>
        <v>13571.513208369925</v>
      </c>
      <c r="V37" s="369">
        <f t="shared" si="71"/>
        <v>13842.680145353239</v>
      </c>
      <c r="W37" s="369">
        <f t="shared" si="71"/>
        <v>14112.756471550132</v>
      </c>
      <c r="X37" s="369">
        <f t="shared" si="71"/>
        <v>14382.595708445628</v>
      </c>
      <c r="Y37" s="369">
        <f t="shared" si="71"/>
        <v>14652.466557247979</v>
      </c>
      <c r="AA37" s="18"/>
    </row>
    <row r="38" spans="2:35" x14ac:dyDescent="0.3">
      <c r="B38" s="66" t="s">
        <v>79</v>
      </c>
      <c r="D38" s="10"/>
      <c r="E38" s="10">
        <v>445</v>
      </c>
      <c r="F38" s="10">
        <v>390</v>
      </c>
      <c r="G38" s="10">
        <v>384</v>
      </c>
      <c r="H38" s="10">
        <v>247</v>
      </c>
      <c r="I38" s="10">
        <v>268</v>
      </c>
      <c r="J38" s="10">
        <v>403</v>
      </c>
      <c r="K38" s="18">
        <v>363</v>
      </c>
      <c r="L38" s="18">
        <v>390</v>
      </c>
      <c r="M38" s="18">
        <v>429</v>
      </c>
      <c r="N38" s="18">
        <v>336</v>
      </c>
      <c r="O38" s="18">
        <v>347</v>
      </c>
      <c r="P38" s="18">
        <v>316</v>
      </c>
      <c r="Q38" s="18">
        <v>340</v>
      </c>
      <c r="R38" s="18">
        <v>388</v>
      </c>
      <c r="S38" s="18">
        <v>302</v>
      </c>
      <c r="T38" s="18">
        <f>SUM($Q$38:$S$38)/SUM($Q$37:$S$37)*T37</f>
        <v>387.09928011833341</v>
      </c>
      <c r="U38" s="18">
        <f t="shared" ref="U38:Y38" si="73">SUM($Q$38:$S$38)/SUM($Q$37:$S$37)*U37</f>
        <v>394.92198566564082</v>
      </c>
      <c r="V38" s="18">
        <f t="shared" si="73"/>
        <v>402.81276273346811</v>
      </c>
      <c r="W38" s="18">
        <f t="shared" si="73"/>
        <v>410.67180375456655</v>
      </c>
      <c r="X38" s="18">
        <f t="shared" si="73"/>
        <v>418.5239456350717</v>
      </c>
      <c r="Y38" s="18">
        <f t="shared" si="73"/>
        <v>426.37700740098933</v>
      </c>
    </row>
    <row r="39" spans="2:35" x14ac:dyDescent="0.3">
      <c r="B39" s="66"/>
      <c r="D39" s="10"/>
      <c r="E39" s="10"/>
      <c r="F39" s="10"/>
      <c r="G39" s="10"/>
      <c r="H39" s="10"/>
      <c r="I39" s="10"/>
      <c r="J39" s="18"/>
      <c r="K39" s="18"/>
      <c r="L39" s="18"/>
      <c r="M39" s="18"/>
      <c r="N39" s="228">
        <f t="shared" ref="N39:P39" si="74">N34/N37</f>
        <v>0.64053537284894835</v>
      </c>
      <c r="O39" s="228">
        <f t="shared" si="74"/>
        <v>0.69518916394208319</v>
      </c>
      <c r="P39" s="228">
        <f t="shared" si="74"/>
        <v>0.72368421052631582</v>
      </c>
      <c r="Q39" s="228">
        <f>Q34/Q37</f>
        <v>0.70611172331948802</v>
      </c>
      <c r="R39" s="228">
        <f>R34/R37</f>
        <v>0.71007443437246665</v>
      </c>
    </row>
    <row r="40" spans="2:35" x14ac:dyDescent="0.3">
      <c r="B40" t="s">
        <v>80</v>
      </c>
      <c r="G40" t="s">
        <v>70</v>
      </c>
      <c r="H40" s="10">
        <v>1687</v>
      </c>
      <c r="I40" s="10">
        <v>1199</v>
      </c>
      <c r="J40" s="10">
        <v>1710</v>
      </c>
      <c r="K40" s="18">
        <v>2037</v>
      </c>
      <c r="L40" s="18">
        <v>1515</v>
      </c>
      <c r="M40" s="18">
        <v>1869</v>
      </c>
      <c r="N40" s="18">
        <v>1278</v>
      </c>
      <c r="O40" s="18">
        <v>1730</v>
      </c>
      <c r="P40" s="18">
        <v>1462</v>
      </c>
      <c r="Q40" s="18">
        <v>1411</v>
      </c>
      <c r="R40" s="18">
        <v>1216</v>
      </c>
      <c r="S40" s="18">
        <v>1212</v>
      </c>
      <c r="T40" s="18">
        <f t="shared" ref="T40:Y40" si="75">S40*(1+T59)</f>
        <v>1235.5624867516581</v>
      </c>
      <c r="U40" s="18">
        <f t="shared" si="75"/>
        <v>1260.5313823698636</v>
      </c>
      <c r="V40" s="18">
        <f t="shared" si="75"/>
        <v>1285.717552009206</v>
      </c>
      <c r="W40" s="18">
        <f t="shared" si="75"/>
        <v>1310.8024249765317</v>
      </c>
      <c r="X40" s="18">
        <f t="shared" si="75"/>
        <v>1335.8652769282016</v>
      </c>
      <c r="Y40" s="18">
        <f t="shared" si="75"/>
        <v>1360.9310650152927</v>
      </c>
    </row>
    <row r="41" spans="2:35" x14ac:dyDescent="0.3">
      <c r="G41" t="s">
        <v>71</v>
      </c>
      <c r="J41">
        <v>0</v>
      </c>
      <c r="AC41" s="12"/>
    </row>
    <row r="42" spans="2:35" ht="15.3" thickBot="1" x14ac:dyDescent="0.35">
      <c r="B42" s="49"/>
      <c r="G42" s="56" t="s">
        <v>2</v>
      </c>
      <c r="H42" s="171">
        <f>SUM(H40:H41)</f>
        <v>1687</v>
      </c>
      <c r="I42" s="369">
        <f t="shared" ref="I42" si="76">SUM(I40:I41)</f>
        <v>1199</v>
      </c>
      <c r="J42" s="369">
        <f t="shared" ref="J42:Y42" si="77">SUM(J40:J41)</f>
        <v>1710</v>
      </c>
      <c r="K42" s="369">
        <f t="shared" si="77"/>
        <v>2037</v>
      </c>
      <c r="L42" s="369">
        <f t="shared" si="77"/>
        <v>1515</v>
      </c>
      <c r="M42" s="369">
        <f t="shared" si="77"/>
        <v>1869</v>
      </c>
      <c r="N42" s="369">
        <f t="shared" si="77"/>
        <v>1278</v>
      </c>
      <c r="O42" s="369">
        <f t="shared" si="77"/>
        <v>1730</v>
      </c>
      <c r="P42" s="369">
        <f t="shared" si="77"/>
        <v>1462</v>
      </c>
      <c r="Q42" s="369">
        <f t="shared" si="77"/>
        <v>1411</v>
      </c>
      <c r="R42" s="369">
        <f t="shared" si="77"/>
        <v>1216</v>
      </c>
      <c r="S42" s="369">
        <f t="shared" si="77"/>
        <v>1212</v>
      </c>
      <c r="T42" s="369">
        <f t="shared" si="77"/>
        <v>1235.5624867516581</v>
      </c>
      <c r="U42" s="369">
        <f t="shared" si="77"/>
        <v>1260.5313823698636</v>
      </c>
      <c r="V42" s="369">
        <f t="shared" si="77"/>
        <v>1285.717552009206</v>
      </c>
      <c r="W42" s="369">
        <f t="shared" si="77"/>
        <v>1310.8024249765317</v>
      </c>
      <c r="X42" s="369">
        <f t="shared" si="77"/>
        <v>1335.8652769282016</v>
      </c>
      <c r="Y42" s="369">
        <f t="shared" si="77"/>
        <v>1360.9310650152927</v>
      </c>
    </row>
    <row r="43" spans="2:35" x14ac:dyDescent="0.3">
      <c r="B43" t="s">
        <v>81</v>
      </c>
      <c r="G43" t="s">
        <v>70</v>
      </c>
      <c r="H43" s="10">
        <v>286</v>
      </c>
      <c r="I43" s="10">
        <v>257</v>
      </c>
      <c r="J43" s="10">
        <v>329</v>
      </c>
      <c r="K43" s="10">
        <v>458</v>
      </c>
      <c r="L43" s="10">
        <v>368</v>
      </c>
      <c r="M43" s="10">
        <v>428</v>
      </c>
      <c r="N43" s="10">
        <v>295</v>
      </c>
      <c r="O43" s="10">
        <v>406</v>
      </c>
      <c r="P43" s="10">
        <v>466</v>
      </c>
      <c r="Q43" s="10">
        <f>532-Q16</f>
        <v>532</v>
      </c>
      <c r="R43" s="10">
        <f>599-R16</f>
        <v>599</v>
      </c>
      <c r="S43" s="10">
        <f>549-S16</f>
        <v>547</v>
      </c>
      <c r="T43" s="10">
        <f>S43*(1+T60)</f>
        <v>557.63422463131758</v>
      </c>
      <c r="U43" s="10">
        <f t="shared" ref="U43:Y43" si="78">T43*(1+U60)</f>
        <v>568.90318989794991</v>
      </c>
      <c r="V43" s="10">
        <f t="shared" si="78"/>
        <v>580.27021530448474</v>
      </c>
      <c r="W43" s="10">
        <f t="shared" si="78"/>
        <v>591.59152348363261</v>
      </c>
      <c r="X43" s="10">
        <f t="shared" si="78"/>
        <v>602.90289313508765</v>
      </c>
      <c r="Y43" s="10">
        <f t="shared" si="78"/>
        <v>614.21558792356848</v>
      </c>
      <c r="AB43" s="66"/>
      <c r="AC43" s="12"/>
    </row>
    <row r="44" spans="2:35" x14ac:dyDescent="0.3">
      <c r="C44" t="s">
        <v>117</v>
      </c>
      <c r="G44" t="s">
        <v>71</v>
      </c>
      <c r="I44">
        <v>11</v>
      </c>
      <c r="J44">
        <v>0</v>
      </c>
      <c r="K44">
        <v>40</v>
      </c>
      <c r="L44">
        <v>41</v>
      </c>
      <c r="M44">
        <v>82</v>
      </c>
      <c r="N44">
        <v>36</v>
      </c>
      <c r="O44">
        <v>41</v>
      </c>
      <c r="P44">
        <v>25</v>
      </c>
      <c r="Q44">
        <v>43</v>
      </c>
      <c r="R44" s="18">
        <v>28</v>
      </c>
      <c r="S44" s="18">
        <v>41</v>
      </c>
      <c r="T44" s="18">
        <f>$S44</f>
        <v>41</v>
      </c>
      <c r="U44" s="18">
        <f t="shared" ref="U44:Y44" si="79">$S44</f>
        <v>41</v>
      </c>
      <c r="V44" s="18">
        <f t="shared" si="79"/>
        <v>41</v>
      </c>
      <c r="W44" s="18">
        <f t="shared" si="79"/>
        <v>41</v>
      </c>
      <c r="X44" s="18">
        <f t="shared" si="79"/>
        <v>41</v>
      </c>
      <c r="Y44" s="18">
        <f t="shared" si="79"/>
        <v>41</v>
      </c>
    </row>
    <row r="45" spans="2:35" ht="15.3" thickBot="1" x14ac:dyDescent="0.35">
      <c r="B45" s="49"/>
      <c r="G45" s="56" t="s">
        <v>2</v>
      </c>
      <c r="H45" s="171">
        <f>SUM(H43:H44)</f>
        <v>286</v>
      </c>
      <c r="I45" s="171">
        <f t="shared" ref="I45" si="80">SUM(I43:I44)</f>
        <v>268</v>
      </c>
      <c r="J45" s="171">
        <f t="shared" ref="J45:R45" si="81">SUM(J43:J44)</f>
        <v>329</v>
      </c>
      <c r="K45" s="172">
        <f t="shared" si="81"/>
        <v>498</v>
      </c>
      <c r="L45" s="172">
        <f t="shared" si="81"/>
        <v>409</v>
      </c>
      <c r="M45" s="172">
        <f t="shared" si="81"/>
        <v>510</v>
      </c>
      <c r="N45" s="172">
        <f t="shared" si="81"/>
        <v>331</v>
      </c>
      <c r="O45" s="172">
        <f t="shared" si="81"/>
        <v>447</v>
      </c>
      <c r="P45" s="172">
        <f t="shared" si="81"/>
        <v>491</v>
      </c>
      <c r="Q45" s="172">
        <f t="shared" si="81"/>
        <v>575</v>
      </c>
      <c r="R45" s="172">
        <f t="shared" si="81"/>
        <v>627</v>
      </c>
      <c r="S45" s="172">
        <f>SUM(S43:S44)</f>
        <v>588</v>
      </c>
      <c r="T45" s="172">
        <f t="shared" ref="T45:Y45" si="82">SUM(T43:T44)</f>
        <v>598.63422463131758</v>
      </c>
      <c r="U45" s="172">
        <f t="shared" si="82"/>
        <v>609.90318989794991</v>
      </c>
      <c r="V45" s="172">
        <f t="shared" si="82"/>
        <v>621.27021530448474</v>
      </c>
      <c r="W45" s="172">
        <f t="shared" si="82"/>
        <v>632.59152348363261</v>
      </c>
      <c r="X45" s="172">
        <f t="shared" si="82"/>
        <v>643.90289313508765</v>
      </c>
      <c r="Y45" s="172">
        <f t="shared" si="82"/>
        <v>655.21558792356848</v>
      </c>
      <c r="AA45" s="18"/>
      <c r="AC45" s="11"/>
      <c r="AD45" s="11"/>
      <c r="AE45" s="11"/>
      <c r="AF45" s="11"/>
      <c r="AG45" s="11"/>
      <c r="AH45" s="11"/>
      <c r="AI45" s="11"/>
    </row>
    <row r="46" spans="2:35" x14ac:dyDescent="0.3">
      <c r="B46" t="s">
        <v>72</v>
      </c>
      <c r="M46" s="11"/>
      <c r="N46" s="11"/>
      <c r="O46" s="11"/>
      <c r="P46" s="11"/>
      <c r="Q46" s="11"/>
    </row>
    <row r="47" spans="2:35" x14ac:dyDescent="0.3">
      <c r="B47" s="49" t="s">
        <v>68</v>
      </c>
      <c r="H47" s="10">
        <v>504</v>
      </c>
      <c r="I47" s="10">
        <v>478</v>
      </c>
      <c r="J47" s="10">
        <v>127</v>
      </c>
      <c r="K47" s="18">
        <v>506</v>
      </c>
      <c r="L47" s="18">
        <v>351</v>
      </c>
      <c r="M47" s="18">
        <v>406</v>
      </c>
      <c r="N47" s="18">
        <v>289</v>
      </c>
      <c r="O47" s="18">
        <v>570</v>
      </c>
      <c r="P47" s="18">
        <v>717</v>
      </c>
      <c r="Q47" s="18">
        <v>661</v>
      </c>
      <c r="R47" s="18">
        <v>603</v>
      </c>
      <c r="S47" s="18">
        <v>504</v>
      </c>
      <c r="T47" s="18">
        <f t="shared" ref="T47:Y47" si="83">S47*(1+T59)</f>
        <v>513.79826181752117</v>
      </c>
      <c r="U47" s="18">
        <f t="shared" si="83"/>
        <v>524.18136692608186</v>
      </c>
      <c r="V47" s="18">
        <f t="shared" si="83"/>
        <v>534.65482360778856</v>
      </c>
      <c r="W47" s="18">
        <f t="shared" si="83"/>
        <v>545.08615692093395</v>
      </c>
      <c r="X47" s="18">
        <f t="shared" si="83"/>
        <v>555.5083329800442</v>
      </c>
      <c r="Y47" s="18">
        <f t="shared" si="83"/>
        <v>565.9317300063592</v>
      </c>
    </row>
    <row r="48" spans="2:35" x14ac:dyDescent="0.3">
      <c r="B48" s="49" t="s">
        <v>69</v>
      </c>
      <c r="J48" s="10">
        <v>439</v>
      </c>
      <c r="K48" s="10">
        <v>490</v>
      </c>
      <c r="L48">
        <v>253</v>
      </c>
      <c r="M48" s="10">
        <v>233</v>
      </c>
      <c r="N48" s="18">
        <v>180</v>
      </c>
      <c r="O48" s="18">
        <v>172</v>
      </c>
      <c r="P48" s="18">
        <v>68</v>
      </c>
      <c r="Q48" s="18">
        <v>60</v>
      </c>
      <c r="R48" s="18">
        <v>51</v>
      </c>
      <c r="S48" s="18">
        <v>39</v>
      </c>
      <c r="T48" s="18">
        <f>$S48</f>
        <v>39</v>
      </c>
      <c r="U48" s="18">
        <f t="shared" ref="U48:Y48" si="84">$S48</f>
        <v>39</v>
      </c>
      <c r="V48" s="18">
        <f t="shared" si="84"/>
        <v>39</v>
      </c>
      <c r="W48" s="18">
        <f t="shared" si="84"/>
        <v>39</v>
      </c>
      <c r="X48" s="18">
        <f t="shared" si="84"/>
        <v>39</v>
      </c>
      <c r="Y48" s="18">
        <f t="shared" si="84"/>
        <v>39</v>
      </c>
    </row>
    <row r="49" spans="2:26" ht="15.3" thickBot="1" x14ac:dyDescent="0.35">
      <c r="B49" s="49" t="s">
        <v>103</v>
      </c>
      <c r="H49" s="171">
        <f>SUM(H47:H48)</f>
        <v>504</v>
      </c>
      <c r="I49" s="171">
        <f t="shared" ref="I49" si="85">SUM(I47:I48)</f>
        <v>478</v>
      </c>
      <c r="J49" s="171">
        <f t="shared" ref="J49:Y49" si="86">SUM(J47:J48)</f>
        <v>566</v>
      </c>
      <c r="K49" s="172">
        <f t="shared" si="86"/>
        <v>996</v>
      </c>
      <c r="L49" s="172">
        <f t="shared" si="86"/>
        <v>604</v>
      </c>
      <c r="M49" s="172">
        <f t="shared" si="86"/>
        <v>639</v>
      </c>
      <c r="N49" s="172">
        <f t="shared" si="86"/>
        <v>469</v>
      </c>
      <c r="O49" s="172">
        <f t="shared" si="86"/>
        <v>742</v>
      </c>
      <c r="P49" s="172">
        <f t="shared" si="86"/>
        <v>785</v>
      </c>
      <c r="Q49" s="172">
        <f t="shared" si="86"/>
        <v>721</v>
      </c>
      <c r="R49" s="172">
        <f t="shared" si="86"/>
        <v>654</v>
      </c>
      <c r="S49" s="172">
        <f t="shared" si="86"/>
        <v>543</v>
      </c>
      <c r="T49" s="172">
        <f t="shared" si="86"/>
        <v>552.79826181752117</v>
      </c>
      <c r="U49" s="172">
        <f t="shared" si="86"/>
        <v>563.18136692608186</v>
      </c>
      <c r="V49" s="172">
        <f t="shared" si="86"/>
        <v>573.65482360778856</v>
      </c>
      <c r="W49" s="172">
        <f t="shared" si="86"/>
        <v>584.08615692093395</v>
      </c>
      <c r="X49" s="172">
        <f t="shared" si="86"/>
        <v>594.5083329800442</v>
      </c>
      <c r="Y49" s="172">
        <f t="shared" si="86"/>
        <v>604.9317300063592</v>
      </c>
    </row>
    <row r="50" spans="2:26" x14ac:dyDescent="0.3">
      <c r="B50" s="49" t="s">
        <v>66</v>
      </c>
      <c r="I50" s="10">
        <v>564</v>
      </c>
      <c r="J50">
        <v>129</v>
      </c>
      <c r="K50">
        <v>474</v>
      </c>
    </row>
    <row r="51" spans="2:26" x14ac:dyDescent="0.3">
      <c r="B51" s="49" t="s">
        <v>67</v>
      </c>
      <c r="I51" s="10">
        <v>386</v>
      </c>
      <c r="J51">
        <v>756</v>
      </c>
      <c r="K51" s="18">
        <v>417</v>
      </c>
      <c r="L51" s="18">
        <v>552</v>
      </c>
      <c r="M51" s="18">
        <v>326</v>
      </c>
      <c r="N51" s="18">
        <v>426</v>
      </c>
      <c r="O51" s="18">
        <v>264</v>
      </c>
      <c r="P51" s="18">
        <v>196</v>
      </c>
      <c r="Q51" s="18">
        <v>176</v>
      </c>
      <c r="R51" s="18">
        <v>72</v>
      </c>
      <c r="S51" s="18">
        <v>65</v>
      </c>
      <c r="T51" s="18">
        <f t="shared" ref="T51:Y51" si="87">S51*(1+T59)</f>
        <v>66.263664718529512</v>
      </c>
      <c r="U51" s="18">
        <f t="shared" si="87"/>
        <v>67.602755655149451</v>
      </c>
      <c r="V51" s="18">
        <f t="shared" si="87"/>
        <v>68.953499076401314</v>
      </c>
      <c r="W51" s="18">
        <f t="shared" si="87"/>
        <v>70.298809920358551</v>
      </c>
      <c r="X51" s="18">
        <f t="shared" si="87"/>
        <v>71.64293976925174</v>
      </c>
      <c r="Y51" s="18">
        <f t="shared" si="87"/>
        <v>72.987227084153488</v>
      </c>
    </row>
    <row r="52" spans="2:26" x14ac:dyDescent="0.3">
      <c r="B52" s="49" t="s">
        <v>247</v>
      </c>
      <c r="C52" s="196" t="s">
        <v>117</v>
      </c>
      <c r="I52" s="10"/>
      <c r="J52">
        <v>4</v>
      </c>
      <c r="K52" s="18">
        <v>231</v>
      </c>
      <c r="L52" s="18">
        <v>83</v>
      </c>
      <c r="M52" s="18">
        <v>363</v>
      </c>
      <c r="N52" s="18">
        <v>351</v>
      </c>
      <c r="O52" s="18">
        <v>379</v>
      </c>
      <c r="P52" s="18">
        <v>254</v>
      </c>
      <c r="Q52" s="18">
        <v>523</v>
      </c>
      <c r="R52" s="18">
        <v>334</v>
      </c>
      <c r="S52" s="18">
        <v>238</v>
      </c>
      <c r="T52" s="18">
        <f>$S52</f>
        <v>238</v>
      </c>
      <c r="U52" s="18">
        <f t="shared" ref="U52:Y52" si="88">$S52</f>
        <v>238</v>
      </c>
      <c r="V52" s="18">
        <f t="shared" si="88"/>
        <v>238</v>
      </c>
      <c r="W52" s="18">
        <f t="shared" si="88"/>
        <v>238</v>
      </c>
      <c r="X52" s="18">
        <f t="shared" si="88"/>
        <v>238</v>
      </c>
      <c r="Y52" s="18">
        <f t="shared" si="88"/>
        <v>238</v>
      </c>
    </row>
    <row r="53" spans="2:26" ht="15.3" thickBot="1" x14ac:dyDescent="0.35">
      <c r="B53" s="49" t="s">
        <v>104</v>
      </c>
      <c r="H53" s="171">
        <f>SUM(H50:H51)</f>
        <v>0</v>
      </c>
      <c r="I53" s="172">
        <f t="shared" ref="I53:M53" si="89">SUM(I50:I52)</f>
        <v>950</v>
      </c>
      <c r="J53" s="172">
        <f t="shared" si="89"/>
        <v>889</v>
      </c>
      <c r="K53" s="172">
        <f t="shared" si="89"/>
        <v>1122</v>
      </c>
      <c r="L53" s="172">
        <f t="shared" si="89"/>
        <v>635</v>
      </c>
      <c r="M53" s="172">
        <f t="shared" si="89"/>
        <v>689</v>
      </c>
      <c r="N53" s="172">
        <f>SUM(N50:N52)</f>
        <v>777</v>
      </c>
      <c r="O53" s="172">
        <f t="shared" ref="O53:Y53" si="90">SUM(O50:O52)</f>
        <v>643</v>
      </c>
      <c r="P53" s="172">
        <f t="shared" si="90"/>
        <v>450</v>
      </c>
      <c r="Q53" s="172">
        <f t="shared" si="90"/>
        <v>699</v>
      </c>
      <c r="R53" s="172">
        <f t="shared" si="90"/>
        <v>406</v>
      </c>
      <c r="S53" s="172">
        <f t="shared" si="90"/>
        <v>303</v>
      </c>
      <c r="T53" s="172">
        <f t="shared" si="90"/>
        <v>304.26366471852953</v>
      </c>
      <c r="U53" s="172">
        <f t="shared" si="90"/>
        <v>305.60275565514945</v>
      </c>
      <c r="V53" s="172">
        <f t="shared" si="90"/>
        <v>306.95349907640133</v>
      </c>
      <c r="W53" s="172">
        <f t="shared" si="90"/>
        <v>308.29880992035856</v>
      </c>
      <c r="X53" s="172">
        <f t="shared" si="90"/>
        <v>309.64293976925171</v>
      </c>
      <c r="Y53" s="172">
        <f t="shared" si="90"/>
        <v>310.98722708415346</v>
      </c>
    </row>
    <row r="55" spans="2:26" x14ac:dyDescent="0.3">
      <c r="B55" t="s">
        <v>299</v>
      </c>
      <c r="H55" s="10">
        <v>4</v>
      </c>
      <c r="I55" s="10">
        <v>2</v>
      </c>
      <c r="J55" s="10">
        <v>1</v>
      </c>
      <c r="K55">
        <v>0</v>
      </c>
      <c r="L55">
        <v>0</v>
      </c>
      <c r="M55">
        <v>0</v>
      </c>
      <c r="N55">
        <v>1</v>
      </c>
      <c r="O55">
        <v>1</v>
      </c>
      <c r="P55">
        <v>0</v>
      </c>
      <c r="Q55">
        <v>2</v>
      </c>
      <c r="R55">
        <v>0</v>
      </c>
      <c r="S55" s="18">
        <v>5</v>
      </c>
      <c r="T55" s="18">
        <f t="shared" ref="T55" si="91">30/4</f>
        <v>7.5</v>
      </c>
      <c r="U55" s="370">
        <f>[3]Sheet1!G$84</f>
        <v>53</v>
      </c>
      <c r="V55" s="370">
        <f>[3]Sheet1!H$84</f>
        <v>21</v>
      </c>
      <c r="W55" s="370">
        <f>[3]Sheet1!I$84</f>
        <v>27</v>
      </c>
      <c r="X55" s="370">
        <f>[3]Sheet1!J$84</f>
        <v>27</v>
      </c>
      <c r="Y55" s="370">
        <f>[3]Sheet1!K$84</f>
        <v>27</v>
      </c>
      <c r="Z55" s="14"/>
    </row>
    <row r="56" spans="2:26" x14ac:dyDescent="0.3">
      <c r="B56" t="s">
        <v>209</v>
      </c>
      <c r="P56" s="378">
        <f>[2]Volumes!F$5</f>
        <v>0</v>
      </c>
      <c r="Q56" s="378">
        <f>[2]Volumes!G$5</f>
        <v>1</v>
      </c>
      <c r="R56" s="378">
        <f>[2]Volumes!H$5</f>
        <v>1</v>
      </c>
      <c r="S56" s="378">
        <f>[2]Volumes!I$5</f>
        <v>0</v>
      </c>
      <c r="T56" s="378">
        <f>[2]Volumes!J$5</f>
        <v>2</v>
      </c>
      <c r="U56" s="378">
        <f>[2]Volumes!K$5</f>
        <v>3</v>
      </c>
      <c r="V56" s="378">
        <f>[2]Volumes!L$5</f>
        <v>5</v>
      </c>
      <c r="W56" s="378">
        <f>[2]Volumes!M$5</f>
        <v>2</v>
      </c>
      <c r="X56" s="378">
        <f>[2]Volumes!N$5</f>
        <v>3</v>
      </c>
      <c r="Y56" s="378">
        <f>[2]Volumes!O$5</f>
        <v>3</v>
      </c>
    </row>
    <row r="58" spans="2:26" x14ac:dyDescent="0.3">
      <c r="Z58" s="3"/>
    </row>
    <row r="59" spans="2:26" x14ac:dyDescent="0.3">
      <c r="B59" t="s">
        <v>338</v>
      </c>
      <c r="K59" s="12"/>
      <c r="L59" s="12"/>
      <c r="M59" s="12"/>
      <c r="N59" s="12"/>
      <c r="O59" s="12"/>
      <c r="P59" s="12"/>
      <c r="Q59" s="12"/>
      <c r="R59" s="12"/>
      <c r="T59" s="139">
        <v>1.9440995669684824E-2</v>
      </c>
      <c r="U59" s="139">
        <v>2.0208525174513658E-2</v>
      </c>
      <c r="V59" s="139">
        <v>1.9980597065335282E-2</v>
      </c>
      <c r="W59" s="139">
        <v>1.9510407187119272E-2</v>
      </c>
      <c r="X59" s="139">
        <v>1.912023618061176E-2</v>
      </c>
      <c r="Y59" s="139">
        <v>1.8763709574613152E-2</v>
      </c>
      <c r="Z59" s="228"/>
    </row>
    <row r="60" spans="2:26" x14ac:dyDescent="0.3">
      <c r="B60" t="s">
        <v>339</v>
      </c>
      <c r="K60" s="12"/>
      <c r="L60" s="12"/>
      <c r="M60" s="12"/>
      <c r="N60" s="12"/>
      <c r="O60" s="12"/>
      <c r="P60" s="12"/>
      <c r="Q60" s="12"/>
      <c r="R60" s="12"/>
      <c r="S60" s="12"/>
      <c r="T60" s="139">
        <v>1.9440995669684824E-2</v>
      </c>
      <c r="U60" s="139">
        <v>2.0208525174513658E-2</v>
      </c>
      <c r="V60" s="139">
        <v>1.9980597065335282E-2</v>
      </c>
      <c r="W60" s="139">
        <v>1.9510407187119272E-2</v>
      </c>
      <c r="X60" s="139">
        <v>1.912023618061176E-2</v>
      </c>
      <c r="Y60" s="139">
        <v>1.8763709574613152E-2</v>
      </c>
      <c r="Z60" s="228"/>
    </row>
    <row r="62" spans="2:26" x14ac:dyDescent="0.3">
      <c r="B62" s="10"/>
      <c r="J62" s="10"/>
      <c r="K62" s="10"/>
      <c r="L62" s="10"/>
      <c r="M62" s="10"/>
      <c r="N62" s="10"/>
      <c r="O62" s="10"/>
      <c r="P62" s="10"/>
      <c r="Q62" s="10"/>
      <c r="R62" s="10"/>
      <c r="S62" s="10"/>
      <c r="T62" s="94"/>
      <c r="U62" s="94"/>
      <c r="V62" s="94"/>
      <c r="W62" s="94"/>
      <c r="X62" s="94"/>
      <c r="Y62" s="94"/>
    </row>
    <row r="63" spans="2:26" x14ac:dyDescent="0.3">
      <c r="L63" s="11"/>
      <c r="M63" s="11"/>
      <c r="N63" s="11"/>
      <c r="O63" s="11"/>
      <c r="P63" s="11"/>
      <c r="Q63" s="11"/>
      <c r="R63" s="366"/>
      <c r="S63" s="371"/>
      <c r="T63" s="10"/>
      <c r="U63" s="10"/>
      <c r="V63" s="10"/>
      <c r="W63" s="10"/>
      <c r="X63" s="10"/>
      <c r="Y63" s="10"/>
    </row>
    <row r="64" spans="2:26" x14ac:dyDescent="0.3">
      <c r="R64" s="94"/>
      <c r="S64" s="94"/>
      <c r="T64" s="372"/>
      <c r="U64" s="94"/>
      <c r="V64" s="94"/>
      <c r="W64" s="94"/>
      <c r="X64" s="94"/>
      <c r="Y64" s="94"/>
    </row>
    <row r="65" spans="18:26" x14ac:dyDescent="0.3">
      <c r="R65" s="60"/>
      <c r="S65" s="60"/>
      <c r="T65" s="60"/>
      <c r="U65" s="60"/>
      <c r="V65" s="60"/>
      <c r="W65" s="60"/>
      <c r="X65" s="60"/>
      <c r="Y65" s="60"/>
    </row>
    <row r="66" spans="18:26" x14ac:dyDescent="0.3">
      <c r="T66" s="17"/>
      <c r="Z66" s="17"/>
    </row>
    <row r="67" spans="18:26" x14ac:dyDescent="0.3">
      <c r="Z67" s="228"/>
    </row>
  </sheetData>
  <autoFilter ref="B8:Y53" xr:uid="{00000000-0001-0000-0600-000000000000}"/>
  <hyperlinks>
    <hyperlink ref="B3" location="Contents!A1" display="Table of Contents" xr:uid="{00000000-0004-0000-0600-000000000000}"/>
  </hyperlinks>
  <pageMargins left="0.25" right="0.25" top="0.75" bottom="0.75" header="0.3" footer="0.3"/>
  <pageSetup paperSize="9" scale="50" orientation="landscape" r:id="rId1"/>
  <headerFooter>
    <oddFooter>&amp;C_x000D_&amp;1#&amp;"Century Gothic"&amp;7&amp;K7F7F7F BUSINESS USE ONLY</oddFooter>
  </headerFooter>
  <colBreaks count="1" manualBreakCount="1">
    <brk id="18" max="104857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945F-1B0C-4D54-A9B7-207EBAE5D381}">
  <sheetPr codeName="Sheet10">
    <tabColor theme="8" tint="-0.249977111117893"/>
  </sheetPr>
  <dimension ref="C3:C4"/>
  <sheetViews>
    <sheetView workbookViewId="0">
      <selection activeCell="F14" sqref="F14"/>
    </sheetView>
  </sheetViews>
  <sheetFormatPr defaultColWidth="9.109375" defaultRowHeight="14.65" x14ac:dyDescent="0.3"/>
  <cols>
    <col min="1" max="16384" width="9.109375" style="26"/>
  </cols>
  <sheetData>
    <row r="3" spans="3:3" ht="18.5" x14ac:dyDescent="0.35">
      <c r="C3" s="27" t="s">
        <v>31</v>
      </c>
    </row>
    <row r="4" spans="3:3" x14ac:dyDescent="0.3">
      <c r="C4" s="41" t="s">
        <v>53</v>
      </c>
    </row>
  </sheetData>
  <hyperlinks>
    <hyperlink ref="C4" location="Contents!A1" display="Table of Contents" xr:uid="{261D0CCD-85C6-4C10-85B4-FAD0116BEC82}"/>
  </hyperlinks>
  <pageMargins left="0.7" right="0.7" top="0.75" bottom="0.75" header="0.3" footer="0.3"/>
  <headerFooter>
    <oddFooter>&amp;C_x000D_&amp;1#&amp;"Century Gothic"&amp;7&amp;K7F7F7F BUSINESS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26092BDB0EB54683F161AC1502A92A" ma:contentTypeVersion="16" ma:contentTypeDescription="Create a new document." ma:contentTypeScope="" ma:versionID="efc483e43bb16b0c70a04bf2fc68aea4">
  <xsd:schema xmlns:xsd="http://www.w3.org/2001/XMLSchema" xmlns:xs="http://www.w3.org/2001/XMLSchema" xmlns:p="http://schemas.microsoft.com/office/2006/metadata/properties" xmlns:ns2="d668db9c-bb18-4bed-8851-b5721f14e6b4" xmlns:ns3="facbff88-6fe3-477c-bd78-371714a63d39" targetNamespace="http://schemas.microsoft.com/office/2006/metadata/properties" ma:root="true" ma:fieldsID="9d579cff7c15c4b7bb8bfca9c5975d21" ns2:_="" ns3:_="">
    <xsd:import namespace="d668db9c-bb18-4bed-8851-b5721f14e6b4"/>
    <xsd:import namespace="facbff88-6fe3-477c-bd78-371714a63d3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68db9c-bb18-4bed-8851-b5721f14e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9e67b6b-74cb-4963-8df3-8bbebf53230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cbff88-6fe3-477c-bd78-371714a63d3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9a79716-25b4-414f-9205-0a0877a8c924}" ma:internalName="TaxCatchAll" ma:showField="CatchAllData" ma:web="facbff88-6fe3-477c-bd78-371714a63d3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68db9c-bb18-4bed-8851-b5721f14e6b4">
      <Terms xmlns="http://schemas.microsoft.com/office/infopath/2007/PartnerControls"/>
    </lcf76f155ced4ddcb4097134ff3c332f>
    <TaxCatchAll xmlns="facbff88-6fe3-477c-bd78-371714a63d39" xsi:nil="true"/>
  </documentManagement>
</p:properties>
</file>

<file path=customXml/itemProps1.xml><?xml version="1.0" encoding="utf-8"?>
<ds:datastoreItem xmlns:ds="http://schemas.openxmlformats.org/officeDocument/2006/customXml" ds:itemID="{FB04973A-E235-4EAD-9B7B-116AC0B91830}"/>
</file>

<file path=customXml/itemProps2.xml><?xml version="1.0" encoding="utf-8"?>
<ds:datastoreItem xmlns:ds="http://schemas.openxmlformats.org/officeDocument/2006/customXml" ds:itemID="{EACB1546-A1B3-4FE8-918B-93050349BAD5}"/>
</file>

<file path=customXml/itemProps3.xml><?xml version="1.0" encoding="utf-8"?>
<ds:datastoreItem xmlns:ds="http://schemas.openxmlformats.org/officeDocument/2006/customXml" ds:itemID="{6F2DE150-AF36-459E-AE53-EFAED9322500}"/>
</file>

<file path=docMetadata/LabelInfo.xml><?xml version="1.0" encoding="utf-8"?>
<clbl:labelList xmlns:clbl="http://schemas.microsoft.com/office/2020/mipLabelMetadata">
  <clbl:label id="{f59ee16a-f4d8-42fc-8e4b-5abdff9fc8a9}" enabled="1" method="Standard" siteId="{a394e41c-cf8d-458e-ac1b-ddae1aa1562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vt:i4>
      </vt:variant>
    </vt:vector>
  </HeadingPairs>
  <TitlesOfParts>
    <vt:vector size="25" baseType="lpstr">
      <vt:lpstr>ASD Changes</vt:lpstr>
      <vt:lpstr>AER Changes</vt:lpstr>
      <vt:lpstr>Inputs from Capex model</vt:lpstr>
      <vt:lpstr>Contents</vt:lpstr>
      <vt:lpstr>Escalation</vt:lpstr>
      <vt:lpstr>Assumptions</vt:lpstr>
      <vt:lpstr>Allocations</vt:lpstr>
      <vt:lpstr>Connections</vt:lpstr>
      <vt:lpstr>Historical_data &gt;</vt:lpstr>
      <vt:lpstr>Historical_Cost</vt:lpstr>
      <vt:lpstr>Historical_Cap_Cons</vt:lpstr>
      <vt:lpstr>Cost_Recovery</vt:lpstr>
      <vt:lpstr>Forecast &gt;</vt:lpstr>
      <vt:lpstr>Contracts_input</vt:lpstr>
      <vt:lpstr>HV_rebate</vt:lpstr>
      <vt:lpstr>Capex_Fcast_Direct</vt:lpstr>
      <vt:lpstr>Other_codes</vt:lpstr>
      <vt:lpstr>Capex_Fcast_Total</vt:lpstr>
      <vt:lpstr>Outputs &gt;</vt:lpstr>
      <vt:lpstr>Contr_Fcast</vt:lpstr>
      <vt:lpstr>Capex_Model_Inputs</vt:lpstr>
      <vt:lpstr>RIN_Outputs</vt:lpstr>
      <vt:lpstr>2.5.3_Volumes</vt:lpstr>
      <vt:lpstr>CPI_adj_Jun21</vt:lpstr>
      <vt:lpstr>Thousands</vt:lpstr>
    </vt:vector>
  </TitlesOfParts>
  <Company>SP-Ausnet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Martin</dc:creator>
  <cp:lastModifiedBy>Steven Martin</cp:lastModifiedBy>
  <cp:lastPrinted>2018-06-07T03:23:08Z</cp:lastPrinted>
  <dcterms:created xsi:type="dcterms:W3CDTF">2015-01-14T04:19:31Z</dcterms:created>
  <dcterms:modified xsi:type="dcterms:W3CDTF">2025-12-02T01:06:04Z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0x0101000B26092BDB0EB54683F161AC1502A92A</vt:lpwstr>
  </property>
</Properties>
</file>