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822B65E2-A758-4482-9F59-825895DC5871}" xr6:coauthVersionLast="47" xr6:coauthVersionMax="47" xr10:uidLastSave="{00000000-0000-0000-0000-000000000000}"/>
  <bookViews>
    <workbookView xWindow="-105" yWindow="675" windowWidth="28770" windowHeight="15075" xr2:uid="{00000000-000D-0000-FFFF-FFFF00000000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Misc_calcs" sheetId="62" r:id="rId11"/>
    <sheet name="Data" sheetId="47" r:id="rId12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Data!$C$61</definedName>
    <definedName name="options">Data!$B$9:$B$13</definedName>
    <definedName name="output_dollars">Assumptions!$G$33</definedName>
    <definedName name="preferred">Summary!$C$18</definedName>
    <definedName name="_xlnm.Print_Area" localSheetId="2">Assumptions!$A$1:$P$118</definedName>
    <definedName name="proj">Assumptions!$E$8</definedName>
    <definedName name="real_disc">Assumptions!$G$28</definedName>
    <definedName name="sheets">Cover!$A$40</definedName>
    <definedName name="solar_demand_correction">'Option1 (base case)'!$E$31</definedName>
    <definedName name="start">Assumptions!$E$22</definedName>
    <definedName name="start_year">Misc_calcs!$C$25</definedName>
    <definedName name="thous_conv">Data!$C$60</definedName>
    <definedName name="update">Cover!$A$41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33" l="1"/>
  <c r="J14" i="72"/>
  <c r="O15" i="72"/>
  <c r="A2" i="43" l="1"/>
  <c r="Y31" i="72" l="1"/>
  <c r="S31" i="72"/>
  <c r="R31" i="72"/>
  <c r="M31" i="72"/>
  <c r="K31" i="72"/>
  <c r="J31" i="72"/>
  <c r="Q31" i="72" l="1"/>
  <c r="AG31" i="72"/>
  <c r="U31" i="72"/>
  <c r="I31" i="73"/>
  <c r="K31" i="73"/>
  <c r="I31" i="72"/>
  <c r="AC31" i="72"/>
  <c r="AA31" i="81"/>
  <c r="O31" i="72"/>
  <c r="W31" i="72"/>
  <c r="AE31" i="72"/>
  <c r="P31" i="72"/>
  <c r="X31" i="72"/>
  <c r="AF31" i="72"/>
  <c r="N31" i="72"/>
  <c r="V31" i="72"/>
  <c r="AD31" i="72"/>
  <c r="Y31" i="81"/>
  <c r="J31" i="73"/>
  <c r="AA31" i="72"/>
  <c r="L31" i="72"/>
  <c r="T31" i="72"/>
  <c r="AB31" i="72"/>
  <c r="Z31" i="72"/>
  <c r="T31" i="81"/>
  <c r="N31" i="81"/>
  <c r="P31" i="81"/>
  <c r="X31" i="81"/>
  <c r="L31" i="81"/>
  <c r="I31" i="81"/>
  <c r="W31" i="81"/>
  <c r="K31" i="81"/>
  <c r="O31" i="81"/>
  <c r="R31" i="81"/>
  <c r="J31" i="81"/>
  <c r="S31" i="81"/>
  <c r="U31" i="81"/>
  <c r="V31" i="81"/>
  <c r="Q31" i="81"/>
  <c r="M31" i="81"/>
  <c r="Z31" i="81"/>
  <c r="J31" i="68"/>
  <c r="K31" i="68"/>
  <c r="L31" i="68"/>
  <c r="M31" i="68"/>
  <c r="N31" i="68"/>
  <c r="O31" i="68"/>
  <c r="P31" i="68"/>
  <c r="Q31" i="68"/>
  <c r="R31" i="68"/>
  <c r="S31" i="68"/>
  <c r="T31" i="68"/>
  <c r="U31" i="68"/>
  <c r="V31" i="68"/>
  <c r="W31" i="68"/>
  <c r="X31" i="68"/>
  <c r="Y31" i="68"/>
  <c r="Z31" i="68"/>
  <c r="AA31" i="68"/>
  <c r="AB31" i="68"/>
  <c r="AC31" i="68"/>
  <c r="AD31" i="68"/>
  <c r="AE31" i="68"/>
  <c r="AF31" i="68"/>
  <c r="AG31" i="68"/>
  <c r="I31" i="68"/>
  <c r="AB31" i="81" l="1"/>
  <c r="A40" i="86"/>
  <c r="I9" i="68"/>
  <c r="AC31" i="81" l="1"/>
  <c r="H9" i="68"/>
  <c r="H9" i="75" s="1"/>
  <c r="H5" i="75" s="1"/>
  <c r="C25" i="62"/>
  <c r="AD31" i="81" l="1"/>
  <c r="C111" i="43"/>
  <c r="C112" i="43"/>
  <c r="C113" i="43"/>
  <c r="C114" i="43"/>
  <c r="C115" i="43"/>
  <c r="AE31" i="81" l="1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10" i="82"/>
  <c r="G110" i="73"/>
  <c r="G110" i="72"/>
  <c r="G110" i="81"/>
  <c r="G110" i="68"/>
  <c r="E121" i="82"/>
  <c r="D121" i="82"/>
  <c r="C121" i="82"/>
  <c r="A121" i="82"/>
  <c r="G121" i="82" s="1"/>
  <c r="E120" i="82"/>
  <c r="D120" i="82"/>
  <c r="C120" i="82"/>
  <c r="A120" i="82"/>
  <c r="G120" i="82" s="1"/>
  <c r="E119" i="82"/>
  <c r="D119" i="82"/>
  <c r="C119" i="82"/>
  <c r="A119" i="82"/>
  <c r="G119" i="82" s="1"/>
  <c r="E118" i="82"/>
  <c r="D118" i="82"/>
  <c r="C118" i="82"/>
  <c r="A118" i="82"/>
  <c r="G118" i="82" s="1"/>
  <c r="E117" i="82"/>
  <c r="D117" i="82"/>
  <c r="C117" i="82"/>
  <c r="A117" i="82"/>
  <c r="G117" i="82" s="1"/>
  <c r="E116" i="82"/>
  <c r="D116" i="82"/>
  <c r="C116" i="82"/>
  <c r="A116" i="82"/>
  <c r="G116" i="82" s="1"/>
  <c r="E115" i="82"/>
  <c r="D115" i="82"/>
  <c r="C115" i="82"/>
  <c r="A115" i="82"/>
  <c r="G115" i="82" s="1"/>
  <c r="E114" i="82"/>
  <c r="D114" i="82"/>
  <c r="C114" i="82"/>
  <c r="A114" i="82"/>
  <c r="G114" i="82" s="1"/>
  <c r="E113" i="82"/>
  <c r="D113" i="82"/>
  <c r="E121" i="73"/>
  <c r="D121" i="73"/>
  <c r="C121" i="73"/>
  <c r="A121" i="73"/>
  <c r="G121" i="73" s="1"/>
  <c r="E120" i="73"/>
  <c r="D120" i="73"/>
  <c r="C120" i="73"/>
  <c r="A120" i="73"/>
  <c r="G120" i="73" s="1"/>
  <c r="E119" i="73"/>
  <c r="D119" i="73"/>
  <c r="C119" i="73"/>
  <c r="A119" i="73"/>
  <c r="G119" i="73" s="1"/>
  <c r="E118" i="73"/>
  <c r="D118" i="73"/>
  <c r="C118" i="73"/>
  <c r="A118" i="73"/>
  <c r="G118" i="73" s="1"/>
  <c r="E117" i="73"/>
  <c r="D117" i="73"/>
  <c r="C117" i="73"/>
  <c r="A117" i="73"/>
  <c r="G117" i="73" s="1"/>
  <c r="E116" i="73"/>
  <c r="D116" i="73"/>
  <c r="C116" i="73"/>
  <c r="A116" i="73"/>
  <c r="G116" i="73" s="1"/>
  <c r="E115" i="73"/>
  <c r="D115" i="73"/>
  <c r="C115" i="73"/>
  <c r="A115" i="73"/>
  <c r="G115" i="73" s="1"/>
  <c r="E114" i="73"/>
  <c r="D114" i="73"/>
  <c r="C114" i="73"/>
  <c r="A114" i="73"/>
  <c r="G114" i="73" s="1"/>
  <c r="E113" i="73"/>
  <c r="D113" i="73"/>
  <c r="E121" i="72"/>
  <c r="D121" i="72"/>
  <c r="C121" i="72"/>
  <c r="A121" i="72"/>
  <c r="G121" i="72" s="1"/>
  <c r="E120" i="72"/>
  <c r="D120" i="72"/>
  <c r="C120" i="72"/>
  <c r="A120" i="72"/>
  <c r="G120" i="72" s="1"/>
  <c r="E119" i="72"/>
  <c r="D119" i="72"/>
  <c r="C119" i="72"/>
  <c r="A119" i="72"/>
  <c r="G119" i="72" s="1"/>
  <c r="E118" i="72"/>
  <c r="D118" i="72"/>
  <c r="C118" i="72"/>
  <c r="A118" i="72"/>
  <c r="G118" i="72" s="1"/>
  <c r="E117" i="72"/>
  <c r="D117" i="72"/>
  <c r="C117" i="72"/>
  <c r="A117" i="72"/>
  <c r="G117" i="72" s="1"/>
  <c r="E116" i="72"/>
  <c r="D116" i="72"/>
  <c r="C116" i="72"/>
  <c r="A116" i="72"/>
  <c r="G116" i="72" s="1"/>
  <c r="E115" i="72"/>
  <c r="D115" i="72"/>
  <c r="C115" i="72"/>
  <c r="A115" i="72"/>
  <c r="G115" i="72" s="1"/>
  <c r="E114" i="72"/>
  <c r="D114" i="72"/>
  <c r="C114" i="72"/>
  <c r="A114" i="72"/>
  <c r="G114" i="72" s="1"/>
  <c r="E113" i="72"/>
  <c r="D113" i="72"/>
  <c r="E121" i="68"/>
  <c r="D121" i="68"/>
  <c r="C121" i="68"/>
  <c r="A121" i="68"/>
  <c r="G121" i="68" s="1"/>
  <c r="E120" i="68"/>
  <c r="D120" i="68"/>
  <c r="C120" i="68"/>
  <c r="A120" i="68"/>
  <c r="G120" i="68" s="1"/>
  <c r="E119" i="68"/>
  <c r="D119" i="68"/>
  <c r="C119" i="68"/>
  <c r="A119" i="68"/>
  <c r="G119" i="68" s="1"/>
  <c r="E118" i="68"/>
  <c r="D118" i="68"/>
  <c r="C118" i="68"/>
  <c r="A118" i="68"/>
  <c r="G118" i="68" s="1"/>
  <c r="E117" i="68"/>
  <c r="D117" i="68"/>
  <c r="C117" i="68"/>
  <c r="A117" i="68"/>
  <c r="G117" i="68" s="1"/>
  <c r="E116" i="68"/>
  <c r="D116" i="68"/>
  <c r="C116" i="68"/>
  <c r="A116" i="68"/>
  <c r="G116" i="68" s="1"/>
  <c r="E115" i="68"/>
  <c r="D115" i="68"/>
  <c r="C115" i="68"/>
  <c r="A115" i="68"/>
  <c r="G115" i="68" s="1"/>
  <c r="E114" i="68"/>
  <c r="D114" i="68"/>
  <c r="C114" i="68"/>
  <c r="A114" i="68"/>
  <c r="G114" i="68" s="1"/>
  <c r="E113" i="68"/>
  <c r="D113" i="68"/>
  <c r="A115" i="81"/>
  <c r="A116" i="81"/>
  <c r="A117" i="81"/>
  <c r="A118" i="81"/>
  <c r="A119" i="81"/>
  <c r="A120" i="81"/>
  <c r="A121" i="81"/>
  <c r="A114" i="81"/>
  <c r="E113" i="81"/>
  <c r="D113" i="81"/>
  <c r="C121" i="81"/>
  <c r="C120" i="81"/>
  <c r="C119" i="81"/>
  <c r="D119" i="81"/>
  <c r="E119" i="81"/>
  <c r="D120" i="81"/>
  <c r="E120" i="81"/>
  <c r="D121" i="81"/>
  <c r="E121" i="81"/>
  <c r="E118" i="81"/>
  <c r="D118" i="81"/>
  <c r="E117" i="81"/>
  <c r="D117" i="81"/>
  <c r="E116" i="81"/>
  <c r="D116" i="81"/>
  <c r="E115" i="81"/>
  <c r="D115" i="81"/>
  <c r="E114" i="81"/>
  <c r="D114" i="81"/>
  <c r="AF31" i="81" l="1"/>
  <c r="AG31" i="81"/>
  <c r="J82" i="68"/>
  <c r="K82" i="68"/>
  <c r="L82" i="68"/>
  <c r="M82" i="68"/>
  <c r="N82" i="68"/>
  <c r="O82" i="68"/>
  <c r="P82" i="68"/>
  <c r="Q82" i="68"/>
  <c r="R82" i="68"/>
  <c r="S82" i="68"/>
  <c r="T82" i="68"/>
  <c r="U82" i="68"/>
  <c r="V82" i="68"/>
  <c r="W82" i="68"/>
  <c r="X82" i="68"/>
  <c r="Y82" i="68"/>
  <c r="Z82" i="68"/>
  <c r="AA82" i="68"/>
  <c r="AB82" i="68"/>
  <c r="AC82" i="68"/>
  <c r="AD82" i="68"/>
  <c r="AE82" i="68"/>
  <c r="AF82" i="68"/>
  <c r="AG82" i="68"/>
  <c r="J83" i="68"/>
  <c r="K83" i="68"/>
  <c r="L83" i="68"/>
  <c r="M83" i="68"/>
  <c r="N83" i="68"/>
  <c r="O83" i="68"/>
  <c r="P83" i="68"/>
  <c r="Q83" i="68"/>
  <c r="R83" i="68"/>
  <c r="S83" i="68"/>
  <c r="T83" i="68"/>
  <c r="U83" i="68"/>
  <c r="V83" i="68"/>
  <c r="W83" i="68"/>
  <c r="X83" i="68"/>
  <c r="Y83" i="68"/>
  <c r="Z83" i="68"/>
  <c r="AA83" i="68"/>
  <c r="AB83" i="68"/>
  <c r="AC83" i="68"/>
  <c r="AD83" i="68"/>
  <c r="AE83" i="68"/>
  <c r="AF83" i="68"/>
  <c r="AG83" i="68"/>
  <c r="I83" i="68"/>
  <c r="I82" i="68"/>
  <c r="I81" i="68"/>
  <c r="J81" i="82"/>
  <c r="K81" i="82"/>
  <c r="L81" i="82"/>
  <c r="M81" i="82"/>
  <c r="N81" i="82"/>
  <c r="O81" i="82"/>
  <c r="P81" i="82"/>
  <c r="Q81" i="82"/>
  <c r="R81" i="82"/>
  <c r="S81" i="82"/>
  <c r="T81" i="82"/>
  <c r="U81" i="82"/>
  <c r="V81" i="82"/>
  <c r="W81" i="82"/>
  <c r="X81" i="82"/>
  <c r="Y81" i="82"/>
  <c r="Z81" i="82"/>
  <c r="AA81" i="82"/>
  <c r="AB81" i="82"/>
  <c r="AC81" i="82"/>
  <c r="AD81" i="82"/>
  <c r="AE81" i="82"/>
  <c r="AF81" i="82"/>
  <c r="AG81" i="82"/>
  <c r="J82" i="82"/>
  <c r="K82" i="82"/>
  <c r="L82" i="82"/>
  <c r="M82" i="82"/>
  <c r="N82" i="82"/>
  <c r="O82" i="82"/>
  <c r="P82" i="82"/>
  <c r="Q82" i="82"/>
  <c r="R82" i="82"/>
  <c r="S82" i="82"/>
  <c r="T82" i="82"/>
  <c r="U82" i="82"/>
  <c r="V82" i="82"/>
  <c r="W82" i="82"/>
  <c r="X82" i="82"/>
  <c r="Y82" i="82"/>
  <c r="Z82" i="82"/>
  <c r="AA82" i="82"/>
  <c r="AB82" i="82"/>
  <c r="AC82" i="82"/>
  <c r="AD82" i="82"/>
  <c r="AE82" i="82"/>
  <c r="AF82" i="82"/>
  <c r="AG82" i="82"/>
  <c r="J83" i="82"/>
  <c r="K83" i="82"/>
  <c r="L83" i="82"/>
  <c r="M83" i="82"/>
  <c r="N83" i="82"/>
  <c r="O83" i="82"/>
  <c r="P83" i="82"/>
  <c r="Q83" i="82"/>
  <c r="R83" i="82"/>
  <c r="S83" i="82"/>
  <c r="T83" i="82"/>
  <c r="U83" i="82"/>
  <c r="V83" i="82"/>
  <c r="W83" i="82"/>
  <c r="X83" i="82"/>
  <c r="Y83" i="82"/>
  <c r="Z83" i="82"/>
  <c r="AA83" i="82"/>
  <c r="AB83" i="82"/>
  <c r="AC83" i="82"/>
  <c r="AD83" i="82"/>
  <c r="AE83" i="82"/>
  <c r="AF83" i="82"/>
  <c r="AG83" i="82"/>
  <c r="I83" i="82"/>
  <c r="I82" i="82"/>
  <c r="I81" i="82"/>
  <c r="J82" i="73"/>
  <c r="K82" i="73"/>
  <c r="L82" i="73"/>
  <c r="M82" i="73"/>
  <c r="N82" i="73"/>
  <c r="O82" i="73"/>
  <c r="P82" i="73"/>
  <c r="Q82" i="73"/>
  <c r="R82" i="73"/>
  <c r="S82" i="73"/>
  <c r="T82" i="73"/>
  <c r="U82" i="73"/>
  <c r="V82" i="73"/>
  <c r="W82" i="73"/>
  <c r="X82" i="73"/>
  <c r="Y82" i="73"/>
  <c r="Z82" i="73"/>
  <c r="AA82" i="73"/>
  <c r="AB82" i="73"/>
  <c r="AC82" i="73"/>
  <c r="AD82" i="73"/>
  <c r="AE82" i="73"/>
  <c r="AF82" i="73"/>
  <c r="AG82" i="73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AC83" i="73"/>
  <c r="AD83" i="73"/>
  <c r="AE83" i="73"/>
  <c r="AF83" i="73"/>
  <c r="AG83" i="73"/>
  <c r="I83" i="73"/>
  <c r="I82" i="73"/>
  <c r="I81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AC83" i="72"/>
  <c r="AD83" i="72"/>
  <c r="AE83" i="72"/>
  <c r="AF83" i="72"/>
  <c r="AG83" i="72"/>
  <c r="I83" i="72"/>
  <c r="I82" i="72"/>
  <c r="I81" i="72"/>
  <c r="J83" i="81"/>
  <c r="K83" i="81"/>
  <c r="L83" i="81"/>
  <c r="M83" i="81"/>
  <c r="N83" i="81"/>
  <c r="O83" i="81"/>
  <c r="P83" i="81"/>
  <c r="Q83" i="81"/>
  <c r="R83" i="81"/>
  <c r="S83" i="81"/>
  <c r="T83" i="81"/>
  <c r="U83" i="81"/>
  <c r="V83" i="81"/>
  <c r="W83" i="81"/>
  <c r="X83" i="81"/>
  <c r="Y83" i="81"/>
  <c r="Z83" i="81"/>
  <c r="AA83" i="81"/>
  <c r="AB83" i="81"/>
  <c r="AC83" i="81"/>
  <c r="AD83" i="81"/>
  <c r="AE83" i="81"/>
  <c r="AF83" i="81"/>
  <c r="AG83" i="81"/>
  <c r="I83" i="81"/>
  <c r="I82" i="81"/>
  <c r="I81" i="81"/>
  <c r="H9" i="85"/>
  <c r="H98" i="75"/>
  <c r="P98" i="47"/>
  <c r="P99" i="47" s="1"/>
  <c r="P100" i="47" s="1"/>
  <c r="P101" i="47" s="1"/>
  <c r="P102" i="47" s="1"/>
  <c r="P103" i="47" s="1"/>
  <c r="D66" i="33" l="1"/>
  <c r="E16" i="47"/>
  <c r="F9" i="47" l="1"/>
  <c r="C22" i="85"/>
  <c r="C20" i="85"/>
  <c r="C18" i="85"/>
  <c r="C16" i="85"/>
  <c r="D76" i="33"/>
  <c r="C67" i="33"/>
  <c r="C89" i="85" a="1"/>
  <c r="C89" i="85" s="1"/>
  <c r="F66" i="33" s="1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 l="1"/>
  <c r="D65" i="85" s="1"/>
  <c r="B59" i="85"/>
  <c r="D59" i="85" s="1"/>
  <c r="B75" i="85"/>
  <c r="D75" i="85" s="1"/>
  <c r="B61" i="85"/>
  <c r="D61" i="85" s="1"/>
  <c r="B62" i="85"/>
  <c r="D62" i="85" s="1"/>
  <c r="K74" i="33"/>
  <c r="D75" i="33"/>
  <c r="H66" i="33"/>
  <c r="I66" i="33"/>
  <c r="J66" i="33"/>
  <c r="G66" i="33"/>
  <c r="B76" i="85"/>
  <c r="D76" i="85" s="1"/>
  <c r="B73" i="85"/>
  <c r="D73" i="85" s="1"/>
  <c r="B63" i="85"/>
  <c r="D63" i="85" s="1"/>
  <c r="B60" i="85"/>
  <c r="D60" i="85" s="1"/>
  <c r="B64" i="85"/>
  <c r="D64" i="85" s="1"/>
  <c r="B77" i="85"/>
  <c r="D77" i="85" s="1"/>
  <c r="B74" i="85"/>
  <c r="D74" i="85" s="1"/>
  <c r="B78" i="85"/>
  <c r="D78" i="85" s="1"/>
  <c r="B79" i="85"/>
  <c r="D79" i="85" s="1"/>
  <c r="B58" i="85"/>
  <c r="D58" i="85" s="1"/>
  <c r="B72" i="85"/>
  <c r="D72" i="85" s="1"/>
  <c r="C116" i="81"/>
  <c r="C118" i="81"/>
  <c r="C36" i="85"/>
  <c r="C114" i="81"/>
  <c r="C23" i="85"/>
  <c r="C21" i="85"/>
  <c r="C30" i="85" l="1"/>
  <c r="C32" i="85"/>
  <c r="C34" i="85"/>
  <c r="C19" i="85"/>
  <c r="C115" i="81"/>
  <c r="C17" i="85"/>
  <c r="C68" i="33"/>
  <c r="C70" i="33"/>
  <c r="C117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 l="1"/>
  <c r="C33" i="85"/>
  <c r="C73" i="33"/>
  <c r="A6" i="85"/>
  <c r="A2" i="85"/>
  <c r="A1" i="85"/>
  <c r="C71" i="33" l="1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 s="1"/>
  <c r="D92" i="75" l="1"/>
  <c r="D9" i="47" l="1"/>
  <c r="A6" i="75"/>
  <c r="I6" i="75" l="1"/>
  <c r="I6" i="85" s="1"/>
  <c r="H6" i="75"/>
  <c r="H6" i="85" s="1"/>
  <c r="H11" i="85" s="1" a="1"/>
  <c r="H11" i="85" s="1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AG35" i="82" a="1"/>
  <c r="AG35" i="82" s="1"/>
  <c r="AF35" i="82" a="1"/>
  <c r="AF35" i="82" s="1"/>
  <c r="AE35" i="82" a="1"/>
  <c r="AE35" i="82" s="1"/>
  <c r="AD35" i="82" a="1"/>
  <c r="AD35" i="82" s="1"/>
  <c r="AC35" i="82" a="1"/>
  <c r="AC35" i="82" s="1"/>
  <c r="AB35" i="82" a="1"/>
  <c r="AB35" i="82" s="1"/>
  <c r="AA35" i="82" a="1"/>
  <c r="AA35" i="82" s="1"/>
  <c r="Z35" i="82" a="1"/>
  <c r="Z35" i="82" s="1"/>
  <c r="Y35" i="82" a="1"/>
  <c r="Y35" i="82" s="1"/>
  <c r="X35" i="82" a="1"/>
  <c r="X35" i="82" s="1"/>
  <c r="W35" i="82" a="1"/>
  <c r="W35" i="82" s="1"/>
  <c r="V35" i="82" a="1"/>
  <c r="V35" i="82" s="1"/>
  <c r="U35" i="82" a="1"/>
  <c r="U35" i="82" s="1"/>
  <c r="T35" i="82" a="1"/>
  <c r="T35" i="82" s="1"/>
  <c r="S35" i="82" a="1"/>
  <c r="S35" i="82" s="1"/>
  <c r="R35" i="82" a="1"/>
  <c r="R35" i="82" s="1"/>
  <c r="Q35" i="82" a="1"/>
  <c r="Q35" i="82" s="1"/>
  <c r="P35" i="82" a="1"/>
  <c r="P35" i="82" s="1"/>
  <c r="O35" i="82" a="1"/>
  <c r="O35" i="82" s="1"/>
  <c r="N35" i="82" a="1"/>
  <c r="N35" i="82" s="1"/>
  <c r="M35" i="82" a="1"/>
  <c r="M35" i="82" s="1"/>
  <c r="L35" i="82" a="1"/>
  <c r="L35" i="82" s="1"/>
  <c r="K35" i="82" a="1"/>
  <c r="K35" i="82" s="1"/>
  <c r="J35" i="82" a="1"/>
  <c r="J35" i="82" s="1"/>
  <c r="I35" i="82" a="1"/>
  <c r="I35" i="82" s="1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AG35" i="73" a="1"/>
  <c r="AG35" i="73" s="1"/>
  <c r="AF35" i="73" a="1"/>
  <c r="AF35" i="73" s="1"/>
  <c r="AE35" i="73" a="1"/>
  <c r="AE35" i="73" s="1"/>
  <c r="AD35" i="73" a="1"/>
  <c r="AD35" i="73" s="1"/>
  <c r="AC35" i="73" a="1"/>
  <c r="AC35" i="73" s="1"/>
  <c r="AB35" i="73" a="1"/>
  <c r="AB35" i="73" s="1"/>
  <c r="AA35" i="73" a="1"/>
  <c r="AA35" i="73" s="1"/>
  <c r="Z35" i="73" a="1"/>
  <c r="Z35" i="73" s="1"/>
  <c r="Y35" i="73" a="1"/>
  <c r="Y35" i="73" s="1"/>
  <c r="X35" i="73" a="1"/>
  <c r="X35" i="73" s="1"/>
  <c r="W35" i="73" a="1"/>
  <c r="W35" i="73" s="1"/>
  <c r="V35" i="73" a="1"/>
  <c r="V35" i="73" s="1"/>
  <c r="U35" i="73" a="1"/>
  <c r="U35" i="73" s="1"/>
  <c r="T35" i="73" a="1"/>
  <c r="T35" i="73" s="1"/>
  <c r="S35" i="73" a="1"/>
  <c r="S35" i="73" s="1"/>
  <c r="R35" i="73" a="1"/>
  <c r="R35" i="73" s="1"/>
  <c r="Q35" i="73" a="1"/>
  <c r="Q35" i="73" s="1"/>
  <c r="P35" i="73" a="1"/>
  <c r="P35" i="73" s="1"/>
  <c r="O35" i="73" a="1"/>
  <c r="O35" i="73" s="1"/>
  <c r="N35" i="73" a="1"/>
  <c r="N35" i="73" s="1"/>
  <c r="M35" i="73" a="1"/>
  <c r="M35" i="73" s="1"/>
  <c r="L35" i="73" a="1"/>
  <c r="L35" i="73" s="1"/>
  <c r="K35" i="73" a="1"/>
  <c r="K35" i="73" s="1"/>
  <c r="J35" i="73" a="1"/>
  <c r="J35" i="73" s="1"/>
  <c r="I35" i="73" a="1"/>
  <c r="I35" i="73" s="1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AG87" i="81"/>
  <c r="AG73" i="81"/>
  <c r="AG72" i="81"/>
  <c r="AG71" i="81"/>
  <c r="AG87" i="72"/>
  <c r="AG73" i="72"/>
  <c r="AG72" i="72"/>
  <c r="AG71" i="72"/>
  <c r="AG17" i="72"/>
  <c r="AG87" i="73"/>
  <c r="AG73" i="73"/>
  <c r="AG72" i="73"/>
  <c r="AG71" i="73"/>
  <c r="AG87" i="82"/>
  <c r="AG73" i="82"/>
  <c r="AG72" i="82"/>
  <c r="AG71" i="82"/>
  <c r="AG88" i="68"/>
  <c r="AG87" i="68"/>
  <c r="AG73" i="68"/>
  <c r="AG72" i="68"/>
  <c r="AG71" i="68"/>
  <c r="AG98" i="75"/>
  <c r="AG17" i="68"/>
  <c r="AF87" i="81"/>
  <c r="AF73" i="81"/>
  <c r="AF72" i="81"/>
  <c r="AF71" i="81"/>
  <c r="AF87" i="72"/>
  <c r="AF73" i="72"/>
  <c r="AF72" i="72"/>
  <c r="AF71" i="72"/>
  <c r="AF17" i="72"/>
  <c r="AF87" i="73"/>
  <c r="AF73" i="73"/>
  <c r="AF72" i="73"/>
  <c r="AF71" i="73"/>
  <c r="AF87" i="82"/>
  <c r="AF73" i="82"/>
  <c r="AF72" i="82"/>
  <c r="AF71" i="82"/>
  <c r="AF88" i="68"/>
  <c r="AF87" i="68"/>
  <c r="AF73" i="68"/>
  <c r="AF72" i="68"/>
  <c r="AF71" i="68"/>
  <c r="AF98" i="75"/>
  <c r="AF17" i="68"/>
  <c r="AE87" i="81"/>
  <c r="AE73" i="81"/>
  <c r="AE72" i="81"/>
  <c r="AE71" i="81"/>
  <c r="AE87" i="72"/>
  <c r="AE73" i="72"/>
  <c r="AE72" i="72"/>
  <c r="AE71" i="72"/>
  <c r="AE17" i="72"/>
  <c r="AE87" i="73"/>
  <c r="AE73" i="73"/>
  <c r="AE72" i="73"/>
  <c r="AE71" i="73"/>
  <c r="AE87" i="82"/>
  <c r="AE73" i="82"/>
  <c r="AE72" i="82"/>
  <c r="AE71" i="82"/>
  <c r="AE88" i="68"/>
  <c r="AE87" i="68"/>
  <c r="AE73" i="68"/>
  <c r="AE72" i="68"/>
  <c r="AE71" i="68"/>
  <c r="AE98" i="75"/>
  <c r="AE17" i="68"/>
  <c r="AD87" i="81"/>
  <c r="AD73" i="81"/>
  <c r="AD72" i="81"/>
  <c r="AD71" i="81"/>
  <c r="AD87" i="72"/>
  <c r="AD73" i="72"/>
  <c r="AD72" i="72"/>
  <c r="AD71" i="72"/>
  <c r="AD17" i="72"/>
  <c r="AD87" i="73"/>
  <c r="AD73" i="73"/>
  <c r="AD72" i="73"/>
  <c r="AD71" i="73"/>
  <c r="AD87" i="82"/>
  <c r="AD73" i="82"/>
  <c r="AD72" i="82"/>
  <c r="AD71" i="82"/>
  <c r="AD88" i="68"/>
  <c r="AD87" i="68"/>
  <c r="AD73" i="68"/>
  <c r="AD72" i="68"/>
  <c r="AD71" i="68"/>
  <c r="AD98" i="75"/>
  <c r="AD17" i="68"/>
  <c r="AC87" i="81"/>
  <c r="AC73" i="81"/>
  <c r="AC72" i="81"/>
  <c r="AC71" i="81"/>
  <c r="AC87" i="72"/>
  <c r="AC73" i="72"/>
  <c r="AC72" i="72"/>
  <c r="AC71" i="72"/>
  <c r="AC17" i="72"/>
  <c r="AC87" i="73"/>
  <c r="AC73" i="73"/>
  <c r="AC72" i="73"/>
  <c r="AC71" i="73"/>
  <c r="AC87" i="82"/>
  <c r="AC73" i="82"/>
  <c r="AC72" i="82"/>
  <c r="AC71" i="82"/>
  <c r="AC88" i="68"/>
  <c r="AC87" i="68"/>
  <c r="AC73" i="68"/>
  <c r="AC72" i="68"/>
  <c r="AC71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 l="1"/>
  <c r="A31" i="75" s="1"/>
  <c r="A32" i="75" s="1"/>
  <c r="A33" i="75" s="1"/>
  <c r="A34" i="75" s="1"/>
  <c r="A35" i="75" s="1"/>
  <c r="A36" i="75" s="1"/>
  <c r="A37" i="75" s="1"/>
  <c r="A38" i="75" s="1"/>
  <c r="A39" i="75" s="1"/>
  <c r="A28" i="75"/>
  <c r="D28" i="75" s="1"/>
  <c r="A16" i="75"/>
  <c r="A92" i="75" s="1"/>
  <c r="A14" i="75"/>
  <c r="D14" i="75" s="1"/>
  <c r="A72" i="75"/>
  <c r="A73" i="75" s="1"/>
  <c r="A74" i="75" s="1"/>
  <c r="A75" i="75" s="1"/>
  <c r="A76" i="75" s="1"/>
  <c r="A77" i="75" s="1"/>
  <c r="A78" i="75" s="1"/>
  <c r="A79" i="75" s="1"/>
  <c r="A80" i="75" s="1"/>
  <c r="A81" i="75" s="1"/>
  <c r="A70" i="75"/>
  <c r="D70" i="75" s="1"/>
  <c r="A58" i="75"/>
  <c r="A59" i="75" s="1"/>
  <c r="A60" i="75" s="1"/>
  <c r="A61" i="75" s="1"/>
  <c r="A62" i="75" s="1"/>
  <c r="A63" i="75" s="1"/>
  <c r="A64" i="75" s="1"/>
  <c r="A65" i="75" s="1"/>
  <c r="A66" i="75" s="1"/>
  <c r="A67" i="75" s="1"/>
  <c r="A56" i="75"/>
  <c r="D56" i="75" s="1"/>
  <c r="A44" i="75"/>
  <c r="A45" i="75" s="1"/>
  <c r="A46" i="75" s="1"/>
  <c r="A47" i="75" s="1"/>
  <c r="A48" i="75" s="1"/>
  <c r="A49" i="75" s="1"/>
  <c r="A50" i="75" s="1"/>
  <c r="A51" i="75" s="1"/>
  <c r="A52" i="75" s="1"/>
  <c r="A53" i="75" s="1"/>
  <c r="A42" i="75"/>
  <c r="D42" i="75" s="1"/>
  <c r="H5" i="85"/>
  <c r="H11" i="75" a="1"/>
  <c r="H11" i="75" s="1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A17" i="75" l="1"/>
  <c r="A18" i="75" s="1"/>
  <c r="A19" i="75" s="1"/>
  <c r="A20" i="75" s="1"/>
  <c r="A21" i="75" s="1"/>
  <c r="A22" i="75" s="1"/>
  <c r="A23" i="75" s="1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 l="1"/>
  <c r="A25" i="75" s="1"/>
  <c r="A99" i="75"/>
  <c r="H99" i="75" s="1"/>
  <c r="D91" i="75"/>
  <c r="N7" i="68" l="1"/>
  <c r="O7" i="68" s="1"/>
  <c r="P7" i="68" s="1"/>
  <c r="Q7" i="68" s="1"/>
  <c r="R7" i="68" s="1"/>
  <c r="S7" i="68" s="1"/>
  <c r="T7" i="68" s="1"/>
  <c r="U7" i="68" s="1"/>
  <c r="V7" i="68" s="1"/>
  <c r="W7" i="68" s="1"/>
  <c r="X7" i="68" s="1"/>
  <c r="Y7" i="68" s="1"/>
  <c r="Z7" i="68" s="1"/>
  <c r="AA7" i="68" s="1"/>
  <c r="AB7" i="68" s="1"/>
  <c r="AC7" i="68" s="1"/>
  <c r="M7" i="68"/>
  <c r="L7" i="68"/>
  <c r="K7" i="68"/>
  <c r="J7" i="68"/>
  <c r="I7" i="68"/>
  <c r="AC7" i="81" l="1"/>
  <c r="AC46" i="81" s="1"/>
  <c r="AC7" i="73"/>
  <c r="AC46" i="73" s="1"/>
  <c r="AD7" i="68"/>
  <c r="AC7" i="82"/>
  <c r="AC46" i="68"/>
  <c r="AC7" i="72"/>
  <c r="AC46" i="72" s="1"/>
  <c r="AC46" i="82" l="1"/>
  <c r="AD7" i="81"/>
  <c r="AD46" i="81" s="1"/>
  <c r="AD7" i="73"/>
  <c r="AD46" i="73" s="1"/>
  <c r="AD46" i="68"/>
  <c r="AE7" i="68"/>
  <c r="AD7" i="82"/>
  <c r="AD7" i="72"/>
  <c r="AD46" i="72" s="1"/>
  <c r="AE7" i="81" l="1"/>
  <c r="AE46" i="81" s="1"/>
  <c r="AF7" i="68"/>
  <c r="AE7" i="82"/>
  <c r="AE46" i="68"/>
  <c r="AE7" i="73"/>
  <c r="AE7" i="72"/>
  <c r="AE46" i="72" s="1"/>
  <c r="AD46" i="82"/>
  <c r="G44" i="75"/>
  <c r="C44" i="75"/>
  <c r="G58" i="75"/>
  <c r="C58" i="75"/>
  <c r="G72" i="75"/>
  <c r="C72" i="75"/>
  <c r="AE46" i="73" l="1"/>
  <c r="AE46" i="82"/>
  <c r="AF7" i="81"/>
  <c r="AF46" i="81" s="1"/>
  <c r="AG7" i="68"/>
  <c r="AF7" i="73"/>
  <c r="AF46" i="73" s="1"/>
  <c r="AF7" i="82"/>
  <c r="AF46" i="68"/>
  <c r="AF7" i="72"/>
  <c r="AF46" i="72" s="1"/>
  <c r="G30" i="75"/>
  <c r="C30" i="75"/>
  <c r="C16" i="75"/>
  <c r="G16" i="75"/>
  <c r="AG7" i="81" l="1"/>
  <c r="AG46" i="81" s="1"/>
  <c r="AG7" i="73"/>
  <c r="AG7" i="82"/>
  <c r="AG46" i="68"/>
  <c r="AG7" i="72"/>
  <c r="AG46" i="72" s="1"/>
  <c r="AF46" i="82"/>
  <c r="D17" i="75"/>
  <c r="H92" i="75"/>
  <c r="D16" i="75"/>
  <c r="AG46" i="73" l="1"/>
  <c r="AG46" i="82"/>
  <c r="AB88" i="68" l="1"/>
  <c r="AA88" i="68"/>
  <c r="Z88" i="68"/>
  <c r="Y88" i="68"/>
  <c r="X88" i="68"/>
  <c r="W88" i="68"/>
  <c r="V88" i="68"/>
  <c r="U88" i="68"/>
  <c r="T88" i="68"/>
  <c r="S88" i="68"/>
  <c r="R88" i="68"/>
  <c r="Q88" i="68"/>
  <c r="P88" i="68"/>
  <c r="O88" i="68"/>
  <c r="N88" i="68"/>
  <c r="M88" i="68"/>
  <c r="L88" i="68"/>
  <c r="K88" i="68"/>
  <c r="J88" i="68"/>
  <c r="I88" i="68"/>
  <c r="AB87" i="68"/>
  <c r="AA87" i="68"/>
  <c r="Z87" i="68"/>
  <c r="Y87" i="68"/>
  <c r="X87" i="68"/>
  <c r="W87" i="68"/>
  <c r="V87" i="68"/>
  <c r="U87" i="68"/>
  <c r="T87" i="68"/>
  <c r="S87" i="68"/>
  <c r="R87" i="68"/>
  <c r="Q87" i="68"/>
  <c r="P87" i="68"/>
  <c r="O87" i="68"/>
  <c r="N87" i="68"/>
  <c r="M87" i="68"/>
  <c r="L87" i="68"/>
  <c r="K87" i="68"/>
  <c r="J87" i="68"/>
  <c r="I87" i="68"/>
  <c r="AB87" i="81"/>
  <c r="AA87" i="81"/>
  <c r="Z87" i="81"/>
  <c r="Y87" i="81"/>
  <c r="X87" i="81"/>
  <c r="W87" i="81"/>
  <c r="V87" i="81"/>
  <c r="U87" i="81"/>
  <c r="T87" i="81"/>
  <c r="S87" i="81"/>
  <c r="R87" i="81"/>
  <c r="Q87" i="81"/>
  <c r="P87" i="81"/>
  <c r="O87" i="81"/>
  <c r="N87" i="81"/>
  <c r="M87" i="81"/>
  <c r="L87" i="81"/>
  <c r="K87" i="81"/>
  <c r="J87" i="81"/>
  <c r="I87" i="81"/>
  <c r="AB87" i="82"/>
  <c r="AA87" i="82"/>
  <c r="Z87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J87" i="73"/>
  <c r="K87" i="73"/>
  <c r="L87" i="73"/>
  <c r="M87" i="73"/>
  <c r="N87" i="73"/>
  <c r="O87" i="73"/>
  <c r="P87" i="73"/>
  <c r="Q87" i="73"/>
  <c r="R87" i="73"/>
  <c r="S87" i="73"/>
  <c r="T87" i="73"/>
  <c r="U87" i="73"/>
  <c r="V87" i="73"/>
  <c r="W87" i="73"/>
  <c r="X87" i="73"/>
  <c r="Y87" i="73"/>
  <c r="Z87" i="73"/>
  <c r="AA87" i="73"/>
  <c r="AB87" i="73"/>
  <c r="I87" i="73"/>
  <c r="J87" i="72"/>
  <c r="K87" i="72"/>
  <c r="L87" i="72"/>
  <c r="M87" i="72"/>
  <c r="N87" i="72"/>
  <c r="O87" i="72"/>
  <c r="P87" i="72"/>
  <c r="Q87" i="72"/>
  <c r="R87" i="72"/>
  <c r="S87" i="72"/>
  <c r="T87" i="72"/>
  <c r="U87" i="72"/>
  <c r="V87" i="72"/>
  <c r="W87" i="72"/>
  <c r="X87" i="72"/>
  <c r="Y87" i="72"/>
  <c r="Z87" i="72"/>
  <c r="AA87" i="72"/>
  <c r="AB87" i="72"/>
  <c r="I87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S71" i="81"/>
  <c r="T71" i="81"/>
  <c r="U71" i="81"/>
  <c r="V71" i="81"/>
  <c r="W71" i="81"/>
  <c r="X71" i="81"/>
  <c r="Y71" i="81"/>
  <c r="Z71" i="81"/>
  <c r="AA71" i="81"/>
  <c r="AB71" i="81"/>
  <c r="J72" i="81"/>
  <c r="K72" i="81"/>
  <c r="L72" i="81"/>
  <c r="M72" i="81"/>
  <c r="N72" i="81"/>
  <c r="O72" i="81"/>
  <c r="P72" i="81"/>
  <c r="Q72" i="81"/>
  <c r="R72" i="81"/>
  <c r="S72" i="81"/>
  <c r="T72" i="81"/>
  <c r="U72" i="81"/>
  <c r="V72" i="81"/>
  <c r="W72" i="81"/>
  <c r="X72" i="81"/>
  <c r="Y72" i="81"/>
  <c r="Z72" i="81"/>
  <c r="AA72" i="81"/>
  <c r="AB72" i="81"/>
  <c r="J73" i="81"/>
  <c r="K73" i="81"/>
  <c r="L73" i="81"/>
  <c r="M73" i="81"/>
  <c r="N73" i="81"/>
  <c r="O73" i="81"/>
  <c r="P73" i="81"/>
  <c r="Q73" i="81"/>
  <c r="R73" i="81"/>
  <c r="S73" i="81"/>
  <c r="T73" i="81"/>
  <c r="U73" i="81"/>
  <c r="V73" i="81"/>
  <c r="W73" i="81"/>
  <c r="X73" i="81"/>
  <c r="Y73" i="81"/>
  <c r="Z73" i="81"/>
  <c r="AA73" i="81"/>
  <c r="AB73" i="81"/>
  <c r="S71" i="72"/>
  <c r="T71" i="72"/>
  <c r="U71" i="72"/>
  <c r="V71" i="72"/>
  <c r="W71" i="72"/>
  <c r="X71" i="72"/>
  <c r="Y71" i="72"/>
  <c r="Z71" i="72"/>
  <c r="AA71" i="72"/>
  <c r="AB71" i="72"/>
  <c r="J72" i="72"/>
  <c r="K72" i="72"/>
  <c r="L72" i="72"/>
  <c r="M72" i="72"/>
  <c r="N72" i="72"/>
  <c r="O72" i="72"/>
  <c r="P72" i="72"/>
  <c r="Q72" i="72"/>
  <c r="R72" i="72"/>
  <c r="S72" i="72"/>
  <c r="T72" i="72"/>
  <c r="U72" i="72"/>
  <c r="V72" i="72"/>
  <c r="W72" i="72"/>
  <c r="X72" i="72"/>
  <c r="Y72" i="72"/>
  <c r="Z72" i="72"/>
  <c r="AA72" i="72"/>
  <c r="AB72" i="72"/>
  <c r="J73" i="72"/>
  <c r="K73" i="72"/>
  <c r="L73" i="72"/>
  <c r="M73" i="72"/>
  <c r="N73" i="72"/>
  <c r="O73" i="72"/>
  <c r="P73" i="72"/>
  <c r="Q73" i="72"/>
  <c r="R73" i="72"/>
  <c r="S73" i="72"/>
  <c r="T73" i="72"/>
  <c r="U73" i="72"/>
  <c r="V73" i="72"/>
  <c r="W73" i="72"/>
  <c r="X73" i="72"/>
  <c r="Y73" i="72"/>
  <c r="Z73" i="72"/>
  <c r="AA73" i="72"/>
  <c r="AB73" i="72"/>
  <c r="S71" i="73"/>
  <c r="T71" i="73"/>
  <c r="U71" i="73"/>
  <c r="V71" i="73"/>
  <c r="W71" i="73"/>
  <c r="X71" i="73"/>
  <c r="Y71" i="73"/>
  <c r="Z71" i="73"/>
  <c r="AA71" i="73"/>
  <c r="AB71" i="73"/>
  <c r="J72" i="73"/>
  <c r="K72" i="73"/>
  <c r="L72" i="73"/>
  <c r="M72" i="73"/>
  <c r="N72" i="73"/>
  <c r="O72" i="73"/>
  <c r="P72" i="73"/>
  <c r="Q72" i="73"/>
  <c r="R72" i="73"/>
  <c r="S72" i="73"/>
  <c r="T72" i="73"/>
  <c r="U72" i="73"/>
  <c r="V72" i="73"/>
  <c r="W72" i="73"/>
  <c r="X72" i="73"/>
  <c r="Y72" i="73"/>
  <c r="Z72" i="73"/>
  <c r="AA72" i="73"/>
  <c r="AB72" i="73"/>
  <c r="J73" i="73"/>
  <c r="K73" i="73"/>
  <c r="L73" i="73"/>
  <c r="M73" i="73"/>
  <c r="N73" i="73"/>
  <c r="O73" i="73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S71" i="82"/>
  <c r="T71" i="82"/>
  <c r="U71" i="82"/>
  <c r="V71" i="82"/>
  <c r="W71" i="82"/>
  <c r="X71" i="82"/>
  <c r="Y71" i="82"/>
  <c r="Z71" i="82"/>
  <c r="AA71" i="82"/>
  <c r="AB71" i="82"/>
  <c r="J72" i="82"/>
  <c r="K72" i="82"/>
  <c r="L72" i="82"/>
  <c r="M72" i="82"/>
  <c r="N72" i="82"/>
  <c r="O72" i="82"/>
  <c r="P72" i="82"/>
  <c r="Q72" i="82"/>
  <c r="R72" i="82"/>
  <c r="S72" i="82"/>
  <c r="T72" i="82"/>
  <c r="U72" i="82"/>
  <c r="V72" i="82"/>
  <c r="W72" i="82"/>
  <c r="X72" i="82"/>
  <c r="Y72" i="82"/>
  <c r="Z72" i="82"/>
  <c r="AA72" i="82"/>
  <c r="AB72" i="82"/>
  <c r="J73" i="82"/>
  <c r="K73" i="82"/>
  <c r="L73" i="82"/>
  <c r="M73" i="82"/>
  <c r="N73" i="82"/>
  <c r="O73" i="82"/>
  <c r="P73" i="82"/>
  <c r="Q73" i="82"/>
  <c r="R73" i="82"/>
  <c r="S73" i="82"/>
  <c r="T73" i="82"/>
  <c r="U73" i="82"/>
  <c r="V73" i="82"/>
  <c r="W73" i="82"/>
  <c r="X73" i="82"/>
  <c r="Y73" i="82"/>
  <c r="Z73" i="82"/>
  <c r="AA73" i="82"/>
  <c r="AB73" i="82"/>
  <c r="J71" i="68"/>
  <c r="K71" i="68"/>
  <c r="L71" i="68"/>
  <c r="M71" i="68"/>
  <c r="N71" i="68"/>
  <c r="O71" i="68"/>
  <c r="P71" i="68"/>
  <c r="Q71" i="68"/>
  <c r="R71" i="68"/>
  <c r="S71" i="68"/>
  <c r="T71" i="68"/>
  <c r="U71" i="68"/>
  <c r="V71" i="68"/>
  <c r="W71" i="68"/>
  <c r="X71" i="68"/>
  <c r="Y71" i="68"/>
  <c r="Z71" i="68"/>
  <c r="AA71" i="68"/>
  <c r="AB71" i="68"/>
  <c r="J72" i="68"/>
  <c r="K72" i="68"/>
  <c r="L72" i="68"/>
  <c r="M72" i="68"/>
  <c r="N72" i="68"/>
  <c r="O72" i="68"/>
  <c r="P72" i="68"/>
  <c r="Q72" i="68"/>
  <c r="R72" i="68"/>
  <c r="S72" i="68"/>
  <c r="T72" i="68"/>
  <c r="U72" i="68"/>
  <c r="V72" i="68"/>
  <c r="W72" i="68"/>
  <c r="X72" i="68"/>
  <c r="Y72" i="68"/>
  <c r="Z72" i="68"/>
  <c r="AA72" i="68"/>
  <c r="AB72" i="68"/>
  <c r="J73" i="68"/>
  <c r="K73" i="68"/>
  <c r="L73" i="68"/>
  <c r="M73" i="68"/>
  <c r="N73" i="68"/>
  <c r="O73" i="68"/>
  <c r="P73" i="68"/>
  <c r="Q73" i="68"/>
  <c r="R73" i="68"/>
  <c r="S73" i="68"/>
  <c r="T73" i="68"/>
  <c r="U73" i="68"/>
  <c r="V73" i="68"/>
  <c r="W73" i="68"/>
  <c r="X73" i="68"/>
  <c r="Y73" i="68"/>
  <c r="Z73" i="68"/>
  <c r="AA73" i="68"/>
  <c r="AB73" i="68"/>
  <c r="I73" i="81"/>
  <c r="I72" i="81"/>
  <c r="I73" i="72"/>
  <c r="I72" i="72"/>
  <c r="I73" i="73"/>
  <c r="I72" i="73"/>
  <c r="I73" i="82"/>
  <c r="I72" i="82"/>
  <c r="I73" i="68"/>
  <c r="I72" i="68"/>
  <c r="I71" i="68"/>
  <c r="C83" i="81"/>
  <c r="C82" i="81"/>
  <c r="C81" i="81"/>
  <c r="C78" i="81"/>
  <c r="C77" i="81"/>
  <c r="C76" i="81"/>
  <c r="C73" i="81"/>
  <c r="C72" i="81"/>
  <c r="C71" i="81"/>
  <c r="C83" i="72"/>
  <c r="C82" i="72"/>
  <c r="C81" i="72"/>
  <c r="C78" i="72"/>
  <c r="C77" i="72"/>
  <c r="C76" i="72"/>
  <c r="C73" i="72"/>
  <c r="C72" i="72"/>
  <c r="C71" i="72"/>
  <c r="C83" i="73"/>
  <c r="C82" i="73"/>
  <c r="C81" i="73"/>
  <c r="C78" i="73"/>
  <c r="C77" i="73"/>
  <c r="C76" i="73"/>
  <c r="C73" i="73"/>
  <c r="C72" i="73"/>
  <c r="C71" i="73"/>
  <c r="C83" i="82"/>
  <c r="C82" i="82"/>
  <c r="C81" i="82"/>
  <c r="C78" i="82"/>
  <c r="C77" i="82"/>
  <c r="C76" i="82"/>
  <c r="C73" i="82"/>
  <c r="C72" i="82"/>
  <c r="C71" i="82"/>
  <c r="C83" i="68"/>
  <c r="C82" i="68"/>
  <c r="C81" i="68"/>
  <c r="C78" i="68"/>
  <c r="C77" i="68"/>
  <c r="C76" i="68"/>
  <c r="C73" i="68"/>
  <c r="C72" i="68"/>
  <c r="C71" i="68"/>
  <c r="I76" i="68" l="1" a="1"/>
  <c r="I76" i="68" s="1"/>
  <c r="J81" i="68" s="1"/>
  <c r="I77" i="68" a="1"/>
  <c r="I77" i="68" s="1"/>
  <c r="I84" i="68" s="1"/>
  <c r="I86" i="68" s="1"/>
  <c r="I111" i="68" s="1"/>
  <c r="I78" i="68" a="1"/>
  <c r="I78" i="68" s="1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8" i="82"/>
  <c r="A7" i="82"/>
  <c r="I6" i="82"/>
  <c r="A6" i="82"/>
  <c r="D82" i="75"/>
  <c r="C36" i="75"/>
  <c r="C22" i="75"/>
  <c r="I78" i="82" l="1" a="1"/>
  <c r="I78" i="82" s="1"/>
  <c r="I77" i="82" a="1"/>
  <c r="I77" i="82" s="1"/>
  <c r="D43" i="75"/>
  <c r="C68" i="72"/>
  <c r="I84" i="82" l="1"/>
  <c r="I86" i="82" s="1"/>
  <c r="I111" i="82" s="1"/>
  <c r="D44" i="75"/>
  <c r="C34" i="75" l="1"/>
  <c r="G29" i="33"/>
  <c r="H29" i="33"/>
  <c r="I29" i="33"/>
  <c r="J29" i="33"/>
  <c r="F29" i="33"/>
  <c r="A7" i="81"/>
  <c r="I6" i="81"/>
  <c r="A6" i="81"/>
  <c r="I77" i="81" l="1" a="1"/>
  <c r="I77" i="81" s="1"/>
  <c r="J82" i="81" s="1"/>
  <c r="I78" i="81" a="1"/>
  <c r="I78" i="81" s="1"/>
  <c r="D72" i="75"/>
  <c r="D58" i="75"/>
  <c r="D46" i="75"/>
  <c r="D30" i="75"/>
  <c r="I84" i="81" l="1"/>
  <c r="D65" i="75"/>
  <c r="D79" i="75"/>
  <c r="D37" i="75"/>
  <c r="D47" i="75"/>
  <c r="I86" i="81" l="1"/>
  <c r="I111" i="81" s="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8" i="73" l="1" a="1"/>
  <c r="I78" i="73" s="1"/>
  <c r="I77" i="73" a="1"/>
  <c r="I77" i="73" s="1"/>
  <c r="I78" i="72" a="1"/>
  <c r="I78" i="72" s="1"/>
  <c r="I77" i="72" a="1"/>
  <c r="I77" i="72" s="1"/>
  <c r="J82" i="72" s="1"/>
  <c r="D49" i="75"/>
  <c r="I84" i="73" l="1"/>
  <c r="D51" i="75"/>
  <c r="D50" i="75"/>
  <c r="I86" i="73" l="1"/>
  <c r="I111" i="73" s="1"/>
  <c r="D53" i="75"/>
  <c r="D52" i="75"/>
  <c r="D76" i="75" l="1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 s="1"/>
  <c r="G22" i="75"/>
  <c r="G21" i="75"/>
  <c r="G20" i="75"/>
  <c r="G19" i="75"/>
  <c r="G18" i="75"/>
  <c r="G15" i="75"/>
  <c r="J98" i="75" l="1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I98" i="75" l="1"/>
  <c r="D98" i="75" l="1"/>
  <c r="J7" i="82"/>
  <c r="J46" i="82" s="1"/>
  <c r="K7" i="82"/>
  <c r="K46" i="82" s="1"/>
  <c r="L7" i="82"/>
  <c r="L46" i="82" s="1"/>
  <c r="M7" i="82"/>
  <c r="M46" i="82" s="1"/>
  <c r="N7" i="82"/>
  <c r="N46" i="82" s="1"/>
  <c r="I7" i="82"/>
  <c r="I46" i="82" s="1"/>
  <c r="L7" i="81" l="1"/>
  <c r="L46" i="81" s="1"/>
  <c r="N7" i="81"/>
  <c r="N46" i="81" s="1"/>
  <c r="M7" i="81"/>
  <c r="M46" i="81" s="1"/>
  <c r="K7" i="81"/>
  <c r="K46" i="81" s="1"/>
  <c r="I7" i="81"/>
  <c r="I46" i="81" s="1"/>
  <c r="J7" i="81"/>
  <c r="J46" i="81" s="1"/>
  <c r="N46" i="68"/>
  <c r="N7" i="73"/>
  <c r="N46" i="73" s="1"/>
  <c r="N7" i="72"/>
  <c r="N46" i="72" s="1"/>
  <c r="M46" i="68"/>
  <c r="M7" i="72"/>
  <c r="M46" i="72" s="1"/>
  <c r="M7" i="73"/>
  <c r="M46" i="73" s="1"/>
  <c r="K46" i="68"/>
  <c r="K7" i="73"/>
  <c r="K46" i="73" s="1"/>
  <c r="K7" i="72"/>
  <c r="K46" i="72" s="1"/>
  <c r="L46" i="68"/>
  <c r="L7" i="73"/>
  <c r="L46" i="73" s="1"/>
  <c r="L7" i="72"/>
  <c r="L46" i="72" s="1"/>
  <c r="I46" i="68"/>
  <c r="I7" i="73"/>
  <c r="I46" i="73" s="1"/>
  <c r="I7" i="72"/>
  <c r="I46" i="72" s="1"/>
  <c r="J46" i="68"/>
  <c r="J7" i="73"/>
  <c r="J46" i="73" s="1"/>
  <c r="J7" i="72"/>
  <c r="J46" i="72" s="1"/>
  <c r="O7" i="82"/>
  <c r="O46" i="82" s="1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 s="1"/>
  <c r="J6" i="85" s="1"/>
  <c r="J78" i="68" l="1" a="1"/>
  <c r="J78" i="68" s="1"/>
  <c r="J76" i="68" a="1"/>
  <c r="J76" i="68" s="1"/>
  <c r="K81" i="68" s="1"/>
  <c r="J77" i="68" a="1"/>
  <c r="J77" i="68" s="1"/>
  <c r="J6" i="82"/>
  <c r="K6" i="68"/>
  <c r="K6" i="75" s="1"/>
  <c r="K6" i="85" s="1"/>
  <c r="J6" i="81"/>
  <c r="J6" i="73"/>
  <c r="J6" i="72"/>
  <c r="O7" i="81"/>
  <c r="O46" i="81" s="1"/>
  <c r="O7" i="73"/>
  <c r="O46" i="73" s="1"/>
  <c r="O7" i="72"/>
  <c r="O46" i="72" s="1"/>
  <c r="P7" i="82"/>
  <c r="P46" i="82" s="1"/>
  <c r="O46" i="68"/>
  <c r="K6" i="82" l="1"/>
  <c r="K76" i="68" a="1"/>
  <c r="K76" i="68" s="1"/>
  <c r="L81" i="68" s="1"/>
  <c r="K77" i="68" a="1"/>
  <c r="K77" i="68" s="1"/>
  <c r="K78" i="68" a="1"/>
  <c r="K78" i="68" s="1"/>
  <c r="J78" i="82" a="1"/>
  <c r="J78" i="82" s="1"/>
  <c r="J77" i="82" a="1"/>
  <c r="J77" i="82" s="1"/>
  <c r="J78" i="73" a="1"/>
  <c r="J78" i="73" s="1"/>
  <c r="J77" i="73" a="1"/>
  <c r="J77" i="73" s="1"/>
  <c r="J77" i="81" a="1"/>
  <c r="J77" i="81" s="1"/>
  <c r="K82" i="81" s="1"/>
  <c r="J78" i="81" a="1"/>
  <c r="J78" i="81" s="1"/>
  <c r="J77" i="72" a="1"/>
  <c r="J77" i="72" s="1"/>
  <c r="K82" i="72" s="1"/>
  <c r="J78" i="72" a="1"/>
  <c r="J78" i="72" s="1"/>
  <c r="J84" i="68"/>
  <c r="J86" i="68" s="1"/>
  <c r="J111" i="68" s="1"/>
  <c r="L6" i="68"/>
  <c r="L6" i="75" s="1"/>
  <c r="L6" i="85" s="1"/>
  <c r="K6" i="81"/>
  <c r="K6" i="73"/>
  <c r="K6" i="72"/>
  <c r="P7" i="81"/>
  <c r="P46" i="81" s="1"/>
  <c r="P7" i="73"/>
  <c r="P46" i="73" s="1"/>
  <c r="P7" i="72"/>
  <c r="P46" i="72" s="1"/>
  <c r="Q7" i="82"/>
  <c r="Q46" i="82" s="1"/>
  <c r="P46" i="68"/>
  <c r="K77" i="72" l="1" a="1"/>
  <c r="K77" i="72" s="1"/>
  <c r="L82" i="72" s="1"/>
  <c r="K78" i="72" a="1"/>
  <c r="K78" i="72" s="1"/>
  <c r="L76" i="68" a="1"/>
  <c r="L76" i="68" s="1"/>
  <c r="M81" i="68" s="1"/>
  <c r="L77" i="68" a="1"/>
  <c r="L77" i="68" s="1"/>
  <c r="L78" i="68" a="1"/>
  <c r="L78" i="68" s="1"/>
  <c r="K78" i="73" a="1"/>
  <c r="K78" i="73" s="1"/>
  <c r="K77" i="73" a="1"/>
  <c r="K77" i="73" s="1"/>
  <c r="K77" i="81" a="1"/>
  <c r="K77" i="81" s="1"/>
  <c r="L82" i="81" s="1"/>
  <c r="K78" i="81" a="1"/>
  <c r="K78" i="81" s="1"/>
  <c r="K77" i="82" a="1"/>
  <c r="K77" i="82" s="1"/>
  <c r="K78" i="82" a="1"/>
  <c r="K78" i="82" s="1"/>
  <c r="K84" i="68"/>
  <c r="K86" i="68" s="1"/>
  <c r="K111" i="68" s="1"/>
  <c r="J84" i="82"/>
  <c r="J86" i="82" s="1"/>
  <c r="J111" i="82" s="1"/>
  <c r="L6" i="82"/>
  <c r="M6" i="68"/>
  <c r="M6" i="75" s="1"/>
  <c r="M6" i="85" s="1"/>
  <c r="L6" i="81"/>
  <c r="L6" i="72"/>
  <c r="L6" i="73"/>
  <c r="Q7" i="81"/>
  <c r="Q46" i="81" s="1"/>
  <c r="Q7" i="73"/>
  <c r="Q46" i="73" s="1"/>
  <c r="Q7" i="72"/>
  <c r="Q46" i="72" s="1"/>
  <c r="R7" i="82"/>
  <c r="R46" i="82" s="1"/>
  <c r="Q46" i="68"/>
  <c r="L78" i="82" l="1" a="1"/>
  <c r="L78" i="82" s="1"/>
  <c r="L77" i="82" a="1"/>
  <c r="L77" i="82" s="1"/>
  <c r="M76" i="68" a="1"/>
  <c r="M76" i="68" s="1"/>
  <c r="N81" i="68" s="1"/>
  <c r="M78" i="68" a="1"/>
  <c r="M78" i="68" s="1"/>
  <c r="M77" i="68" a="1"/>
  <c r="M77" i="68" s="1"/>
  <c r="L77" i="73" a="1"/>
  <c r="L77" i="73" s="1"/>
  <c r="L78" i="73" a="1"/>
  <c r="L78" i="73" s="1"/>
  <c r="L77" i="72" a="1"/>
  <c r="L77" i="72" s="1"/>
  <c r="M82" i="72" s="1"/>
  <c r="L78" i="72" a="1"/>
  <c r="L78" i="72" s="1"/>
  <c r="L78" i="81" a="1"/>
  <c r="L78" i="81" s="1"/>
  <c r="L77" i="81" a="1"/>
  <c r="L77" i="81" s="1"/>
  <c r="M82" i="81" s="1"/>
  <c r="L84" i="68"/>
  <c r="L86" i="68" s="1"/>
  <c r="L111" i="68" s="1"/>
  <c r="M6" i="82"/>
  <c r="N6" i="68"/>
  <c r="N6" i="75" s="1"/>
  <c r="N6" i="85" s="1"/>
  <c r="M6" i="81"/>
  <c r="M6" i="72"/>
  <c r="M6" i="73"/>
  <c r="R7" i="81"/>
  <c r="R46" i="81" s="1"/>
  <c r="R7" i="73"/>
  <c r="R46" i="73" s="1"/>
  <c r="R7" i="72"/>
  <c r="R46" i="72" s="1"/>
  <c r="S7" i="82"/>
  <c r="S46" i="82" s="1"/>
  <c r="R46" i="68"/>
  <c r="M78" i="82" l="1" a="1"/>
  <c r="M78" i="82" s="1"/>
  <c r="M77" i="82" a="1"/>
  <c r="M77" i="82" s="1"/>
  <c r="M77" i="73" a="1"/>
  <c r="M77" i="73" s="1"/>
  <c r="M78" i="73" a="1"/>
  <c r="M78" i="73" s="1"/>
  <c r="M78" i="81" a="1"/>
  <c r="M78" i="81" s="1"/>
  <c r="M77" i="81" a="1"/>
  <c r="M77" i="81" s="1"/>
  <c r="N82" i="81" s="1"/>
  <c r="M77" i="72" a="1"/>
  <c r="M77" i="72" s="1"/>
  <c r="N82" i="72" s="1"/>
  <c r="M78" i="72" a="1"/>
  <c r="M78" i="72" s="1"/>
  <c r="N78" i="68" a="1"/>
  <c r="N78" i="68" s="1"/>
  <c r="N77" i="68" a="1"/>
  <c r="N77" i="68" s="1"/>
  <c r="N76" i="68" a="1"/>
  <c r="N76" i="68" s="1"/>
  <c r="O81" i="68" s="1"/>
  <c r="M84" i="68"/>
  <c r="M86" i="68" s="1"/>
  <c r="M111" i="68" s="1"/>
  <c r="L84" i="82"/>
  <c r="L86" i="82" s="1"/>
  <c r="L111" i="82" s="1"/>
  <c r="N6" i="82"/>
  <c r="O6" i="68"/>
  <c r="O6" i="75" s="1"/>
  <c r="O6" i="85" s="1"/>
  <c r="N6" i="81"/>
  <c r="N6" i="72"/>
  <c r="N6" i="73"/>
  <c r="S7" i="81"/>
  <c r="S46" i="81" s="1"/>
  <c r="S7" i="73"/>
  <c r="S46" i="73" s="1"/>
  <c r="S7" i="72"/>
  <c r="S46" i="72" s="1"/>
  <c r="T7" i="82"/>
  <c r="T46" i="82" s="1"/>
  <c r="S46" i="68"/>
  <c r="N77" i="72" l="1" a="1"/>
  <c r="N77" i="72" s="1"/>
  <c r="O82" i="72" s="1"/>
  <c r="N78" i="72" a="1"/>
  <c r="N78" i="72" s="1"/>
  <c r="N78" i="73" a="1"/>
  <c r="N78" i="73" s="1"/>
  <c r="N77" i="73" a="1"/>
  <c r="N77" i="73" s="1"/>
  <c r="N77" i="81" a="1"/>
  <c r="N77" i="81" s="1"/>
  <c r="O82" i="81" s="1"/>
  <c r="N78" i="81" a="1"/>
  <c r="N78" i="81" s="1"/>
  <c r="O76" i="68" a="1"/>
  <c r="O76" i="68" s="1"/>
  <c r="P81" i="68" s="1"/>
  <c r="O78" i="68" a="1"/>
  <c r="O78" i="68" s="1"/>
  <c r="O77" i="68" a="1"/>
  <c r="O77" i="68" s="1"/>
  <c r="N77" i="82" a="1"/>
  <c r="N77" i="82" s="1"/>
  <c r="N78" i="82" a="1"/>
  <c r="N78" i="82" s="1"/>
  <c r="N84" i="68"/>
  <c r="N86" i="68" s="1"/>
  <c r="N111" i="68" s="1"/>
  <c r="M84" i="82"/>
  <c r="M86" i="82" s="1"/>
  <c r="M111" i="82" s="1"/>
  <c r="O6" i="82"/>
  <c r="P6" i="68"/>
  <c r="P6" i="75" s="1"/>
  <c r="P6" i="85" s="1"/>
  <c r="O6" i="81"/>
  <c r="O6" i="72"/>
  <c r="O6" i="73"/>
  <c r="T7" i="81"/>
  <c r="T46" i="81" s="1"/>
  <c r="T7" i="73"/>
  <c r="T46" i="73" s="1"/>
  <c r="T7" i="72"/>
  <c r="T46" i="72" s="1"/>
  <c r="T46" i="68"/>
  <c r="U7" i="82"/>
  <c r="U46" i="82" s="1"/>
  <c r="O78" i="72" l="1" a="1"/>
  <c r="O78" i="72" s="1"/>
  <c r="O77" i="72" a="1"/>
  <c r="O77" i="72" s="1"/>
  <c r="P82" i="72" s="1"/>
  <c r="O78" i="81" a="1"/>
  <c r="O78" i="81" s="1"/>
  <c r="O77" i="81" a="1"/>
  <c r="O77" i="81" s="1"/>
  <c r="P82" i="81" s="1"/>
  <c r="O77" i="73" a="1"/>
  <c r="O77" i="73" s="1"/>
  <c r="O78" i="73" a="1"/>
  <c r="O78" i="73" s="1"/>
  <c r="P77" i="68" a="1"/>
  <c r="P77" i="68" s="1"/>
  <c r="P78" i="68" a="1"/>
  <c r="P78" i="68" s="1"/>
  <c r="P76" i="68" a="1"/>
  <c r="P76" i="68" s="1"/>
  <c r="Q81" i="68" s="1"/>
  <c r="O77" i="82" a="1"/>
  <c r="O77" i="82" s="1"/>
  <c r="O78" i="82" a="1"/>
  <c r="O78" i="82" s="1"/>
  <c r="O84" i="68"/>
  <c r="O86" i="68" s="1"/>
  <c r="O111" i="68" s="1"/>
  <c r="N84" i="82"/>
  <c r="N86" i="82" s="1"/>
  <c r="N111" i="82" s="1"/>
  <c r="P6" i="82"/>
  <c r="Q6" i="68"/>
  <c r="Q6" i="75" s="1"/>
  <c r="Q6" i="85" s="1"/>
  <c r="P6" i="81"/>
  <c r="P6" i="72"/>
  <c r="P6" i="73"/>
  <c r="U7" i="81"/>
  <c r="U46" i="81" s="1"/>
  <c r="U7" i="72"/>
  <c r="U46" i="72" s="1"/>
  <c r="U7" i="73"/>
  <c r="U46" i="73" s="1"/>
  <c r="U46" i="68"/>
  <c r="V7" i="82"/>
  <c r="V46" i="82" s="1"/>
  <c r="P77" i="72" l="1" a="1"/>
  <c r="P77" i="72" s="1"/>
  <c r="Q82" i="72" s="1"/>
  <c r="P78" i="72" a="1"/>
  <c r="P78" i="72" s="1"/>
  <c r="P78" i="81" a="1"/>
  <c r="P78" i="81" s="1"/>
  <c r="P77" i="81" a="1"/>
  <c r="P77" i="81" s="1"/>
  <c r="Q82" i="81" s="1"/>
  <c r="P78" i="73" a="1"/>
  <c r="P78" i="73" s="1"/>
  <c r="P77" i="73" a="1"/>
  <c r="P77" i="73" s="1"/>
  <c r="P78" i="82" a="1"/>
  <c r="P78" i="82" s="1"/>
  <c r="P77" i="82" a="1"/>
  <c r="P77" i="82" s="1"/>
  <c r="Q76" i="68" a="1"/>
  <c r="Q76" i="68" s="1"/>
  <c r="R81" i="68" s="1"/>
  <c r="Q78" i="68" a="1"/>
  <c r="Q78" i="68" s="1"/>
  <c r="Q77" i="68" a="1"/>
  <c r="Q77" i="68" s="1"/>
  <c r="P84" i="68"/>
  <c r="P86" i="68" s="1"/>
  <c r="P111" i="68" s="1"/>
  <c r="O84" i="82"/>
  <c r="O86" i="82" s="1"/>
  <c r="O111" i="82" s="1"/>
  <c r="Q6" i="82"/>
  <c r="R6" i="68"/>
  <c r="R6" i="75" s="1"/>
  <c r="R6" i="85" s="1"/>
  <c r="Q6" i="81"/>
  <c r="Q6" i="73"/>
  <c r="Q6" i="72"/>
  <c r="V7" i="81"/>
  <c r="V46" i="81" s="1"/>
  <c r="V7" i="73"/>
  <c r="V46" i="73" s="1"/>
  <c r="V7" i="72"/>
  <c r="V46" i="72" s="1"/>
  <c r="V46" i="68"/>
  <c r="W7" i="82"/>
  <c r="W46" i="82" s="1"/>
  <c r="Q77" i="72" l="1" a="1"/>
  <c r="Q77" i="72" s="1"/>
  <c r="R82" i="72" s="1"/>
  <c r="Q78" i="72" a="1"/>
  <c r="Q78" i="72" s="1"/>
  <c r="Q78" i="73" a="1"/>
  <c r="Q78" i="73" s="1"/>
  <c r="Q77" i="73" a="1"/>
  <c r="Q77" i="73" s="1"/>
  <c r="Q77" i="82" a="1"/>
  <c r="Q77" i="82" s="1"/>
  <c r="Q78" i="82" a="1"/>
  <c r="Q78" i="82" s="1"/>
  <c r="Q77" i="81" a="1"/>
  <c r="Q77" i="81" s="1"/>
  <c r="R82" i="81" s="1"/>
  <c r="Q78" i="81" a="1"/>
  <c r="Q78" i="81" s="1"/>
  <c r="R78" i="68" a="1"/>
  <c r="R78" i="68" s="1"/>
  <c r="R76" i="68" a="1"/>
  <c r="R76" i="68" s="1"/>
  <c r="S81" i="68" s="1"/>
  <c r="R77" i="68" a="1"/>
  <c r="R77" i="68" s="1"/>
  <c r="Q84" i="68"/>
  <c r="Q86" i="68" s="1"/>
  <c r="Q111" i="68" s="1"/>
  <c r="P84" i="82"/>
  <c r="P86" i="82" s="1"/>
  <c r="P111" i="82" s="1"/>
  <c r="R6" i="82"/>
  <c r="S6" i="68"/>
  <c r="S6" i="75" s="1"/>
  <c r="S6" i="85" s="1"/>
  <c r="R6" i="81"/>
  <c r="R6" i="73"/>
  <c r="R6" i="72"/>
  <c r="W7" i="81"/>
  <c r="W46" i="81" s="1"/>
  <c r="W7" i="73"/>
  <c r="W46" i="73" s="1"/>
  <c r="W7" i="72"/>
  <c r="W46" i="72" s="1"/>
  <c r="W46" i="68"/>
  <c r="X7" i="82"/>
  <c r="X46" i="82" s="1"/>
  <c r="R77" i="82" l="1" a="1"/>
  <c r="R77" i="82" s="1"/>
  <c r="R78" i="82" a="1"/>
  <c r="R78" i="82" s="1"/>
  <c r="R78" i="73" a="1"/>
  <c r="R78" i="73" s="1"/>
  <c r="R77" i="73" a="1"/>
  <c r="R77" i="73" s="1"/>
  <c r="R77" i="81" a="1"/>
  <c r="R77" i="81" s="1"/>
  <c r="S82" i="81" s="1"/>
  <c r="R78" i="81" a="1"/>
  <c r="R78" i="81" s="1"/>
  <c r="R77" i="72" a="1"/>
  <c r="R77" i="72" s="1"/>
  <c r="S82" i="72" s="1"/>
  <c r="R78" i="72" a="1"/>
  <c r="R78" i="72" s="1"/>
  <c r="S76" i="68" a="1"/>
  <c r="S76" i="68" s="1"/>
  <c r="T81" i="68" s="1"/>
  <c r="S78" i="68" a="1"/>
  <c r="S78" i="68" s="1"/>
  <c r="S77" i="68" a="1"/>
  <c r="S77" i="68" s="1"/>
  <c r="R84" i="68"/>
  <c r="Q84" i="82"/>
  <c r="Q86" i="82" s="1"/>
  <c r="Q111" i="82" s="1"/>
  <c r="S6" i="82"/>
  <c r="T6" i="68"/>
  <c r="T6" i="75" s="1"/>
  <c r="T6" i="85" s="1"/>
  <c r="S6" i="81"/>
  <c r="S6" i="73"/>
  <c r="S6" i="72"/>
  <c r="X7" i="81"/>
  <c r="X46" i="81" s="1"/>
  <c r="X7" i="73"/>
  <c r="X46" i="73" s="1"/>
  <c r="X7" i="72"/>
  <c r="X46" i="72" s="1"/>
  <c r="X46" i="68"/>
  <c r="Y7" i="82"/>
  <c r="Y46" i="82" s="1"/>
  <c r="R86" i="68" l="1"/>
  <c r="R111" i="68" s="1"/>
  <c r="S78" i="82" a="1"/>
  <c r="S78" i="82" s="1"/>
  <c r="S77" i="82" a="1"/>
  <c r="S77" i="82" s="1"/>
  <c r="S78" i="72" a="1"/>
  <c r="S78" i="72" s="1"/>
  <c r="S77" i="72" a="1"/>
  <c r="S77" i="72" s="1"/>
  <c r="T82" i="72" s="1"/>
  <c r="S78" i="73" a="1"/>
  <c r="S78" i="73" s="1"/>
  <c r="S77" i="73" a="1"/>
  <c r="S77" i="73" s="1"/>
  <c r="S77" i="81" a="1"/>
  <c r="S77" i="81" s="1"/>
  <c r="T82" i="81" s="1"/>
  <c r="S78" i="81" a="1"/>
  <c r="S78" i="81" s="1"/>
  <c r="T77" i="68" a="1"/>
  <c r="T77" i="68" s="1"/>
  <c r="T78" i="68" a="1"/>
  <c r="T78" i="68" s="1"/>
  <c r="T76" i="68" a="1"/>
  <c r="T76" i="68" s="1"/>
  <c r="U81" i="68" s="1"/>
  <c r="S84" i="68"/>
  <c r="R84" i="82"/>
  <c r="T6" i="82"/>
  <c r="U6" i="68"/>
  <c r="U6" i="75" s="1"/>
  <c r="U6" i="85" s="1"/>
  <c r="T6" i="81"/>
  <c r="T6" i="72"/>
  <c r="T6" i="73"/>
  <c r="Y7" i="81"/>
  <c r="Y46" i="81" s="1"/>
  <c r="Y7" i="73"/>
  <c r="Y46" i="73" s="1"/>
  <c r="Y7" i="72"/>
  <c r="Y46" i="72" s="1"/>
  <c r="Y46" i="68"/>
  <c r="Z7" i="82"/>
  <c r="Z46" i="82" s="1"/>
  <c r="R86" i="82" l="1"/>
  <c r="R111" i="82" s="1"/>
  <c r="S86" i="68"/>
  <c r="S111" i="68" s="1"/>
  <c r="U76" i="68" a="1"/>
  <c r="U76" i="68" s="1"/>
  <c r="V81" i="68" s="1"/>
  <c r="U78" i="68" a="1"/>
  <c r="U78" i="68" s="1"/>
  <c r="U77" i="68" a="1"/>
  <c r="U77" i="68" s="1"/>
  <c r="T78" i="73" a="1"/>
  <c r="T78" i="73" s="1"/>
  <c r="T77" i="73" a="1"/>
  <c r="T77" i="73" s="1"/>
  <c r="T77" i="72" a="1"/>
  <c r="T77" i="72" s="1"/>
  <c r="U82" i="72" s="1"/>
  <c r="T78" i="72" a="1"/>
  <c r="T78" i="72" s="1"/>
  <c r="T77" i="81" a="1"/>
  <c r="T77" i="81" s="1"/>
  <c r="U82" i="81" s="1"/>
  <c r="T78" i="81" a="1"/>
  <c r="T78" i="81" s="1"/>
  <c r="T77" i="82" a="1"/>
  <c r="T77" i="82" s="1"/>
  <c r="T78" i="82" a="1"/>
  <c r="T78" i="82" s="1"/>
  <c r="T84" i="68"/>
  <c r="S84" i="82"/>
  <c r="U6" i="82"/>
  <c r="V6" i="68"/>
  <c r="V6" i="75" s="1"/>
  <c r="V6" i="85" s="1"/>
  <c r="U6" i="81"/>
  <c r="U6" i="72"/>
  <c r="U6" i="73"/>
  <c r="Z7" i="81"/>
  <c r="Z46" i="81" s="1"/>
  <c r="Z7" i="73"/>
  <c r="Z46" i="73" s="1"/>
  <c r="Z7" i="72"/>
  <c r="Z46" i="72" s="1"/>
  <c r="Z46" i="68"/>
  <c r="AA7" i="82"/>
  <c r="AA46" i="82" s="1"/>
  <c r="S86" i="82" l="1"/>
  <c r="S111" i="82" s="1"/>
  <c r="T86" i="68"/>
  <c r="T111" i="68" s="1"/>
  <c r="U78" i="73" a="1"/>
  <c r="U78" i="73" s="1"/>
  <c r="U77" i="73" a="1"/>
  <c r="U77" i="73" s="1"/>
  <c r="U78" i="72" a="1"/>
  <c r="U78" i="72" s="1"/>
  <c r="U77" i="72" a="1"/>
  <c r="U77" i="72" s="1"/>
  <c r="V82" i="72" s="1"/>
  <c r="U78" i="82" a="1"/>
  <c r="U78" i="82" s="1"/>
  <c r="U77" i="82" a="1"/>
  <c r="U77" i="82" s="1"/>
  <c r="U77" i="81" a="1"/>
  <c r="U77" i="81" s="1"/>
  <c r="V82" i="81" s="1"/>
  <c r="U78" i="81" a="1"/>
  <c r="U78" i="81" s="1"/>
  <c r="V76" i="68" a="1"/>
  <c r="V76" i="68" s="1"/>
  <c r="W81" i="68" s="1"/>
  <c r="V77" i="68" a="1"/>
  <c r="V77" i="68" s="1"/>
  <c r="V78" i="68" a="1"/>
  <c r="V78" i="68" s="1"/>
  <c r="U84" i="68"/>
  <c r="T84" i="82"/>
  <c r="V6" i="82"/>
  <c r="W6" i="68"/>
  <c r="W6" i="75" s="1"/>
  <c r="W6" i="85" s="1"/>
  <c r="V6" i="81"/>
  <c r="V6" i="72"/>
  <c r="V6" i="73"/>
  <c r="AA7" i="81"/>
  <c r="AA46" i="81" s="1"/>
  <c r="AA7" i="73"/>
  <c r="AA46" i="73" s="1"/>
  <c r="AA7" i="72"/>
  <c r="AA46" i="72" s="1"/>
  <c r="AA46" i="68"/>
  <c r="AB7" i="82"/>
  <c r="AB46" i="82" s="1"/>
  <c r="T86" i="82" l="1"/>
  <c r="T111" i="82" s="1"/>
  <c r="U86" i="68"/>
  <c r="U111" i="68" s="1"/>
  <c r="V77" i="72" a="1"/>
  <c r="V77" i="72" s="1"/>
  <c r="W82" i="72" s="1"/>
  <c r="V78" i="72" a="1"/>
  <c r="V78" i="72" s="1"/>
  <c r="V77" i="82" a="1"/>
  <c r="V77" i="82" s="1"/>
  <c r="V78" i="82" a="1"/>
  <c r="V78" i="82" s="1"/>
  <c r="V77" i="73" a="1"/>
  <c r="V77" i="73" s="1"/>
  <c r="V78" i="73" a="1"/>
  <c r="V78" i="73" s="1"/>
  <c r="V78" i="81" a="1"/>
  <c r="V78" i="81" s="1"/>
  <c r="V77" i="81" a="1"/>
  <c r="V77" i="81" s="1"/>
  <c r="W82" i="81" s="1"/>
  <c r="W77" i="68" a="1"/>
  <c r="W77" i="68" s="1"/>
  <c r="W78" i="68" a="1"/>
  <c r="W78" i="68" s="1"/>
  <c r="W76" i="68" a="1"/>
  <c r="W76" i="68" s="1"/>
  <c r="X81" i="68" s="1"/>
  <c r="V84" i="68"/>
  <c r="V86" i="68" s="1"/>
  <c r="V111" i="68" s="1"/>
  <c r="U84" i="82"/>
  <c r="W6" i="82"/>
  <c r="X6" i="68"/>
  <c r="X6" i="75" s="1"/>
  <c r="W6" i="81"/>
  <c r="W6" i="72"/>
  <c r="W6" i="73"/>
  <c r="AB7" i="81"/>
  <c r="AB46" i="81" s="1"/>
  <c r="AB7" i="73"/>
  <c r="AB46" i="73" s="1"/>
  <c r="AB7" i="72"/>
  <c r="AB46" i="72" s="1"/>
  <c r="AB46" i="68"/>
  <c r="U86" i="82" l="1"/>
  <c r="U111" i="82" s="1"/>
  <c r="X6" i="85"/>
  <c r="W78" i="82" a="1"/>
  <c r="W78" i="82" s="1"/>
  <c r="W77" i="82" a="1"/>
  <c r="W77" i="82" s="1"/>
  <c r="W77" i="72" a="1"/>
  <c r="W77" i="72" s="1"/>
  <c r="X82" i="72" s="1"/>
  <c r="W78" i="72" a="1"/>
  <c r="W78" i="72" s="1"/>
  <c r="W77" i="81" a="1"/>
  <c r="W77" i="81" s="1"/>
  <c r="X82" i="81" s="1"/>
  <c r="W78" i="81" a="1"/>
  <c r="W78" i="81" s="1"/>
  <c r="X77" i="68" a="1"/>
  <c r="X77" i="68" s="1"/>
  <c r="X76" i="68" a="1"/>
  <c r="X76" i="68" s="1"/>
  <c r="Y81" i="68" s="1"/>
  <c r="X78" i="68" a="1"/>
  <c r="X78" i="68" s="1"/>
  <c r="W78" i="73" a="1"/>
  <c r="W78" i="73" s="1"/>
  <c r="W77" i="73" a="1"/>
  <c r="W77" i="73" s="1"/>
  <c r="W84" i="68"/>
  <c r="W86" i="68" s="1"/>
  <c r="W111" i="68" s="1"/>
  <c r="V84" i="82"/>
  <c r="V86" i="82" s="1"/>
  <c r="V111" i="82" s="1"/>
  <c r="X6" i="82"/>
  <c r="Y6" i="68"/>
  <c r="Y6" i="75" s="1"/>
  <c r="X6" i="81"/>
  <c r="X6" i="72"/>
  <c r="X6" i="73"/>
  <c r="Y6" i="85" l="1"/>
  <c r="X78" i="82" a="1"/>
  <c r="X78" i="82" s="1"/>
  <c r="X77" i="82" a="1"/>
  <c r="X77" i="82" s="1"/>
  <c r="X78" i="73" a="1"/>
  <c r="X78" i="73" s="1"/>
  <c r="X77" i="73" a="1"/>
  <c r="X77" i="73" s="1"/>
  <c r="X77" i="72" a="1"/>
  <c r="X77" i="72" s="1"/>
  <c r="Y82" i="72" s="1"/>
  <c r="X78" i="72" a="1"/>
  <c r="X78" i="72" s="1"/>
  <c r="Y78" i="68" a="1"/>
  <c r="Y78" i="68" s="1"/>
  <c r="Y77" i="68" a="1"/>
  <c r="Y77" i="68" s="1"/>
  <c r="Y76" i="68" a="1"/>
  <c r="Y76" i="68" s="1"/>
  <c r="Z81" i="68" s="1"/>
  <c r="X78" i="81" a="1"/>
  <c r="X78" i="81" s="1"/>
  <c r="X77" i="81" a="1"/>
  <c r="X77" i="81" s="1"/>
  <c r="Y82" i="81" s="1"/>
  <c r="X84" i="68"/>
  <c r="X86" i="68" s="1"/>
  <c r="X111" i="68" s="1"/>
  <c r="W84" i="82"/>
  <c r="W86" i="82" s="1"/>
  <c r="W111" i="82" s="1"/>
  <c r="Y6" i="82"/>
  <c r="Z6" i="68"/>
  <c r="Z6" i="75" s="1"/>
  <c r="Y6" i="81"/>
  <c r="Y6" i="73"/>
  <c r="Y6" i="72"/>
  <c r="Z6" i="85" l="1"/>
  <c r="Y77" i="82" a="1"/>
  <c r="Y77" i="82" s="1"/>
  <c r="Y78" i="82" a="1"/>
  <c r="Y78" i="82" s="1"/>
  <c r="Y77" i="72" a="1"/>
  <c r="Y77" i="72" s="1"/>
  <c r="Z82" i="72" s="1"/>
  <c r="Y78" i="72" a="1"/>
  <c r="Y78" i="72" s="1"/>
  <c r="Y77" i="73" a="1"/>
  <c r="Y77" i="73" s="1"/>
  <c r="Y78" i="73" a="1"/>
  <c r="Y78" i="73" s="1"/>
  <c r="Y77" i="81" a="1"/>
  <c r="Y77" i="81" s="1"/>
  <c r="Z82" i="81" s="1"/>
  <c r="Y78" i="81" a="1"/>
  <c r="Y78" i="81" s="1"/>
  <c r="Z76" i="68" a="1"/>
  <c r="Z76" i="68" s="1"/>
  <c r="AA81" i="68" s="1"/>
  <c r="Z77" i="68" a="1"/>
  <c r="Z77" i="68" s="1"/>
  <c r="Z78" i="68" a="1"/>
  <c r="Z78" i="68" s="1"/>
  <c r="Y84" i="68"/>
  <c r="Y86" i="68" s="1"/>
  <c r="Y111" i="68" s="1"/>
  <c r="X84" i="82"/>
  <c r="X86" i="82" s="1"/>
  <c r="X111" i="82" s="1"/>
  <c r="Z6" i="82"/>
  <c r="AA6" i="68"/>
  <c r="AA6" i="75" s="1"/>
  <c r="Z6" i="81"/>
  <c r="Z6" i="73"/>
  <c r="Z6" i="72"/>
  <c r="AA6" i="85" l="1"/>
  <c r="Z78" i="72" a="1"/>
  <c r="Z78" i="72" s="1"/>
  <c r="Z77" i="72" a="1"/>
  <c r="Z77" i="72" s="1"/>
  <c r="AA82" i="72" s="1"/>
  <c r="Z77" i="82" a="1"/>
  <c r="Z77" i="82" s="1"/>
  <c r="Z78" i="82" a="1"/>
  <c r="Z78" i="82" s="1"/>
  <c r="Z78" i="73" a="1"/>
  <c r="Z78" i="73" s="1"/>
  <c r="Z77" i="73" a="1"/>
  <c r="Z77" i="73" s="1"/>
  <c r="Z78" i="81" a="1"/>
  <c r="Z78" i="81" s="1"/>
  <c r="Z77" i="81" a="1"/>
  <c r="Z77" i="81" s="1"/>
  <c r="AA82" i="81" s="1"/>
  <c r="AA76" i="68" a="1"/>
  <c r="AA76" i="68" s="1"/>
  <c r="AB81" i="68" s="1"/>
  <c r="AA77" i="68" a="1"/>
  <c r="AA77" i="68" s="1"/>
  <c r="AA78" i="68" a="1"/>
  <c r="AA78" i="68" s="1"/>
  <c r="Z84" i="68"/>
  <c r="Z86" i="68" s="1"/>
  <c r="Z111" i="68" s="1"/>
  <c r="Y84" i="82"/>
  <c r="Y86" i="82" s="1"/>
  <c r="Y111" i="82" s="1"/>
  <c r="AA6" i="82"/>
  <c r="AB6" i="68"/>
  <c r="AB6" i="75" s="1"/>
  <c r="AA6" i="81"/>
  <c r="AA6" i="73"/>
  <c r="AA6" i="72"/>
  <c r="AB6" i="85" l="1"/>
  <c r="AA78" i="73" a="1"/>
  <c r="AA78" i="73" s="1"/>
  <c r="AA77" i="73" a="1"/>
  <c r="AA77" i="73" s="1"/>
  <c r="AA77" i="81" a="1"/>
  <c r="AA77" i="81" s="1"/>
  <c r="AB82" i="81" s="1"/>
  <c r="AA78" i="81" a="1"/>
  <c r="AA78" i="81" s="1"/>
  <c r="AC6" i="68"/>
  <c r="AB78" i="68" a="1"/>
  <c r="AB78" i="68" s="1"/>
  <c r="AB77" i="68" a="1"/>
  <c r="AB77" i="68" s="1"/>
  <c r="AB76" i="68" a="1"/>
  <c r="AB76" i="68" s="1"/>
  <c r="AC81" i="68" s="1"/>
  <c r="AA78" i="72" a="1"/>
  <c r="AA78" i="72" s="1"/>
  <c r="AA77" i="72" a="1"/>
  <c r="AA77" i="72" s="1"/>
  <c r="AB82" i="72" s="1"/>
  <c r="AA78" i="82" a="1"/>
  <c r="AA78" i="82" s="1"/>
  <c r="AA77" i="82" a="1"/>
  <c r="AA77" i="82" s="1"/>
  <c r="AA84" i="68"/>
  <c r="AA86" i="68" s="1"/>
  <c r="AA111" i="68" s="1"/>
  <c r="Z84" i="82"/>
  <c r="Z86" i="82" s="1"/>
  <c r="Z111" i="82" s="1"/>
  <c r="AB6" i="82"/>
  <c r="AB6" i="81"/>
  <c r="AB6" i="72"/>
  <c r="AB6" i="73"/>
  <c r="AC6" i="73" l="1"/>
  <c r="AC6" i="75"/>
  <c r="AC6" i="82"/>
  <c r="AC77" i="82" s="1" a="1"/>
  <c r="AC77" i="82" s="1"/>
  <c r="AC6" i="72"/>
  <c r="AB78" i="82" a="1"/>
  <c r="AB78" i="82" s="1"/>
  <c r="AB77" i="82" a="1"/>
  <c r="AB77" i="82" s="1"/>
  <c r="AC76" i="68" a="1"/>
  <c r="AC76" i="68" s="1"/>
  <c r="AD81" i="68" s="1"/>
  <c r="AC78" i="68" a="1"/>
  <c r="AC78" i="68" s="1"/>
  <c r="AC77" i="68" a="1"/>
  <c r="AC77" i="68" s="1"/>
  <c r="AC84" i="68" s="1"/>
  <c r="AC86" i="68" s="1"/>
  <c r="AC111" i="68" s="1"/>
  <c r="AC6" i="81"/>
  <c r="AB78" i="73" a="1"/>
  <c r="AB78" i="73" s="1"/>
  <c r="AB77" i="73" a="1"/>
  <c r="AB77" i="73" s="1"/>
  <c r="AD6" i="68"/>
  <c r="AB78" i="72" a="1"/>
  <c r="AB78" i="72" s="1"/>
  <c r="AB77" i="72" a="1"/>
  <c r="AB77" i="72" s="1"/>
  <c r="AC82" i="72" s="1"/>
  <c r="AB78" i="81" a="1"/>
  <c r="AB78" i="81" s="1"/>
  <c r="AB77" i="81" a="1"/>
  <c r="AB77" i="81" s="1"/>
  <c r="AC82" i="81" s="1"/>
  <c r="AB84" i="68"/>
  <c r="AB86" i="68" s="1"/>
  <c r="AB111" i="68" s="1"/>
  <c r="AD6" i="73"/>
  <c r="AA84" i="82"/>
  <c r="AA86" i="82" s="1"/>
  <c r="AA111" i="82" s="1"/>
  <c r="I9" i="85"/>
  <c r="AC78" i="82" l="1" a="1"/>
  <c r="AC78" i="82" s="1"/>
  <c r="AC77" i="73" a="1"/>
  <c r="AC77" i="73" s="1"/>
  <c r="AC78" i="73" a="1"/>
  <c r="AC78" i="73" s="1"/>
  <c r="AC6" i="85"/>
  <c r="AE6" i="68"/>
  <c r="AE6" i="75" s="1"/>
  <c r="AD6" i="75"/>
  <c r="AD6" i="81"/>
  <c r="AD77" i="81" s="1" a="1"/>
  <c r="AD77" i="81" s="1"/>
  <c r="AE82" i="81" s="1"/>
  <c r="AD6" i="82"/>
  <c r="AD77" i="82" s="1" a="1"/>
  <c r="AD77" i="82" s="1"/>
  <c r="AD6" i="72"/>
  <c r="AD78" i="72" s="1" a="1"/>
  <c r="AD78" i="72" s="1"/>
  <c r="AC77" i="81" a="1"/>
  <c r="AC77" i="81" s="1"/>
  <c r="AD82" i="81" s="1"/>
  <c r="AC78" i="81" a="1"/>
  <c r="AC78" i="81" s="1"/>
  <c r="AE78" i="68" a="1"/>
  <c r="AE78" i="68" s="1"/>
  <c r="AC77" i="72" a="1"/>
  <c r="AC77" i="72" s="1"/>
  <c r="AD82" i="72" s="1"/>
  <c r="AC78" i="72" a="1"/>
  <c r="AC78" i="72" s="1"/>
  <c r="AD77" i="73" a="1"/>
  <c r="AD77" i="73" s="1"/>
  <c r="AD78" i="73" a="1"/>
  <c r="AD78" i="73" s="1"/>
  <c r="AD77" i="68" a="1"/>
  <c r="AD77" i="68" s="1"/>
  <c r="AD84" i="68" s="1"/>
  <c r="AD86" i="68" s="1"/>
  <c r="AD111" i="68" s="1"/>
  <c r="AD76" i="68" a="1"/>
  <c r="AD76" i="68" s="1"/>
  <c r="AE81" i="68" s="1"/>
  <c r="AD78" i="68" a="1"/>
  <c r="AD78" i="68" s="1"/>
  <c r="AB84" i="82"/>
  <c r="AB86" i="82" s="1"/>
  <c r="AB111" i="82" s="1"/>
  <c r="I9" i="75"/>
  <c r="I5" i="75" s="1"/>
  <c r="I9" i="82"/>
  <c r="I8" i="82" s="1"/>
  <c r="I31" i="82" s="1"/>
  <c r="I9" i="81"/>
  <c r="I8" i="81" s="1"/>
  <c r="I9" i="73"/>
  <c r="I8" i="73" s="1"/>
  <c r="I9" i="72"/>
  <c r="I8" i="72" s="1"/>
  <c r="J9" i="68"/>
  <c r="AE77" i="68" l="1" a="1"/>
  <c r="AE77" i="68" s="1"/>
  <c r="AE6" i="72"/>
  <c r="AE78" i="72" s="1" a="1"/>
  <c r="AE78" i="72" s="1"/>
  <c r="AE6" i="82"/>
  <c r="AE78" i="82" s="1" a="1"/>
  <c r="AE78" i="82" s="1"/>
  <c r="AE76" i="68" a="1"/>
  <c r="AE76" i="68" s="1"/>
  <c r="AF81" i="68" s="1"/>
  <c r="AE6" i="81"/>
  <c r="AF6" i="68"/>
  <c r="AF6" i="75" s="1"/>
  <c r="AF6" i="85" s="1"/>
  <c r="AE6" i="73"/>
  <c r="AE78" i="73" s="1" a="1"/>
  <c r="AE78" i="73" s="1"/>
  <c r="AE84" i="68"/>
  <c r="AE86" i="68" s="1"/>
  <c r="AE111" i="68" s="1"/>
  <c r="J9" i="85"/>
  <c r="AE6" i="85"/>
  <c r="AD6" i="85"/>
  <c r="I5" i="85"/>
  <c r="AD78" i="82" a="1"/>
  <c r="AD78" i="82" s="1"/>
  <c r="AD78" i="81" a="1"/>
  <c r="AD78" i="81" s="1"/>
  <c r="AD77" i="72" a="1"/>
  <c r="AD77" i="72" s="1"/>
  <c r="AE82" i="72" s="1"/>
  <c r="AE77" i="81" a="1"/>
  <c r="AE77" i="81" s="1"/>
  <c r="AF82" i="81" s="1"/>
  <c r="AF77" i="68" a="1"/>
  <c r="AF77" i="68" s="1"/>
  <c r="AF84" i="68" s="1"/>
  <c r="AF86" i="68" s="1"/>
  <c r="AF111" i="68" s="1"/>
  <c r="AF76" i="68" a="1"/>
  <c r="AF76" i="68" s="1"/>
  <c r="AG81" i="68" s="1"/>
  <c r="AF6" i="73"/>
  <c r="AF6" i="81"/>
  <c r="I88" i="75"/>
  <c r="I97" i="75" s="1"/>
  <c r="J9" i="75"/>
  <c r="J5" i="75" s="1"/>
  <c r="J9" i="82"/>
  <c r="J8" i="82" s="1"/>
  <c r="J9" i="81"/>
  <c r="J8" i="81" s="1"/>
  <c r="J9" i="72"/>
  <c r="J8" i="72" s="1"/>
  <c r="J9" i="73"/>
  <c r="J8" i="73" s="1"/>
  <c r="K9" i="68"/>
  <c r="AF6" i="82" l="1"/>
  <c r="AF6" i="72"/>
  <c r="J31" i="82"/>
  <c r="AE77" i="72" a="1"/>
  <c r="AE77" i="72" s="1"/>
  <c r="AF82" i="72" s="1"/>
  <c r="AE77" i="82" a="1"/>
  <c r="AE77" i="82" s="1"/>
  <c r="AE78" i="81" a="1"/>
  <c r="AE78" i="81" s="1"/>
  <c r="AG6" i="68"/>
  <c r="AG6" i="75" s="1"/>
  <c r="AF78" i="68" a="1"/>
  <c r="AF78" i="68" s="1"/>
  <c r="AE77" i="73" a="1"/>
  <c r="AE77" i="73" s="1"/>
  <c r="K9" i="85"/>
  <c r="AG6" i="85"/>
  <c r="J5" i="85"/>
  <c r="AF78" i="82" a="1"/>
  <c r="AF78" i="82" s="1"/>
  <c r="AF77" i="82" a="1"/>
  <c r="AF77" i="82" s="1"/>
  <c r="AF78" i="72" a="1"/>
  <c r="AF78" i="72" s="1"/>
  <c r="AF77" i="72" a="1"/>
  <c r="AF77" i="72" s="1"/>
  <c r="AG82" i="72" s="1"/>
  <c r="AF77" i="81" a="1"/>
  <c r="AF77" i="81" s="1"/>
  <c r="AG82" i="81" s="1"/>
  <c r="AF78" i="81" a="1"/>
  <c r="AF78" i="81" s="1"/>
  <c r="AG78" i="68" a="1"/>
  <c r="AG78" i="68" s="1"/>
  <c r="AG77" i="68" a="1"/>
  <c r="AG77" i="68" s="1"/>
  <c r="AG84" i="68" s="1"/>
  <c r="AG86" i="68" s="1"/>
  <c r="AG111" i="68" s="1"/>
  <c r="AF78" i="73" a="1"/>
  <c r="AF78" i="73" s="1"/>
  <c r="AF77" i="73" a="1"/>
  <c r="AF77" i="73" s="1"/>
  <c r="AG6" i="72"/>
  <c r="AG6" i="82"/>
  <c r="J88" i="75"/>
  <c r="J97" i="75" s="1"/>
  <c r="K9" i="75"/>
  <c r="K5" i="75" s="1"/>
  <c r="K9" i="82"/>
  <c r="K8" i="82" s="1"/>
  <c r="K9" i="81"/>
  <c r="K8" i="81" s="1"/>
  <c r="L9" i="68"/>
  <c r="K9" i="72"/>
  <c r="K8" i="72" s="1"/>
  <c r="K9" i="73"/>
  <c r="K8" i="73" s="1"/>
  <c r="AG6" i="81" l="1"/>
  <c r="AG6" i="73"/>
  <c r="AG76" i="68" a="1"/>
  <c r="AG76" i="68" s="1"/>
  <c r="K31" i="82"/>
  <c r="L9" i="85"/>
  <c r="K5" i="85"/>
  <c r="AG78" i="82" a="1"/>
  <c r="AG78" i="82" s="1"/>
  <c r="AG77" i="82" a="1"/>
  <c r="AG77" i="82" s="1"/>
  <c r="AG77" i="72" a="1"/>
  <c r="AG77" i="72" s="1"/>
  <c r="AG78" i="72" a="1"/>
  <c r="AG78" i="72" s="1"/>
  <c r="AG77" i="81" a="1"/>
  <c r="AG77" i="81" s="1"/>
  <c r="AG78" i="81" a="1"/>
  <c r="AG78" i="81" s="1"/>
  <c r="AG77" i="73" a="1"/>
  <c r="AG77" i="73" s="1"/>
  <c r="AG78" i="73" a="1"/>
  <c r="AG78" i="73" s="1"/>
  <c r="K88" i="75"/>
  <c r="K97" i="75" s="1"/>
  <c r="L9" i="75"/>
  <c r="L5" i="75" s="1"/>
  <c r="L9" i="82"/>
  <c r="L8" i="82" s="1"/>
  <c r="L9" i="81"/>
  <c r="L8" i="81" s="1"/>
  <c r="M9" i="68"/>
  <c r="L9" i="73"/>
  <c r="L8" i="73" s="1"/>
  <c r="L9" i="72"/>
  <c r="L8" i="72" s="1"/>
  <c r="M9" i="85" l="1"/>
  <c r="L5" i="85"/>
  <c r="L88" i="75"/>
  <c r="L97" i="75" s="1"/>
  <c r="M9" i="75"/>
  <c r="M5" i="75" s="1"/>
  <c r="M9" i="82"/>
  <c r="M8" i="82" s="1"/>
  <c r="M9" i="81"/>
  <c r="M8" i="81" s="1"/>
  <c r="N9" i="68"/>
  <c r="M9" i="73"/>
  <c r="M8" i="73" s="1"/>
  <c r="M9" i="72"/>
  <c r="M8" i="72" s="1"/>
  <c r="M31" i="82" l="1"/>
  <c r="L31" i="82"/>
  <c r="I17" i="73"/>
  <c r="I71" i="73"/>
  <c r="I17" i="72"/>
  <c r="I71" i="72"/>
  <c r="N9" i="85"/>
  <c r="M5" i="85"/>
  <c r="M88" i="75"/>
  <c r="M97" i="75" s="1"/>
  <c r="N9" i="75"/>
  <c r="N5" i="75" s="1"/>
  <c r="N9" i="82"/>
  <c r="N8" i="82" s="1"/>
  <c r="N9" i="81"/>
  <c r="N8" i="81" s="1"/>
  <c r="O9" i="68"/>
  <c r="N9" i="73"/>
  <c r="N8" i="73" s="1"/>
  <c r="N9" i="72"/>
  <c r="N8" i="72" s="1"/>
  <c r="I17" i="82" l="1"/>
  <c r="I71" i="82"/>
  <c r="I76" i="73" a="1"/>
  <c r="I76" i="73" s="1"/>
  <c r="J81" i="73" s="1"/>
  <c r="J84" i="73" s="1"/>
  <c r="J86" i="73" s="1"/>
  <c r="J111" i="73" s="1"/>
  <c r="I76" i="72" a="1"/>
  <c r="I76" i="72" s="1"/>
  <c r="J81" i="72" s="1"/>
  <c r="I17" i="81"/>
  <c r="I71" i="81"/>
  <c r="O9" i="85"/>
  <c r="N5" i="85"/>
  <c r="N88" i="75"/>
  <c r="N97" i="75" s="1"/>
  <c r="O9" i="75"/>
  <c r="O5" i="75" s="1"/>
  <c r="O9" i="82"/>
  <c r="O8" i="82" s="1"/>
  <c r="O9" i="81"/>
  <c r="O8" i="81" s="1"/>
  <c r="P9" i="68"/>
  <c r="O9" i="73"/>
  <c r="O8" i="73" s="1"/>
  <c r="O9" i="72"/>
  <c r="O8" i="72" s="1"/>
  <c r="K71" i="82" l="1"/>
  <c r="N31" i="82"/>
  <c r="K17" i="82"/>
  <c r="J17" i="82"/>
  <c r="J71" i="82"/>
  <c r="I76" i="82" a="1"/>
  <c r="I76" i="82" s="1"/>
  <c r="J76" i="82" a="1"/>
  <c r="J76" i="82" s="1"/>
  <c r="J17" i="73"/>
  <c r="J71" i="73"/>
  <c r="K17" i="72"/>
  <c r="K71" i="72"/>
  <c r="J17" i="72"/>
  <c r="J71" i="72"/>
  <c r="I76" i="81" a="1"/>
  <c r="I76" i="81" s="1"/>
  <c r="J81" i="81" s="1"/>
  <c r="J84" i="81" s="1"/>
  <c r="J86" i="81" s="1"/>
  <c r="J111" i="81" s="1"/>
  <c r="J17" i="81"/>
  <c r="J71" i="81"/>
  <c r="P9" i="85"/>
  <c r="O5" i="85"/>
  <c r="O88" i="75"/>
  <c r="O97" i="75" s="1"/>
  <c r="P9" i="75"/>
  <c r="P5" i="75" s="1"/>
  <c r="P9" i="82"/>
  <c r="P8" i="82" s="1"/>
  <c r="P9" i="81"/>
  <c r="P8" i="81" s="1"/>
  <c r="Q9" i="68"/>
  <c r="P9" i="73"/>
  <c r="P8" i="73" s="1"/>
  <c r="P9" i="72"/>
  <c r="P8" i="72" s="1"/>
  <c r="K76" i="82" l="1" a="1"/>
  <c r="K76" i="82" s="1"/>
  <c r="K84" i="82" s="1"/>
  <c r="K86" i="82" s="1"/>
  <c r="K111" i="82" s="1"/>
  <c r="O31" i="82"/>
  <c r="K17" i="73"/>
  <c r="K71" i="73"/>
  <c r="J76" i="73" a="1"/>
  <c r="J76" i="73" s="1"/>
  <c r="K81" i="73" s="1"/>
  <c r="K84" i="73" s="1"/>
  <c r="K86" i="73" s="1"/>
  <c r="K111" i="73" s="1"/>
  <c r="L17" i="72"/>
  <c r="L71" i="72"/>
  <c r="L76" i="72" s="1" a="1"/>
  <c r="L76" i="72" s="1"/>
  <c r="M81" i="72" s="1"/>
  <c r="J76" i="72" a="1"/>
  <c r="J76" i="72" s="1"/>
  <c r="K81" i="72" s="1"/>
  <c r="K76" i="72" a="1"/>
  <c r="K76" i="72" s="1"/>
  <c r="L81" i="72" s="1"/>
  <c r="L17" i="81"/>
  <c r="L71" i="81"/>
  <c r="J76" i="81" a="1"/>
  <c r="J76" i="81" s="1"/>
  <c r="K81" i="81" s="1"/>
  <c r="K84" i="81" s="1"/>
  <c r="K86" i="81" s="1"/>
  <c r="K111" i="81" s="1"/>
  <c r="K17" i="81"/>
  <c r="K71" i="81"/>
  <c r="K76" i="81" s="1" a="1"/>
  <c r="K76" i="81" s="1"/>
  <c r="L81" i="81" s="1"/>
  <c r="L84" i="81" s="1"/>
  <c r="L86" i="81" s="1"/>
  <c r="L111" i="81" s="1"/>
  <c r="Q9" i="85"/>
  <c r="P5" i="85"/>
  <c r="P88" i="75"/>
  <c r="P97" i="75" s="1"/>
  <c r="Q9" i="75"/>
  <c r="Q5" i="75" s="1"/>
  <c r="Q9" i="82"/>
  <c r="Q8" i="82" s="1"/>
  <c r="Q9" i="81"/>
  <c r="Q8" i="81" s="1"/>
  <c r="R9" i="68"/>
  <c r="Q9" i="73"/>
  <c r="Q8" i="73" s="1"/>
  <c r="Q9" i="72"/>
  <c r="Q8" i="72" s="1"/>
  <c r="P31" i="82" l="1"/>
  <c r="L17" i="82"/>
  <c r="L71" i="82"/>
  <c r="M17" i="73"/>
  <c r="M71" i="73"/>
  <c r="K76" i="73" a="1"/>
  <c r="K76" i="73" s="1"/>
  <c r="L81" i="73" s="1"/>
  <c r="L84" i="73" s="1"/>
  <c r="L86" i="73" s="1"/>
  <c r="L111" i="73" s="1"/>
  <c r="L17" i="73"/>
  <c r="L71" i="73"/>
  <c r="M17" i="72"/>
  <c r="M71" i="72"/>
  <c r="L76" i="81" a="1"/>
  <c r="L76" i="81" s="1"/>
  <c r="M81" i="81" s="1"/>
  <c r="M84" i="81" s="1"/>
  <c r="M86" i="81" s="1"/>
  <c r="M111" i="81" s="1"/>
  <c r="R9" i="85"/>
  <c r="Q5" i="85"/>
  <c r="Q88" i="75"/>
  <c r="Q97" i="75" s="1"/>
  <c r="R9" i="75"/>
  <c r="R5" i="75" s="1"/>
  <c r="R9" i="82"/>
  <c r="R8" i="82" s="1"/>
  <c r="R9" i="81"/>
  <c r="R8" i="81" s="1"/>
  <c r="S9" i="68"/>
  <c r="R9" i="72"/>
  <c r="R8" i="72" s="1"/>
  <c r="R9" i="73"/>
  <c r="R8" i="73" s="1"/>
  <c r="Q31" i="82" l="1"/>
  <c r="N17" i="82"/>
  <c r="N71" i="82"/>
  <c r="M17" i="82"/>
  <c r="M71" i="82"/>
  <c r="N76" i="82" a="1"/>
  <c r="N76" i="82" s="1"/>
  <c r="L76" i="82" a="1"/>
  <c r="L76" i="82" s="1"/>
  <c r="M76" i="73" a="1"/>
  <c r="M76" i="73" s="1"/>
  <c r="N81" i="73" s="1"/>
  <c r="N84" i="73" s="1"/>
  <c r="N86" i="73" s="1"/>
  <c r="N111" i="73" s="1"/>
  <c r="L76" i="73" a="1"/>
  <c r="L76" i="73" s="1"/>
  <c r="M81" i="73" s="1"/>
  <c r="M84" i="73" s="1"/>
  <c r="M86" i="73" s="1"/>
  <c r="M111" i="73" s="1"/>
  <c r="M76" i="72" a="1"/>
  <c r="M76" i="72" s="1"/>
  <c r="N81" i="72" s="1"/>
  <c r="N17" i="72"/>
  <c r="N71" i="72"/>
  <c r="N76" i="72" s="1" a="1"/>
  <c r="N76" i="72" s="1"/>
  <c r="O81" i="72" s="1"/>
  <c r="N17" i="81"/>
  <c r="N71" i="81"/>
  <c r="M17" i="81"/>
  <c r="M71" i="81"/>
  <c r="S9" i="85"/>
  <c r="R5" i="85"/>
  <c r="R88" i="75"/>
  <c r="R97" i="75" s="1"/>
  <c r="S9" i="75"/>
  <c r="S5" i="75" s="1"/>
  <c r="S9" i="82"/>
  <c r="S8" i="82" s="1"/>
  <c r="S9" i="81"/>
  <c r="S8" i="81" s="1"/>
  <c r="T9" i="68"/>
  <c r="S9" i="72"/>
  <c r="S8" i="72" s="1"/>
  <c r="S9" i="73"/>
  <c r="S8" i="73" s="1"/>
  <c r="R31" i="82" l="1"/>
  <c r="S31" i="82"/>
  <c r="M76" i="82" a="1"/>
  <c r="M76" i="82" s="1"/>
  <c r="O17" i="73"/>
  <c r="O71" i="73"/>
  <c r="N17" i="73"/>
  <c r="N71" i="73"/>
  <c r="O17" i="72"/>
  <c r="O71" i="72"/>
  <c r="M76" i="81" a="1"/>
  <c r="M76" i="81" s="1"/>
  <c r="N81" i="81" s="1"/>
  <c r="N84" i="81" s="1"/>
  <c r="N86" i="81" s="1"/>
  <c r="N111" i="81" s="1"/>
  <c r="N76" i="81" a="1"/>
  <c r="N76" i="81" s="1"/>
  <c r="O81" i="81" s="1"/>
  <c r="O84" i="81" s="1"/>
  <c r="O86" i="81" s="1"/>
  <c r="O111" i="81" s="1"/>
  <c r="T9" i="85"/>
  <c r="S5" i="85"/>
  <c r="S88" i="75"/>
  <c r="S97" i="75" s="1"/>
  <c r="T9" i="75"/>
  <c r="T5" i="75" s="1"/>
  <c r="T9" i="82"/>
  <c r="T8" i="82" s="1"/>
  <c r="T9" i="81"/>
  <c r="T8" i="81" s="1"/>
  <c r="U9" i="68"/>
  <c r="T9" i="73"/>
  <c r="T8" i="73" s="1"/>
  <c r="T9" i="72"/>
  <c r="T8" i="72" s="1"/>
  <c r="T31" i="82" l="1"/>
  <c r="P17" i="82"/>
  <c r="P71" i="82"/>
  <c r="O17" i="82"/>
  <c r="O71" i="82"/>
  <c r="N76" i="73" a="1"/>
  <c r="N76" i="73" s="1"/>
  <c r="O81" i="73" s="1"/>
  <c r="O84" i="73" s="1"/>
  <c r="O86" i="73" s="1"/>
  <c r="O111" i="73" s="1"/>
  <c r="O76" i="73" a="1"/>
  <c r="O76" i="73" s="1"/>
  <c r="P81" i="73" s="1"/>
  <c r="P84" i="73" s="1"/>
  <c r="P86" i="73" s="1"/>
  <c r="P111" i="73" s="1"/>
  <c r="P17" i="73"/>
  <c r="P71" i="73"/>
  <c r="P17" i="72"/>
  <c r="P71" i="72"/>
  <c r="P76" i="72" a="1"/>
  <c r="P76" i="72" s="1"/>
  <c r="Q81" i="72" s="1"/>
  <c r="O76" i="72" a="1"/>
  <c r="O76" i="72" s="1"/>
  <c r="P81" i="72" s="1"/>
  <c r="P17" i="81"/>
  <c r="P71" i="81"/>
  <c r="O17" i="81"/>
  <c r="O71" i="81"/>
  <c r="U9" i="85"/>
  <c r="T5" i="85"/>
  <c r="T88" i="75"/>
  <c r="T97" i="75" s="1"/>
  <c r="U9" i="75"/>
  <c r="U5" i="75" s="1"/>
  <c r="U9" i="82"/>
  <c r="U8" i="82" s="1"/>
  <c r="U9" i="81"/>
  <c r="U8" i="81" s="1"/>
  <c r="V9" i="68"/>
  <c r="U9" i="72"/>
  <c r="U8" i="72" s="1"/>
  <c r="U9" i="73"/>
  <c r="U8" i="73" s="1"/>
  <c r="Q71" i="82" l="1"/>
  <c r="Q76" i="82" s="1" a="1"/>
  <c r="Q76" i="82" s="1"/>
  <c r="P76" i="82" a="1"/>
  <c r="P76" i="82" s="1"/>
  <c r="O76" i="82" a="1"/>
  <c r="O76" i="82" s="1"/>
  <c r="P76" i="73" a="1"/>
  <c r="P76" i="73" s="1"/>
  <c r="Q81" i="73" s="1"/>
  <c r="Q84" i="73" s="1"/>
  <c r="Q86" i="73" s="1"/>
  <c r="Q111" i="73" s="1"/>
  <c r="Q17" i="72"/>
  <c r="Q71" i="72"/>
  <c r="Q17" i="81"/>
  <c r="Q71" i="81"/>
  <c r="Q76" i="81" s="1" a="1"/>
  <c r="Q76" i="81" s="1"/>
  <c r="R81" i="81" s="1"/>
  <c r="R84" i="81" s="1"/>
  <c r="R86" i="81" s="1"/>
  <c r="R111" i="81" s="1"/>
  <c r="O76" i="81" a="1"/>
  <c r="O76" i="81" s="1"/>
  <c r="P81" i="81" s="1"/>
  <c r="P84" i="81" s="1"/>
  <c r="P86" i="81" s="1"/>
  <c r="P111" i="81" s="1"/>
  <c r="P76" i="81" a="1"/>
  <c r="P76" i="81" s="1"/>
  <c r="Q81" i="81" s="1"/>
  <c r="Q84" i="81" s="1"/>
  <c r="Q86" i="81" s="1"/>
  <c r="Q111" i="81" s="1"/>
  <c r="V9" i="85"/>
  <c r="U5" i="85"/>
  <c r="U88" i="75"/>
  <c r="U97" i="75" s="1"/>
  <c r="V9" i="75"/>
  <c r="V5" i="75" s="1"/>
  <c r="V9" i="82"/>
  <c r="V8" i="82" s="1"/>
  <c r="V9" i="81"/>
  <c r="V8" i="81" s="1"/>
  <c r="W9" i="68"/>
  <c r="V9" i="73"/>
  <c r="V8" i="73" s="1"/>
  <c r="V9" i="72"/>
  <c r="V8" i="72" s="1"/>
  <c r="Q17" i="82" l="1"/>
  <c r="U31" i="82"/>
  <c r="R17" i="82"/>
  <c r="R71" i="82"/>
  <c r="R17" i="73"/>
  <c r="R71" i="73"/>
  <c r="Q17" i="73"/>
  <c r="Q71" i="73"/>
  <c r="Q76" i="73" s="1" a="1"/>
  <c r="Q76" i="73" s="1"/>
  <c r="R81" i="73" s="1"/>
  <c r="R84" i="73" s="1"/>
  <c r="R86" i="73" s="1"/>
  <c r="R111" i="73" s="1"/>
  <c r="R17" i="72"/>
  <c r="R71" i="72"/>
  <c r="AD76" i="72" s="1" a="1"/>
  <c r="AD76" i="72" s="1"/>
  <c r="AE81" i="72" s="1"/>
  <c r="AG76" i="72" a="1"/>
  <c r="AG76" i="72" s="1"/>
  <c r="Q76" i="72" a="1"/>
  <c r="Q76" i="72" s="1"/>
  <c r="R81" i="72" s="1"/>
  <c r="R17" i="81"/>
  <c r="R71" i="81"/>
  <c r="W76" i="81" a="1"/>
  <c r="W76" i="81" s="1"/>
  <c r="X81" i="81" s="1"/>
  <c r="X84" i="81" s="1"/>
  <c r="X86" i="81" s="1"/>
  <c r="X111" i="81" s="1"/>
  <c r="Y76" i="81" a="1"/>
  <c r="Y76" i="81" s="1"/>
  <c r="Z81" i="81" s="1"/>
  <c r="Z84" i="81" s="1"/>
  <c r="Z86" i="81" s="1"/>
  <c r="Z111" i="81" s="1"/>
  <c r="W9" i="85"/>
  <c r="V5" i="85"/>
  <c r="V88" i="75"/>
  <c r="V97" i="75" s="1"/>
  <c r="W9" i="75"/>
  <c r="W5" i="75" s="1"/>
  <c r="W9" i="82"/>
  <c r="W8" i="82" s="1"/>
  <c r="W9" i="81"/>
  <c r="W8" i="81" s="1"/>
  <c r="X9" i="68"/>
  <c r="W9" i="73"/>
  <c r="W8" i="73" s="1"/>
  <c r="W9" i="72"/>
  <c r="W8" i="72" s="1"/>
  <c r="AB76" i="72" l="1" a="1"/>
  <c r="AB76" i="72" s="1"/>
  <c r="AC81" i="72" s="1"/>
  <c r="R76" i="72" a="1"/>
  <c r="R76" i="72" s="1"/>
  <c r="S81" i="72" s="1"/>
  <c r="W31" i="82"/>
  <c r="V31" i="82"/>
  <c r="S76" i="72" a="1"/>
  <c r="S76" i="72" s="1"/>
  <c r="T81" i="72" s="1"/>
  <c r="AC76" i="82" a="1"/>
  <c r="AC76" i="82" s="1"/>
  <c r="AC84" i="82" s="1"/>
  <c r="AC86" i="82" s="1"/>
  <c r="AC111" i="82" s="1"/>
  <c r="AE76" i="82" a="1"/>
  <c r="AE76" i="82" s="1"/>
  <c r="AE84" i="82" s="1"/>
  <c r="AE86" i="82" s="1"/>
  <c r="AE111" i="82" s="1"/>
  <c r="Y76" i="82" a="1"/>
  <c r="Y76" i="82" s="1"/>
  <c r="AG76" i="82" a="1"/>
  <c r="AG76" i="82" s="1"/>
  <c r="AG84" i="82" s="1"/>
  <c r="AG86" i="82" s="1"/>
  <c r="AG111" i="82" s="1"/>
  <c r="V76" i="82" a="1"/>
  <c r="V76" i="82" s="1"/>
  <c r="W76" i="82" a="1"/>
  <c r="W76" i="82" s="1"/>
  <c r="S76" i="82" a="1"/>
  <c r="S76" i="82" s="1"/>
  <c r="Z76" i="82" a="1"/>
  <c r="Z76" i="82" s="1"/>
  <c r="U76" i="82" a="1"/>
  <c r="U76" i="82" s="1"/>
  <c r="AA76" i="82" a="1"/>
  <c r="AA76" i="82" s="1"/>
  <c r="AF76" i="82" a="1"/>
  <c r="AF76" i="82" s="1"/>
  <c r="AF84" i="82" s="1"/>
  <c r="AF86" i="82" s="1"/>
  <c r="AF111" i="82" s="1"/>
  <c r="X76" i="82" a="1"/>
  <c r="X76" i="82" s="1"/>
  <c r="AD76" i="82" a="1"/>
  <c r="AD76" i="82" s="1"/>
  <c r="AD84" i="82" s="1"/>
  <c r="AD86" i="82" s="1"/>
  <c r="AD111" i="82" s="1"/>
  <c r="T76" i="82" a="1"/>
  <c r="T76" i="82" s="1"/>
  <c r="AB76" i="82" a="1"/>
  <c r="AB76" i="82" s="1"/>
  <c r="R76" i="82" a="1"/>
  <c r="R76" i="82" s="1"/>
  <c r="G94" i="82" a="1"/>
  <c r="G94" i="82" s="1"/>
  <c r="C13" i="47"/>
  <c r="G94" i="73" a="1"/>
  <c r="G94" i="73" s="1"/>
  <c r="C12" i="47"/>
  <c r="U76" i="73" a="1"/>
  <c r="U76" i="73" s="1"/>
  <c r="V81" i="73" s="1"/>
  <c r="V84" i="73" s="1"/>
  <c r="V86" i="73" s="1"/>
  <c r="V111" i="73" s="1"/>
  <c r="AE76" i="73" a="1"/>
  <c r="AE76" i="73" s="1"/>
  <c r="AC76" i="73" a="1"/>
  <c r="AC76" i="73" s="1"/>
  <c r="V76" i="73" a="1"/>
  <c r="V76" i="73" s="1"/>
  <c r="W81" i="73" s="1"/>
  <c r="W84" i="73" s="1"/>
  <c r="W86" i="73" s="1"/>
  <c r="W111" i="73" s="1"/>
  <c r="Y76" i="73" a="1"/>
  <c r="Y76" i="73" s="1"/>
  <c r="Z81" i="73" s="1"/>
  <c r="Z84" i="73" s="1"/>
  <c r="Z86" i="73" s="1"/>
  <c r="Z111" i="73" s="1"/>
  <c r="AB76" i="73" a="1"/>
  <c r="AB76" i="73" s="1"/>
  <c r="AC81" i="73" s="1"/>
  <c r="S76" i="73" a="1"/>
  <c r="S76" i="73" s="1"/>
  <c r="T81" i="73" s="1"/>
  <c r="T84" i="73" s="1"/>
  <c r="T86" i="73" s="1"/>
  <c r="T111" i="73" s="1"/>
  <c r="R76" i="73" a="1"/>
  <c r="R76" i="73" s="1"/>
  <c r="S81" i="73" s="1"/>
  <c r="S84" i="73" s="1"/>
  <c r="S86" i="73" s="1"/>
  <c r="S111" i="73" s="1"/>
  <c r="W76" i="73" a="1"/>
  <c r="W76" i="73" s="1"/>
  <c r="X81" i="73" s="1"/>
  <c r="X84" i="73" s="1"/>
  <c r="X86" i="73" s="1"/>
  <c r="X111" i="73" s="1"/>
  <c r="Z76" i="73" a="1"/>
  <c r="Z76" i="73" s="1"/>
  <c r="AA81" i="73" s="1"/>
  <c r="AA84" i="73" s="1"/>
  <c r="AA86" i="73" s="1"/>
  <c r="AA111" i="73" s="1"/>
  <c r="AF76" i="73" a="1"/>
  <c r="AF76" i="73" s="1"/>
  <c r="AG76" i="73" a="1"/>
  <c r="AG76" i="73" s="1"/>
  <c r="X76" i="73" a="1"/>
  <c r="X76" i="73" s="1"/>
  <c r="Y81" i="73" s="1"/>
  <c r="Y84" i="73" s="1"/>
  <c r="Y86" i="73" s="1"/>
  <c r="Y111" i="73" s="1"/>
  <c r="AD76" i="73" a="1"/>
  <c r="AD76" i="73" s="1"/>
  <c r="AA76" i="73" a="1"/>
  <c r="AA76" i="73" s="1"/>
  <c r="AB81" i="73" s="1"/>
  <c r="AB84" i="73" s="1"/>
  <c r="AB86" i="73" s="1"/>
  <c r="AB111" i="73" s="1"/>
  <c r="T76" i="73" a="1"/>
  <c r="T76" i="73" s="1"/>
  <c r="U81" i="73" s="1"/>
  <c r="U84" i="73" s="1"/>
  <c r="U86" i="73" s="1"/>
  <c r="U111" i="73" s="1"/>
  <c r="U76" i="72" a="1"/>
  <c r="U76" i="72" s="1"/>
  <c r="V81" i="72" s="1"/>
  <c r="X76" i="72" a="1"/>
  <c r="X76" i="72" s="1"/>
  <c r="Y81" i="72" s="1"/>
  <c r="AA76" i="72" a="1"/>
  <c r="AA76" i="72" s="1"/>
  <c r="AB81" i="72" s="1"/>
  <c r="Y76" i="72" a="1"/>
  <c r="Y76" i="72" s="1"/>
  <c r="Z81" i="72" s="1"/>
  <c r="W76" i="72" a="1"/>
  <c r="W76" i="72" s="1"/>
  <c r="X81" i="72" s="1"/>
  <c r="AE76" i="72" a="1"/>
  <c r="AE76" i="72" s="1"/>
  <c r="AF81" i="72" s="1"/>
  <c r="Z76" i="72" a="1"/>
  <c r="Z76" i="72" s="1"/>
  <c r="AA81" i="72" s="1"/>
  <c r="AF76" i="72" a="1"/>
  <c r="AF76" i="72" s="1"/>
  <c r="AG81" i="72" s="1"/>
  <c r="T76" i="72" a="1"/>
  <c r="T76" i="72" s="1"/>
  <c r="U81" i="72" s="1"/>
  <c r="AC76" i="72" a="1"/>
  <c r="AC76" i="72" s="1"/>
  <c r="AD81" i="72" s="1"/>
  <c r="V76" i="72" a="1"/>
  <c r="V76" i="72" s="1"/>
  <c r="W81" i="72" s="1"/>
  <c r="C11" i="47"/>
  <c r="G94" i="72" a="1"/>
  <c r="G94" i="72" s="1"/>
  <c r="AA76" i="81" a="1"/>
  <c r="AA76" i="81" s="1"/>
  <c r="AB81" i="81" s="1"/>
  <c r="AB84" i="81" s="1"/>
  <c r="AB86" i="81" s="1"/>
  <c r="AB111" i="81" s="1"/>
  <c r="AE76" i="81" a="1"/>
  <c r="AE76" i="81" s="1"/>
  <c r="AF81" i="81" s="1"/>
  <c r="AF84" i="81" s="1"/>
  <c r="AF86" i="81" s="1"/>
  <c r="AF111" i="81" s="1"/>
  <c r="X76" i="81" a="1"/>
  <c r="X76" i="81" s="1"/>
  <c r="Y81" i="81" s="1"/>
  <c r="Y84" i="81" s="1"/>
  <c r="Y86" i="81" s="1"/>
  <c r="Y111" i="81" s="1"/>
  <c r="Z76" i="81" a="1"/>
  <c r="Z76" i="81" s="1"/>
  <c r="AA81" i="81" s="1"/>
  <c r="AA84" i="81" s="1"/>
  <c r="AA86" i="81" s="1"/>
  <c r="AA111" i="81" s="1"/>
  <c r="T76" i="81" a="1"/>
  <c r="T76" i="81" s="1"/>
  <c r="U81" i="81" s="1"/>
  <c r="U84" i="81" s="1"/>
  <c r="U86" i="81" s="1"/>
  <c r="U111" i="81" s="1"/>
  <c r="U76" i="81" a="1"/>
  <c r="U76" i="81" s="1"/>
  <c r="V81" i="81" s="1"/>
  <c r="V84" i="81" s="1"/>
  <c r="V86" i="81" s="1"/>
  <c r="V111" i="81" s="1"/>
  <c r="R76" i="81" a="1"/>
  <c r="R76" i="81" s="1"/>
  <c r="S81" i="81" s="1"/>
  <c r="S84" i="81" s="1"/>
  <c r="S86" i="81" s="1"/>
  <c r="S111" i="81" s="1"/>
  <c r="S76" i="81" a="1"/>
  <c r="S76" i="81" s="1"/>
  <c r="T81" i="81" s="1"/>
  <c r="T84" i="81" s="1"/>
  <c r="T86" i="81" s="1"/>
  <c r="T111" i="81" s="1"/>
  <c r="V76" i="81" a="1"/>
  <c r="V76" i="81" s="1"/>
  <c r="W81" i="81" s="1"/>
  <c r="W84" i="81" s="1"/>
  <c r="W86" i="81" s="1"/>
  <c r="W111" i="81" s="1"/>
  <c r="AC76" i="81" a="1"/>
  <c r="AC76" i="81" s="1"/>
  <c r="AD81" i="81" s="1"/>
  <c r="AD84" i="81" s="1"/>
  <c r="AD86" i="81" s="1"/>
  <c r="AD111" i="81" s="1"/>
  <c r="AG76" i="81" a="1"/>
  <c r="AG76" i="81" s="1"/>
  <c r="AD76" i="81" a="1"/>
  <c r="AD76" i="81" s="1"/>
  <c r="AE81" i="81" s="1"/>
  <c r="AE84" i="81" s="1"/>
  <c r="AE86" i="81" s="1"/>
  <c r="AE111" i="81" s="1"/>
  <c r="AB76" i="81" a="1"/>
  <c r="AB76" i="81" s="1"/>
  <c r="AC81" i="81" s="1"/>
  <c r="AC84" i="81" s="1"/>
  <c r="AC86" i="81" s="1"/>
  <c r="AC111" i="81" s="1"/>
  <c r="AF76" i="81" a="1"/>
  <c r="AF76" i="81" s="1"/>
  <c r="AG81" i="81" s="1"/>
  <c r="AG84" i="81" s="1"/>
  <c r="AG86" i="81" s="1"/>
  <c r="AG111" i="81" s="1"/>
  <c r="G94" i="81" a="1"/>
  <c r="G94" i="81" s="1"/>
  <c r="C10" i="47"/>
  <c r="X9" i="85"/>
  <c r="W5" i="85"/>
  <c r="W88" i="75"/>
  <c r="W97" i="75" s="1"/>
  <c r="X9" i="75"/>
  <c r="X5" i="75" s="1"/>
  <c r="X9" i="82"/>
  <c r="X8" i="82" s="1"/>
  <c r="X9" i="81"/>
  <c r="X8" i="81" s="1"/>
  <c r="Y9" i="68"/>
  <c r="X9" i="73"/>
  <c r="X8" i="73" s="1"/>
  <c r="X9" i="72"/>
  <c r="X8" i="72" s="1"/>
  <c r="AE81" i="73" l="1"/>
  <c r="AE84" i="73" s="1"/>
  <c r="AE86" i="73" s="1"/>
  <c r="AE111" i="73" s="1"/>
  <c r="AG81" i="73"/>
  <c r="AG84" i="73" s="1"/>
  <c r="AG86" i="73" s="1"/>
  <c r="AG111" i="73" s="1"/>
  <c r="AC84" i="73"/>
  <c r="AC86" i="73" s="1"/>
  <c r="AC111" i="73" s="1"/>
  <c r="AD81" i="73"/>
  <c r="AD84" i="73" s="1"/>
  <c r="AD86" i="73" s="1"/>
  <c r="AD111" i="73" s="1"/>
  <c r="AF81" i="73"/>
  <c r="AF84" i="73" s="1"/>
  <c r="AF86" i="73" s="1"/>
  <c r="AF111" i="73" s="1"/>
  <c r="F13" i="47"/>
  <c r="D35" i="62"/>
  <c r="D13" i="47"/>
  <c r="A4" i="82" s="1"/>
  <c r="G96" i="82" s="1"/>
  <c r="C35" i="62" s="1"/>
  <c r="F12" i="47"/>
  <c r="D34" i="62"/>
  <c r="D12" i="47"/>
  <c r="A4" i="73" s="1"/>
  <c r="G96" i="73" s="1"/>
  <c r="C34" i="62" s="1"/>
  <c r="F11" i="47"/>
  <c r="D33" i="62"/>
  <c r="D11" i="47"/>
  <c r="A4" i="72" s="1"/>
  <c r="G96" i="72" s="1"/>
  <c r="C33" i="62" s="1"/>
  <c r="F10" i="47"/>
  <c r="D32" i="62"/>
  <c r="D10" i="47"/>
  <c r="A4" i="81" s="1"/>
  <c r="G96" i="81" s="1"/>
  <c r="C32" i="62" s="1"/>
  <c r="Y9" i="85"/>
  <c r="X5" i="85"/>
  <c r="X88" i="75"/>
  <c r="X97" i="75" s="1"/>
  <c r="Y9" i="75"/>
  <c r="Y5" i="75" s="1"/>
  <c r="Y9" i="82"/>
  <c r="Y8" i="82" s="1"/>
  <c r="Y9" i="81"/>
  <c r="Y8" i="81" s="1"/>
  <c r="Z9" i="68"/>
  <c r="Y9" i="73"/>
  <c r="Y8" i="73" s="1"/>
  <c r="Y9" i="72"/>
  <c r="Y8" i="72" s="1"/>
  <c r="Y31" i="82" l="1"/>
  <c r="X31" i="82"/>
  <c r="C38" i="62" a="1"/>
  <c r="C38" i="62" s="1"/>
  <c r="N7" i="75" s="1"/>
  <c r="N7" i="85" s="1"/>
  <c r="C88" i="85" a="1"/>
  <c r="D98" i="85" s="1"/>
  <c r="Z9" i="85"/>
  <c r="Y5" i="85"/>
  <c r="Y88" i="75"/>
  <c r="Y97" i="75" s="1"/>
  <c r="Z9" i="75"/>
  <c r="Z5" i="75" s="1"/>
  <c r="Z9" i="82"/>
  <c r="Z8" i="82" s="1"/>
  <c r="Z9" i="81"/>
  <c r="Z8" i="81" s="1"/>
  <c r="AA9" i="68"/>
  <c r="Z9" i="72"/>
  <c r="Z8" i="72" s="1"/>
  <c r="Z9" i="73"/>
  <c r="Z8" i="73" s="1"/>
  <c r="Z31" i="82" l="1"/>
  <c r="AG7" i="75"/>
  <c r="AG7" i="85" s="1"/>
  <c r="AF7" i="75"/>
  <c r="AF7" i="85" s="1"/>
  <c r="X7" i="75"/>
  <c r="X7" i="85" s="1"/>
  <c r="K7" i="75"/>
  <c r="K7" i="85" s="1"/>
  <c r="AD7" i="75"/>
  <c r="AD7" i="85" s="1"/>
  <c r="J7" i="75"/>
  <c r="J7" i="85" s="1"/>
  <c r="AE7" i="75"/>
  <c r="AE7" i="85" s="1"/>
  <c r="L7" i="75"/>
  <c r="L7" i="85" s="1"/>
  <c r="R7" i="75"/>
  <c r="R7" i="85" s="1"/>
  <c r="AC7" i="75"/>
  <c r="AC7" i="85" s="1"/>
  <c r="AB7" i="75"/>
  <c r="AB7" i="85" s="1"/>
  <c r="Z7" i="75"/>
  <c r="Z7" i="85" s="1"/>
  <c r="S7" i="75"/>
  <c r="S7" i="85" s="1"/>
  <c r="T7" i="75"/>
  <c r="T7" i="85" s="1"/>
  <c r="Y7" i="75"/>
  <c r="Y7" i="85" s="1"/>
  <c r="H7" i="75"/>
  <c r="H7" i="85" s="1"/>
  <c r="V7" i="75"/>
  <c r="V7" i="85" s="1"/>
  <c r="W7" i="75"/>
  <c r="W7" i="85" s="1"/>
  <c r="I7" i="75"/>
  <c r="I7" i="85" s="1"/>
  <c r="M7" i="75"/>
  <c r="M7" i="85" s="1"/>
  <c r="AA7" i="75"/>
  <c r="AA7" i="85" s="1"/>
  <c r="Q7" i="75"/>
  <c r="Q7" i="85" s="1"/>
  <c r="U7" i="75"/>
  <c r="U7" i="85" s="1"/>
  <c r="P7" i="75"/>
  <c r="P7" i="85" s="1"/>
  <c r="O7" i="75"/>
  <c r="O7" i="85" s="1"/>
  <c r="F98" i="85"/>
  <c r="I75" i="33" s="1"/>
  <c r="G91" i="85"/>
  <c r="G96" i="85"/>
  <c r="C88" i="85"/>
  <c r="C98" i="85" s="1"/>
  <c r="F75" i="33" s="1"/>
  <c r="G90" i="85"/>
  <c r="G92" i="85"/>
  <c r="G93" i="85"/>
  <c r="F97" i="85"/>
  <c r="I74" i="33" s="1"/>
  <c r="G97" i="85"/>
  <c r="J74" i="33" s="1"/>
  <c r="G94" i="85"/>
  <c r="E96" i="85"/>
  <c r="E97" i="85"/>
  <c r="G98" i="85"/>
  <c r="J75" i="33" s="1"/>
  <c r="G95" i="85"/>
  <c r="D96" i="85"/>
  <c r="F96" i="85"/>
  <c r="D97" i="85"/>
  <c r="E98" i="85"/>
  <c r="AA9" i="85"/>
  <c r="Z5" i="85"/>
  <c r="Z88" i="75"/>
  <c r="Z97" i="75" s="1"/>
  <c r="AA9" i="75"/>
  <c r="AA5" i="75" s="1"/>
  <c r="AA9" i="82"/>
  <c r="AA8" i="82" s="1"/>
  <c r="AA9" i="81"/>
  <c r="AA8" i="81" s="1"/>
  <c r="AB9" i="68"/>
  <c r="AA9" i="72"/>
  <c r="AA8" i="72" s="1"/>
  <c r="AA9" i="73"/>
  <c r="AA8" i="73" s="1"/>
  <c r="AA31" i="82" l="1"/>
  <c r="C97" i="85"/>
  <c r="F74" i="33" s="1"/>
  <c r="K88" i="85"/>
  <c r="K97" i="85" s="1"/>
  <c r="L74" i="33" s="1"/>
  <c r="C96" i="85"/>
  <c r="F73" i="33" s="1"/>
  <c r="AB9" i="85"/>
  <c r="AA5" i="85"/>
  <c r="AC9" i="68"/>
  <c r="AA88" i="75"/>
  <c r="AA97" i="75" s="1"/>
  <c r="AB9" i="75"/>
  <c r="AB5" i="75" s="1"/>
  <c r="AB9" i="82"/>
  <c r="AB8" i="82" s="1"/>
  <c r="AB9" i="81"/>
  <c r="AB8" i="81" s="1"/>
  <c r="AB9" i="73"/>
  <c r="AB8" i="73" s="1"/>
  <c r="AB9" i="72"/>
  <c r="AB8" i="72" s="1"/>
  <c r="AB31" i="82" l="1"/>
  <c r="AC9" i="85"/>
  <c r="AC9" i="75"/>
  <c r="AC88" i="75" s="1"/>
  <c r="AC97" i="75" s="1"/>
  <c r="AC9" i="72"/>
  <c r="AC8" i="72" s="1"/>
  <c r="AC9" i="73"/>
  <c r="AC8" i="73" s="1"/>
  <c r="AD9" i="68"/>
  <c r="AC9" i="81"/>
  <c r="AC8" i="81" s="1"/>
  <c r="AC9" i="82"/>
  <c r="AC8" i="82" s="1"/>
  <c r="AB88" i="75"/>
  <c r="AB97" i="75" s="1"/>
  <c r="AC31" i="82" l="1"/>
  <c r="AD9" i="85"/>
  <c r="AC5" i="75"/>
  <c r="AC5" i="85" s="1"/>
  <c r="AB5" i="85"/>
  <c r="AD9" i="82"/>
  <c r="AD8" i="82" s="1"/>
  <c r="AD9" i="72"/>
  <c r="AD8" i="72" s="1"/>
  <c r="AD9" i="75"/>
  <c r="AD9" i="73"/>
  <c r="AD8" i="73" s="1"/>
  <c r="AD9" i="81"/>
  <c r="AD8" i="81" s="1"/>
  <c r="AE9" i="68"/>
  <c r="C94" i="43"/>
  <c r="C95" i="43"/>
  <c r="C96" i="43"/>
  <c r="C97" i="43"/>
  <c r="C98" i="43"/>
  <c r="C99" i="43"/>
  <c r="C100" i="43"/>
  <c r="C101" i="43"/>
  <c r="A44" i="47"/>
  <c r="A45" i="47" s="1"/>
  <c r="A46" i="47" s="1"/>
  <c r="A47" i="47" s="1"/>
  <c r="A48" i="47" s="1"/>
  <c r="A49" i="47" s="1"/>
  <c r="A50" i="47" s="1"/>
  <c r="A51" i="47" s="1"/>
  <c r="A52" i="47" s="1"/>
  <c r="A53" i="47" s="1"/>
  <c r="A54" i="47" s="1"/>
  <c r="A55" i="47" s="1"/>
  <c r="AD31" i="82" l="1"/>
  <c r="AE9" i="85"/>
  <c r="AD5" i="75"/>
  <c r="AD5" i="85" s="1"/>
  <c r="AD88" i="75"/>
  <c r="AD97" i="75" s="1"/>
  <c r="AE9" i="81"/>
  <c r="AE8" i="81" s="1"/>
  <c r="AE9" i="82"/>
  <c r="AE8" i="82" s="1"/>
  <c r="AE9" i="75"/>
  <c r="AE88" i="75" s="1"/>
  <c r="AE97" i="75" s="1"/>
  <c r="AE9" i="72"/>
  <c r="AE8" i="72" s="1"/>
  <c r="AE9" i="73"/>
  <c r="AE8" i="73" s="1"/>
  <c r="AF9" i="68"/>
  <c r="G8" i="33"/>
  <c r="AE31" i="82" l="1"/>
  <c r="AF9" i="85"/>
  <c r="AE5" i="75"/>
  <c r="AE5" i="85" s="1"/>
  <c r="AF9" i="82"/>
  <c r="AF8" i="82" s="1"/>
  <c r="AF9" i="81"/>
  <c r="AF8" i="81" s="1"/>
  <c r="AF9" i="75"/>
  <c r="AF9" i="72"/>
  <c r="AF8" i="72" s="1"/>
  <c r="AF9" i="73"/>
  <c r="AF8" i="73" s="1"/>
  <c r="AG9" i="68"/>
  <c r="AG9" i="85" l="1"/>
  <c r="AF5" i="75"/>
  <c r="AF5" i="85" s="1"/>
  <c r="AF88" i="75"/>
  <c r="AF97" i="75" s="1"/>
  <c r="AG9" i="82"/>
  <c r="AG8" i="82" s="1"/>
  <c r="AG9" i="75"/>
  <c r="AG9" i="81"/>
  <c r="AG8" i="81" s="1"/>
  <c r="AG9" i="73"/>
  <c r="AG8" i="73" s="1"/>
  <c r="AG9" i="72"/>
  <c r="AG8" i="72" s="1"/>
  <c r="AF31" i="82" l="1"/>
  <c r="AG31" i="82"/>
  <c r="AG5" i="75"/>
  <c r="AG5" i="85" s="1"/>
  <c r="AG88" i="75"/>
  <c r="AG97" i="75" s="1"/>
  <c r="C14" i="43" l="1" a="1"/>
  <c r="G27" i="43"/>
  <c r="G14" i="81" s="1"/>
  <c r="H90" i="43"/>
  <c r="C17" i="62"/>
  <c r="H11" i="62"/>
  <c r="I11" i="62"/>
  <c r="I12" i="62" s="1"/>
  <c r="G38" i="82" l="1"/>
  <c r="G37" i="82"/>
  <c r="G14" i="82"/>
  <c r="G35" i="73"/>
  <c r="G59" i="72"/>
  <c r="G19" i="72"/>
  <c r="G37" i="81"/>
  <c r="G15" i="81"/>
  <c r="G17" i="73"/>
  <c r="G59" i="82"/>
  <c r="G59" i="81"/>
  <c r="G37" i="73"/>
  <c r="G58" i="81"/>
  <c r="G36" i="73"/>
  <c r="G38" i="81"/>
  <c r="G36" i="82"/>
  <c r="G32" i="82"/>
  <c r="G34" i="73"/>
  <c r="G58" i="72"/>
  <c r="G17" i="72"/>
  <c r="G36" i="81"/>
  <c r="G58" i="73"/>
  <c r="G14" i="72"/>
  <c r="G38" i="73"/>
  <c r="G19" i="81"/>
  <c r="G15" i="73"/>
  <c r="G15" i="82"/>
  <c r="G16" i="81"/>
  <c r="G35" i="82"/>
  <c r="G61" i="73"/>
  <c r="G32" i="73"/>
  <c r="G32" i="72"/>
  <c r="G16" i="72"/>
  <c r="G35" i="81"/>
  <c r="G59" i="68"/>
  <c r="G37" i="72"/>
  <c r="G17" i="82"/>
  <c r="G36" i="72"/>
  <c r="G16" i="82"/>
  <c r="G17" i="81"/>
  <c r="G34" i="72"/>
  <c r="G34" i="82"/>
  <c r="G59" i="73"/>
  <c r="G19" i="73"/>
  <c r="G38" i="72"/>
  <c r="G15" i="72"/>
  <c r="G34" i="81"/>
  <c r="G58" i="68"/>
  <c r="G19" i="82"/>
  <c r="G32" i="81"/>
  <c r="G16" i="73"/>
  <c r="G58" i="82"/>
  <c r="G35" i="72"/>
  <c r="G14" i="73"/>
  <c r="C22" i="62"/>
  <c r="G38" i="68"/>
  <c r="G16" i="68"/>
  <c r="G37" i="68"/>
  <c r="G17" i="68"/>
  <c r="G14" i="68"/>
  <c r="G36" i="68"/>
  <c r="G35" i="68"/>
  <c r="G34" i="68"/>
  <c r="G32" i="68"/>
  <c r="G15" i="68"/>
  <c r="G19" i="68"/>
  <c r="H12" i="62"/>
  <c r="H13" i="62" s="1"/>
  <c r="G61" i="82"/>
  <c r="G61" i="68"/>
  <c r="G61" i="72"/>
  <c r="G61" i="81"/>
  <c r="G82" i="73"/>
  <c r="G81" i="81"/>
  <c r="G82" i="72"/>
  <c r="G81" i="72"/>
  <c r="G83" i="72"/>
  <c r="G81" i="73"/>
  <c r="G84" i="81"/>
  <c r="G83" i="81"/>
  <c r="G83" i="73"/>
  <c r="G82" i="81"/>
  <c r="H52" i="43"/>
  <c r="H78" i="43"/>
  <c r="H79" i="43"/>
  <c r="G84" i="68"/>
  <c r="G78" i="81"/>
  <c r="G77" i="82"/>
  <c r="G73" i="72"/>
  <c r="G72" i="68"/>
  <c r="G78" i="72"/>
  <c r="G73" i="73"/>
  <c r="G82" i="68"/>
  <c r="G76" i="81"/>
  <c r="G83" i="82"/>
  <c r="G78" i="68"/>
  <c r="G76" i="73"/>
  <c r="G72" i="81"/>
  <c r="G71" i="82"/>
  <c r="G84" i="72"/>
  <c r="G83" i="68"/>
  <c r="G77" i="81"/>
  <c r="G76" i="82"/>
  <c r="G72" i="72"/>
  <c r="G71" i="68"/>
  <c r="G84" i="82"/>
  <c r="G81" i="68"/>
  <c r="G77" i="73"/>
  <c r="G73" i="81"/>
  <c r="G72" i="82"/>
  <c r="G82" i="82"/>
  <c r="G77" i="68"/>
  <c r="G71" i="81"/>
  <c r="G78" i="73"/>
  <c r="G73" i="68"/>
  <c r="G72" i="73"/>
  <c r="G81" i="82"/>
  <c r="G78" i="82"/>
  <c r="G71" i="73"/>
  <c r="G76" i="72"/>
  <c r="G84" i="73"/>
  <c r="G77" i="72"/>
  <c r="G73" i="82"/>
  <c r="G71" i="72"/>
  <c r="G76" i="68"/>
  <c r="G89" i="82"/>
  <c r="G87" i="82"/>
  <c r="G86" i="82"/>
  <c r="G68" i="82"/>
  <c r="G88" i="82"/>
  <c r="G91" i="82"/>
  <c r="G87" i="73"/>
  <c r="G86" i="72"/>
  <c r="G86" i="73"/>
  <c r="G91" i="72"/>
  <c r="G91" i="73"/>
  <c r="G89" i="68"/>
  <c r="G89" i="73"/>
  <c r="G87" i="68"/>
  <c r="G89" i="72"/>
  <c r="G88" i="68"/>
  <c r="G88" i="72"/>
  <c r="G68" i="72"/>
  <c r="G88" i="73"/>
  <c r="G87" i="72"/>
  <c r="G86" i="68"/>
  <c r="G91" i="68"/>
  <c r="G68" i="81"/>
  <c r="G87" i="81"/>
  <c r="G91" i="81"/>
  <c r="G89" i="81"/>
  <c r="G86" i="81"/>
  <c r="G88" i="81"/>
  <c r="G68" i="73"/>
  <c r="G68" i="68"/>
  <c r="C14" i="43"/>
  <c r="C3" i="73" l="1"/>
  <c r="C3" i="82"/>
  <c r="C3" i="81"/>
  <c r="C3" i="72"/>
  <c r="Z61" i="73" a="1"/>
  <c r="Z61" i="73" s="1"/>
  <c r="K61" i="73" a="1"/>
  <c r="K61" i="73" s="1"/>
  <c r="Y61" i="73" a="1"/>
  <c r="Y61" i="73" s="1"/>
  <c r="W61" i="73" a="1"/>
  <c r="W61" i="73" s="1"/>
  <c r="J61" i="73" a="1"/>
  <c r="J61" i="73" s="1"/>
  <c r="S61" i="73" a="1"/>
  <c r="S61" i="73" s="1"/>
  <c r="I61" i="73" a="1"/>
  <c r="I61" i="73" s="1"/>
  <c r="AG61" i="73" a="1"/>
  <c r="AG61" i="73" s="1"/>
  <c r="AE61" i="73" a="1"/>
  <c r="AE61" i="73" s="1"/>
  <c r="AA61" i="73" a="1"/>
  <c r="AA61" i="73" s="1"/>
  <c r="Q61" i="73" a="1"/>
  <c r="Q61" i="73" s="1"/>
  <c r="R61" i="73" a="1"/>
  <c r="R61" i="73" s="1"/>
  <c r="O61" i="73" a="1"/>
  <c r="O61" i="73" s="1"/>
  <c r="AC61" i="73" a="1"/>
  <c r="AC61" i="73" s="1"/>
  <c r="AD61" i="73" a="1"/>
  <c r="AD61" i="73" s="1"/>
  <c r="AF61" i="73" a="1"/>
  <c r="AF61" i="73" s="1"/>
  <c r="L61" i="73" a="1"/>
  <c r="L61" i="73" s="1"/>
  <c r="M61" i="73" a="1"/>
  <c r="M61" i="73" s="1"/>
  <c r="N61" i="73" a="1"/>
  <c r="N61" i="73" s="1"/>
  <c r="P61" i="73" a="1"/>
  <c r="P61" i="73" s="1"/>
  <c r="T61" i="73" a="1"/>
  <c r="T61" i="73" s="1"/>
  <c r="U61" i="73" a="1"/>
  <c r="U61" i="73" s="1"/>
  <c r="V61" i="73" a="1"/>
  <c r="V61" i="73" s="1"/>
  <c r="X61" i="73" a="1"/>
  <c r="X61" i="73" s="1"/>
  <c r="AB61" i="73" a="1"/>
  <c r="AB61" i="73" s="1"/>
  <c r="W61" i="81" a="1"/>
  <c r="W61" i="81" s="1"/>
  <c r="S61" i="81" a="1"/>
  <c r="S61" i="81" s="1"/>
  <c r="Q61" i="81" a="1"/>
  <c r="Q61" i="81" s="1"/>
  <c r="O61" i="81" a="1"/>
  <c r="O61" i="81" s="1"/>
  <c r="AG61" i="81" a="1"/>
  <c r="AG61" i="81" s="1"/>
  <c r="K61" i="81" a="1"/>
  <c r="K61" i="81" s="1"/>
  <c r="AE61" i="81" a="1"/>
  <c r="AE61" i="81" s="1"/>
  <c r="I61" i="81" a="1"/>
  <c r="I61" i="81" s="1"/>
  <c r="AA61" i="81" a="1"/>
  <c r="AA61" i="81" s="1"/>
  <c r="Y61" i="81" a="1"/>
  <c r="Y61" i="81" s="1"/>
  <c r="AC61" i="81" a="1"/>
  <c r="AC61" i="81" s="1"/>
  <c r="AD61" i="81" a="1"/>
  <c r="AD61" i="81" s="1"/>
  <c r="AF61" i="81" a="1"/>
  <c r="AF61" i="81" s="1"/>
  <c r="M61" i="81" a="1"/>
  <c r="M61" i="81" s="1"/>
  <c r="L61" i="81" a="1"/>
  <c r="L61" i="81" s="1"/>
  <c r="N61" i="81" a="1"/>
  <c r="N61" i="81" s="1"/>
  <c r="J61" i="81" a="1"/>
  <c r="J61" i="81" s="1"/>
  <c r="P61" i="81" a="1"/>
  <c r="P61" i="81" s="1"/>
  <c r="R61" i="81" a="1"/>
  <c r="R61" i="81" s="1"/>
  <c r="T61" i="81" a="1"/>
  <c r="T61" i="81" s="1"/>
  <c r="U61" i="81" a="1"/>
  <c r="U61" i="81" s="1"/>
  <c r="V61" i="81" a="1"/>
  <c r="V61" i="81" s="1"/>
  <c r="X61" i="81" a="1"/>
  <c r="X61" i="81" s="1"/>
  <c r="Z61" i="81" a="1"/>
  <c r="Z61" i="81" s="1"/>
  <c r="AB61" i="81" a="1"/>
  <c r="AB61" i="81" s="1"/>
  <c r="W61" i="82" a="1"/>
  <c r="W61" i="82" s="1"/>
  <c r="Q61" i="82" a="1"/>
  <c r="Q61" i="82" s="1"/>
  <c r="O61" i="82" a="1"/>
  <c r="O61" i="82" s="1"/>
  <c r="I61" i="82" a="1"/>
  <c r="I61" i="82" s="1"/>
  <c r="I89" i="82" s="1"/>
  <c r="AG61" i="82" a="1"/>
  <c r="AG61" i="82" s="1"/>
  <c r="AG89" i="82" s="1"/>
  <c r="AE61" i="82" a="1"/>
  <c r="AE61" i="82" s="1"/>
  <c r="AE89" i="82" s="1"/>
  <c r="Y61" i="82" a="1"/>
  <c r="Y61" i="82" s="1"/>
  <c r="AC61" i="82" a="1"/>
  <c r="AC61" i="82" s="1"/>
  <c r="AC89" i="82" s="1"/>
  <c r="AD61" i="82" a="1"/>
  <c r="AD61" i="82" s="1"/>
  <c r="AD89" i="82" s="1"/>
  <c r="AF61" i="82" a="1"/>
  <c r="AF61" i="82" s="1"/>
  <c r="AF89" i="82" s="1"/>
  <c r="K61" i="82" a="1"/>
  <c r="K61" i="82" s="1"/>
  <c r="N61" i="82" a="1"/>
  <c r="N61" i="82" s="1"/>
  <c r="L61" i="82" a="1"/>
  <c r="L61" i="82" s="1"/>
  <c r="J61" i="82" a="1"/>
  <c r="J61" i="82" s="1"/>
  <c r="M61" i="82" a="1"/>
  <c r="M61" i="82" s="1"/>
  <c r="P61" i="82" a="1"/>
  <c r="P61" i="82" s="1"/>
  <c r="R61" i="82" a="1"/>
  <c r="R61" i="82" s="1"/>
  <c r="S61" i="82" a="1"/>
  <c r="S61" i="82" s="1"/>
  <c r="T61" i="82" a="1"/>
  <c r="T61" i="82" s="1"/>
  <c r="U61" i="82" a="1"/>
  <c r="U61" i="82" s="1"/>
  <c r="V61" i="82" a="1"/>
  <c r="V61" i="82" s="1"/>
  <c r="X61" i="82" a="1"/>
  <c r="X61" i="82" s="1"/>
  <c r="Z61" i="82" a="1"/>
  <c r="Z61" i="82" s="1"/>
  <c r="AA61" i="82" a="1"/>
  <c r="AA61" i="82" s="1"/>
  <c r="AB61" i="82" a="1"/>
  <c r="AB61" i="82" s="1"/>
  <c r="AC61" i="72" a="1"/>
  <c r="AC61" i="72" s="1"/>
  <c r="AD61" i="72" a="1"/>
  <c r="AD61" i="72" s="1"/>
  <c r="AE61" i="72" a="1"/>
  <c r="AE61" i="72" s="1"/>
  <c r="AF61" i="72" a="1"/>
  <c r="AF61" i="72" s="1"/>
  <c r="AG61" i="72" a="1"/>
  <c r="AG61" i="72" s="1"/>
  <c r="AC61" i="68" a="1"/>
  <c r="AC61" i="68" s="1"/>
  <c r="AC89" i="68" s="1"/>
  <c r="AC112" i="68" s="1"/>
  <c r="AD61" i="68" a="1"/>
  <c r="AD61" i="68" s="1"/>
  <c r="AD89" i="68" s="1"/>
  <c r="AD112" i="68" s="1"/>
  <c r="AE61" i="68" a="1"/>
  <c r="AE61" i="68" s="1"/>
  <c r="AE89" i="68" s="1"/>
  <c r="AE112" i="68" s="1"/>
  <c r="AF61" i="68" a="1"/>
  <c r="AF61" i="68" s="1"/>
  <c r="AF89" i="68" s="1"/>
  <c r="AF112" i="68" s="1"/>
  <c r="AG61" i="68" a="1"/>
  <c r="AG61" i="68" s="1"/>
  <c r="AG89" i="68" s="1"/>
  <c r="AG112" i="68" s="1"/>
  <c r="X61" i="72" a="1"/>
  <c r="X61" i="72" s="1"/>
  <c r="S61" i="72" a="1"/>
  <c r="S61" i="72" s="1"/>
  <c r="J61" i="72" a="1"/>
  <c r="J61" i="72" s="1"/>
  <c r="R61" i="72" a="1"/>
  <c r="R61" i="72" s="1"/>
  <c r="P61" i="72" a="1"/>
  <c r="P61" i="72" s="1"/>
  <c r="O61" i="72" a="1"/>
  <c r="O61" i="72" s="1"/>
  <c r="Z61" i="72" a="1"/>
  <c r="Z61" i="72" s="1"/>
  <c r="L61" i="72" a="1"/>
  <c r="L61" i="72" s="1"/>
  <c r="K61" i="72" a="1"/>
  <c r="K61" i="72" s="1"/>
  <c r="N61" i="72" a="1"/>
  <c r="N61" i="72" s="1"/>
  <c r="I61" i="72" a="1"/>
  <c r="I61" i="72" s="1"/>
  <c r="M61" i="72" a="1"/>
  <c r="M61" i="72" s="1"/>
  <c r="Q61" i="72" a="1"/>
  <c r="Q61" i="72" s="1"/>
  <c r="T61" i="72" a="1"/>
  <c r="T61" i="72" s="1"/>
  <c r="U61" i="72" a="1"/>
  <c r="U61" i="72" s="1"/>
  <c r="V61" i="72" a="1"/>
  <c r="V61" i="72" s="1"/>
  <c r="W61" i="72" a="1"/>
  <c r="W61" i="72" s="1"/>
  <c r="Y61" i="72" a="1"/>
  <c r="Y61" i="72" s="1"/>
  <c r="AA61" i="72" a="1"/>
  <c r="AA61" i="72" s="1"/>
  <c r="AB61" i="72" a="1"/>
  <c r="AB61" i="72" s="1"/>
  <c r="Q61" i="68" a="1"/>
  <c r="Q61" i="68" s="1"/>
  <c r="Q89" i="68" s="1"/>
  <c r="Q112" i="68" s="1"/>
  <c r="W61" i="68" a="1"/>
  <c r="W61" i="68" s="1"/>
  <c r="W89" i="68" s="1"/>
  <c r="W112" i="68" s="1"/>
  <c r="U61" i="68" a="1"/>
  <c r="U61" i="68" s="1"/>
  <c r="U89" i="68" s="1"/>
  <c r="U112" i="68" s="1"/>
  <c r="P61" i="68" a="1"/>
  <c r="P61" i="68" s="1"/>
  <c r="P89" i="68" s="1"/>
  <c r="P112" i="68" s="1"/>
  <c r="X61" i="68" a="1"/>
  <c r="X61" i="68" s="1"/>
  <c r="X89" i="68" s="1"/>
  <c r="X112" i="68" s="1"/>
  <c r="AB61" i="68" a="1"/>
  <c r="AB61" i="68" s="1"/>
  <c r="AB89" i="68" s="1"/>
  <c r="AB112" i="68" s="1"/>
  <c r="I61" i="68" a="1"/>
  <c r="I61" i="68" s="1"/>
  <c r="I89" i="68" s="1"/>
  <c r="I112" i="68" s="1"/>
  <c r="O61" i="68" a="1"/>
  <c r="O61" i="68" s="1"/>
  <c r="O89" i="68" s="1"/>
  <c r="O112" i="68" s="1"/>
  <c r="Y61" i="68" a="1"/>
  <c r="Y61" i="68" s="1"/>
  <c r="Y89" i="68" s="1"/>
  <c r="Y112" i="68" s="1"/>
  <c r="N61" i="68" a="1"/>
  <c r="N61" i="68" s="1"/>
  <c r="N89" i="68" s="1"/>
  <c r="N112" i="68" s="1"/>
  <c r="T61" i="68" a="1"/>
  <c r="T61" i="68" s="1"/>
  <c r="T89" i="68" s="1"/>
  <c r="T112" i="68" s="1"/>
  <c r="Z61" i="68" a="1"/>
  <c r="Z61" i="68" s="1"/>
  <c r="Z89" i="68" s="1"/>
  <c r="Z112" i="68" s="1"/>
  <c r="M61" i="68" a="1"/>
  <c r="M61" i="68" s="1"/>
  <c r="M89" i="68" s="1"/>
  <c r="M112" i="68" s="1"/>
  <c r="R61" i="68" a="1"/>
  <c r="R61" i="68" s="1"/>
  <c r="R89" i="68" s="1"/>
  <c r="R112" i="68" s="1"/>
  <c r="AA61" i="68" a="1"/>
  <c r="AA61" i="68" s="1"/>
  <c r="AA89" i="68" s="1"/>
  <c r="AA112" i="68" s="1"/>
  <c r="L61" i="68" a="1"/>
  <c r="L61" i="68" s="1"/>
  <c r="L89" i="68" s="1"/>
  <c r="L112" i="68" s="1"/>
  <c r="K61" i="68" a="1"/>
  <c r="K61" i="68" s="1"/>
  <c r="K89" i="68" s="1"/>
  <c r="K112" i="68" s="1"/>
  <c r="S61" i="68" a="1"/>
  <c r="S61" i="68" s="1"/>
  <c r="S89" i="68" s="1"/>
  <c r="S112" i="68" s="1"/>
  <c r="J61" i="68" a="1"/>
  <c r="J61" i="68" s="1"/>
  <c r="J89" i="68" s="1"/>
  <c r="J112" i="68" s="1"/>
  <c r="V61" i="68" a="1"/>
  <c r="V61" i="68" s="1"/>
  <c r="V89" i="68" s="1"/>
  <c r="V112" i="68" s="1"/>
  <c r="D10" i="33"/>
  <c r="D11" i="33"/>
  <c r="D9" i="33"/>
  <c r="D12" i="33"/>
  <c r="H95" i="43"/>
  <c r="H96" i="43"/>
  <c r="H97" i="43"/>
  <c r="H98" i="43"/>
  <c r="H99" i="43"/>
  <c r="H100" i="43"/>
  <c r="H101" i="43"/>
  <c r="H94" i="43"/>
  <c r="U89" i="72" l="1"/>
  <c r="Z89" i="72"/>
  <c r="AC89" i="72"/>
  <c r="T89" i="72"/>
  <c r="O89" i="72"/>
  <c r="Q89" i="72"/>
  <c r="P89" i="72"/>
  <c r="AB89" i="72"/>
  <c r="M89" i="72"/>
  <c r="R89" i="72"/>
  <c r="AE89" i="73"/>
  <c r="AA89" i="72"/>
  <c r="I89" i="72"/>
  <c r="J89" i="72"/>
  <c r="AG89" i="72"/>
  <c r="AF89" i="73"/>
  <c r="AG89" i="73"/>
  <c r="Y89" i="72"/>
  <c r="N89" i="72"/>
  <c r="S89" i="72"/>
  <c r="AF89" i="72"/>
  <c r="AD89" i="73"/>
  <c r="I89" i="73"/>
  <c r="W89" i="72"/>
  <c r="K89" i="72"/>
  <c r="X89" i="72"/>
  <c r="AE89" i="72"/>
  <c r="AC89" i="73"/>
  <c r="V89" i="72"/>
  <c r="L89" i="72"/>
  <c r="AD89" i="72"/>
  <c r="AE89" i="81"/>
  <c r="AC89" i="81"/>
  <c r="AF89" i="81"/>
  <c r="AG89" i="81"/>
  <c r="AD89" i="81"/>
  <c r="Q84" i="72"/>
  <c r="I84" i="72"/>
  <c r="AG91" i="68"/>
  <c r="AG110" i="68" s="1"/>
  <c r="AF91" i="68"/>
  <c r="AF110" i="68" s="1"/>
  <c r="AE91" i="68"/>
  <c r="AE110" i="68" s="1"/>
  <c r="AD91" i="68"/>
  <c r="AD110" i="68" s="1"/>
  <c r="AC91" i="68"/>
  <c r="AC110" i="68" s="1"/>
  <c r="AA89" i="81"/>
  <c r="T89" i="73"/>
  <c r="S89" i="81"/>
  <c r="Y89" i="81"/>
  <c r="W89" i="73"/>
  <c r="Q89" i="73"/>
  <c r="O89" i="73"/>
  <c r="O89" i="82"/>
  <c r="O89" i="81"/>
  <c r="R89" i="81"/>
  <c r="V89" i="73"/>
  <c r="X89" i="73"/>
  <c r="T89" i="82"/>
  <c r="V89" i="82"/>
  <c r="M89" i="81"/>
  <c r="J89" i="81"/>
  <c r="T89" i="81"/>
  <c r="AA89" i="73"/>
  <c r="P89" i="73"/>
  <c r="Q89" i="82"/>
  <c r="J89" i="82"/>
  <c r="K89" i="82"/>
  <c r="J89" i="73"/>
  <c r="V89" i="81"/>
  <c r="K89" i="81"/>
  <c r="I89" i="81"/>
  <c r="U89" i="73"/>
  <c r="U89" i="82"/>
  <c r="AA89" i="82"/>
  <c r="R89" i="82"/>
  <c r="AB89" i="81"/>
  <c r="Z89" i="81"/>
  <c r="W89" i="81"/>
  <c r="N89" i="73"/>
  <c r="Z89" i="73"/>
  <c r="AB89" i="82"/>
  <c r="W89" i="82"/>
  <c r="P89" i="82"/>
  <c r="N89" i="81"/>
  <c r="Q89" i="81"/>
  <c r="L89" i="81"/>
  <c r="X89" i="81"/>
  <c r="M89" i="73"/>
  <c r="K89" i="73"/>
  <c r="Y89" i="82"/>
  <c r="Z89" i="82"/>
  <c r="M89" i="82"/>
  <c r="N89" i="82"/>
  <c r="S89" i="73"/>
  <c r="R89" i="73"/>
  <c r="S89" i="82"/>
  <c r="U89" i="81"/>
  <c r="P89" i="81"/>
  <c r="AB89" i="73"/>
  <c r="L89" i="73"/>
  <c r="Y89" i="73"/>
  <c r="X89" i="82"/>
  <c r="L89" i="82"/>
  <c r="AG121" i="68" l="1" a="1"/>
  <c r="AG121" i="68" s="1"/>
  <c r="AG120" i="68" a="1"/>
  <c r="AG120" i="68" s="1"/>
  <c r="AG119" i="68" a="1"/>
  <c r="AG119" i="68" s="1"/>
  <c r="AG117" i="68" a="1"/>
  <c r="AG117" i="68" s="1"/>
  <c r="AG114" i="68" a="1"/>
  <c r="AG114" i="68" s="1"/>
  <c r="AG115" i="68" a="1"/>
  <c r="AG115" i="68" s="1"/>
  <c r="AG116" i="68" a="1"/>
  <c r="AG116" i="68" s="1"/>
  <c r="AG118" i="68" a="1"/>
  <c r="AG118" i="68" s="1"/>
  <c r="AF121" i="68" a="1"/>
  <c r="AF121" i="68" s="1"/>
  <c r="AF117" i="68" a="1"/>
  <c r="AF117" i="68" s="1"/>
  <c r="AF120" i="68" a="1"/>
  <c r="AF120" i="68" s="1"/>
  <c r="AF119" i="68" a="1"/>
  <c r="AF119" i="68" s="1"/>
  <c r="AF118" i="68" a="1"/>
  <c r="AF118" i="68" s="1"/>
  <c r="AF116" i="68" a="1"/>
  <c r="AF116" i="68" s="1"/>
  <c r="AF115" i="68" a="1"/>
  <c r="AF115" i="68" s="1"/>
  <c r="AF114" i="68" a="1"/>
  <c r="AF114" i="68" s="1"/>
  <c r="AE117" i="68" a="1"/>
  <c r="AE117" i="68" s="1"/>
  <c r="AE121" i="68" a="1"/>
  <c r="AE121" i="68" s="1"/>
  <c r="AE120" i="68" a="1"/>
  <c r="AE120" i="68" s="1"/>
  <c r="AE119" i="68" a="1"/>
  <c r="AE119" i="68" s="1"/>
  <c r="AE118" i="68" a="1"/>
  <c r="AE118" i="68" s="1"/>
  <c r="AE115" i="68" a="1"/>
  <c r="AE115" i="68" s="1"/>
  <c r="AE116" i="68" a="1"/>
  <c r="AE116" i="68" s="1"/>
  <c r="AE114" i="68" a="1"/>
  <c r="AE114" i="68" s="1"/>
  <c r="AC116" i="68" a="1"/>
  <c r="AC116" i="68" s="1"/>
  <c r="AC119" i="68" a="1"/>
  <c r="AC119" i="68" s="1"/>
  <c r="AC120" i="68" a="1"/>
  <c r="AC120" i="68" s="1"/>
  <c r="AC117" i="68" a="1"/>
  <c r="AC117" i="68" s="1"/>
  <c r="AC121" i="68" a="1"/>
  <c r="AC121" i="68" s="1"/>
  <c r="AC115" i="68" a="1"/>
  <c r="AC115" i="68" s="1"/>
  <c r="AC118" i="68" a="1"/>
  <c r="AC118" i="68" s="1"/>
  <c r="AC114" i="68" a="1"/>
  <c r="AC114" i="68" s="1"/>
  <c r="AD116" i="68" a="1"/>
  <c r="AD116" i="68" s="1"/>
  <c r="AD119" i="68" a="1"/>
  <c r="AD119" i="68" s="1"/>
  <c r="AD114" i="68" a="1"/>
  <c r="AD114" i="68" s="1"/>
  <c r="AD117" i="68" a="1"/>
  <c r="AD117" i="68" s="1"/>
  <c r="AD120" i="68" a="1"/>
  <c r="AD120" i="68" s="1"/>
  <c r="AD121" i="68" a="1"/>
  <c r="AD121" i="68" s="1"/>
  <c r="AD118" i="68" a="1"/>
  <c r="AD118" i="68" s="1"/>
  <c r="AD115" i="68" a="1"/>
  <c r="AD115" i="68" s="1"/>
  <c r="I86" i="72"/>
  <c r="I111" i="72" s="1"/>
  <c r="Q86" i="72"/>
  <c r="Q111" i="72" s="1"/>
  <c r="R84" i="72"/>
  <c r="J84" i="72"/>
  <c r="N84" i="72"/>
  <c r="AE84" i="72"/>
  <c r="O84" i="72"/>
  <c r="L84" i="72"/>
  <c r="AG84" i="72"/>
  <c r="AA84" i="72"/>
  <c r="K84" i="72"/>
  <c r="P84" i="72"/>
  <c r="M84" i="72"/>
  <c r="AF84" i="72"/>
  <c r="AD84" i="72"/>
  <c r="V84" i="72"/>
  <c r="U84" i="72"/>
  <c r="AC84" i="72"/>
  <c r="Z84" i="72"/>
  <c r="T84" i="72"/>
  <c r="W84" i="72"/>
  <c r="AB84" i="72"/>
  <c r="Y84" i="72"/>
  <c r="X84" i="72"/>
  <c r="S84" i="72"/>
  <c r="X91" i="68"/>
  <c r="X110" i="68" s="1"/>
  <c r="M91" i="68"/>
  <c r="M110" i="68" s="1"/>
  <c r="K91" i="68"/>
  <c r="K110" i="68" s="1"/>
  <c r="U91" i="68"/>
  <c r="U110" i="68" s="1"/>
  <c r="Q91" i="68"/>
  <c r="Q110" i="68" s="1"/>
  <c r="Z91" i="68"/>
  <c r="Z110" i="68" s="1"/>
  <c r="Y91" i="68"/>
  <c r="Y110" i="68" s="1"/>
  <c r="N91" i="68"/>
  <c r="N110" i="68" s="1"/>
  <c r="AA91" i="68"/>
  <c r="AA110" i="68" s="1"/>
  <c r="V91" i="68"/>
  <c r="V110" i="68" s="1"/>
  <c r="P91" i="68"/>
  <c r="P110" i="68" s="1"/>
  <c r="L91" i="68"/>
  <c r="L110" i="68" s="1"/>
  <c r="O91" i="68"/>
  <c r="O110" i="68" s="1"/>
  <c r="R91" i="68"/>
  <c r="R110" i="68" s="1"/>
  <c r="S91" i="68"/>
  <c r="S110" i="68" s="1"/>
  <c r="T91" i="68"/>
  <c r="T110" i="68" s="1"/>
  <c r="W91" i="68"/>
  <c r="W110" i="68" s="1"/>
  <c r="AB91" i="68"/>
  <c r="AB110" i="68" s="1"/>
  <c r="C16" i="62"/>
  <c r="P121" i="68" l="1" a="1"/>
  <c r="P121" i="68" s="1"/>
  <c r="P115" i="68" a="1"/>
  <c r="P115" i="68" s="1"/>
  <c r="P116" i="68" a="1"/>
  <c r="P116" i="68" s="1"/>
  <c r="P118" i="68" a="1"/>
  <c r="P118" i="68" s="1"/>
  <c r="P120" i="68" a="1"/>
  <c r="P120" i="68" s="1"/>
  <c r="P114" i="68" a="1"/>
  <c r="P114" i="68" s="1"/>
  <c r="P117" i="68" a="1"/>
  <c r="P117" i="68" s="1"/>
  <c r="P119" i="68" a="1"/>
  <c r="P119" i="68" s="1"/>
  <c r="AA116" i="68" a="1"/>
  <c r="AA116" i="68" s="1"/>
  <c r="AA118" i="68" a="1"/>
  <c r="AA118" i="68" s="1"/>
  <c r="AA114" i="68" a="1"/>
  <c r="AA114" i="68" s="1"/>
  <c r="AA117" i="68" a="1"/>
  <c r="AA117" i="68" s="1"/>
  <c r="AA115" i="68" a="1"/>
  <c r="AA115" i="68" s="1"/>
  <c r="AA119" i="68" a="1"/>
  <c r="AA119" i="68" s="1"/>
  <c r="AA121" i="68" a="1"/>
  <c r="AA121" i="68" s="1"/>
  <c r="AA120" i="68" a="1"/>
  <c r="AA120" i="68" s="1"/>
  <c r="W120" i="68" a="1"/>
  <c r="W120" i="68" s="1"/>
  <c r="W117" i="68" a="1"/>
  <c r="W117" i="68" s="1"/>
  <c r="W114" i="68" a="1"/>
  <c r="W114" i="68" s="1"/>
  <c r="W121" i="68" a="1"/>
  <c r="W121" i="68" s="1"/>
  <c r="W115" i="68" a="1"/>
  <c r="W115" i="68" s="1"/>
  <c r="W116" i="68" a="1"/>
  <c r="W116" i="68" s="1"/>
  <c r="W119" i="68" a="1"/>
  <c r="W119" i="68" s="1"/>
  <c r="W118" i="68" a="1"/>
  <c r="W118" i="68" s="1"/>
  <c r="S121" i="68" a="1"/>
  <c r="S121" i="68" s="1"/>
  <c r="S115" i="68" a="1"/>
  <c r="S115" i="68" s="1"/>
  <c r="S118" i="68" a="1"/>
  <c r="S118" i="68" s="1"/>
  <c r="S116" i="68" a="1"/>
  <c r="S116" i="68" s="1"/>
  <c r="S119" i="68" a="1"/>
  <c r="S119" i="68" s="1"/>
  <c r="S120" i="68" a="1"/>
  <c r="S120" i="68" s="1"/>
  <c r="S117" i="68" a="1"/>
  <c r="S117" i="68" s="1"/>
  <c r="S114" i="68" a="1"/>
  <c r="S114" i="68" s="1"/>
  <c r="R121" i="68" a="1"/>
  <c r="R121" i="68" s="1"/>
  <c r="R115" i="68" a="1"/>
  <c r="R115" i="68" s="1"/>
  <c r="R118" i="68" a="1"/>
  <c r="R118" i="68" s="1"/>
  <c r="R116" i="68" a="1"/>
  <c r="R116" i="68" s="1"/>
  <c r="R119" i="68" a="1"/>
  <c r="R119" i="68" s="1"/>
  <c r="R120" i="68" a="1"/>
  <c r="R120" i="68" s="1"/>
  <c r="R114" i="68" a="1"/>
  <c r="R114" i="68" s="1"/>
  <c r="R117" i="68" a="1"/>
  <c r="R117" i="68" s="1"/>
  <c r="O121" i="68" a="1"/>
  <c r="O121" i="68" s="1"/>
  <c r="O115" i="68" a="1"/>
  <c r="O115" i="68" s="1"/>
  <c r="O119" i="68" a="1"/>
  <c r="O119" i="68" s="1"/>
  <c r="O116" i="68" a="1"/>
  <c r="O116" i="68" s="1"/>
  <c r="O117" i="68" a="1"/>
  <c r="O117" i="68" s="1"/>
  <c r="O118" i="68" a="1"/>
  <c r="O118" i="68" s="1"/>
  <c r="O120" i="68" a="1"/>
  <c r="O120" i="68" s="1"/>
  <c r="O114" i="68" a="1"/>
  <c r="O114" i="68" s="1"/>
  <c r="L119" i="68" a="1"/>
  <c r="L119" i="68" s="1"/>
  <c r="L116" i="68" a="1"/>
  <c r="L116" i="68" s="1"/>
  <c r="L120" i="68" a="1"/>
  <c r="L120" i="68" s="1"/>
  <c r="L117" i="68" a="1"/>
  <c r="L117" i="68" s="1"/>
  <c r="L115" i="68" a="1"/>
  <c r="L115" i="68" s="1"/>
  <c r="L121" i="68" a="1"/>
  <c r="L121" i="68" s="1"/>
  <c r="L118" i="68" a="1"/>
  <c r="L118" i="68" s="1"/>
  <c r="L114" i="68" a="1"/>
  <c r="L114" i="68" s="1"/>
  <c r="N119" i="68" a="1"/>
  <c r="N119" i="68" s="1"/>
  <c r="N116" i="68" a="1"/>
  <c r="N116" i="68" s="1"/>
  <c r="N121" i="68" a="1"/>
  <c r="N121" i="68" s="1"/>
  <c r="N115" i="68" a="1"/>
  <c r="N115" i="68" s="1"/>
  <c r="N114" i="68" a="1"/>
  <c r="N114" i="68" s="1"/>
  <c r="N120" i="68" a="1"/>
  <c r="N120" i="68" s="1"/>
  <c r="N118" i="68" a="1"/>
  <c r="N118" i="68" s="1"/>
  <c r="N117" i="68" a="1"/>
  <c r="N117" i="68" s="1"/>
  <c r="Y120" i="68" a="1"/>
  <c r="Y120" i="68" s="1"/>
  <c r="Y117" i="68" a="1"/>
  <c r="Y117" i="68" s="1"/>
  <c r="Y114" i="68" a="1"/>
  <c r="Y114" i="68" s="1"/>
  <c r="Y121" i="68" a="1"/>
  <c r="Y121" i="68" s="1"/>
  <c r="Y115" i="68" a="1"/>
  <c r="Y115" i="68" s="1"/>
  <c r="Y116" i="68" a="1"/>
  <c r="Y116" i="68" s="1"/>
  <c r="Y119" i="68" a="1"/>
  <c r="Y119" i="68" s="1"/>
  <c r="Y118" i="68" a="1"/>
  <c r="Y118" i="68" s="1"/>
  <c r="Q121" i="68" a="1"/>
  <c r="Q121" i="68" s="1"/>
  <c r="Q115" i="68" a="1"/>
  <c r="Q115" i="68" s="1"/>
  <c r="Q119" i="68" a="1"/>
  <c r="Q119" i="68" s="1"/>
  <c r="Q116" i="68" a="1"/>
  <c r="Q116" i="68" s="1"/>
  <c r="Q118" i="68" a="1"/>
  <c r="Q118" i="68" s="1"/>
  <c r="Q120" i="68" a="1"/>
  <c r="Q120" i="68" s="1"/>
  <c r="Q114" i="68" a="1"/>
  <c r="Q114" i="68" s="1"/>
  <c r="Q117" i="68" a="1"/>
  <c r="Q117" i="68" s="1"/>
  <c r="K119" i="68" a="1"/>
  <c r="K119" i="68" s="1"/>
  <c r="K116" i="68" a="1"/>
  <c r="K116" i="68" s="1"/>
  <c r="K120" i="68" a="1"/>
  <c r="K120" i="68" s="1"/>
  <c r="K114" i="68" a="1"/>
  <c r="K114" i="68" s="1"/>
  <c r="K117" i="68" a="1"/>
  <c r="K117" i="68" s="1"/>
  <c r="K115" i="68" a="1"/>
  <c r="K115" i="68" s="1"/>
  <c r="K121" i="68" a="1"/>
  <c r="K121" i="68" s="1"/>
  <c r="K118" i="68" a="1"/>
  <c r="K118" i="68" s="1"/>
  <c r="M119" i="68" a="1"/>
  <c r="M119" i="68" s="1"/>
  <c r="M116" i="68" a="1"/>
  <c r="M116" i="68" s="1"/>
  <c r="M120" i="68" a="1"/>
  <c r="M120" i="68" s="1"/>
  <c r="M117" i="68" a="1"/>
  <c r="M117" i="68" s="1"/>
  <c r="M115" i="68" a="1"/>
  <c r="M115" i="68" s="1"/>
  <c r="M121" i="68" a="1"/>
  <c r="M121" i="68" s="1"/>
  <c r="M118" i="68" a="1"/>
  <c r="M118" i="68" s="1"/>
  <c r="M114" i="68" a="1"/>
  <c r="M114" i="68" s="1"/>
  <c r="U117" i="68" a="1"/>
  <c r="U117" i="68" s="1"/>
  <c r="U114" i="68" a="1"/>
  <c r="U114" i="68" s="1"/>
  <c r="U119" i="68" a="1"/>
  <c r="U119" i="68" s="1"/>
  <c r="U115" i="68" a="1"/>
  <c r="U115" i="68" s="1"/>
  <c r="U120" i="68" a="1"/>
  <c r="U120" i="68" s="1"/>
  <c r="U116" i="68" a="1"/>
  <c r="U116" i="68" s="1"/>
  <c r="U121" i="68" a="1"/>
  <c r="U121" i="68" s="1"/>
  <c r="U118" i="68" a="1"/>
  <c r="U118" i="68" s="1"/>
  <c r="X120" i="68" a="1"/>
  <c r="X120" i="68" s="1"/>
  <c r="X117" i="68" a="1"/>
  <c r="X117" i="68" s="1"/>
  <c r="X114" i="68" a="1"/>
  <c r="X114" i="68" s="1"/>
  <c r="X118" i="68" a="1"/>
  <c r="X118" i="68" s="1"/>
  <c r="X115" i="68" a="1"/>
  <c r="X115" i="68" s="1"/>
  <c r="X116" i="68" a="1"/>
  <c r="X116" i="68" s="1"/>
  <c r="X119" i="68" a="1"/>
  <c r="X119" i="68" s="1"/>
  <c r="X121" i="68" a="1"/>
  <c r="X121" i="68" s="1"/>
  <c r="AB116" i="68" a="1"/>
  <c r="AB116" i="68" s="1"/>
  <c r="AB119" i="68" a="1"/>
  <c r="AB119" i="68" s="1"/>
  <c r="AB120" i="68" a="1"/>
  <c r="AB120" i="68" s="1"/>
  <c r="AB114" i="68" a="1"/>
  <c r="AB114" i="68" s="1"/>
  <c r="AB117" i="68" a="1"/>
  <c r="AB117" i="68" s="1"/>
  <c r="AB121" i="68" a="1"/>
  <c r="AB121" i="68" s="1"/>
  <c r="AB115" i="68" a="1"/>
  <c r="AB115" i="68" s="1"/>
  <c r="AB118" i="68" a="1"/>
  <c r="AB118" i="68" s="1"/>
  <c r="T118" i="68" a="1"/>
  <c r="T118" i="68" s="1"/>
  <c r="T116" i="68" a="1"/>
  <c r="T116" i="68" s="1"/>
  <c r="T121" i="68" a="1"/>
  <c r="T121" i="68" s="1"/>
  <c r="T119" i="68" a="1"/>
  <c r="T119" i="68" s="1"/>
  <c r="T117" i="68" a="1"/>
  <c r="T117" i="68" s="1"/>
  <c r="T120" i="68" a="1"/>
  <c r="T120" i="68" s="1"/>
  <c r="T114" i="68" a="1"/>
  <c r="T114" i="68" s="1"/>
  <c r="T115" i="68" a="1"/>
  <c r="T115" i="68" s="1"/>
  <c r="V120" i="68" a="1"/>
  <c r="V120" i="68" s="1"/>
  <c r="V117" i="68" a="1"/>
  <c r="V117" i="68" s="1"/>
  <c r="V114" i="68" a="1"/>
  <c r="V114" i="68" s="1"/>
  <c r="V119" i="68" a="1"/>
  <c r="V119" i="68" s="1"/>
  <c r="V118" i="68" a="1"/>
  <c r="V118" i="68" s="1"/>
  <c r="V115" i="68" a="1"/>
  <c r="V115" i="68" s="1"/>
  <c r="V121" i="68" a="1"/>
  <c r="V121" i="68" s="1"/>
  <c r="V116" i="68" a="1"/>
  <c r="V116" i="68" s="1"/>
  <c r="Z120" i="68" a="1"/>
  <c r="Z120" i="68" s="1"/>
  <c r="Z117" i="68" a="1"/>
  <c r="Z117" i="68" s="1"/>
  <c r="Z116" i="68" a="1"/>
  <c r="Z116" i="68" s="1"/>
  <c r="Z121" i="68" a="1"/>
  <c r="Z121" i="68" s="1"/>
  <c r="Z115" i="68" a="1"/>
  <c r="Z115" i="68" s="1"/>
  <c r="Z114" i="68" a="1"/>
  <c r="Z114" i="68" s="1"/>
  <c r="Z119" i="68" a="1"/>
  <c r="Z119" i="68" s="1"/>
  <c r="Z118" i="68" a="1"/>
  <c r="Z118" i="68" s="1"/>
  <c r="J86" i="72"/>
  <c r="J111" i="72" s="1"/>
  <c r="K86" i="72"/>
  <c r="K111" i="72" s="1"/>
  <c r="AB86" i="72"/>
  <c r="AB111" i="72" s="1"/>
  <c r="AD86" i="72"/>
  <c r="AD111" i="72" s="1"/>
  <c r="Z86" i="72"/>
  <c r="Z111" i="72" s="1"/>
  <c r="Y86" i="72"/>
  <c r="Y111" i="72" s="1"/>
  <c r="O86" i="72"/>
  <c r="O111" i="72" s="1"/>
  <c r="AF86" i="72"/>
  <c r="AF111" i="72" s="1"/>
  <c r="AE86" i="72"/>
  <c r="AE111" i="72" s="1"/>
  <c r="W86" i="72"/>
  <c r="W111" i="72" s="1"/>
  <c r="M86" i="72"/>
  <c r="M111" i="72" s="1"/>
  <c r="N86" i="72"/>
  <c r="N111" i="72" s="1"/>
  <c r="T86" i="72"/>
  <c r="T111" i="72" s="1"/>
  <c r="P86" i="72"/>
  <c r="P111" i="72" s="1"/>
  <c r="R86" i="72"/>
  <c r="R111" i="72" s="1"/>
  <c r="AC86" i="72"/>
  <c r="AC111" i="72" s="1"/>
  <c r="AA86" i="72"/>
  <c r="AA111" i="72" s="1"/>
  <c r="S86" i="72"/>
  <c r="S111" i="72" s="1"/>
  <c r="U86" i="72"/>
  <c r="U111" i="72" s="1"/>
  <c r="AG86" i="72"/>
  <c r="AG111" i="72" s="1"/>
  <c r="X86" i="72"/>
  <c r="X111" i="72" s="1"/>
  <c r="V86" i="72"/>
  <c r="V111" i="72" s="1"/>
  <c r="L86" i="72"/>
  <c r="L111" i="72" s="1"/>
  <c r="J91" i="68"/>
  <c r="J110" i="68" s="1"/>
  <c r="I91" i="68"/>
  <c r="I110" i="68" s="1"/>
  <c r="A1" i="43"/>
  <c r="A1" i="33"/>
  <c r="J119" i="68" l="1" a="1"/>
  <c r="J119" i="68" s="1"/>
  <c r="J116" i="68" a="1"/>
  <c r="J116" i="68" s="1"/>
  <c r="J117" i="68" a="1"/>
  <c r="J117" i="68" s="1"/>
  <c r="J120" i="68" a="1"/>
  <c r="J120" i="68" s="1"/>
  <c r="J114" i="68" a="1"/>
  <c r="J114" i="68" s="1"/>
  <c r="J115" i="68" a="1"/>
  <c r="J115" i="68" s="1"/>
  <c r="J121" i="68" a="1"/>
  <c r="J121" i="68" s="1"/>
  <c r="J118" i="68" a="1"/>
  <c r="J118" i="68" s="1"/>
  <c r="I119" i="68" a="1"/>
  <c r="I119" i="68" s="1"/>
  <c r="I116" i="68" a="1"/>
  <c r="I116" i="68" s="1"/>
  <c r="I118" i="68" a="1"/>
  <c r="I118" i="68" s="1"/>
  <c r="I120" i="68" a="1"/>
  <c r="I120" i="68" s="1"/>
  <c r="I114" i="68" a="1"/>
  <c r="I114" i="68" s="1"/>
  <c r="I121" i="68" a="1"/>
  <c r="I121" i="68" s="1"/>
  <c r="I115" i="68" a="1"/>
  <c r="I115" i="68" s="1"/>
  <c r="I117" i="68" a="1"/>
  <c r="I117" i="68" s="1"/>
  <c r="A2" i="47"/>
  <c r="A1" i="47"/>
  <c r="A2" i="62"/>
  <c r="A1" i="62"/>
  <c r="I6" i="62"/>
  <c r="I13" i="62" l="1"/>
  <c r="J6" i="62"/>
  <c r="J11" i="62" l="1"/>
  <c r="K6" i="62"/>
  <c r="J12" i="62" l="1"/>
  <c r="J13" i="62" s="1"/>
  <c r="I15" i="62"/>
  <c r="K11" i="62"/>
  <c r="K12" i="62" s="1"/>
  <c r="K13" i="62" s="1"/>
  <c r="L6" i="62"/>
  <c r="J15" i="62" l="1"/>
  <c r="L11" i="62"/>
  <c r="M6" i="62"/>
  <c r="L12" i="62" l="1"/>
  <c r="L13" i="62" s="1"/>
  <c r="K15" i="62"/>
  <c r="M11" i="62"/>
  <c r="M12" i="62" l="1"/>
  <c r="M13" i="62" s="1"/>
  <c r="L15" i="62"/>
  <c r="N11" i="62"/>
  <c r="N12" i="62" l="1"/>
  <c r="N13" i="62" s="1"/>
  <c r="M15" i="62"/>
  <c r="O11" i="62"/>
  <c r="O12" i="62" l="1"/>
  <c r="O13" i="62" s="1"/>
  <c r="P11" i="62"/>
  <c r="P12" i="62" s="1"/>
  <c r="P13" i="62" s="1"/>
  <c r="N15" i="62"/>
  <c r="Q11" i="62" l="1"/>
  <c r="Q12" i="62" s="1"/>
  <c r="Q13" i="62" s="1"/>
  <c r="O15" i="62"/>
  <c r="D21" i="62" s="1"/>
  <c r="P15" i="62" l="1"/>
  <c r="R11" i="62"/>
  <c r="Q15" i="62" l="1"/>
  <c r="R12" i="62"/>
  <c r="R13" i="62" s="1"/>
  <c r="D22" i="62" l="1"/>
  <c r="D23" i="62" s="1"/>
  <c r="E32" i="68" s="1"/>
  <c r="G71" i="43"/>
  <c r="G70" i="43"/>
  <c r="D16" i="62"/>
  <c r="R15" i="62"/>
  <c r="D17" i="62" s="1"/>
  <c r="D19" i="62" l="1"/>
  <c r="AC14" i="85" s="1"/>
  <c r="W34" i="73" a="1"/>
  <c r="W34" i="73" s="1"/>
  <c r="Q34" i="82" a="1"/>
  <c r="Q34" i="82" s="1"/>
  <c r="AF34" i="82" a="1"/>
  <c r="AF34" i="82" s="1"/>
  <c r="AD34" i="73" a="1"/>
  <c r="AD34" i="73" s="1"/>
  <c r="W34" i="82" a="1"/>
  <c r="W34" i="82" s="1"/>
  <c r="Y34" i="82" a="1"/>
  <c r="Y34" i="82" s="1"/>
  <c r="AF34" i="73" a="1"/>
  <c r="AF34" i="73" s="1"/>
  <c r="AB34" i="73" a="1"/>
  <c r="AB34" i="73" s="1"/>
  <c r="S34" i="73" a="1"/>
  <c r="S34" i="73" s="1"/>
  <c r="AC34" i="73" a="1"/>
  <c r="AC34" i="73" s="1"/>
  <c r="L34" i="73" a="1"/>
  <c r="L34" i="73" s="1"/>
  <c r="AC34" i="82" a="1"/>
  <c r="AC34" i="82" s="1"/>
  <c r="X34" i="82" a="1"/>
  <c r="X34" i="82" s="1"/>
  <c r="T34" i="82" a="1"/>
  <c r="T34" i="82" s="1"/>
  <c r="X34" i="73" a="1"/>
  <c r="X34" i="73" s="1"/>
  <c r="AG34" i="82" a="1"/>
  <c r="AG34" i="82" s="1"/>
  <c r="P34" i="82" a="1"/>
  <c r="P34" i="82" s="1"/>
  <c r="I34" i="73" a="1"/>
  <c r="I34" i="73" s="1"/>
  <c r="O34" i="82" a="1"/>
  <c r="O34" i="82" s="1"/>
  <c r="L34" i="82" a="1"/>
  <c r="L34" i="82" s="1"/>
  <c r="R34" i="73" a="1"/>
  <c r="R34" i="73" s="1"/>
  <c r="I34" i="82" a="1"/>
  <c r="I34" i="82" s="1"/>
  <c r="AB34" i="82" a="1"/>
  <c r="AB34" i="82" s="1"/>
  <c r="AE34" i="73" a="1"/>
  <c r="AE34" i="73" s="1"/>
  <c r="Q34" i="73" a="1"/>
  <c r="Q34" i="73" s="1"/>
  <c r="O34" i="73" a="1"/>
  <c r="O34" i="73" s="1"/>
  <c r="J34" i="82" a="1"/>
  <c r="J34" i="82" s="1"/>
  <c r="AG34" i="73" a="1"/>
  <c r="AG34" i="73" s="1"/>
  <c r="Y34" i="73" a="1"/>
  <c r="Y34" i="73" s="1"/>
  <c r="Z34" i="73" a="1"/>
  <c r="Z34" i="73" s="1"/>
  <c r="M34" i="73" a="1"/>
  <c r="M34" i="73" s="1"/>
  <c r="U34" i="82" a="1"/>
  <c r="U34" i="82" s="1"/>
  <c r="AA34" i="73" a="1"/>
  <c r="AA34" i="73" s="1"/>
  <c r="N34" i="82" a="1"/>
  <c r="N34" i="82" s="1"/>
  <c r="AE34" i="82" a="1"/>
  <c r="AE34" i="82" s="1"/>
  <c r="V34" i="82" a="1"/>
  <c r="V34" i="82" s="1"/>
  <c r="AA34" i="82" a="1"/>
  <c r="AA34" i="82" s="1"/>
  <c r="M34" i="82" a="1"/>
  <c r="M34" i="82" s="1"/>
  <c r="P34" i="73" a="1"/>
  <c r="P34" i="73" s="1"/>
  <c r="AD34" i="82" a="1"/>
  <c r="AD34" i="82" s="1"/>
  <c r="K34" i="82" a="1"/>
  <c r="K34" i="82" s="1"/>
  <c r="U34" i="73" a="1"/>
  <c r="U34" i="73" s="1"/>
  <c r="Z34" i="82" a="1"/>
  <c r="Z34" i="82" s="1"/>
  <c r="T34" i="73" a="1"/>
  <c r="T34" i="73" s="1"/>
  <c r="S34" i="82" a="1"/>
  <c r="S34" i="82" s="1"/>
  <c r="J34" i="73" a="1"/>
  <c r="J34" i="73" s="1"/>
  <c r="R34" i="82" a="1"/>
  <c r="R34" i="82" s="1"/>
  <c r="N34" i="73" a="1"/>
  <c r="N34" i="73" s="1"/>
  <c r="V34" i="73" a="1"/>
  <c r="V34" i="73" s="1"/>
  <c r="K34" i="73" a="1"/>
  <c r="K34" i="73" s="1"/>
  <c r="E32" i="73"/>
  <c r="E32" i="81"/>
  <c r="E32" i="72"/>
  <c r="E32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S74" i="75"/>
  <c r="N43" i="75"/>
  <c r="N60" i="75"/>
  <c r="L75" i="75"/>
  <c r="K71" i="75"/>
  <c r="W47" i="75"/>
  <c r="P43" i="75"/>
  <c r="V61" i="75"/>
  <c r="O33" i="75"/>
  <c r="N75" i="75"/>
  <c r="N32" i="75"/>
  <c r="T71" i="75"/>
  <c r="S57" i="75"/>
  <c r="K57" i="75"/>
  <c r="T60" i="75"/>
  <c r="Q32" i="75"/>
  <c r="M60" i="75"/>
  <c r="U71" i="75"/>
  <c r="P75" i="75"/>
  <c r="T43" i="75"/>
  <c r="S33" i="75"/>
  <c r="V33" i="75"/>
  <c r="R74" i="75"/>
  <c r="J60" i="75"/>
  <c r="Q71" i="75"/>
  <c r="M74" i="75"/>
  <c r="W61" i="75"/>
  <c r="S32" i="75"/>
  <c r="O47" i="75"/>
  <c r="N57" i="75"/>
  <c r="V43" i="75"/>
  <c r="L60" i="75"/>
  <c r="T47" i="75"/>
  <c r="P71" i="75"/>
  <c r="W33" i="75"/>
  <c r="V57" i="75"/>
  <c r="O57" i="75"/>
  <c r="L32" i="75"/>
  <c r="T75" i="75"/>
  <c r="S61" i="75"/>
  <c r="K75" i="75"/>
  <c r="R57" i="75"/>
  <c r="R32" i="75"/>
  <c r="J74" i="75"/>
  <c r="Q47" i="75"/>
  <c r="M33" i="75"/>
  <c r="U57" i="75"/>
  <c r="V71" i="75"/>
  <c r="R61" i="75"/>
  <c r="J61" i="75"/>
  <c r="J75" i="75"/>
  <c r="M75" i="75"/>
  <c r="U43" i="75"/>
  <c r="O71" i="75"/>
  <c r="O74" i="75"/>
  <c r="N61" i="75"/>
  <c r="L61" i="75"/>
  <c r="T57" i="75"/>
  <c r="K61" i="75"/>
  <c r="R43" i="75"/>
  <c r="J47" i="75"/>
  <c r="S75" i="75"/>
  <c r="K60" i="75"/>
  <c r="V75" i="75"/>
  <c r="R33" i="75"/>
  <c r="J32" i="75"/>
  <c r="S60" i="75"/>
  <c r="Q74" i="75"/>
  <c r="P47" i="75"/>
  <c r="W75" i="75"/>
  <c r="W43" i="75"/>
  <c r="U74" i="75"/>
  <c r="X47" i="75"/>
  <c r="U32" i="75"/>
  <c r="X43" i="75"/>
  <c r="Y61" i="75"/>
  <c r="Y71" i="75"/>
  <c r="Y57" i="75"/>
  <c r="Y75" i="75"/>
  <c r="Y47" i="75"/>
  <c r="W74" i="75"/>
  <c r="Z71" i="75"/>
  <c r="Z57" i="75"/>
  <c r="W60" i="75"/>
  <c r="Z47" i="75"/>
  <c r="Z33" i="75"/>
  <c r="W32" i="75"/>
  <c r="Z43" i="75"/>
  <c r="X74" i="75"/>
  <c r="Y60" i="75"/>
  <c r="AB71" i="75"/>
  <c r="AB43" i="75"/>
  <c r="AB57" i="75"/>
  <c r="AB61" i="75"/>
  <c r="Y74" i="75"/>
  <c r="Y32" i="75"/>
  <c r="AB75" i="75"/>
  <c r="AB47" i="75"/>
  <c r="AB33" i="75"/>
  <c r="Z74" i="75"/>
  <c r="Z32" i="75"/>
  <c r="AA32" i="75"/>
  <c r="AA60" i="75"/>
  <c r="AC47" i="75"/>
  <c r="AB74" i="75"/>
  <c r="AD33" i="75"/>
  <c r="AF43" i="75"/>
  <c r="AE43" i="75"/>
  <c r="AB60" i="75"/>
  <c r="AD71" i="75"/>
  <c r="AF61" i="75"/>
  <c r="AE57" i="75"/>
  <c r="AE33" i="75"/>
  <c r="AF71" i="75"/>
  <c r="AB32" i="75"/>
  <c r="AF47" i="75"/>
  <c r="AD47" i="75"/>
  <c r="AD57" i="75"/>
  <c r="AD61" i="75"/>
  <c r="AD74" i="75"/>
  <c r="AG75" i="75"/>
  <c r="AC32" i="75"/>
  <c r="AG47" i="75"/>
  <c r="AG57" i="75"/>
  <c r="AG33" i="75"/>
  <c r="AE74" i="75"/>
  <c r="AG43" i="75"/>
  <c r="AG61" i="75"/>
  <c r="AE32" i="75"/>
  <c r="AF60" i="75"/>
  <c r="AF32" i="75"/>
  <c r="AF63" i="75"/>
  <c r="W49" i="75"/>
  <c r="AB49" i="75"/>
  <c r="U49" i="75"/>
  <c r="AG63" i="75"/>
  <c r="K49" i="75"/>
  <c r="AD63" i="75"/>
  <c r="Z49" i="75"/>
  <c r="AE63" i="75"/>
  <c r="Y49" i="75"/>
  <c r="AC49" i="75"/>
  <c r="AD49" i="75"/>
  <c r="AA49" i="75"/>
  <c r="N49" i="75"/>
  <c r="S49" i="75"/>
  <c r="AD35" i="75"/>
  <c r="AC35" i="75"/>
  <c r="AG49" i="75"/>
  <c r="AF49" i="75"/>
  <c r="AG35" i="75"/>
  <c r="AC77" i="75"/>
  <c r="AE77" i="75"/>
  <c r="AG77" i="75"/>
  <c r="AC63" i="75"/>
  <c r="S63" i="75"/>
  <c r="Q63" i="75"/>
  <c r="W35" i="75"/>
  <c r="K35" i="75"/>
  <c r="U63" i="75"/>
  <c r="Q35" i="75"/>
  <c r="U35" i="75"/>
  <c r="T63" i="75"/>
  <c r="W63" i="75"/>
  <c r="Q46" i="75"/>
  <c r="AB63" i="75"/>
  <c r="Z35" i="75"/>
  <c r="N77" i="75"/>
  <c r="L63" i="75"/>
  <c r="AB77" i="75"/>
  <c r="M35" i="75"/>
  <c r="Z63" i="75"/>
  <c r="Y63" i="75"/>
  <c r="W77" i="75"/>
  <c r="K63" i="75"/>
  <c r="M77" i="75"/>
  <c r="P77" i="75"/>
  <c r="AA77" i="75"/>
  <c r="U77" i="75"/>
  <c r="Y77" i="75"/>
  <c r="X77" i="75"/>
  <c r="R63" i="75"/>
  <c r="K77" i="75"/>
  <c r="V77" i="75"/>
  <c r="J63" i="75"/>
  <c r="R77" i="75"/>
  <c r="J77" i="75"/>
  <c r="Q77" i="75"/>
  <c r="S77" i="75"/>
  <c r="O35" i="75"/>
  <c r="Z46" i="75"/>
  <c r="AA46" i="75"/>
  <c r="K46" i="75"/>
  <c r="U46" i="75"/>
  <c r="AG46" i="75"/>
  <c r="O46" i="75"/>
  <c r="AC46" i="75"/>
  <c r="M46" i="75"/>
  <c r="L46" i="75"/>
  <c r="Y46" i="75"/>
  <c r="AF46" i="75"/>
  <c r="AE46" i="75"/>
  <c r="T46" i="75"/>
  <c r="S46" i="75"/>
  <c r="R46" i="75"/>
  <c r="Y29" i="75"/>
  <c r="I43" i="75"/>
  <c r="W29" i="75"/>
  <c r="L29" i="75"/>
  <c r="AE29" i="75"/>
  <c r="AG29" i="75"/>
  <c r="I60" i="75"/>
  <c r="Z29" i="75"/>
  <c r="I75" i="75"/>
  <c r="I74" i="75"/>
  <c r="I57" i="75"/>
  <c r="T29" i="75"/>
  <c r="S29" i="75"/>
  <c r="Q29" i="75"/>
  <c r="I71" i="75"/>
  <c r="AF29" i="75"/>
  <c r="M29" i="75"/>
  <c r="R29" i="75"/>
  <c r="AC29" i="75"/>
  <c r="V29" i="75"/>
  <c r="I61" i="75"/>
  <c r="I49" i="75"/>
  <c r="I21" i="75"/>
  <c r="I77" i="75"/>
  <c r="I35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A75" i="75" l="1"/>
  <c r="L74" i="75"/>
  <c r="U61" i="75"/>
  <c r="K21" i="75"/>
  <c r="AA20" i="75"/>
  <c r="AC18" i="75"/>
  <c r="AC22" i="75" s="1"/>
  <c r="X29" i="75"/>
  <c r="X46" i="75"/>
  <c r="O63" i="75"/>
  <c r="J49" i="75"/>
  <c r="T49" i="75"/>
  <c r="AF33" i="75"/>
  <c r="AC61" i="75"/>
  <c r="Y33" i="75"/>
  <c r="L71" i="75"/>
  <c r="L43" i="75"/>
  <c r="M71" i="75"/>
  <c r="M43" i="75"/>
  <c r="U14" i="85"/>
  <c r="T19" i="75"/>
  <c r="T20" i="75"/>
  <c r="AB29" i="75"/>
  <c r="I18" i="75"/>
  <c r="X63" i="75"/>
  <c r="L35" i="75"/>
  <c r="L49" i="75"/>
  <c r="AF57" i="75"/>
  <c r="AC33" i="75"/>
  <c r="V60" i="75"/>
  <c r="O75" i="75"/>
  <c r="R60" i="75"/>
  <c r="O61" i="75"/>
  <c r="Q14" i="85"/>
  <c r="AA19" i="75"/>
  <c r="U20" i="75"/>
  <c r="AA29" i="75"/>
  <c r="I15" i="75"/>
  <c r="F15" i="75" s="1"/>
  <c r="L77" i="75"/>
  <c r="T35" i="75"/>
  <c r="AG32" i="75"/>
  <c r="AC57" i="75"/>
  <c r="X33" i="75"/>
  <c r="R47" i="75"/>
  <c r="Q61" i="75"/>
  <c r="AA14" i="85"/>
  <c r="Z18" i="75"/>
  <c r="Z22" i="75" s="1"/>
  <c r="X19" i="75"/>
  <c r="Q20" i="75"/>
  <c r="Q22" i="75" s="1"/>
  <c r="AG19" i="75"/>
  <c r="AD29" i="75"/>
  <c r="I20" i="75"/>
  <c r="M63" i="75"/>
  <c r="S35" i="75"/>
  <c r="R35" i="75"/>
  <c r="AE35" i="75"/>
  <c r="AG74" i="75"/>
  <c r="AF75" i="75"/>
  <c r="AC75" i="75"/>
  <c r="X60" i="75"/>
  <c r="X61" i="75"/>
  <c r="Q33" i="75"/>
  <c r="Q57" i="75"/>
  <c r="K74" i="75"/>
  <c r="P61" i="75"/>
  <c r="J43" i="75"/>
  <c r="Y14" i="85"/>
  <c r="M49" i="75"/>
  <c r="AE61" i="75"/>
  <c r="AC60" i="75"/>
  <c r="V74" i="75"/>
  <c r="T33" i="75"/>
  <c r="M32" i="75"/>
  <c r="L47" i="75"/>
  <c r="S14" i="85"/>
  <c r="U18" i="75"/>
  <c r="O29" i="75"/>
  <c r="AA35" i="75"/>
  <c r="AA57" i="75"/>
  <c r="N47" i="75"/>
  <c r="R18" i="75"/>
  <c r="AD19" i="75"/>
  <c r="AB46" i="75"/>
  <c r="Q49" i="75"/>
  <c r="AA61" i="75"/>
  <c r="N71" i="75"/>
  <c r="Q60" i="75"/>
  <c r="L18" i="75"/>
  <c r="AE20" i="75"/>
  <c r="AE22" i="75" s="1"/>
  <c r="J46" i="75"/>
  <c r="AF77" i="75"/>
  <c r="AD60" i="75"/>
  <c r="AA43" i="75"/>
  <c r="U33" i="75"/>
  <c r="W71" i="75"/>
  <c r="I33" i="75"/>
  <c r="AB18" i="75"/>
  <c r="AB22" i="75" s="1"/>
  <c r="U19" i="75"/>
  <c r="M20" i="75"/>
  <c r="M22" i="75" s="1"/>
  <c r="AF20" i="75"/>
  <c r="K29" i="75"/>
  <c r="I19" i="75"/>
  <c r="X35" i="75"/>
  <c r="N35" i="75"/>
  <c r="P35" i="75"/>
  <c r="AE49" i="75"/>
  <c r="AG60" i="75"/>
  <c r="AD75" i="75"/>
  <c r="AA74" i="75"/>
  <c r="AA47" i="75"/>
  <c r="X71" i="75"/>
  <c r="J57" i="75"/>
  <c r="P33" i="75"/>
  <c r="S71" i="75"/>
  <c r="W57" i="75"/>
  <c r="R71" i="75"/>
  <c r="N32" i="82"/>
  <c r="AG32" i="82"/>
  <c r="M32" i="82"/>
  <c r="AF32" i="82"/>
  <c r="L32" i="82"/>
  <c r="AE32" i="82"/>
  <c r="K32" i="82"/>
  <c r="AD32" i="82"/>
  <c r="J32" i="82"/>
  <c r="AC32" i="82"/>
  <c r="I32" i="82"/>
  <c r="AB32" i="82"/>
  <c r="AA32" i="82"/>
  <c r="Z32" i="82"/>
  <c r="Y32" i="82"/>
  <c r="X32" i="82"/>
  <c r="W32" i="82"/>
  <c r="V32" i="82"/>
  <c r="U32" i="82"/>
  <c r="T32" i="82"/>
  <c r="S32" i="82"/>
  <c r="R32" i="82"/>
  <c r="Q32" i="82"/>
  <c r="P32" i="82"/>
  <c r="O32" i="82"/>
  <c r="AC32" i="68"/>
  <c r="AC99" i="75" s="1"/>
  <c r="J32" i="68"/>
  <c r="J99" i="75" s="1"/>
  <c r="AD32" i="68"/>
  <c r="AD99" i="75" s="1"/>
  <c r="K32" i="68"/>
  <c r="K99" i="75" s="1"/>
  <c r="AE32" i="68"/>
  <c r="AF32" i="68"/>
  <c r="L32" i="68"/>
  <c r="L99" i="75" s="1"/>
  <c r="I32" i="68"/>
  <c r="I99" i="75" s="1"/>
  <c r="N32" i="68"/>
  <c r="N99" i="75" s="1"/>
  <c r="M32" i="68"/>
  <c r="M99" i="75" s="1"/>
  <c r="AG32" i="68"/>
  <c r="P32" i="68"/>
  <c r="P99" i="75" s="1"/>
  <c r="Q32" i="68"/>
  <c r="Q99" i="75" s="1"/>
  <c r="R32" i="68"/>
  <c r="R99" i="75" s="1"/>
  <c r="V32" i="68"/>
  <c r="V99" i="75" s="1"/>
  <c r="S32" i="68"/>
  <c r="S99" i="75" s="1"/>
  <c r="X32" i="68"/>
  <c r="X99" i="75" s="1"/>
  <c r="AB32" i="68"/>
  <c r="AB99" i="75" s="1"/>
  <c r="Y32" i="68"/>
  <c r="Y99" i="75" s="1"/>
  <c r="T32" i="68"/>
  <c r="T99" i="75" s="1"/>
  <c r="U32" i="68"/>
  <c r="U99" i="75" s="1"/>
  <c r="Z32" i="68"/>
  <c r="Z99" i="75" s="1"/>
  <c r="AA32" i="68"/>
  <c r="AA99" i="75" s="1"/>
  <c r="O32" i="68"/>
  <c r="O99" i="75" s="1"/>
  <c r="W32" i="68"/>
  <c r="W99" i="75" s="1"/>
  <c r="X32" i="72"/>
  <c r="W32" i="72"/>
  <c r="U32" i="72"/>
  <c r="AD32" i="72"/>
  <c r="V32" i="72"/>
  <c r="O32" i="72"/>
  <c r="K32" i="72"/>
  <c r="T32" i="72"/>
  <c r="S32" i="72"/>
  <c r="Q32" i="72"/>
  <c r="P32" i="72"/>
  <c r="J32" i="72"/>
  <c r="N32" i="72"/>
  <c r="AG32" i="72"/>
  <c r="AF32" i="72"/>
  <c r="L32" i="72"/>
  <c r="AC32" i="72"/>
  <c r="I32" i="72"/>
  <c r="R32" i="72"/>
  <c r="AB32" i="72"/>
  <c r="AE32" i="72"/>
  <c r="AA32" i="72"/>
  <c r="Z32" i="72"/>
  <c r="Y32" i="72"/>
  <c r="M32" i="72"/>
  <c r="AC32" i="81"/>
  <c r="I32" i="81"/>
  <c r="AB32" i="81"/>
  <c r="Z32" i="81"/>
  <c r="T32" i="81"/>
  <c r="AA32" i="81"/>
  <c r="P32" i="81"/>
  <c r="Y32" i="81"/>
  <c r="X32" i="81"/>
  <c r="V32" i="81"/>
  <c r="U32" i="81"/>
  <c r="S32" i="81"/>
  <c r="Q32" i="81"/>
  <c r="N32" i="81"/>
  <c r="AG32" i="81"/>
  <c r="M32" i="81"/>
  <c r="O32" i="81"/>
  <c r="AF32" i="81"/>
  <c r="L32" i="81"/>
  <c r="AD32" i="81"/>
  <c r="AE32" i="81"/>
  <c r="K32" i="81"/>
  <c r="J32" i="81"/>
  <c r="W32" i="81"/>
  <c r="R32" i="81"/>
  <c r="K32" i="73"/>
  <c r="J32" i="73"/>
  <c r="I32" i="73"/>
  <c r="H79" i="85"/>
  <c r="H76" i="85"/>
  <c r="H56" i="85"/>
  <c r="H64" i="85"/>
  <c r="H58" i="85"/>
  <c r="H72" i="85"/>
  <c r="H42" i="85"/>
  <c r="H65" i="85"/>
  <c r="H63" i="85"/>
  <c r="H70" i="85"/>
  <c r="H77" i="85"/>
  <c r="H75" i="85"/>
  <c r="H62" i="85"/>
  <c r="H78" i="85"/>
  <c r="H60" i="85"/>
  <c r="H74" i="85"/>
  <c r="H61" i="85"/>
  <c r="H73" i="85"/>
  <c r="H59" i="85"/>
  <c r="I32" i="75"/>
  <c r="X32" i="75"/>
  <c r="W14" i="85"/>
  <c r="T61" i="75"/>
  <c r="R75" i="75"/>
  <c r="U75" i="75"/>
  <c r="N33" i="75"/>
  <c r="K33" i="75"/>
  <c r="O32" i="75"/>
  <c r="U60" i="75"/>
  <c r="Z75" i="75"/>
  <c r="Z60" i="75"/>
  <c r="AE75" i="75"/>
  <c r="AD32" i="75"/>
  <c r="R49" i="75"/>
  <c r="P49" i="75"/>
  <c r="P63" i="75"/>
  <c r="V35" i="75"/>
  <c r="Y35" i="75"/>
  <c r="N46" i="75"/>
  <c r="I29" i="75"/>
  <c r="I46" i="75"/>
  <c r="W20" i="75"/>
  <c r="W22" i="75" s="1"/>
  <c r="O19" i="75"/>
  <c r="X21" i="75"/>
  <c r="N18" i="75"/>
  <c r="N22" i="75" s="1"/>
  <c r="P14" i="85"/>
  <c r="S47" i="75"/>
  <c r="Q43" i="75"/>
  <c r="P74" i="75"/>
  <c r="L33" i="75"/>
  <c r="K43" i="75"/>
  <c r="N74" i="75"/>
  <c r="X75" i="75"/>
  <c r="Z61" i="75"/>
  <c r="Y18" i="75"/>
  <c r="AA21" i="75"/>
  <c r="AA22" i="75" s="1"/>
  <c r="Y20" i="75"/>
  <c r="AG18" i="75"/>
  <c r="J29" i="75"/>
  <c r="U29" i="75"/>
  <c r="W46" i="75"/>
  <c r="N63" i="75"/>
  <c r="V63" i="75"/>
  <c r="J35" i="75"/>
  <c r="X49" i="75"/>
  <c r="AF74" i="75"/>
  <c r="AD43" i="75"/>
  <c r="AC71" i="75"/>
  <c r="AA71" i="75"/>
  <c r="X57" i="75"/>
  <c r="M57" i="75"/>
  <c r="O60" i="75"/>
  <c r="J71" i="75"/>
  <c r="V47" i="75"/>
  <c r="P57" i="75"/>
  <c r="Z14" i="85"/>
  <c r="R14" i="85"/>
  <c r="T74" i="75"/>
  <c r="J33" i="75"/>
  <c r="M47" i="75"/>
  <c r="P60" i="75"/>
  <c r="T32" i="75"/>
  <c r="K47" i="75"/>
  <c r="U47" i="75"/>
  <c r="V32" i="75"/>
  <c r="AC43" i="75"/>
  <c r="AE71" i="75"/>
  <c r="AE60" i="75"/>
  <c r="O49" i="75"/>
  <c r="AF35" i="75"/>
  <c r="O77" i="75"/>
  <c r="Z77" i="75"/>
  <c r="AB35" i="75"/>
  <c r="AD46" i="75"/>
  <c r="I47" i="75"/>
  <c r="N29" i="75"/>
  <c r="AG20" i="75"/>
  <c r="R20" i="75"/>
  <c r="S19" i="75"/>
  <c r="S22" i="75" s="1"/>
  <c r="R21" i="75"/>
  <c r="O18" i="75"/>
  <c r="X14" i="85"/>
  <c r="T18" i="75"/>
  <c r="L21" i="75"/>
  <c r="P20" i="75"/>
  <c r="P22" i="75" s="1"/>
  <c r="AF21" i="75"/>
  <c r="I63" i="75"/>
  <c r="P29" i="75"/>
  <c r="P46" i="75"/>
  <c r="V46" i="75"/>
  <c r="AA63" i="75"/>
  <c r="T77" i="75"/>
  <c r="V49" i="75"/>
  <c r="AD77" i="75"/>
  <c r="AG71" i="75"/>
  <c r="AE47" i="75"/>
  <c r="AC74" i="75"/>
  <c r="AA33" i="75"/>
  <c r="Y43" i="75"/>
  <c r="M61" i="75"/>
  <c r="S43" i="75"/>
  <c r="P32" i="75"/>
  <c r="Q75" i="75"/>
  <c r="K32" i="75"/>
  <c r="L57" i="75"/>
  <c r="O43" i="75"/>
  <c r="J14" i="85"/>
  <c r="F32" i="82"/>
  <c r="F32" i="68"/>
  <c r="F32" i="72"/>
  <c r="F32" i="81"/>
  <c r="AD22" i="75"/>
  <c r="K22" i="75"/>
  <c r="V22" i="75"/>
  <c r="J22" i="75"/>
  <c r="I22" i="75" l="1"/>
  <c r="U22" i="75"/>
  <c r="L22" i="75"/>
  <c r="X22" i="75"/>
  <c r="T22" i="75"/>
  <c r="AF22" i="75"/>
  <c r="F19" i="75"/>
  <c r="AE99" i="75"/>
  <c r="AF99" i="75"/>
  <c r="AG99" i="75"/>
  <c r="F29" i="75" a="1"/>
  <c r="F29" i="75" s="1"/>
  <c r="AG22" i="75"/>
  <c r="F74" i="75" a="1"/>
  <c r="F74" i="75" s="1"/>
  <c r="F63" i="75"/>
  <c r="F77" i="75"/>
  <c r="Y22" i="75"/>
  <c r="F46" i="75"/>
  <c r="F57" i="75"/>
  <c r="F35" i="75" a="1"/>
  <c r="F35" i="75" s="1"/>
  <c r="F75" i="75" a="1"/>
  <c r="F75" i="75" s="1"/>
  <c r="F71" i="75"/>
  <c r="F43" i="75"/>
  <c r="F61" i="75"/>
  <c r="F20" i="75"/>
  <c r="O22" i="75"/>
  <c r="F14" i="85"/>
  <c r="F60" i="75"/>
  <c r="F49" i="75"/>
  <c r="F32" i="75" a="1"/>
  <c r="F32" i="75" s="1"/>
  <c r="F33" i="75" a="1"/>
  <c r="F33" i="75" s="1"/>
  <c r="F47" i="75"/>
  <c r="F18" i="75"/>
  <c r="F21" i="75"/>
  <c r="R22" i="75"/>
  <c r="L40" i="72"/>
  <c r="L44" i="75" s="1"/>
  <c r="L42" i="75"/>
  <c r="T40" i="81"/>
  <c r="T30" i="75" s="1"/>
  <c r="T28" i="75"/>
  <c r="AG40" i="81"/>
  <c r="AG30" i="75" s="1"/>
  <c r="AG28" i="75"/>
  <c r="N40" i="72"/>
  <c r="N44" i="75" s="1"/>
  <c r="N42" i="75"/>
  <c r="I40" i="68"/>
  <c r="I14" i="75"/>
  <c r="R40" i="82"/>
  <c r="R72" i="75" s="1"/>
  <c r="R70" i="75"/>
  <c r="L40" i="68"/>
  <c r="L14" i="75"/>
  <c r="AF40" i="81"/>
  <c r="AF30" i="75" s="1"/>
  <c r="AF28" i="75"/>
  <c r="Z40" i="81"/>
  <c r="Z30" i="75" s="1"/>
  <c r="Z28" i="75"/>
  <c r="Q40" i="72"/>
  <c r="Q44" i="75" s="1"/>
  <c r="Q42" i="75"/>
  <c r="Z40" i="68"/>
  <c r="Z14" i="75"/>
  <c r="I40" i="82"/>
  <c r="I72" i="75" s="1"/>
  <c r="I70" i="75"/>
  <c r="K40" i="81"/>
  <c r="K30" i="75" s="1"/>
  <c r="K28" i="75"/>
  <c r="AE40" i="72"/>
  <c r="AE44" i="75" s="1"/>
  <c r="AE42" i="75"/>
  <c r="K40" i="72"/>
  <c r="K44" i="75" s="1"/>
  <c r="K42" i="75"/>
  <c r="N40" i="68"/>
  <c r="N14" i="75"/>
  <c r="AA40" i="82"/>
  <c r="AA72" i="75" s="1"/>
  <c r="AA70" i="75"/>
  <c r="Q40" i="81"/>
  <c r="Q30" i="75" s="1"/>
  <c r="Q28" i="75"/>
  <c r="J40" i="72"/>
  <c r="J44" i="75" s="1"/>
  <c r="J42" i="75"/>
  <c r="R40" i="72"/>
  <c r="R44" i="75" s="1"/>
  <c r="R42" i="75"/>
  <c r="AG40" i="68"/>
  <c r="AG14" i="75"/>
  <c r="J40" i="82"/>
  <c r="J70" i="75"/>
  <c r="AD40" i="68"/>
  <c r="AD14" i="75"/>
  <c r="AB40" i="82"/>
  <c r="AB72" i="75" s="1"/>
  <c r="AB70" i="75"/>
  <c r="U40" i="81"/>
  <c r="U30" i="75" s="1"/>
  <c r="U28" i="75"/>
  <c r="V40" i="72"/>
  <c r="V44" i="75" s="1"/>
  <c r="V42" i="75"/>
  <c r="AD40" i="72"/>
  <c r="AD44" i="75" s="1"/>
  <c r="AD42" i="75"/>
  <c r="R40" i="81"/>
  <c r="R30" i="75" s="1"/>
  <c r="R28" i="75"/>
  <c r="M40" i="72"/>
  <c r="M44" i="75" s="1"/>
  <c r="M42" i="75"/>
  <c r="T40" i="72"/>
  <c r="T44" i="75" s="1"/>
  <c r="T42" i="75"/>
  <c r="Y40" i="68"/>
  <c r="Y14" i="75"/>
  <c r="U40" i="82"/>
  <c r="U72" i="75" s="1"/>
  <c r="U70" i="75"/>
  <c r="N40" i="81"/>
  <c r="N30" i="75" s="1"/>
  <c r="N28" i="75"/>
  <c r="AC40" i="72"/>
  <c r="AC44" i="75" s="1"/>
  <c r="AC42" i="75"/>
  <c r="Y40" i="72"/>
  <c r="Y44" i="75" s="1"/>
  <c r="Y42" i="75"/>
  <c r="O40" i="68"/>
  <c r="O14" i="75"/>
  <c r="P40" i="82"/>
  <c r="P72" i="75" s="1"/>
  <c r="P70" i="75"/>
  <c r="X40" i="81"/>
  <c r="X30" i="75" s="1"/>
  <c r="X28" i="75"/>
  <c r="AG40" i="72"/>
  <c r="AG44" i="75" s="1"/>
  <c r="AG42" i="75"/>
  <c r="AA40" i="68"/>
  <c r="AA14" i="75"/>
  <c r="AE40" i="82"/>
  <c r="AE72" i="75" s="1"/>
  <c r="AE70" i="75"/>
  <c r="J40" i="81"/>
  <c r="J30" i="75" s="1"/>
  <c r="J28" i="75"/>
  <c r="AB40" i="72"/>
  <c r="AB44" i="75" s="1"/>
  <c r="AB42" i="75"/>
  <c r="M40" i="68"/>
  <c r="M14" i="75"/>
  <c r="X40" i="68"/>
  <c r="X14" i="75"/>
  <c r="T40" i="82"/>
  <c r="T72" i="75" s="1"/>
  <c r="T70" i="75"/>
  <c r="AF40" i="82"/>
  <c r="AF72" i="75" s="1"/>
  <c r="AF70" i="75"/>
  <c r="AB40" i="81"/>
  <c r="AB30" i="75" s="1"/>
  <c r="AB28" i="75"/>
  <c r="AF40" i="68"/>
  <c r="AF14" i="75"/>
  <c r="P40" i="81"/>
  <c r="P30" i="75" s="1"/>
  <c r="P28" i="75"/>
  <c r="O40" i="72"/>
  <c r="O44" i="75" s="1"/>
  <c r="O42" i="75"/>
  <c r="W40" i="68"/>
  <c r="W14" i="75"/>
  <c r="T40" i="68"/>
  <c r="T14" i="75"/>
  <c r="M40" i="82"/>
  <c r="M72" i="75" s="1"/>
  <c r="M70" i="75"/>
  <c r="K40" i="73"/>
  <c r="K58" i="75" s="1"/>
  <c r="K56" i="75"/>
  <c r="M40" i="81"/>
  <c r="M30" i="75" s="1"/>
  <c r="M28" i="75"/>
  <c r="P40" i="72"/>
  <c r="P44" i="75" s="1"/>
  <c r="P42" i="75"/>
  <c r="V40" i="68"/>
  <c r="V14" i="75"/>
  <c r="Q40" i="68"/>
  <c r="Q14" i="75"/>
  <c r="L40" i="82"/>
  <c r="L72" i="75" s="1"/>
  <c r="L70" i="75"/>
  <c r="I40" i="81"/>
  <c r="I30" i="75" s="1"/>
  <c r="I28" i="75"/>
  <c r="AA40" i="72"/>
  <c r="AA44" i="75" s="1"/>
  <c r="AA42" i="75"/>
  <c r="U40" i="68"/>
  <c r="U14" i="75"/>
  <c r="K40" i="68"/>
  <c r="K14" i="75"/>
  <c r="O40" i="82"/>
  <c r="O72" i="75" s="1"/>
  <c r="O70" i="75"/>
  <c r="I40" i="73"/>
  <c r="I58" i="75" s="1"/>
  <c r="I56" i="75"/>
  <c r="J40" i="73"/>
  <c r="J58" i="75" s="1"/>
  <c r="J56" i="75"/>
  <c r="O40" i="81"/>
  <c r="O30" i="75" s="1"/>
  <c r="O28" i="75"/>
  <c r="X40" i="72"/>
  <c r="X44" i="75" s="1"/>
  <c r="X42" i="75"/>
  <c r="P40" i="68"/>
  <c r="P14" i="75"/>
  <c r="AG40" i="82"/>
  <c r="AG72" i="75" s="1"/>
  <c r="AG70" i="75"/>
  <c r="Y40" i="81"/>
  <c r="Y30" i="75" s="1"/>
  <c r="Y28" i="75"/>
  <c r="U40" i="72"/>
  <c r="U44" i="75" s="1"/>
  <c r="U42" i="75"/>
  <c r="R40" i="68"/>
  <c r="R14" i="75"/>
  <c r="N40" i="82"/>
  <c r="N72" i="75" s="1"/>
  <c r="N70" i="75"/>
  <c r="K40" i="82"/>
  <c r="K72" i="75" s="1"/>
  <c r="K70" i="75"/>
  <c r="AC40" i="68"/>
  <c r="AC14" i="75"/>
  <c r="AC40" i="82"/>
  <c r="AC72" i="75" s="1"/>
  <c r="AC70" i="75"/>
  <c r="W40" i="81"/>
  <c r="W30" i="75" s="1"/>
  <c r="W28" i="75"/>
  <c r="S40" i="81"/>
  <c r="S30" i="75" s="1"/>
  <c r="S28" i="75"/>
  <c r="W40" i="72"/>
  <c r="W44" i="75" s="1"/>
  <c r="W42" i="75"/>
  <c r="J40" i="68"/>
  <c r="J14" i="75"/>
  <c r="X40" i="82"/>
  <c r="X72" i="75" s="1"/>
  <c r="X70" i="75"/>
  <c r="Y40" i="82"/>
  <c r="Y72" i="75" s="1"/>
  <c r="Y70" i="75"/>
  <c r="AA40" i="81"/>
  <c r="AA30" i="75" s="1"/>
  <c r="AA28" i="75"/>
  <c r="Z40" i="72"/>
  <c r="Z44" i="75" s="1"/>
  <c r="Z42" i="75"/>
  <c r="S40" i="68"/>
  <c r="S14" i="75"/>
  <c r="Z40" i="82"/>
  <c r="Z72" i="75" s="1"/>
  <c r="Z70" i="75"/>
  <c r="V40" i="82"/>
  <c r="V72" i="75" s="1"/>
  <c r="V70" i="75"/>
  <c r="AE40" i="81"/>
  <c r="AE30" i="75" s="1"/>
  <c r="AE28" i="75"/>
  <c r="AD40" i="81"/>
  <c r="AD30" i="75" s="1"/>
  <c r="AD28" i="75"/>
  <c r="AF40" i="72"/>
  <c r="AF44" i="75" s="1"/>
  <c r="AF42" i="75"/>
  <c r="AB40" i="68"/>
  <c r="AB14" i="75"/>
  <c r="Q40" i="82"/>
  <c r="Q72" i="75" s="1"/>
  <c r="Q70" i="75"/>
  <c r="AD40" i="82"/>
  <c r="AD72" i="75" s="1"/>
  <c r="AD70" i="75"/>
  <c r="I40" i="72"/>
  <c r="I44" i="75" s="1"/>
  <c r="I42" i="75"/>
  <c r="L40" i="81"/>
  <c r="L30" i="75" s="1"/>
  <c r="L28" i="75"/>
  <c r="AC40" i="81"/>
  <c r="AC30" i="75" s="1"/>
  <c r="AC28" i="75"/>
  <c r="V40" i="81"/>
  <c r="V30" i="75" s="1"/>
  <c r="V28" i="75"/>
  <c r="S40" i="72"/>
  <c r="S44" i="75" s="1"/>
  <c r="S42" i="75"/>
  <c r="AE40" i="68"/>
  <c r="AE14" i="75"/>
  <c r="S40" i="82"/>
  <c r="S72" i="75" s="1"/>
  <c r="S70" i="75"/>
  <c r="W40" i="82"/>
  <c r="W72" i="75" s="1"/>
  <c r="W70" i="75"/>
  <c r="D99" i="75" l="1"/>
  <c r="C90" i="85"/>
  <c r="F67" i="33" s="1"/>
  <c r="F30" i="75" a="1"/>
  <c r="F30" i="75" s="1"/>
  <c r="AC68" i="82"/>
  <c r="AC88" i="82" s="1"/>
  <c r="AC112" i="82" s="1"/>
  <c r="AC68" i="81"/>
  <c r="AC88" i="81" s="1"/>
  <c r="AC112" i="81" s="1"/>
  <c r="AC68" i="72"/>
  <c r="AC88" i="72" s="1"/>
  <c r="AC112" i="72" s="1"/>
  <c r="AC16" i="75"/>
  <c r="P68" i="81"/>
  <c r="P68" i="72"/>
  <c r="P68" i="82"/>
  <c r="P16" i="75"/>
  <c r="U68" i="72"/>
  <c r="U88" i="72" s="1"/>
  <c r="U112" i="72" s="1"/>
  <c r="U68" i="82"/>
  <c r="U88" i="82" s="1"/>
  <c r="U112" i="82" s="1"/>
  <c r="U68" i="81"/>
  <c r="U88" i="81" s="1"/>
  <c r="U112" i="81" s="1"/>
  <c r="U16" i="75"/>
  <c r="F42" i="75"/>
  <c r="J68" i="82"/>
  <c r="J72" i="75"/>
  <c r="F72" i="75" s="1"/>
  <c r="AE68" i="81"/>
  <c r="AE88" i="81" s="1"/>
  <c r="AE112" i="81" s="1"/>
  <c r="AE68" i="82"/>
  <c r="AE88" i="82" s="1"/>
  <c r="AE112" i="82" s="1"/>
  <c r="AE68" i="72"/>
  <c r="AE88" i="72" s="1"/>
  <c r="AE112" i="72" s="1"/>
  <c r="AE16" i="75"/>
  <c r="F44" i="75"/>
  <c r="F28" i="75"/>
  <c r="O68" i="81"/>
  <c r="O88" i="81" s="1"/>
  <c r="O112" i="81" s="1"/>
  <c r="O68" i="82"/>
  <c r="O68" i="72"/>
  <c r="O16" i="75"/>
  <c r="J68" i="81"/>
  <c r="J88" i="81" s="1"/>
  <c r="J112" i="81" s="1"/>
  <c r="J68" i="73"/>
  <c r="J68" i="72"/>
  <c r="J16" i="75"/>
  <c r="S68" i="82"/>
  <c r="S88" i="82" s="1"/>
  <c r="S112" i="82" s="1"/>
  <c r="S68" i="72"/>
  <c r="S88" i="72" s="1"/>
  <c r="S112" i="72" s="1"/>
  <c r="S68" i="81"/>
  <c r="S88" i="81" s="1"/>
  <c r="S112" i="81" s="1"/>
  <c r="S16" i="75"/>
  <c r="AG68" i="81"/>
  <c r="AG88" i="81" s="1"/>
  <c r="AG112" i="81" s="1"/>
  <c r="AG68" i="82"/>
  <c r="AG88" i="82" s="1"/>
  <c r="AG112" i="82" s="1"/>
  <c r="AG68" i="72"/>
  <c r="AG88" i="72" s="1"/>
  <c r="AG112" i="72" s="1"/>
  <c r="AG16" i="75"/>
  <c r="L68" i="81"/>
  <c r="L88" i="81" s="1"/>
  <c r="L112" i="81" s="1"/>
  <c r="L68" i="82"/>
  <c r="L68" i="72"/>
  <c r="L16" i="75"/>
  <c r="AF68" i="81"/>
  <c r="AF88" i="81" s="1"/>
  <c r="AF112" i="81" s="1"/>
  <c r="AF68" i="82"/>
  <c r="AF88" i="82" s="1"/>
  <c r="AF112" i="82" s="1"/>
  <c r="AF68" i="72"/>
  <c r="AF88" i="72" s="1"/>
  <c r="AF112" i="72" s="1"/>
  <c r="AF16" i="75"/>
  <c r="R68" i="82"/>
  <c r="R88" i="82" s="1"/>
  <c r="R112" i="82" s="1"/>
  <c r="R68" i="72"/>
  <c r="R88" i="72" s="1"/>
  <c r="R112" i="72" s="1"/>
  <c r="R68" i="81"/>
  <c r="R88" i="81" s="1"/>
  <c r="R112" i="81" s="1"/>
  <c r="R16" i="75"/>
  <c r="F70" i="75"/>
  <c r="F14" i="75"/>
  <c r="AA68" i="82"/>
  <c r="AA88" i="82" s="1"/>
  <c r="AA112" i="82" s="1"/>
  <c r="AA68" i="72"/>
  <c r="AA88" i="72" s="1"/>
  <c r="AA112" i="72" s="1"/>
  <c r="AA68" i="81"/>
  <c r="AA88" i="81" s="1"/>
  <c r="AA112" i="81" s="1"/>
  <c r="AA16" i="75"/>
  <c r="I68" i="72"/>
  <c r="I68" i="82"/>
  <c r="I68" i="73"/>
  <c r="I68" i="81"/>
  <c r="I88" i="81" s="1"/>
  <c r="I112" i="81" s="1"/>
  <c r="I16" i="75"/>
  <c r="K68" i="73"/>
  <c r="K68" i="72"/>
  <c r="K68" i="81"/>
  <c r="K88" i="81" s="1"/>
  <c r="K112" i="81" s="1"/>
  <c r="K68" i="82"/>
  <c r="K16" i="75"/>
  <c r="V68" i="81"/>
  <c r="V88" i="81" s="1"/>
  <c r="V112" i="81" s="1"/>
  <c r="V68" i="82"/>
  <c r="V88" i="82" s="1"/>
  <c r="V112" i="82" s="1"/>
  <c r="V68" i="72"/>
  <c r="V88" i="72" s="1"/>
  <c r="V112" i="72" s="1"/>
  <c r="V16" i="75"/>
  <c r="W68" i="81"/>
  <c r="W88" i="81" s="1"/>
  <c r="W112" i="81" s="1"/>
  <c r="W68" i="82"/>
  <c r="W88" i="82" s="1"/>
  <c r="W112" i="82" s="1"/>
  <c r="W68" i="72"/>
  <c r="W88" i="72" s="1"/>
  <c r="W112" i="72" s="1"/>
  <c r="W16" i="75"/>
  <c r="Z68" i="72"/>
  <c r="Z88" i="72" s="1"/>
  <c r="Z112" i="72" s="1"/>
  <c r="Z68" i="81"/>
  <c r="Z88" i="81" s="1"/>
  <c r="Z112" i="81" s="1"/>
  <c r="Z68" i="82"/>
  <c r="Z88" i="82" s="1"/>
  <c r="Z112" i="82" s="1"/>
  <c r="Z16" i="75"/>
  <c r="AB68" i="72"/>
  <c r="AB88" i="72" s="1"/>
  <c r="AB112" i="72" s="1"/>
  <c r="AB68" i="81"/>
  <c r="AB88" i="81" s="1"/>
  <c r="AB112" i="81" s="1"/>
  <c r="AB68" i="82"/>
  <c r="AB88" i="82" s="1"/>
  <c r="AB112" i="82" s="1"/>
  <c r="AB16" i="75"/>
  <c r="X68" i="72"/>
  <c r="X88" i="72" s="1"/>
  <c r="X112" i="72" s="1"/>
  <c r="X68" i="82"/>
  <c r="X88" i="82" s="1"/>
  <c r="X112" i="82" s="1"/>
  <c r="X68" i="81"/>
  <c r="X88" i="81" s="1"/>
  <c r="X112" i="81" s="1"/>
  <c r="X16" i="75"/>
  <c r="Y68" i="82"/>
  <c r="Y88" i="82" s="1"/>
  <c r="Y112" i="82" s="1"/>
  <c r="Y68" i="81"/>
  <c r="Y88" i="81" s="1"/>
  <c r="Y112" i="81" s="1"/>
  <c r="Y68" i="72"/>
  <c r="Y88" i="72" s="1"/>
  <c r="Y112" i="72" s="1"/>
  <c r="Y16" i="75"/>
  <c r="N68" i="82"/>
  <c r="N68" i="72"/>
  <c r="N68" i="81"/>
  <c r="N88" i="81" s="1"/>
  <c r="N112" i="81" s="1"/>
  <c r="N16" i="75"/>
  <c r="Q68" i="82"/>
  <c r="Q68" i="72"/>
  <c r="Q68" i="81"/>
  <c r="Q16" i="75"/>
  <c r="T68" i="72"/>
  <c r="T88" i="72" s="1"/>
  <c r="T112" i="72" s="1"/>
  <c r="T68" i="82"/>
  <c r="T88" i="82" s="1"/>
  <c r="T112" i="82" s="1"/>
  <c r="T68" i="81"/>
  <c r="T88" i="81" s="1"/>
  <c r="T112" i="81" s="1"/>
  <c r="T16" i="75"/>
  <c r="M68" i="82"/>
  <c r="M68" i="72"/>
  <c r="M68" i="81"/>
  <c r="M88" i="81" s="1"/>
  <c r="M112" i="81" s="1"/>
  <c r="M16" i="75"/>
  <c r="AD68" i="81"/>
  <c r="AD88" i="81" s="1"/>
  <c r="AD112" i="81" s="1"/>
  <c r="AD68" i="72"/>
  <c r="AD88" i="72" s="1"/>
  <c r="AD112" i="72" s="1"/>
  <c r="AD68" i="82"/>
  <c r="AD88" i="82" s="1"/>
  <c r="AD112" i="82" s="1"/>
  <c r="AD16" i="75"/>
  <c r="C68" i="81"/>
  <c r="C68" i="73"/>
  <c r="C15" i="75"/>
  <c r="D15" i="75" s="1"/>
  <c r="D57" i="75"/>
  <c r="D60" i="75"/>
  <c r="C18" i="75"/>
  <c r="D18" i="75" s="1"/>
  <c r="D74" i="75"/>
  <c r="D63" i="75"/>
  <c r="D61" i="75"/>
  <c r="D64" i="75"/>
  <c r="D36" i="75"/>
  <c r="D78" i="75"/>
  <c r="D22" i="75"/>
  <c r="D71" i="75"/>
  <c r="C29" i="75"/>
  <c r="D29" i="75" s="1"/>
  <c r="C35" i="75"/>
  <c r="D35" i="75" s="1"/>
  <c r="D77" i="75"/>
  <c r="C21" i="75"/>
  <c r="D21" i="75" s="1"/>
  <c r="C33" i="75"/>
  <c r="D33" i="75" s="1"/>
  <c r="C19" i="75"/>
  <c r="D19" i="75" s="1"/>
  <c r="D75" i="75"/>
  <c r="C32" i="75"/>
  <c r="D32" i="75" s="1"/>
  <c r="Q92" i="75" l="1"/>
  <c r="AB92" i="75"/>
  <c r="K92" i="75"/>
  <c r="R92" i="75"/>
  <c r="S92" i="75"/>
  <c r="K88" i="72"/>
  <c r="K112" i="72" s="1"/>
  <c r="I88" i="73"/>
  <c r="I112" i="73" s="1"/>
  <c r="P88" i="82"/>
  <c r="P112" i="82" s="1"/>
  <c r="P88" i="72"/>
  <c r="P112" i="72" s="1"/>
  <c r="Q88" i="72"/>
  <c r="Q112" i="72" s="1"/>
  <c r="J88" i="82"/>
  <c r="J112" i="82" s="1"/>
  <c r="Q88" i="82"/>
  <c r="Q112" i="82" s="1"/>
  <c r="J88" i="73"/>
  <c r="J112" i="73" s="1"/>
  <c r="I88" i="82"/>
  <c r="I112" i="82" s="1"/>
  <c r="M88" i="72"/>
  <c r="M112" i="72" s="1"/>
  <c r="O88" i="72"/>
  <c r="O112" i="72" s="1"/>
  <c r="L88" i="72"/>
  <c r="L112" i="72" s="1"/>
  <c r="O88" i="82"/>
  <c r="O112" i="82" s="1"/>
  <c r="M88" i="82"/>
  <c r="M112" i="82" s="1"/>
  <c r="P88" i="81"/>
  <c r="P112" i="81" s="1"/>
  <c r="K88" i="73"/>
  <c r="K112" i="73" s="1"/>
  <c r="J88" i="72"/>
  <c r="J112" i="72" s="1"/>
  <c r="N88" i="72"/>
  <c r="N112" i="72" s="1"/>
  <c r="N88" i="82"/>
  <c r="N112" i="82" s="1"/>
  <c r="I88" i="72"/>
  <c r="I112" i="72" s="1"/>
  <c r="L88" i="82"/>
  <c r="L112" i="82" s="1"/>
  <c r="Q88" i="81"/>
  <c r="Q112" i="81" s="1"/>
  <c r="K88" i="82"/>
  <c r="K112" i="82" s="1"/>
  <c r="AD92" i="75"/>
  <c r="U92" i="75"/>
  <c r="N92" i="75"/>
  <c r="Z92" i="75"/>
  <c r="I92" i="75"/>
  <c r="AF92" i="75"/>
  <c r="J92" i="75"/>
  <c r="M92" i="75"/>
  <c r="O92" i="75"/>
  <c r="P92" i="75"/>
  <c r="Y92" i="75"/>
  <c r="W92" i="75"/>
  <c r="L92" i="75"/>
  <c r="AA92" i="75"/>
  <c r="T92" i="75"/>
  <c r="AC92" i="75"/>
  <c r="X92" i="75"/>
  <c r="V92" i="75"/>
  <c r="AG92" i="75"/>
  <c r="AE92" i="75"/>
  <c r="AD91" i="72"/>
  <c r="AD110" i="72" s="1"/>
  <c r="AD48" i="75"/>
  <c r="AD50" i="75" s="1"/>
  <c r="AD40" i="85" s="1"/>
  <c r="Z91" i="72"/>
  <c r="Z110" i="72" s="1"/>
  <c r="Z48" i="75"/>
  <c r="Z50" i="75" s="1"/>
  <c r="Z40" i="85" s="1"/>
  <c r="AG91" i="81"/>
  <c r="AG110" i="81" s="1"/>
  <c r="AG34" i="75"/>
  <c r="AG36" i="75" s="1"/>
  <c r="AF12" i="85" s="1"/>
  <c r="AE91" i="81"/>
  <c r="AE110" i="81" s="1"/>
  <c r="AE34" i="75"/>
  <c r="AE36" i="75" s="1"/>
  <c r="AD12" i="85" s="1"/>
  <c r="R91" i="81"/>
  <c r="R110" i="81" s="1"/>
  <c r="R34" i="75"/>
  <c r="R36" i="75" s="1"/>
  <c r="AB91" i="81"/>
  <c r="AB110" i="81" s="1"/>
  <c r="AB34" i="75"/>
  <c r="AB36" i="75" s="1"/>
  <c r="AA12" i="85" s="1"/>
  <c r="R91" i="72"/>
  <c r="R110" i="72" s="1"/>
  <c r="R48" i="75"/>
  <c r="R50" i="75" s="1"/>
  <c r="R40" i="85" s="1"/>
  <c r="S91" i="81"/>
  <c r="S110" i="81" s="1"/>
  <c r="S34" i="75"/>
  <c r="S36" i="75" s="1"/>
  <c r="S91" i="72"/>
  <c r="S110" i="72" s="1"/>
  <c r="S48" i="75"/>
  <c r="S50" i="75" s="1"/>
  <c r="S40" i="85" s="1"/>
  <c r="AB91" i="82"/>
  <c r="AB110" i="82" s="1"/>
  <c r="AB76" i="75"/>
  <c r="AB78" i="75" s="1"/>
  <c r="AB91" i="72"/>
  <c r="AB110" i="72" s="1"/>
  <c r="AB48" i="75"/>
  <c r="AB50" i="75" s="1"/>
  <c r="AB40" i="85" s="1"/>
  <c r="AD91" i="82"/>
  <c r="AD110" i="82" s="1"/>
  <c r="AD76" i="75"/>
  <c r="AD78" i="75" s="1"/>
  <c r="R91" i="82"/>
  <c r="R110" i="82" s="1"/>
  <c r="R76" i="75"/>
  <c r="R78" i="75" s="1"/>
  <c r="S91" i="82"/>
  <c r="S110" i="82" s="1"/>
  <c r="S76" i="75"/>
  <c r="S78" i="75" s="1"/>
  <c r="U91" i="81"/>
  <c r="U110" i="81" s="1"/>
  <c r="U34" i="75"/>
  <c r="U36" i="75" s="1"/>
  <c r="Z91" i="82"/>
  <c r="Z110" i="82" s="1"/>
  <c r="Z76" i="75"/>
  <c r="Z78" i="75" s="1"/>
  <c r="AF91" i="72"/>
  <c r="AF110" i="72" s="1"/>
  <c r="AF48" i="75"/>
  <c r="AF50" i="75" s="1"/>
  <c r="AF40" i="85" s="1"/>
  <c r="U91" i="82"/>
  <c r="U110" i="82" s="1"/>
  <c r="U76" i="75"/>
  <c r="U78" i="75" s="1"/>
  <c r="Z91" i="81"/>
  <c r="Z110" i="81" s="1"/>
  <c r="Z34" i="75"/>
  <c r="Z36" i="75" s="1"/>
  <c r="AF91" i="82"/>
  <c r="AF110" i="82" s="1"/>
  <c r="AF76" i="75"/>
  <c r="AF78" i="75" s="1"/>
  <c r="U91" i="72"/>
  <c r="U110" i="72" s="1"/>
  <c r="U48" i="75"/>
  <c r="U50" i="75" s="1"/>
  <c r="U40" i="85" s="1"/>
  <c r="J91" i="81"/>
  <c r="J110" i="81" s="1"/>
  <c r="J34" i="75"/>
  <c r="J36" i="75" s="1"/>
  <c r="AF91" i="81"/>
  <c r="AF110" i="81" s="1"/>
  <c r="AF34" i="75"/>
  <c r="AF36" i="75" s="1"/>
  <c r="AE12" i="85" s="1"/>
  <c r="W91" i="72"/>
  <c r="W110" i="72" s="1"/>
  <c r="W48" i="75"/>
  <c r="W50" i="75" s="1"/>
  <c r="W40" i="85" s="1"/>
  <c r="W91" i="81"/>
  <c r="W110" i="81" s="1"/>
  <c r="W34" i="75"/>
  <c r="W36" i="75" s="1"/>
  <c r="AA91" i="72"/>
  <c r="AA110" i="72" s="1"/>
  <c r="AA48" i="75"/>
  <c r="AA50" i="75" s="1"/>
  <c r="AA40" i="85" s="1"/>
  <c r="O91" i="81"/>
  <c r="O110" i="81" s="1"/>
  <c r="O34" i="75"/>
  <c r="O36" i="75" s="1"/>
  <c r="Y91" i="81"/>
  <c r="Y110" i="81" s="1"/>
  <c r="Y34" i="75"/>
  <c r="Y36" i="75" s="1"/>
  <c r="AA91" i="82"/>
  <c r="AA110" i="82" s="1"/>
  <c r="AA76" i="75"/>
  <c r="AA78" i="75" s="1"/>
  <c r="L91" i="81"/>
  <c r="L110" i="81" s="1"/>
  <c r="L34" i="75"/>
  <c r="L36" i="75" s="1"/>
  <c r="AD91" i="81"/>
  <c r="AD110" i="81" s="1"/>
  <c r="AD34" i="75"/>
  <c r="AD36" i="75" s="1"/>
  <c r="AC12" i="85" s="1"/>
  <c r="Y91" i="72"/>
  <c r="Y110" i="72" s="1"/>
  <c r="Y48" i="75"/>
  <c r="Y50" i="75" s="1"/>
  <c r="Y40" i="85" s="1"/>
  <c r="K91" i="81"/>
  <c r="K110" i="81" s="1"/>
  <c r="K34" i="75"/>
  <c r="K36" i="75" s="1"/>
  <c r="N91" i="81"/>
  <c r="N110" i="81" s="1"/>
  <c r="N34" i="75"/>
  <c r="N36" i="75" s="1"/>
  <c r="AA91" i="81"/>
  <c r="AA110" i="81" s="1"/>
  <c r="AA34" i="75"/>
  <c r="AA36" i="75" s="1"/>
  <c r="Z12" i="85" s="1"/>
  <c r="T91" i="82"/>
  <c r="T110" i="82" s="1"/>
  <c r="T76" i="75"/>
  <c r="T78" i="75" s="1"/>
  <c r="X91" i="81"/>
  <c r="X110" i="81" s="1"/>
  <c r="X34" i="75"/>
  <c r="X36" i="75" s="1"/>
  <c r="AG91" i="72"/>
  <c r="AG110" i="72" s="1"/>
  <c r="AG48" i="75"/>
  <c r="AG50" i="75" s="1"/>
  <c r="AG40" i="85" s="1"/>
  <c r="AC91" i="72"/>
  <c r="AC110" i="72" s="1"/>
  <c r="AC48" i="75"/>
  <c r="AC50" i="75" s="1"/>
  <c r="AC40" i="85" s="1"/>
  <c r="I91" i="81"/>
  <c r="I110" i="81" s="1"/>
  <c r="I34" i="75"/>
  <c r="M91" i="81"/>
  <c r="M110" i="81" s="1"/>
  <c r="M34" i="75"/>
  <c r="M36" i="75" s="1"/>
  <c r="Y91" i="82"/>
  <c r="Y110" i="82" s="1"/>
  <c r="Y76" i="75"/>
  <c r="Y78" i="75" s="1"/>
  <c r="T91" i="72"/>
  <c r="T110" i="72" s="1"/>
  <c r="T48" i="75"/>
  <c r="T50" i="75" s="1"/>
  <c r="T40" i="85" s="1"/>
  <c r="X91" i="82"/>
  <c r="X110" i="82" s="1"/>
  <c r="X76" i="75"/>
  <c r="X78" i="75" s="1"/>
  <c r="V91" i="82"/>
  <c r="V110" i="82" s="1"/>
  <c r="V76" i="75"/>
  <c r="V78" i="75" s="1"/>
  <c r="AG91" i="82"/>
  <c r="AG110" i="82" s="1"/>
  <c r="AG76" i="75"/>
  <c r="AG78" i="75" s="1"/>
  <c r="AE91" i="72"/>
  <c r="AE110" i="72" s="1"/>
  <c r="AE48" i="75"/>
  <c r="AE50" i="75" s="1"/>
  <c r="AE40" i="85" s="1"/>
  <c r="AC91" i="81"/>
  <c r="AC110" i="81" s="1"/>
  <c r="AC34" i="75"/>
  <c r="AC36" i="75" s="1"/>
  <c r="AB12" i="85" s="1"/>
  <c r="W91" i="82"/>
  <c r="W110" i="82" s="1"/>
  <c r="W76" i="75"/>
  <c r="W78" i="75" s="1"/>
  <c r="T91" i="81"/>
  <c r="T110" i="81" s="1"/>
  <c r="T34" i="75"/>
  <c r="T36" i="75" s="1"/>
  <c r="V91" i="72"/>
  <c r="V110" i="72" s="1"/>
  <c r="V48" i="75"/>
  <c r="V50" i="75" s="1"/>
  <c r="V40" i="85" s="1"/>
  <c r="X91" i="72"/>
  <c r="X110" i="72" s="1"/>
  <c r="X48" i="75"/>
  <c r="X50" i="75" s="1"/>
  <c r="X40" i="85" s="1"/>
  <c r="V91" i="81"/>
  <c r="V110" i="81" s="1"/>
  <c r="V34" i="75"/>
  <c r="V36" i="75" s="1"/>
  <c r="AE91" i="82"/>
  <c r="AE110" i="82" s="1"/>
  <c r="AE76" i="75"/>
  <c r="AE78" i="75" s="1"/>
  <c r="AC91" i="82"/>
  <c r="AC110" i="82" s="1"/>
  <c r="AC76" i="75"/>
  <c r="AC78" i="75" s="1"/>
  <c r="H13" i="33"/>
  <c r="P91" i="72" l="1"/>
  <c r="P110" i="72" s="1"/>
  <c r="P42" i="85" s="1"/>
  <c r="P48" i="75"/>
  <c r="P50" i="75" s="1"/>
  <c r="P40" i="85" s="1"/>
  <c r="P34" i="75"/>
  <c r="P36" i="75" s="1"/>
  <c r="K48" i="75"/>
  <c r="K50" i="75" s="1"/>
  <c r="K40" i="85" s="1"/>
  <c r="P91" i="81"/>
  <c r="P110" i="81" s="1"/>
  <c r="P115" i="81" s="1" a="1"/>
  <c r="P115" i="81" s="1"/>
  <c r="K91" i="72"/>
  <c r="K110" i="72" s="1"/>
  <c r="K118" i="72" s="1" a="1"/>
  <c r="K118" i="72" s="1"/>
  <c r="J48" i="75"/>
  <c r="J50" i="75" s="1"/>
  <c r="J40" i="85" s="1"/>
  <c r="J91" i="72"/>
  <c r="J110" i="72" s="1"/>
  <c r="J119" i="72" s="1" a="1"/>
  <c r="J119" i="72" s="1"/>
  <c r="AB115" i="82" a="1"/>
  <c r="AB115" i="82" s="1"/>
  <c r="AB73" i="85" s="1"/>
  <c r="AB121" i="82" a="1"/>
  <c r="AB121" i="82" s="1"/>
  <c r="AB118" i="82" a="1"/>
  <c r="AB118" i="82" s="1"/>
  <c r="AB76" i="85" s="1"/>
  <c r="AB114" i="82" a="1"/>
  <c r="AB114" i="82" s="1"/>
  <c r="AB72" i="85" s="1"/>
  <c r="AB116" i="82" a="1"/>
  <c r="AB116" i="82" s="1"/>
  <c r="AB74" i="85" s="1"/>
  <c r="AB119" i="82" a="1"/>
  <c r="AB119" i="82" s="1"/>
  <c r="AB117" i="82" a="1"/>
  <c r="AB117" i="82" s="1"/>
  <c r="AB75" i="85" s="1"/>
  <c r="AB120" i="82" a="1"/>
  <c r="AB120" i="82" s="1"/>
  <c r="AB70" i="85"/>
  <c r="L76" i="75"/>
  <c r="L78" i="75" s="1"/>
  <c r="X116" i="82" a="1"/>
  <c r="X116" i="82" s="1"/>
  <c r="X74" i="85" s="1"/>
  <c r="X119" i="82" a="1"/>
  <c r="X119" i="82" s="1"/>
  <c r="X115" i="82" a="1"/>
  <c r="X115" i="82" s="1"/>
  <c r="X73" i="85" s="1"/>
  <c r="X121" i="82" a="1"/>
  <c r="X121" i="82" s="1"/>
  <c r="X118" i="82" a="1"/>
  <c r="X118" i="82" s="1"/>
  <c r="X76" i="85" s="1"/>
  <c r="X120" i="82" a="1"/>
  <c r="X120" i="82" s="1"/>
  <c r="X117" i="82" a="1"/>
  <c r="X117" i="82" s="1"/>
  <c r="X75" i="85" s="1"/>
  <c r="X114" i="82" a="1"/>
  <c r="X114" i="82" s="1"/>
  <c r="X72" i="85" s="1"/>
  <c r="X70" i="85"/>
  <c r="AA119" i="82" a="1"/>
  <c r="AA119" i="82" s="1"/>
  <c r="AA115" i="82" a="1"/>
  <c r="AA115" i="82" s="1"/>
  <c r="AA73" i="85" s="1"/>
  <c r="AA121" i="82" a="1"/>
  <c r="AA121" i="82" s="1"/>
  <c r="AA118" i="82" a="1"/>
  <c r="AA118" i="82" s="1"/>
  <c r="AA76" i="85" s="1"/>
  <c r="AA116" i="82" a="1"/>
  <c r="AA116" i="82" s="1"/>
  <c r="AA74" i="85" s="1"/>
  <c r="AA120" i="82" a="1"/>
  <c r="AA120" i="82" s="1"/>
  <c r="AA114" i="82" a="1"/>
  <c r="AA114" i="82" s="1"/>
  <c r="AA72" i="85" s="1"/>
  <c r="AA117" i="82" a="1"/>
  <c r="AA117" i="82" s="1"/>
  <c r="AA75" i="85" s="1"/>
  <c r="AA70" i="85"/>
  <c r="V117" i="72" a="1"/>
  <c r="V117" i="72" s="1"/>
  <c r="V114" i="72" a="1"/>
  <c r="V114" i="72" s="1"/>
  <c r="V120" i="72" a="1"/>
  <c r="V120" i="72" s="1"/>
  <c r="V116" i="72" a="1"/>
  <c r="V116" i="72" s="1"/>
  <c r="V119" i="72" a="1"/>
  <c r="V119" i="72" s="1"/>
  <c r="V121" i="72" a="1"/>
  <c r="V121" i="72" s="1"/>
  <c r="V118" i="72" a="1"/>
  <c r="V118" i="72" s="1"/>
  <c r="V115" i="72" a="1"/>
  <c r="V115" i="72" s="1"/>
  <c r="V42" i="85"/>
  <c r="U117" i="72" a="1"/>
  <c r="U117" i="72" s="1"/>
  <c r="U114" i="72" a="1"/>
  <c r="U114" i="72" s="1"/>
  <c r="U120" i="72" a="1"/>
  <c r="U120" i="72" s="1"/>
  <c r="U116" i="72" a="1"/>
  <c r="U116" i="72" s="1"/>
  <c r="U121" i="72" a="1"/>
  <c r="U121" i="72" s="1"/>
  <c r="U118" i="72" a="1"/>
  <c r="U118" i="72" s="1"/>
  <c r="U115" i="72" a="1"/>
  <c r="U115" i="72" s="1"/>
  <c r="U119" i="72" a="1"/>
  <c r="U119" i="72" s="1"/>
  <c r="U42" i="85"/>
  <c r="S117" i="82" a="1"/>
  <c r="S117" i="82" s="1"/>
  <c r="S75" i="85" s="1"/>
  <c r="S120" i="82" a="1"/>
  <c r="S120" i="82" s="1"/>
  <c r="S116" i="82" a="1"/>
  <c r="S116" i="82" s="1"/>
  <c r="S74" i="85" s="1"/>
  <c r="S119" i="82" a="1"/>
  <c r="S119" i="82" s="1"/>
  <c r="S118" i="82" a="1"/>
  <c r="S118" i="82" s="1"/>
  <c r="S76" i="85" s="1"/>
  <c r="S115" i="82" a="1"/>
  <c r="S115" i="82" s="1"/>
  <c r="S73" i="85" s="1"/>
  <c r="S121" i="82" a="1"/>
  <c r="S121" i="82" s="1"/>
  <c r="S114" i="82" a="1"/>
  <c r="S114" i="82" s="1"/>
  <c r="S72" i="85" s="1"/>
  <c r="S70" i="85"/>
  <c r="AD119" i="72" a="1"/>
  <c r="AD119" i="72" s="1"/>
  <c r="AD115" i="72" a="1"/>
  <c r="AD115" i="72" s="1"/>
  <c r="AD118" i="72" a="1"/>
  <c r="AD118" i="72" s="1"/>
  <c r="AD120" i="72" a="1"/>
  <c r="AD120" i="72" s="1"/>
  <c r="AD117" i="72" a="1"/>
  <c r="AD117" i="72" s="1"/>
  <c r="AD116" i="72" a="1"/>
  <c r="AD116" i="72" s="1"/>
  <c r="AD121" i="72" a="1"/>
  <c r="AD121" i="72" s="1"/>
  <c r="AD114" i="72" a="1"/>
  <c r="AD114" i="72" s="1"/>
  <c r="AD42" i="85"/>
  <c r="T121" i="72" a="1"/>
  <c r="T121" i="72" s="1"/>
  <c r="T117" i="72" a="1"/>
  <c r="T117" i="72" s="1"/>
  <c r="T114" i="72" a="1"/>
  <c r="T114" i="72" s="1"/>
  <c r="T120" i="72" a="1"/>
  <c r="T120" i="72" s="1"/>
  <c r="T116" i="72" a="1"/>
  <c r="T116" i="72" s="1"/>
  <c r="T118" i="72" a="1"/>
  <c r="T118" i="72" s="1"/>
  <c r="T115" i="72" a="1"/>
  <c r="T115" i="72" s="1"/>
  <c r="T119" i="72" a="1"/>
  <c r="T119" i="72" s="1"/>
  <c r="T42" i="85"/>
  <c r="L91" i="72"/>
  <c r="L110" i="72" s="1"/>
  <c r="Z116" i="72" a="1"/>
  <c r="Z116" i="72" s="1"/>
  <c r="Z119" i="72" a="1"/>
  <c r="Z119" i="72" s="1"/>
  <c r="Z115" i="72" a="1"/>
  <c r="Z115" i="72" s="1"/>
  <c r="Z121" i="72" a="1"/>
  <c r="Z121" i="72" s="1"/>
  <c r="Z118" i="72" a="1"/>
  <c r="Z118" i="72" s="1"/>
  <c r="Z114" i="72" a="1"/>
  <c r="Z114" i="72" s="1"/>
  <c r="Z120" i="72" a="1"/>
  <c r="Z120" i="72" s="1"/>
  <c r="Z117" i="72" a="1"/>
  <c r="Z117" i="72" s="1"/>
  <c r="Z42" i="85"/>
  <c r="L91" i="82"/>
  <c r="L110" i="82" s="1"/>
  <c r="R114" i="82" a="1"/>
  <c r="R114" i="82" s="1"/>
  <c r="R72" i="85" s="1"/>
  <c r="R120" i="82" a="1"/>
  <c r="R120" i="82" s="1"/>
  <c r="R117" i="82" a="1"/>
  <c r="R117" i="82" s="1"/>
  <c r="R75" i="85" s="1"/>
  <c r="R116" i="82" a="1"/>
  <c r="R116" i="82" s="1"/>
  <c r="R74" i="85" s="1"/>
  <c r="R119" i="82" a="1"/>
  <c r="R119" i="82" s="1"/>
  <c r="R118" i="82" a="1"/>
  <c r="R118" i="82" s="1"/>
  <c r="R76" i="85" s="1"/>
  <c r="R115" i="82" a="1"/>
  <c r="R115" i="82" s="1"/>
  <c r="R73" i="85" s="1"/>
  <c r="R121" i="82" a="1"/>
  <c r="R121" i="82" s="1"/>
  <c r="R70" i="85"/>
  <c r="AE119" i="72" a="1"/>
  <c r="AE119" i="72" s="1"/>
  <c r="AE118" i="72" a="1"/>
  <c r="AE118" i="72" s="1"/>
  <c r="AE121" i="72" a="1"/>
  <c r="AE121" i="72" s="1"/>
  <c r="AE117" i="72" a="1"/>
  <c r="AE117" i="72" s="1"/>
  <c r="AE114" i="72" a="1"/>
  <c r="AE114" i="72" s="1"/>
  <c r="AE115" i="72" a="1"/>
  <c r="AE115" i="72" s="1"/>
  <c r="AE116" i="72" a="1"/>
  <c r="AE116" i="72" s="1"/>
  <c r="AE120" i="72" a="1"/>
  <c r="AE120" i="72" s="1"/>
  <c r="AE42" i="85"/>
  <c r="X120" i="72" a="1"/>
  <c r="X120" i="72" s="1"/>
  <c r="X116" i="72" a="1"/>
  <c r="X116" i="72" s="1"/>
  <c r="X119" i="72" a="1"/>
  <c r="X119" i="72" s="1"/>
  <c r="X121" i="72" a="1"/>
  <c r="X121" i="72" s="1"/>
  <c r="X117" i="72" a="1"/>
  <c r="X117" i="72" s="1"/>
  <c r="X118" i="72" a="1"/>
  <c r="X118" i="72" s="1"/>
  <c r="X114" i="72" a="1"/>
  <c r="X114" i="72" s="1"/>
  <c r="X115" i="72" a="1"/>
  <c r="X115" i="72" s="1"/>
  <c r="X42" i="85"/>
  <c r="Y116" i="82" a="1"/>
  <c r="Y116" i="82" s="1"/>
  <c r="Y74" i="85" s="1"/>
  <c r="Y119" i="82" a="1"/>
  <c r="Y119" i="82" s="1"/>
  <c r="Y115" i="82" a="1"/>
  <c r="Y115" i="82" s="1"/>
  <c r="Y73" i="85" s="1"/>
  <c r="Y121" i="82" a="1"/>
  <c r="Y121" i="82" s="1"/>
  <c r="Y118" i="82" a="1"/>
  <c r="Y118" i="82" s="1"/>
  <c r="Y76" i="85" s="1"/>
  <c r="Y120" i="82" a="1"/>
  <c r="Y120" i="82" s="1"/>
  <c r="Y114" i="82" a="1"/>
  <c r="Y114" i="82" s="1"/>
  <c r="Y72" i="85" s="1"/>
  <c r="Y117" i="82" a="1"/>
  <c r="Y117" i="82" s="1"/>
  <c r="Y75" i="85" s="1"/>
  <c r="Y70" i="85"/>
  <c r="W119" i="82" a="1"/>
  <c r="W119" i="82" s="1"/>
  <c r="W115" i="82" a="1"/>
  <c r="W115" i="82" s="1"/>
  <c r="W73" i="85" s="1"/>
  <c r="W121" i="82" a="1"/>
  <c r="W121" i="82" s="1"/>
  <c r="W118" i="82" a="1"/>
  <c r="W118" i="82" s="1"/>
  <c r="W76" i="85" s="1"/>
  <c r="W120" i="82" a="1"/>
  <c r="W120" i="82" s="1"/>
  <c r="W116" i="82" a="1"/>
  <c r="W116" i="82" s="1"/>
  <c r="W74" i="85" s="1"/>
  <c r="W114" i="82" a="1"/>
  <c r="W114" i="82" s="1"/>
  <c r="W72" i="85" s="1"/>
  <c r="W117" i="82" a="1"/>
  <c r="W117" i="82" s="1"/>
  <c r="W75" i="85" s="1"/>
  <c r="W70" i="85"/>
  <c r="AC115" i="82" a="1"/>
  <c r="AC115" i="82" s="1"/>
  <c r="AC73" i="85" s="1"/>
  <c r="AC121" i="82" a="1"/>
  <c r="AC121" i="82" s="1"/>
  <c r="AC118" i="82" a="1"/>
  <c r="AC118" i="82" s="1"/>
  <c r="AC76" i="85" s="1"/>
  <c r="AC114" i="82" a="1"/>
  <c r="AC114" i="82" s="1"/>
  <c r="AC72" i="85" s="1"/>
  <c r="AC117" i="82" a="1"/>
  <c r="AC117" i="82" s="1"/>
  <c r="AC75" i="85" s="1"/>
  <c r="AC116" i="82" a="1"/>
  <c r="AC116" i="82" s="1"/>
  <c r="AC74" i="85" s="1"/>
  <c r="AC119" i="82" a="1"/>
  <c r="AC119" i="82" s="1"/>
  <c r="AC120" i="82" a="1"/>
  <c r="AC120" i="82" s="1"/>
  <c r="AC70" i="85"/>
  <c r="AE115" i="82" a="1"/>
  <c r="AE115" i="82" s="1"/>
  <c r="AE73" i="85" s="1"/>
  <c r="AE121" i="82" a="1"/>
  <c r="AE121" i="82" s="1"/>
  <c r="AE118" i="82" a="1"/>
  <c r="AE118" i="82" s="1"/>
  <c r="AE76" i="85" s="1"/>
  <c r="AE114" i="82" a="1"/>
  <c r="AE114" i="82" s="1"/>
  <c r="AE72" i="85" s="1"/>
  <c r="AE117" i="82" a="1"/>
  <c r="AE117" i="82" s="1"/>
  <c r="AE75" i="85" s="1"/>
  <c r="AE120" i="82" a="1"/>
  <c r="AE120" i="82" s="1"/>
  <c r="AE119" i="82" a="1"/>
  <c r="AE119" i="82" s="1"/>
  <c r="AE116" i="82" a="1"/>
  <c r="AE116" i="82" s="1"/>
  <c r="AE74" i="85" s="1"/>
  <c r="AE70" i="85"/>
  <c r="Y120" i="72" a="1"/>
  <c r="Y120" i="72" s="1"/>
  <c r="Y119" i="72" a="1"/>
  <c r="Y119" i="72" s="1"/>
  <c r="Y118" i="72" a="1"/>
  <c r="Y118" i="72" s="1"/>
  <c r="Y114" i="72" a="1"/>
  <c r="Y114" i="72" s="1"/>
  <c r="Y115" i="72" a="1"/>
  <c r="Y115" i="72" s="1"/>
  <c r="Y116" i="72" a="1"/>
  <c r="Y116" i="72" s="1"/>
  <c r="Y121" i="72" a="1"/>
  <c r="Y121" i="72" s="1"/>
  <c r="Y117" i="72" a="1"/>
  <c r="Y117" i="72" s="1"/>
  <c r="Y42" i="85"/>
  <c r="L48" i="75"/>
  <c r="L50" i="75" s="1"/>
  <c r="L40" i="85" s="1"/>
  <c r="R121" i="72" a="1"/>
  <c r="R121" i="72" s="1"/>
  <c r="R117" i="72" a="1"/>
  <c r="R117" i="72" s="1"/>
  <c r="R114" i="72" a="1"/>
  <c r="R114" i="72" s="1"/>
  <c r="R120" i="72" a="1"/>
  <c r="R120" i="72" s="1"/>
  <c r="R115" i="72" a="1"/>
  <c r="R115" i="72" s="1"/>
  <c r="R116" i="72" a="1"/>
  <c r="R116" i="72" s="1"/>
  <c r="R118" i="72" a="1"/>
  <c r="R118" i="72" s="1"/>
  <c r="R119" i="72" a="1"/>
  <c r="R119" i="72" s="1"/>
  <c r="R42" i="85"/>
  <c r="AA116" i="72" a="1"/>
  <c r="AA116" i="72" s="1"/>
  <c r="AA119" i="72" a="1"/>
  <c r="AA119" i="72" s="1"/>
  <c r="AA115" i="72" a="1"/>
  <c r="AA115" i="72" s="1"/>
  <c r="AA118" i="72" a="1"/>
  <c r="AA118" i="72" s="1"/>
  <c r="AA114" i="72" a="1"/>
  <c r="AA114" i="72" s="1"/>
  <c r="AA120" i="72" a="1"/>
  <c r="AA120" i="72" s="1"/>
  <c r="AA121" i="72" a="1"/>
  <c r="AA121" i="72" s="1"/>
  <c r="AA117" i="72" a="1"/>
  <c r="AA117" i="72" s="1"/>
  <c r="AA42" i="85"/>
  <c r="AG121" i="82" a="1"/>
  <c r="AG121" i="82" s="1"/>
  <c r="AG118" i="82" a="1"/>
  <c r="AG118" i="82" s="1"/>
  <c r="AG76" i="85" s="1"/>
  <c r="AG114" i="82" a="1"/>
  <c r="AG114" i="82" s="1"/>
  <c r="AG72" i="85" s="1"/>
  <c r="AG117" i="82" a="1"/>
  <c r="AG117" i="82" s="1"/>
  <c r="AG75" i="85" s="1"/>
  <c r="AG120" i="82" a="1"/>
  <c r="AG120" i="82" s="1"/>
  <c r="AG115" i="82" a="1"/>
  <c r="AG115" i="82" s="1"/>
  <c r="AG73" i="85" s="1"/>
  <c r="AG116" i="82" a="1"/>
  <c r="AG116" i="82" s="1"/>
  <c r="AG74" i="85" s="1"/>
  <c r="AG119" i="82" a="1"/>
  <c r="AG119" i="82" s="1"/>
  <c r="AG70" i="85"/>
  <c r="AG115" i="72" a="1"/>
  <c r="AG115" i="72" s="1"/>
  <c r="AG121" i="72" a="1"/>
  <c r="AG121" i="72" s="1"/>
  <c r="AG114" i="72" a="1"/>
  <c r="AG114" i="72" s="1"/>
  <c r="AG117" i="72" a="1"/>
  <c r="AG117" i="72" s="1"/>
  <c r="AG118" i="72" a="1"/>
  <c r="AG118" i="72" s="1"/>
  <c r="AG119" i="72" a="1"/>
  <c r="AG119" i="72" s="1"/>
  <c r="AG116" i="72" a="1"/>
  <c r="AG116" i="72" s="1"/>
  <c r="AG120" i="72" a="1"/>
  <c r="AG120" i="72" s="1"/>
  <c r="AG42" i="85"/>
  <c r="U116" i="82" a="1"/>
  <c r="U116" i="82" s="1"/>
  <c r="U74" i="85" s="1"/>
  <c r="U119" i="82" a="1"/>
  <c r="U119" i="82" s="1"/>
  <c r="U114" i="82" a="1"/>
  <c r="U114" i="82" s="1"/>
  <c r="U72" i="85" s="1"/>
  <c r="U121" i="82" a="1"/>
  <c r="U121" i="82" s="1"/>
  <c r="U120" i="82" a="1"/>
  <c r="U120" i="82" s="1"/>
  <c r="U117" i="82" a="1"/>
  <c r="U117" i="82" s="1"/>
  <c r="U75" i="85" s="1"/>
  <c r="U115" i="82" a="1"/>
  <c r="U115" i="82" s="1"/>
  <c r="U73" i="85" s="1"/>
  <c r="U118" i="82" a="1"/>
  <c r="U118" i="82" s="1"/>
  <c r="U76" i="85" s="1"/>
  <c r="U70" i="85"/>
  <c r="P115" i="72" a="1"/>
  <c r="P115" i="72" s="1"/>
  <c r="P118" i="72" a="1"/>
  <c r="P118" i="72" s="1"/>
  <c r="P121" i="72" a="1"/>
  <c r="P121" i="72" s="1"/>
  <c r="P114" i="72" a="1"/>
  <c r="P114" i="72" s="1"/>
  <c r="P117" i="72" a="1"/>
  <c r="P117" i="72" s="1"/>
  <c r="P120" i="72" a="1"/>
  <c r="P120" i="72" s="1"/>
  <c r="P119" i="72" a="1"/>
  <c r="P119" i="72" s="1"/>
  <c r="P116" i="72" a="1"/>
  <c r="P116" i="72" s="1"/>
  <c r="AF115" i="72" a="1"/>
  <c r="AF115" i="72" s="1"/>
  <c r="AF118" i="72" a="1"/>
  <c r="AF118" i="72" s="1"/>
  <c r="AF121" i="72" a="1"/>
  <c r="AF121" i="72" s="1"/>
  <c r="AF114" i="72" a="1"/>
  <c r="AF114" i="72" s="1"/>
  <c r="AF117" i="72" a="1"/>
  <c r="AF117" i="72" s="1"/>
  <c r="AF119" i="72" a="1"/>
  <c r="AF119" i="72" s="1"/>
  <c r="AF116" i="72" a="1"/>
  <c r="AF116" i="72" s="1"/>
  <c r="AF120" i="72" a="1"/>
  <c r="AF120" i="72" s="1"/>
  <c r="AF42" i="85"/>
  <c r="T120" i="82" a="1"/>
  <c r="T120" i="82" s="1"/>
  <c r="T116" i="82" a="1"/>
  <c r="T116" i="82" s="1"/>
  <c r="T74" i="85" s="1"/>
  <c r="T119" i="82" a="1"/>
  <c r="T119" i="82" s="1"/>
  <c r="T117" i="82" a="1"/>
  <c r="T117" i="82" s="1"/>
  <c r="T75" i="85" s="1"/>
  <c r="T118" i="82" a="1"/>
  <c r="T118" i="82" s="1"/>
  <c r="T76" i="85" s="1"/>
  <c r="T121" i="82" a="1"/>
  <c r="T121" i="82" s="1"/>
  <c r="T114" i="82" a="1"/>
  <c r="T114" i="82" s="1"/>
  <c r="T72" i="85" s="1"/>
  <c r="T115" i="82" a="1"/>
  <c r="T115" i="82" s="1"/>
  <c r="T73" i="85" s="1"/>
  <c r="T70" i="85"/>
  <c r="Z119" i="82" a="1"/>
  <c r="Z119" i="82" s="1"/>
  <c r="Z115" i="82" a="1"/>
  <c r="Z115" i="82" s="1"/>
  <c r="Z73" i="85" s="1"/>
  <c r="Z121" i="82" a="1"/>
  <c r="Z121" i="82" s="1"/>
  <c r="Z118" i="82" a="1"/>
  <c r="Z118" i="82" s="1"/>
  <c r="Z76" i="85" s="1"/>
  <c r="Z116" i="82" a="1"/>
  <c r="Z116" i="82" s="1"/>
  <c r="Z74" i="85" s="1"/>
  <c r="Z114" i="82" a="1"/>
  <c r="Z114" i="82" s="1"/>
  <c r="Z72" i="85" s="1"/>
  <c r="Z117" i="82" a="1"/>
  <c r="Z117" i="82" s="1"/>
  <c r="Z75" i="85" s="1"/>
  <c r="Z120" i="82" a="1"/>
  <c r="Z120" i="82" s="1"/>
  <c r="Z70" i="85"/>
  <c r="AC119" i="72" a="1"/>
  <c r="AC119" i="72" s="1"/>
  <c r="AC115" i="72" a="1"/>
  <c r="AC115" i="72" s="1"/>
  <c r="AC118" i="72" a="1"/>
  <c r="AC118" i="72" s="1"/>
  <c r="AC117" i="72" a="1"/>
  <c r="AC117" i="72" s="1"/>
  <c r="AC114" i="72" a="1"/>
  <c r="AC114" i="72" s="1"/>
  <c r="AC116" i="72" a="1"/>
  <c r="AC116" i="72" s="1"/>
  <c r="AC120" i="72" a="1"/>
  <c r="AC120" i="72" s="1"/>
  <c r="AC121" i="72" a="1"/>
  <c r="AC121" i="72" s="1"/>
  <c r="AC42" i="85"/>
  <c r="S121" i="72" a="1"/>
  <c r="S121" i="72" s="1"/>
  <c r="S120" i="72" a="1"/>
  <c r="S120" i="72" s="1"/>
  <c r="S116" i="72" a="1"/>
  <c r="S116" i="72" s="1"/>
  <c r="S117" i="72" a="1"/>
  <c r="S117" i="72" s="1"/>
  <c r="S119" i="72" a="1"/>
  <c r="S119" i="72" s="1"/>
  <c r="S114" i="72" a="1"/>
  <c r="S114" i="72" s="1"/>
  <c r="S118" i="72" a="1"/>
  <c r="S118" i="72" s="1"/>
  <c r="S115" i="72" a="1"/>
  <c r="S115" i="72" s="1"/>
  <c r="S42" i="85"/>
  <c r="AF121" i="82" a="1"/>
  <c r="AF121" i="82" s="1"/>
  <c r="AF118" i="82" a="1"/>
  <c r="AF118" i="82" s="1"/>
  <c r="AF76" i="85" s="1"/>
  <c r="AF114" i="82" a="1"/>
  <c r="AF114" i="82" s="1"/>
  <c r="AF72" i="85" s="1"/>
  <c r="AF117" i="82" a="1"/>
  <c r="AF117" i="82" s="1"/>
  <c r="AF75" i="85" s="1"/>
  <c r="AF120" i="82" a="1"/>
  <c r="AF120" i="82" s="1"/>
  <c r="AF119" i="82" a="1"/>
  <c r="AF119" i="82" s="1"/>
  <c r="AF115" i="82" a="1"/>
  <c r="AF115" i="82" s="1"/>
  <c r="AF73" i="85" s="1"/>
  <c r="AF116" i="82" a="1"/>
  <c r="AF116" i="82" s="1"/>
  <c r="AF74" i="85" s="1"/>
  <c r="AF70" i="85"/>
  <c r="AD115" i="82" a="1"/>
  <c r="AD115" i="82" s="1"/>
  <c r="AD73" i="85" s="1"/>
  <c r="AD121" i="82" a="1"/>
  <c r="AD121" i="82" s="1"/>
  <c r="AD118" i="82" a="1"/>
  <c r="AD118" i="82" s="1"/>
  <c r="AD76" i="85" s="1"/>
  <c r="AD114" i="82" a="1"/>
  <c r="AD114" i="82" s="1"/>
  <c r="AD72" i="85" s="1"/>
  <c r="AD117" i="82" a="1"/>
  <c r="AD117" i="82" s="1"/>
  <c r="AD75" i="85" s="1"/>
  <c r="AD120" i="82" a="1"/>
  <c r="AD120" i="82" s="1"/>
  <c r="AD116" i="82" a="1"/>
  <c r="AD116" i="82" s="1"/>
  <c r="AD74" i="85" s="1"/>
  <c r="AD119" i="82" a="1"/>
  <c r="AD119" i="82" s="1"/>
  <c r="AD70" i="85"/>
  <c r="V116" i="82" a="1"/>
  <c r="V116" i="82" s="1"/>
  <c r="V74" i="85" s="1"/>
  <c r="V119" i="82" a="1"/>
  <c r="V119" i="82" s="1"/>
  <c r="V115" i="82" a="1"/>
  <c r="V115" i="82" s="1"/>
  <c r="V73" i="85" s="1"/>
  <c r="V121" i="82" a="1"/>
  <c r="V121" i="82" s="1"/>
  <c r="V120" i="82" a="1"/>
  <c r="V120" i="82" s="1"/>
  <c r="V117" i="82" a="1"/>
  <c r="V117" i="82" s="1"/>
  <c r="V75" i="85" s="1"/>
  <c r="V118" i="82" a="1"/>
  <c r="V118" i="82" s="1"/>
  <c r="V76" i="85" s="1"/>
  <c r="V114" i="82" a="1"/>
  <c r="V114" i="82" s="1"/>
  <c r="V72" i="85" s="1"/>
  <c r="V70" i="85"/>
  <c r="W116" i="72" a="1"/>
  <c r="W116" i="72" s="1"/>
  <c r="W119" i="72" a="1"/>
  <c r="W119" i="72" s="1"/>
  <c r="W117" i="72" a="1"/>
  <c r="W117" i="72" s="1"/>
  <c r="W118" i="72" a="1"/>
  <c r="W118" i="72" s="1"/>
  <c r="W114" i="72" a="1"/>
  <c r="W114" i="72" s="1"/>
  <c r="W121" i="72" a="1"/>
  <c r="W121" i="72" s="1"/>
  <c r="W120" i="72" a="1"/>
  <c r="W120" i="72" s="1"/>
  <c r="W115" i="72" a="1"/>
  <c r="W115" i="72" s="1"/>
  <c r="W42" i="85"/>
  <c r="AB116" i="72" a="1"/>
  <c r="AB116" i="72" s="1"/>
  <c r="AB115" i="72" a="1"/>
  <c r="AB115" i="72" s="1"/>
  <c r="AB118" i="72" a="1"/>
  <c r="AB118" i="72" s="1"/>
  <c r="AB117" i="72" a="1"/>
  <c r="AB117" i="72" s="1"/>
  <c r="AB120" i="72" a="1"/>
  <c r="AB120" i="72" s="1"/>
  <c r="AB114" i="72" a="1"/>
  <c r="AB114" i="72" s="1"/>
  <c r="AB121" i="72" a="1"/>
  <c r="AB121" i="72" s="1"/>
  <c r="AB119" i="72" a="1"/>
  <c r="AB119" i="72" s="1"/>
  <c r="AB42" i="85"/>
  <c r="J118" i="81" a="1"/>
  <c r="J118" i="81" s="1"/>
  <c r="J116" i="81" a="1"/>
  <c r="J116" i="81" s="1"/>
  <c r="J121" i="81" a="1"/>
  <c r="J121" i="81" s="1"/>
  <c r="J115" i="81" a="1"/>
  <c r="J115" i="81" s="1"/>
  <c r="J119" i="81" a="1"/>
  <c r="J119" i="81" s="1"/>
  <c r="J117" i="81" a="1"/>
  <c r="J117" i="81" s="1"/>
  <c r="J114" i="81" a="1"/>
  <c r="J114" i="81" s="1"/>
  <c r="J120" i="81" a="1"/>
  <c r="J120" i="81" s="1"/>
  <c r="M117" i="81" a="1"/>
  <c r="M117" i="81" s="1"/>
  <c r="M114" i="81" a="1"/>
  <c r="M114" i="81" s="1"/>
  <c r="M115" i="81" a="1"/>
  <c r="M115" i="81" s="1"/>
  <c r="M120" i="81" a="1"/>
  <c r="M120" i="81" s="1"/>
  <c r="M119" i="81" a="1"/>
  <c r="M119" i="81" s="1"/>
  <c r="M118" i="81" a="1"/>
  <c r="M118" i="81" s="1"/>
  <c r="M116" i="81" a="1"/>
  <c r="M116" i="81" s="1"/>
  <c r="M121" i="81" a="1"/>
  <c r="M121" i="81" s="1"/>
  <c r="K115" i="81" a="1"/>
  <c r="K115" i="81" s="1"/>
  <c r="K120" i="81" a="1"/>
  <c r="K120" i="81" s="1"/>
  <c r="K118" i="81" a="1"/>
  <c r="K118" i="81" s="1"/>
  <c r="K116" i="81" a="1"/>
  <c r="K116" i="81" s="1"/>
  <c r="K121" i="81" a="1"/>
  <c r="K121" i="81" s="1"/>
  <c r="K119" i="81" a="1"/>
  <c r="K119" i="81" s="1"/>
  <c r="K117" i="81" a="1"/>
  <c r="K117" i="81" s="1"/>
  <c r="K114" i="81" a="1"/>
  <c r="K114" i="81" s="1"/>
  <c r="L115" i="81" a="1"/>
  <c r="L115" i="81" s="1"/>
  <c r="L120" i="81" a="1"/>
  <c r="L120" i="81" s="1"/>
  <c r="L118" i="81" a="1"/>
  <c r="L118" i="81" s="1"/>
  <c r="L117" i="81" a="1"/>
  <c r="L117" i="81" s="1"/>
  <c r="L114" i="81" a="1"/>
  <c r="L114" i="81" s="1"/>
  <c r="L116" i="81" a="1"/>
  <c r="L116" i="81" s="1"/>
  <c r="L121" i="81" a="1"/>
  <c r="L121" i="81" s="1"/>
  <c r="L119" i="81" a="1"/>
  <c r="L119" i="81" s="1"/>
  <c r="I120" i="81" a="1"/>
  <c r="I120" i="81" s="1"/>
  <c r="I118" i="81" a="1"/>
  <c r="I118" i="81" s="1"/>
  <c r="I116" i="81" a="1"/>
  <c r="I116" i="81" s="1"/>
  <c r="I114" i="81" a="1"/>
  <c r="I114" i="81" s="1"/>
  <c r="I119" i="81" a="1"/>
  <c r="I119" i="81" s="1"/>
  <c r="I115" i="81" a="1"/>
  <c r="I115" i="81" s="1"/>
  <c r="I117" i="81" a="1"/>
  <c r="I117" i="81" s="1"/>
  <c r="I121" i="81" a="1"/>
  <c r="I121" i="81" s="1"/>
  <c r="X118" i="81" a="1"/>
  <c r="X118" i="81" s="1"/>
  <c r="X115" i="81" a="1"/>
  <c r="X115" i="81" s="1"/>
  <c r="X114" i="81" a="1"/>
  <c r="X114" i="81" s="1"/>
  <c r="X116" i="81" a="1"/>
  <c r="X116" i="81" s="1"/>
  <c r="X120" i="81" a="1"/>
  <c r="X120" i="81" s="1"/>
  <c r="X117" i="81" a="1"/>
  <c r="X117" i="81" s="1"/>
  <c r="X119" i="81" a="1"/>
  <c r="X119" i="81" s="1"/>
  <c r="X121" i="81" a="1"/>
  <c r="X121" i="81" s="1"/>
  <c r="AF119" i="81" a="1"/>
  <c r="AF119" i="81" s="1"/>
  <c r="AF116" i="81" a="1"/>
  <c r="AF116" i="81" s="1"/>
  <c r="AF120" i="81" a="1"/>
  <c r="AF120" i="81" s="1"/>
  <c r="AF117" i="81" a="1"/>
  <c r="AF117" i="81" s="1"/>
  <c r="AF114" i="81" a="1"/>
  <c r="AF114" i="81" s="1"/>
  <c r="AF118" i="81" a="1"/>
  <c r="AF118" i="81" s="1"/>
  <c r="AF115" i="81" a="1"/>
  <c r="AF115" i="81" s="1"/>
  <c r="AF121" i="81" a="1"/>
  <c r="AF121" i="81" s="1"/>
  <c r="W115" i="81" a="1"/>
  <c r="W115" i="81" s="1"/>
  <c r="W114" i="81" a="1"/>
  <c r="W114" i="81" s="1"/>
  <c r="W119" i="81" a="1"/>
  <c r="W119" i="81" s="1"/>
  <c r="W120" i="81" a="1"/>
  <c r="W120" i="81" s="1"/>
  <c r="W117" i="81" a="1"/>
  <c r="W117" i="81" s="1"/>
  <c r="W116" i="81" a="1"/>
  <c r="W116" i="81" s="1"/>
  <c r="W121" i="81" a="1"/>
  <c r="W121" i="81" s="1"/>
  <c r="W118" i="81" a="1"/>
  <c r="W118" i="81" s="1"/>
  <c r="AG114" i="81" a="1"/>
  <c r="AG114" i="81" s="1"/>
  <c r="AG119" i="81" a="1"/>
  <c r="AG119" i="81" s="1"/>
  <c r="AG120" i="81" a="1"/>
  <c r="AG120" i="81" s="1"/>
  <c r="AG117" i="81" a="1"/>
  <c r="AG117" i="81" s="1"/>
  <c r="AG115" i="81" a="1"/>
  <c r="AG115" i="81" s="1"/>
  <c r="AG118" i="81" a="1"/>
  <c r="AG118" i="81" s="1"/>
  <c r="AG116" i="81" a="1"/>
  <c r="AG116" i="81" s="1"/>
  <c r="AG121" i="81" a="1"/>
  <c r="AG121" i="81" s="1"/>
  <c r="Y121" i="81" a="1"/>
  <c r="Y121" i="81" s="1"/>
  <c r="Y118" i="81" a="1"/>
  <c r="Y118" i="81" s="1"/>
  <c r="Y115" i="81" a="1"/>
  <c r="Y115" i="81" s="1"/>
  <c r="Y119" i="81" a="1"/>
  <c r="Y119" i="81" s="1"/>
  <c r="Y116" i="81" a="1"/>
  <c r="Y116" i="81" s="1"/>
  <c r="Y120" i="81" a="1"/>
  <c r="Y120" i="81" s="1"/>
  <c r="Y117" i="81" a="1"/>
  <c r="Y117" i="81" s="1"/>
  <c r="Y114" i="81" a="1"/>
  <c r="Y114" i="81" s="1"/>
  <c r="T116" i="81" a="1"/>
  <c r="T116" i="81" s="1"/>
  <c r="T120" i="81" a="1"/>
  <c r="T120" i="81" s="1"/>
  <c r="T121" i="81" a="1"/>
  <c r="T121" i="81" s="1"/>
  <c r="T117" i="81" a="1"/>
  <c r="T117" i="81" s="1"/>
  <c r="T118" i="81" a="1"/>
  <c r="T118" i="81" s="1"/>
  <c r="T115" i="81" a="1"/>
  <c r="T115" i="81" s="1"/>
  <c r="T119" i="81" a="1"/>
  <c r="T119" i="81" s="1"/>
  <c r="T114" i="81" a="1"/>
  <c r="T114" i="81" s="1"/>
  <c r="O121" i="81" a="1"/>
  <c r="O121" i="81" s="1"/>
  <c r="O118" i="81" a="1"/>
  <c r="O118" i="81" s="1"/>
  <c r="O115" i="81" a="1"/>
  <c r="O115" i="81" s="1"/>
  <c r="O114" i="81" a="1"/>
  <c r="O114" i="81" s="1"/>
  <c r="O119" i="81" a="1"/>
  <c r="O119" i="81" s="1"/>
  <c r="O116" i="81" a="1"/>
  <c r="O116" i="81" s="1"/>
  <c r="O120" i="81" a="1"/>
  <c r="O120" i="81" s="1"/>
  <c r="O117" i="81" a="1"/>
  <c r="O117" i="81" s="1"/>
  <c r="U119" i="81" a="1"/>
  <c r="U119" i="81" s="1"/>
  <c r="U116" i="81" a="1"/>
  <c r="U116" i="81" s="1"/>
  <c r="U117" i="81" a="1"/>
  <c r="U117" i="81" s="1"/>
  <c r="U121" i="81" a="1"/>
  <c r="U121" i="81" s="1"/>
  <c r="U120" i="81" a="1"/>
  <c r="U120" i="81" s="1"/>
  <c r="U118" i="81" a="1"/>
  <c r="U118" i="81" s="1"/>
  <c r="U115" i="81" a="1"/>
  <c r="U115" i="81" s="1"/>
  <c r="U114" i="81" a="1"/>
  <c r="U114" i="81" s="1"/>
  <c r="AC120" i="81" a="1"/>
  <c r="AC120" i="81" s="1"/>
  <c r="AC117" i="81" a="1"/>
  <c r="AC117" i="81" s="1"/>
  <c r="AC121" i="81" a="1"/>
  <c r="AC121" i="81" s="1"/>
  <c r="AC118" i="81" a="1"/>
  <c r="AC118" i="81" s="1"/>
  <c r="AC115" i="81" a="1"/>
  <c r="AC115" i="81" s="1"/>
  <c r="AC119" i="81" a="1"/>
  <c r="AC119" i="81" s="1"/>
  <c r="AC116" i="81" a="1"/>
  <c r="AC116" i="81" s="1"/>
  <c r="AC114" i="81" a="1"/>
  <c r="AC114" i="81" s="1"/>
  <c r="Z121" i="81" a="1"/>
  <c r="Z121" i="81" s="1"/>
  <c r="Z118" i="81" a="1"/>
  <c r="Z118" i="81" s="1"/>
  <c r="Z119" i="81" a="1"/>
  <c r="Z119" i="81" s="1"/>
  <c r="Z116" i="81" a="1"/>
  <c r="Z116" i="81" s="1"/>
  <c r="Z120" i="81" a="1"/>
  <c r="Z120" i="81" s="1"/>
  <c r="Z114" i="81" a="1"/>
  <c r="Z114" i="81" s="1"/>
  <c r="Z117" i="81" a="1"/>
  <c r="Z117" i="81" s="1"/>
  <c r="Z115" i="81" a="1"/>
  <c r="Z115" i="81" s="1"/>
  <c r="AA117" i="81" a="1"/>
  <c r="AA117" i="81" s="1"/>
  <c r="AA121" i="81" a="1"/>
  <c r="AA121" i="81" s="1"/>
  <c r="AA115" i="81" a="1"/>
  <c r="AA115" i="81" s="1"/>
  <c r="AA114" i="81" a="1"/>
  <c r="AA114" i="81" s="1"/>
  <c r="AA119" i="81" a="1"/>
  <c r="AA119" i="81" s="1"/>
  <c r="AA116" i="81" a="1"/>
  <c r="AA116" i="81" s="1"/>
  <c r="AA120" i="81" a="1"/>
  <c r="AA120" i="81" s="1"/>
  <c r="AA118" i="81" a="1"/>
  <c r="AA118" i="81" s="1"/>
  <c r="S120" i="81" a="1"/>
  <c r="S120" i="81" s="1"/>
  <c r="S117" i="81" a="1"/>
  <c r="S117" i="81" s="1"/>
  <c r="S121" i="81" a="1"/>
  <c r="S121" i="81" s="1"/>
  <c r="S118" i="81" a="1"/>
  <c r="S118" i="81" s="1"/>
  <c r="S115" i="81" a="1"/>
  <c r="S115" i="81" s="1"/>
  <c r="S114" i="81" a="1"/>
  <c r="S114" i="81" s="1"/>
  <c r="S116" i="81" a="1"/>
  <c r="S116" i="81" s="1"/>
  <c r="S119" i="81" a="1"/>
  <c r="S119" i="81" s="1"/>
  <c r="AB120" i="81" a="1"/>
  <c r="AB120" i="81" s="1"/>
  <c r="AB117" i="81" a="1"/>
  <c r="AB117" i="81" s="1"/>
  <c r="AB118" i="81" a="1"/>
  <c r="AB118" i="81" s="1"/>
  <c r="AB115" i="81" a="1"/>
  <c r="AB115" i="81" s="1"/>
  <c r="AB114" i="81" a="1"/>
  <c r="AB114" i="81" s="1"/>
  <c r="AB119" i="81" a="1"/>
  <c r="AB119" i="81" s="1"/>
  <c r="AB116" i="81" a="1"/>
  <c r="AB116" i="81" s="1"/>
  <c r="AB121" i="81" a="1"/>
  <c r="AB121" i="81" s="1"/>
  <c r="R120" i="81" a="1"/>
  <c r="R120" i="81" s="1"/>
  <c r="R117" i="81" a="1"/>
  <c r="R117" i="81" s="1"/>
  <c r="R118" i="81" a="1"/>
  <c r="R118" i="81" s="1"/>
  <c r="R115" i="81" a="1"/>
  <c r="R115" i="81" s="1"/>
  <c r="R114" i="81" a="1"/>
  <c r="R114" i="81" s="1"/>
  <c r="R121" i="81" a="1"/>
  <c r="R121" i="81" s="1"/>
  <c r="R119" i="81" a="1"/>
  <c r="R119" i="81" s="1"/>
  <c r="R116" i="81" a="1"/>
  <c r="R116" i="81" s="1"/>
  <c r="AD116" i="81" a="1"/>
  <c r="AD116" i="81" s="1"/>
  <c r="AD120" i="81" a="1"/>
  <c r="AD120" i="81" s="1"/>
  <c r="AD117" i="81" a="1"/>
  <c r="AD117" i="81" s="1"/>
  <c r="AD121" i="81" a="1"/>
  <c r="AD121" i="81" s="1"/>
  <c r="AD118" i="81" a="1"/>
  <c r="AD118" i="81" s="1"/>
  <c r="AD119" i="81" a="1"/>
  <c r="AD119" i="81" s="1"/>
  <c r="AD115" i="81" a="1"/>
  <c r="AD115" i="81" s="1"/>
  <c r="AD114" i="81" a="1"/>
  <c r="AD114" i="81" s="1"/>
  <c r="V119" i="81" a="1"/>
  <c r="V119" i="81" s="1"/>
  <c r="V116" i="81" a="1"/>
  <c r="V116" i="81" s="1"/>
  <c r="V120" i="81" a="1"/>
  <c r="V120" i="81" s="1"/>
  <c r="V117" i="81" a="1"/>
  <c r="V117" i="81" s="1"/>
  <c r="V121" i="81" a="1"/>
  <c r="V121" i="81" s="1"/>
  <c r="V118" i="81" a="1"/>
  <c r="V118" i="81" s="1"/>
  <c r="V115" i="81" a="1"/>
  <c r="V115" i="81" s="1"/>
  <c r="V114" i="81" a="1"/>
  <c r="V114" i="81" s="1"/>
  <c r="AE116" i="81" a="1"/>
  <c r="AE116" i="81" s="1"/>
  <c r="AE121" i="81" a="1"/>
  <c r="AE121" i="81" s="1"/>
  <c r="AE114" i="81" a="1"/>
  <c r="AE114" i="81" s="1"/>
  <c r="AE119" i="81" a="1"/>
  <c r="AE119" i="81" s="1"/>
  <c r="AE118" i="81" a="1"/>
  <c r="AE118" i="81" s="1"/>
  <c r="AE115" i="81" a="1"/>
  <c r="AE115" i="81" s="1"/>
  <c r="AE120" i="81" a="1"/>
  <c r="AE120" i="81" s="1"/>
  <c r="AE117" i="81" a="1"/>
  <c r="AE117" i="81" s="1"/>
  <c r="N117" i="81" a="1"/>
  <c r="N117" i="81" s="1"/>
  <c r="N120" i="81" a="1"/>
  <c r="N120" i="81" s="1"/>
  <c r="N115" i="81" a="1"/>
  <c r="N115" i="81" s="1"/>
  <c r="N118" i="81" a="1"/>
  <c r="N118" i="81" s="1"/>
  <c r="N121" i="81" a="1"/>
  <c r="N121" i="81" s="1"/>
  <c r="N116" i="81" a="1"/>
  <c r="N116" i="81" s="1"/>
  <c r="N119" i="81" a="1"/>
  <c r="N119" i="81" s="1"/>
  <c r="N114" i="81" a="1"/>
  <c r="N114" i="81" s="1"/>
  <c r="N48" i="75"/>
  <c r="N50" i="75" s="1"/>
  <c r="N40" i="85" s="1"/>
  <c r="N91" i="72"/>
  <c r="N110" i="72" s="1"/>
  <c r="J76" i="75"/>
  <c r="J78" i="75" s="1"/>
  <c r="J62" i="75"/>
  <c r="J64" i="75" s="1"/>
  <c r="J91" i="73"/>
  <c r="J110" i="73" s="1"/>
  <c r="K62" i="75"/>
  <c r="K64" i="75" s="1"/>
  <c r="I62" i="75"/>
  <c r="I64" i="75" s="1"/>
  <c r="Q76" i="75"/>
  <c r="Q78" i="75" s="1"/>
  <c r="M91" i="82"/>
  <c r="M110" i="82" s="1"/>
  <c r="K91" i="73"/>
  <c r="K110" i="73" s="1"/>
  <c r="Q91" i="82"/>
  <c r="Q110" i="82" s="1"/>
  <c r="M76" i="75"/>
  <c r="M78" i="75" s="1"/>
  <c r="M48" i="75"/>
  <c r="M50" i="75" s="1"/>
  <c r="M40" i="85" s="1"/>
  <c r="M91" i="72"/>
  <c r="M110" i="72" s="1"/>
  <c r="I91" i="73"/>
  <c r="P76" i="75"/>
  <c r="P78" i="75" s="1"/>
  <c r="I76" i="75"/>
  <c r="I78" i="75" s="1"/>
  <c r="Q34" i="75"/>
  <c r="Q36" i="75" s="1"/>
  <c r="O91" i="82"/>
  <c r="O110" i="82" s="1"/>
  <c r="Q48" i="75"/>
  <c r="Q50" i="75" s="1"/>
  <c r="Q40" i="85" s="1"/>
  <c r="Q91" i="72"/>
  <c r="Q110" i="72" s="1"/>
  <c r="N91" i="82"/>
  <c r="N110" i="82" s="1"/>
  <c r="O91" i="72"/>
  <c r="O110" i="72" s="1"/>
  <c r="K76" i="75"/>
  <c r="K78" i="75" s="1"/>
  <c r="O76" i="75"/>
  <c r="O78" i="75" s="1"/>
  <c r="I48" i="75"/>
  <c r="I91" i="72"/>
  <c r="I110" i="72" s="1"/>
  <c r="O48" i="75"/>
  <c r="O50" i="75" s="1"/>
  <c r="O40" i="85" s="1"/>
  <c r="P91" i="82"/>
  <c r="P110" i="82" s="1"/>
  <c r="I91" i="82"/>
  <c r="I110" i="82" s="1"/>
  <c r="Q91" i="81"/>
  <c r="N76" i="75"/>
  <c r="N78" i="75" s="1"/>
  <c r="K91" i="82"/>
  <c r="K110" i="82" s="1"/>
  <c r="J91" i="82"/>
  <c r="J110" i="82" s="1"/>
  <c r="I36" i="75"/>
  <c r="F52" i="75"/>
  <c r="G11" i="33" s="1"/>
  <c r="P119" i="81" l="1" a="1"/>
  <c r="P119" i="81" s="1"/>
  <c r="P116" i="81" a="1"/>
  <c r="P116" i="81" s="1"/>
  <c r="P114" i="81" a="1"/>
  <c r="P114" i="81" s="1"/>
  <c r="K42" i="85"/>
  <c r="P117" i="81" a="1"/>
  <c r="P117" i="81" s="1"/>
  <c r="P118" i="81" a="1"/>
  <c r="P118" i="81" s="1"/>
  <c r="P121" i="81" a="1"/>
  <c r="P121" i="81" s="1"/>
  <c r="K115" i="72" a="1"/>
  <c r="K115" i="72" s="1"/>
  <c r="P120" i="81" a="1"/>
  <c r="P120" i="81" s="1"/>
  <c r="K119" i="72" a="1"/>
  <c r="K119" i="72" s="1"/>
  <c r="J42" i="85"/>
  <c r="J114" i="72" a="1"/>
  <c r="J114" i="72" s="1"/>
  <c r="J117" i="72" a="1"/>
  <c r="J117" i="72" s="1"/>
  <c r="K114" i="72" a="1"/>
  <c r="K114" i="72" s="1"/>
  <c r="J120" i="72" a="1"/>
  <c r="J120" i="72" s="1"/>
  <c r="K120" i="72" a="1"/>
  <c r="K120" i="72" s="1"/>
  <c r="J116" i="72" a="1"/>
  <c r="J116" i="72" s="1"/>
  <c r="K117" i="72" a="1"/>
  <c r="K117" i="72" s="1"/>
  <c r="J121" i="72" a="1"/>
  <c r="J121" i="72" s="1"/>
  <c r="J118" i="72" a="1"/>
  <c r="J118" i="72" s="1"/>
  <c r="K116" i="72" a="1"/>
  <c r="K116" i="72" s="1"/>
  <c r="J115" i="72" a="1"/>
  <c r="J115" i="72" s="1"/>
  <c r="K121" i="72" a="1"/>
  <c r="K121" i="72" s="1"/>
  <c r="I115" i="82" a="1"/>
  <c r="I115" i="82" s="1"/>
  <c r="I73" i="85" s="1"/>
  <c r="I118" i="82" a="1"/>
  <c r="I118" i="82" s="1"/>
  <c r="I76" i="85" s="1"/>
  <c r="I121" i="82" a="1"/>
  <c r="I121" i="82" s="1"/>
  <c r="I114" i="82" a="1"/>
  <c r="I114" i="82" s="1"/>
  <c r="I72" i="85" s="1"/>
  <c r="I120" i="82" a="1"/>
  <c r="I120" i="82" s="1"/>
  <c r="I116" i="82" a="1"/>
  <c r="I116" i="82" s="1"/>
  <c r="I74" i="85" s="1"/>
  <c r="I119" i="82" a="1"/>
  <c r="I119" i="82" s="1"/>
  <c r="I117" i="82" a="1"/>
  <c r="I117" i="82" s="1"/>
  <c r="I75" i="85" s="1"/>
  <c r="I70" i="85"/>
  <c r="K120" i="73" a="1"/>
  <c r="K120" i="73" s="1"/>
  <c r="K115" i="73" a="1"/>
  <c r="K115" i="73" s="1"/>
  <c r="K59" i="85" s="1"/>
  <c r="K117" i="73" a="1"/>
  <c r="K117" i="73" s="1"/>
  <c r="K61" i="85" s="1"/>
  <c r="K119" i="73" a="1"/>
  <c r="K119" i="73" s="1"/>
  <c r="K114" i="73" a="1"/>
  <c r="K114" i="73" s="1"/>
  <c r="K58" i="85" s="1"/>
  <c r="K118" i="73" a="1"/>
  <c r="K118" i="73" s="1"/>
  <c r="K62" i="85" s="1"/>
  <c r="K121" i="73" a="1"/>
  <c r="K121" i="73" s="1"/>
  <c r="K116" i="73" a="1"/>
  <c r="K116" i="73" s="1"/>
  <c r="K60" i="85" s="1"/>
  <c r="K56" i="85"/>
  <c r="I110" i="73"/>
  <c r="AC79" i="85"/>
  <c r="AC77" i="85"/>
  <c r="AC78" i="85"/>
  <c r="S77" i="85"/>
  <c r="S78" i="85"/>
  <c r="S79" i="85"/>
  <c r="AG79" i="85"/>
  <c r="AG78" i="85"/>
  <c r="AG77" i="85"/>
  <c r="I116" i="72" a="1"/>
  <c r="I116" i="72" s="1"/>
  <c r="I119" i="72" a="1"/>
  <c r="I119" i="72" s="1"/>
  <c r="I115" i="72" a="1"/>
  <c r="I115" i="72" s="1"/>
  <c r="I118" i="72" a="1"/>
  <c r="I118" i="72" s="1"/>
  <c r="I120" i="72" a="1"/>
  <c r="I120" i="72" s="1"/>
  <c r="I117" i="72" a="1"/>
  <c r="I117" i="72" s="1"/>
  <c r="I121" i="72" a="1"/>
  <c r="I121" i="72" s="1"/>
  <c r="I114" i="72" a="1"/>
  <c r="I114" i="72" s="1"/>
  <c r="I42" i="85"/>
  <c r="V77" i="85"/>
  <c r="V79" i="85"/>
  <c r="V78" i="85"/>
  <c r="O115" i="72" a="1"/>
  <c r="O115" i="72" s="1"/>
  <c r="O118" i="72" a="1"/>
  <c r="O118" i="72" s="1"/>
  <c r="O121" i="72" a="1"/>
  <c r="O121" i="72" s="1"/>
  <c r="O114" i="72" a="1"/>
  <c r="O114" i="72" s="1"/>
  <c r="O117" i="72" a="1"/>
  <c r="O117" i="72" s="1"/>
  <c r="O119" i="72" a="1"/>
  <c r="O119" i="72" s="1"/>
  <c r="O116" i="72" a="1"/>
  <c r="O116" i="72" s="1"/>
  <c r="O120" i="72" a="1"/>
  <c r="O120" i="72" s="1"/>
  <c r="O42" i="85"/>
  <c r="AA77" i="85"/>
  <c r="AA79" i="85"/>
  <c r="AA78" i="85"/>
  <c r="Q117" i="82" a="1"/>
  <c r="Q117" i="82" s="1"/>
  <c r="Q75" i="85" s="1"/>
  <c r="Q114" i="82" a="1"/>
  <c r="Q114" i="82" s="1"/>
  <c r="Q72" i="85" s="1"/>
  <c r="Q120" i="82" a="1"/>
  <c r="Q120" i="82" s="1"/>
  <c r="Q116" i="82" a="1"/>
  <c r="Q116" i="82" s="1"/>
  <c r="Q74" i="85" s="1"/>
  <c r="Q119" i="82" a="1"/>
  <c r="Q119" i="82" s="1"/>
  <c r="Q118" i="82" a="1"/>
  <c r="Q118" i="82" s="1"/>
  <c r="Q76" i="85" s="1"/>
  <c r="Q115" i="82" a="1"/>
  <c r="Q115" i="82" s="1"/>
  <c r="Q73" i="85" s="1"/>
  <c r="Q121" i="82" a="1"/>
  <c r="Q121" i="82" s="1"/>
  <c r="Q70" i="85"/>
  <c r="L115" i="82" a="1"/>
  <c r="L115" i="82" s="1"/>
  <c r="L73" i="85" s="1"/>
  <c r="L121" i="82" a="1"/>
  <c r="L121" i="82" s="1"/>
  <c r="L118" i="82" a="1"/>
  <c r="L118" i="82" s="1"/>
  <c r="L76" i="85" s="1"/>
  <c r="L114" i="82" a="1"/>
  <c r="L114" i="82" s="1"/>
  <c r="L72" i="85" s="1"/>
  <c r="L117" i="82" a="1"/>
  <c r="L117" i="82" s="1"/>
  <c r="L75" i="85" s="1"/>
  <c r="L120" i="82" a="1"/>
  <c r="L120" i="82" s="1"/>
  <c r="L116" i="82" a="1"/>
  <c r="L116" i="82" s="1"/>
  <c r="L74" i="85" s="1"/>
  <c r="L119" i="82" a="1"/>
  <c r="L119" i="82" s="1"/>
  <c r="L70" i="85"/>
  <c r="N121" i="82" a="1"/>
  <c r="N121" i="82" s="1"/>
  <c r="N114" i="82" a="1"/>
  <c r="N114" i="82" s="1"/>
  <c r="N72" i="85" s="1"/>
  <c r="N117" i="82" a="1"/>
  <c r="N117" i="82" s="1"/>
  <c r="N75" i="85" s="1"/>
  <c r="N120" i="82" a="1"/>
  <c r="N120" i="82" s="1"/>
  <c r="N118" i="82" a="1"/>
  <c r="N118" i="82" s="1"/>
  <c r="N76" i="85" s="1"/>
  <c r="N115" i="82" a="1"/>
  <c r="N115" i="82" s="1"/>
  <c r="N73" i="85" s="1"/>
  <c r="N116" i="82" a="1"/>
  <c r="N116" i="82" s="1"/>
  <c r="N74" i="85" s="1"/>
  <c r="N119" i="82" a="1"/>
  <c r="N119" i="82" s="1"/>
  <c r="N70" i="85"/>
  <c r="AD77" i="85"/>
  <c r="AD79" i="85"/>
  <c r="AD78" i="85"/>
  <c r="AE77" i="85"/>
  <c r="AE79" i="85"/>
  <c r="AE78" i="85"/>
  <c r="N115" i="72" a="1"/>
  <c r="N115" i="72" s="1"/>
  <c r="N121" i="72" a="1"/>
  <c r="N121" i="72" s="1"/>
  <c r="N114" i="72" a="1"/>
  <c r="N114" i="72" s="1"/>
  <c r="N117" i="72" a="1"/>
  <c r="N117" i="72" s="1"/>
  <c r="N120" i="72" a="1"/>
  <c r="N120" i="72" s="1"/>
  <c r="N116" i="72" a="1"/>
  <c r="N116" i="72" s="1"/>
  <c r="N119" i="72" a="1"/>
  <c r="N119" i="72" s="1"/>
  <c r="N118" i="72" a="1"/>
  <c r="N118" i="72" s="1"/>
  <c r="N42" i="85"/>
  <c r="Y78" i="85"/>
  <c r="Y79" i="85"/>
  <c r="Y77" i="85"/>
  <c r="AB78" i="85"/>
  <c r="AB79" i="85"/>
  <c r="AB77" i="85"/>
  <c r="K118" i="82" a="1"/>
  <c r="K118" i="82" s="1"/>
  <c r="K76" i="85" s="1"/>
  <c r="K115" i="82" a="1"/>
  <c r="K115" i="82" s="1"/>
  <c r="K73" i="85" s="1"/>
  <c r="K121" i="82" a="1"/>
  <c r="K121" i="82" s="1"/>
  <c r="K114" i="82" a="1"/>
  <c r="K114" i="82" s="1"/>
  <c r="K72" i="85" s="1"/>
  <c r="K117" i="82" a="1"/>
  <c r="K117" i="82" s="1"/>
  <c r="K75" i="85" s="1"/>
  <c r="K119" i="82" a="1"/>
  <c r="K119" i="82" s="1"/>
  <c r="K120" i="82" a="1"/>
  <c r="K120" i="82" s="1"/>
  <c r="K116" i="82" a="1"/>
  <c r="K116" i="82" s="1"/>
  <c r="K74" i="85" s="1"/>
  <c r="K70" i="85"/>
  <c r="M118" i="72" a="1"/>
  <c r="M118" i="72" s="1"/>
  <c r="M121" i="72" a="1"/>
  <c r="M121" i="72" s="1"/>
  <c r="M114" i="72" a="1"/>
  <c r="M114" i="72" s="1"/>
  <c r="M117" i="72" a="1"/>
  <c r="M117" i="72" s="1"/>
  <c r="M120" i="72" a="1"/>
  <c r="M120" i="72" s="1"/>
  <c r="M115" i="72" a="1"/>
  <c r="M115" i="72" s="1"/>
  <c r="M119" i="72" a="1"/>
  <c r="M119" i="72" s="1"/>
  <c r="M116" i="72" a="1"/>
  <c r="M116" i="72" s="1"/>
  <c r="M42" i="85"/>
  <c r="U79" i="85"/>
  <c r="U78" i="85"/>
  <c r="U77" i="85"/>
  <c r="X79" i="85"/>
  <c r="X77" i="85"/>
  <c r="X78" i="85"/>
  <c r="R78" i="85"/>
  <c r="R79" i="85"/>
  <c r="R77" i="85"/>
  <c r="AF78" i="85"/>
  <c r="AF77" i="85"/>
  <c r="AF79" i="85"/>
  <c r="M118" i="82" a="1"/>
  <c r="M118" i="82" s="1"/>
  <c r="M76" i="85" s="1"/>
  <c r="M121" i="82" a="1"/>
  <c r="M121" i="82" s="1"/>
  <c r="M114" i="82" a="1"/>
  <c r="M114" i="82" s="1"/>
  <c r="M72" i="85" s="1"/>
  <c r="M117" i="82" a="1"/>
  <c r="M117" i="82" s="1"/>
  <c r="M75" i="85" s="1"/>
  <c r="M120" i="82" a="1"/>
  <c r="M120" i="82" s="1"/>
  <c r="M115" i="82" a="1"/>
  <c r="M115" i="82" s="1"/>
  <c r="M73" i="85" s="1"/>
  <c r="M116" i="82" a="1"/>
  <c r="M116" i="82" s="1"/>
  <c r="M74" i="85" s="1"/>
  <c r="M119" i="82" a="1"/>
  <c r="M119" i="82" s="1"/>
  <c r="M70" i="85"/>
  <c r="J115" i="73" a="1"/>
  <c r="J115" i="73" s="1"/>
  <c r="J59" i="85" s="1"/>
  <c r="J120" i="73" a="1"/>
  <c r="J120" i="73" s="1"/>
  <c r="J117" i="73" a="1"/>
  <c r="J117" i="73" s="1"/>
  <c r="J61" i="85" s="1"/>
  <c r="J119" i="73" a="1"/>
  <c r="J119" i="73" s="1"/>
  <c r="J118" i="73" a="1"/>
  <c r="J118" i="73" s="1"/>
  <c r="J62" i="85" s="1"/>
  <c r="J121" i="73" a="1"/>
  <c r="J121" i="73" s="1"/>
  <c r="J114" i="73" a="1"/>
  <c r="J114" i="73" s="1"/>
  <c r="J58" i="85" s="1"/>
  <c r="J116" i="73" a="1"/>
  <c r="J116" i="73" s="1"/>
  <c r="J60" i="85" s="1"/>
  <c r="J56" i="85"/>
  <c r="O117" i="82" a="1"/>
  <c r="O117" i="82" s="1"/>
  <c r="O75" i="85" s="1"/>
  <c r="O120" i="82" a="1"/>
  <c r="O120" i="82" s="1"/>
  <c r="O118" i="82" a="1"/>
  <c r="O118" i="82" s="1"/>
  <c r="O76" i="85" s="1"/>
  <c r="O114" i="82" a="1"/>
  <c r="O114" i="82" s="1"/>
  <c r="O72" i="85" s="1"/>
  <c r="O115" i="82" a="1"/>
  <c r="O115" i="82" s="1"/>
  <c r="O73" i="85" s="1"/>
  <c r="O121" i="82" a="1"/>
  <c r="O121" i="82" s="1"/>
  <c r="O119" i="82" a="1"/>
  <c r="O119" i="82" s="1"/>
  <c r="O116" i="82" a="1"/>
  <c r="O116" i="82" s="1"/>
  <c r="O74" i="85" s="1"/>
  <c r="O70" i="85"/>
  <c r="W77" i="85"/>
  <c r="W78" i="85"/>
  <c r="W79" i="85"/>
  <c r="T79" i="85"/>
  <c r="T77" i="85"/>
  <c r="T78" i="85"/>
  <c r="Q118" i="72" a="1"/>
  <c r="Q118" i="72" s="1"/>
  <c r="Q117" i="72" a="1"/>
  <c r="Q117" i="72" s="1"/>
  <c r="Q114" i="72" a="1"/>
  <c r="Q114" i="72" s="1"/>
  <c r="Q120" i="72" a="1"/>
  <c r="Q120" i="72" s="1"/>
  <c r="Q119" i="72" a="1"/>
  <c r="Q119" i="72" s="1"/>
  <c r="Q115" i="72" a="1"/>
  <c r="Q115" i="72" s="1"/>
  <c r="Q121" i="72" a="1"/>
  <c r="Q121" i="72" s="1"/>
  <c r="Q116" i="72" a="1"/>
  <c r="Q116" i="72" s="1"/>
  <c r="Q42" i="85"/>
  <c r="L115" i="72" a="1"/>
  <c r="L115" i="72" s="1"/>
  <c r="L118" i="72" a="1"/>
  <c r="L118" i="72" s="1"/>
  <c r="L121" i="72" a="1"/>
  <c r="L121" i="72" s="1"/>
  <c r="L116" i="72" a="1"/>
  <c r="L116" i="72" s="1"/>
  <c r="L120" i="72" a="1"/>
  <c r="L120" i="72" s="1"/>
  <c r="L117" i="72" a="1"/>
  <c r="L117" i="72" s="1"/>
  <c r="L114" i="72" a="1"/>
  <c r="L114" i="72" s="1"/>
  <c r="L119" i="72" a="1"/>
  <c r="L119" i="72" s="1"/>
  <c r="L42" i="85"/>
  <c r="Z79" i="85"/>
  <c r="Z77" i="85"/>
  <c r="Z78" i="85"/>
  <c r="P114" i="82" a="1"/>
  <c r="P114" i="82" s="1"/>
  <c r="P72" i="85" s="1"/>
  <c r="P117" i="82" a="1"/>
  <c r="P117" i="82" s="1"/>
  <c r="P75" i="85" s="1"/>
  <c r="P120" i="82" a="1"/>
  <c r="P120" i="82" s="1"/>
  <c r="P118" i="82" a="1"/>
  <c r="P118" i="82" s="1"/>
  <c r="P76" i="85" s="1"/>
  <c r="P115" i="82" a="1"/>
  <c r="P115" i="82" s="1"/>
  <c r="P73" i="85" s="1"/>
  <c r="P121" i="82" a="1"/>
  <c r="P121" i="82" s="1"/>
  <c r="P119" i="82" a="1"/>
  <c r="P119" i="82" s="1"/>
  <c r="P116" i="82" a="1"/>
  <c r="P116" i="82" s="1"/>
  <c r="P74" i="85" s="1"/>
  <c r="P70" i="85"/>
  <c r="J115" i="82" a="1"/>
  <c r="J115" i="82" s="1"/>
  <c r="J73" i="85" s="1"/>
  <c r="J118" i="82" a="1"/>
  <c r="J118" i="82" s="1"/>
  <c r="J76" i="85" s="1"/>
  <c r="J121" i="82" a="1"/>
  <c r="J121" i="82" s="1"/>
  <c r="J114" i="82" a="1"/>
  <c r="J114" i="82" s="1"/>
  <c r="J72" i="85" s="1"/>
  <c r="J117" i="82" a="1"/>
  <c r="J117" i="82" s="1"/>
  <c r="J75" i="85" s="1"/>
  <c r="J116" i="82" a="1"/>
  <c r="J116" i="82" s="1"/>
  <c r="J74" i="85" s="1"/>
  <c r="J119" i="82" a="1"/>
  <c r="J119" i="82" s="1"/>
  <c r="J120" i="82" a="1"/>
  <c r="J120" i="82" s="1"/>
  <c r="J70" i="85"/>
  <c r="I50" i="75"/>
  <c r="I40" i="85" s="1"/>
  <c r="F34" i="75" a="1"/>
  <c r="F34" i="75" s="1"/>
  <c r="F39" i="75" s="1"/>
  <c r="H10" i="33" s="1"/>
  <c r="F48" i="75"/>
  <c r="F53" i="75" s="1"/>
  <c r="H11" i="33" s="1"/>
  <c r="F79" i="75" a="1"/>
  <c r="F79" i="75" s="1"/>
  <c r="F76" i="75"/>
  <c r="F81" i="75" s="1"/>
  <c r="Q110" i="81"/>
  <c r="F66" i="75"/>
  <c r="G12" i="33" s="1"/>
  <c r="F38" i="75"/>
  <c r="G10" i="33" s="1"/>
  <c r="F51" i="75" l="1" a="1"/>
  <c r="F51" i="75" s="1"/>
  <c r="I11" i="33" s="1"/>
  <c r="G18" i="33" s="1"/>
  <c r="F70" i="85"/>
  <c r="F76" i="85"/>
  <c r="J72" i="33" s="1"/>
  <c r="F42" i="85"/>
  <c r="O79" i="85"/>
  <c r="O77" i="85"/>
  <c r="O78" i="85"/>
  <c r="I120" i="73" a="1"/>
  <c r="I120" i="73" s="1"/>
  <c r="I117" i="73" a="1"/>
  <c r="I117" i="73" s="1"/>
  <c r="I61" i="85" s="1"/>
  <c r="I114" i="73" a="1"/>
  <c r="I114" i="73" s="1"/>
  <c r="I58" i="85" s="1"/>
  <c r="I116" i="73" a="1"/>
  <c r="I116" i="73" s="1"/>
  <c r="I60" i="85" s="1"/>
  <c r="I118" i="73" a="1"/>
  <c r="I118" i="73" s="1"/>
  <c r="I62" i="85" s="1"/>
  <c r="I121" i="73" a="1"/>
  <c r="I121" i="73" s="1"/>
  <c r="I119" i="73" a="1"/>
  <c r="I119" i="73" s="1"/>
  <c r="I115" i="73" a="1"/>
  <c r="I115" i="73" s="1"/>
  <c r="I59" i="85" s="1"/>
  <c r="I56" i="85"/>
  <c r="J64" i="85"/>
  <c r="J63" i="85"/>
  <c r="J65" i="85"/>
  <c r="I78" i="85"/>
  <c r="I79" i="85"/>
  <c r="I77" i="85"/>
  <c r="Q78" i="85"/>
  <c r="Q79" i="85"/>
  <c r="Q77" i="85"/>
  <c r="K64" i="85"/>
  <c r="K65" i="85"/>
  <c r="K63" i="85"/>
  <c r="N79" i="85"/>
  <c r="N78" i="85"/>
  <c r="N77" i="85"/>
  <c r="J78" i="85"/>
  <c r="J79" i="85"/>
  <c r="J77" i="85"/>
  <c r="M77" i="85"/>
  <c r="M79" i="85"/>
  <c r="M78" i="85"/>
  <c r="L78" i="85"/>
  <c r="L77" i="85"/>
  <c r="L79" i="85"/>
  <c r="P79" i="85"/>
  <c r="P77" i="85"/>
  <c r="P78" i="85"/>
  <c r="K77" i="85"/>
  <c r="K79" i="85"/>
  <c r="K78" i="85"/>
  <c r="Q117" i="81" a="1"/>
  <c r="Q117" i="81" s="1"/>
  <c r="Q121" i="81" a="1"/>
  <c r="Q121" i="81" s="1"/>
  <c r="Q115" i="81" a="1"/>
  <c r="Q115" i="81" s="1"/>
  <c r="Q114" i="81" a="1"/>
  <c r="Q114" i="81" s="1"/>
  <c r="Q120" i="81" a="1"/>
  <c r="Q120" i="81" s="1"/>
  <c r="Q118" i="81" a="1"/>
  <c r="Q118" i="81" s="1"/>
  <c r="Q119" i="81" a="1"/>
  <c r="Q119" i="81" s="1"/>
  <c r="Q116" i="81" a="1"/>
  <c r="Q116" i="81" s="1"/>
  <c r="F25" i="75"/>
  <c r="H9" i="33" s="1"/>
  <c r="F24" i="75"/>
  <c r="G9" i="33" s="1"/>
  <c r="F37" i="75" a="1"/>
  <c r="F37" i="75" s="1"/>
  <c r="I10" i="33" s="1"/>
  <c r="F16" i="75" a="1"/>
  <c r="F16" i="75" s="1"/>
  <c r="I13" i="33"/>
  <c r="F23" i="75" a="1"/>
  <c r="F23" i="75" s="1"/>
  <c r="I9" i="33" s="1"/>
  <c r="F77" i="85" l="1"/>
  <c r="J73" i="33" s="1"/>
  <c r="I63" i="85"/>
  <c r="I64" i="85"/>
  <c r="I65" i="85"/>
  <c r="F79" i="85"/>
  <c r="F78" i="85"/>
  <c r="F73" i="85"/>
  <c r="F72" i="85"/>
  <c r="F75" i="85"/>
  <c r="F74" i="85"/>
  <c r="F80" i="75"/>
  <c r="G13" i="33" s="1"/>
  <c r="D28" i="85" l="1"/>
  <c r="J67" i="33" l="1"/>
  <c r="J71" i="33"/>
  <c r="J69" i="33"/>
  <c r="J70" i="33"/>
  <c r="J68" i="33"/>
  <c r="B22" i="85" l="1"/>
  <c r="D22" i="85" s="1"/>
  <c r="B21" i="85"/>
  <c r="D21" i="85" s="1"/>
  <c r="G119" i="81"/>
  <c r="B46" i="85"/>
  <c r="D46" i="85" s="1"/>
  <c r="G120" i="81"/>
  <c r="B17" i="85"/>
  <c r="D17" i="85" s="1"/>
  <c r="B36" i="85"/>
  <c r="B19" i="85"/>
  <c r="D19" i="85" s="1"/>
  <c r="B20" i="85"/>
  <c r="D20" i="85" s="1"/>
  <c r="G117" i="81"/>
  <c r="B23" i="85"/>
  <c r="D23" i="85" s="1"/>
  <c r="B18" i="85"/>
  <c r="D18" i="85" s="1"/>
  <c r="B33" i="85"/>
  <c r="B49" i="85"/>
  <c r="D49" i="85" s="1"/>
  <c r="G118" i="81"/>
  <c r="B34" i="85"/>
  <c r="B35" i="85"/>
  <c r="D35" i="85" s="1"/>
  <c r="B51" i="85"/>
  <c r="D51" i="85" s="1"/>
  <c r="G116" i="81"/>
  <c r="G121" i="81"/>
  <c r="B47" i="85"/>
  <c r="D47" i="85" s="1"/>
  <c r="B37" i="85"/>
  <c r="D37" i="85" s="1"/>
  <c r="G115" i="81"/>
  <c r="B31" i="85"/>
  <c r="B32" i="85"/>
  <c r="B16" i="85"/>
  <c r="D16" i="85" s="1"/>
  <c r="H18" i="85" l="1"/>
  <c r="AF18" i="85"/>
  <c r="AE18" i="85"/>
  <c r="AG18" i="85"/>
  <c r="AC18" i="85"/>
  <c r="AD18" i="85"/>
  <c r="Y18" i="85"/>
  <c r="AA18" i="85"/>
  <c r="AB18" i="85"/>
  <c r="S18" i="85"/>
  <c r="N18" i="85"/>
  <c r="T18" i="85"/>
  <c r="Q18" i="85"/>
  <c r="R18" i="85"/>
  <c r="M18" i="85"/>
  <c r="V18" i="85"/>
  <c r="U18" i="85"/>
  <c r="Z18" i="85"/>
  <c r="P18" i="85"/>
  <c r="W18" i="85"/>
  <c r="O18" i="85"/>
  <c r="L18" i="85"/>
  <c r="K18" i="85"/>
  <c r="X18" i="85"/>
  <c r="I18" i="85"/>
  <c r="J18" i="85"/>
  <c r="H23" i="85"/>
  <c r="AE23" i="85"/>
  <c r="AF23" i="85"/>
  <c r="AG23" i="85"/>
  <c r="AD23" i="85"/>
  <c r="AC23" i="85"/>
  <c r="S23" i="85"/>
  <c r="M23" i="85"/>
  <c r="AB23" i="85"/>
  <c r="Y23" i="85"/>
  <c r="Z23" i="85"/>
  <c r="N23" i="85"/>
  <c r="O23" i="85"/>
  <c r="Q23" i="85"/>
  <c r="X23" i="85"/>
  <c r="T23" i="85"/>
  <c r="L23" i="85"/>
  <c r="V23" i="85"/>
  <c r="U23" i="85"/>
  <c r="P23" i="85"/>
  <c r="W23" i="85"/>
  <c r="R23" i="85"/>
  <c r="K23" i="85"/>
  <c r="AA23" i="85"/>
  <c r="I23" i="85"/>
  <c r="J23" i="85"/>
  <c r="H47" i="85"/>
  <c r="AF47" i="85"/>
  <c r="X47" i="85"/>
  <c r="V47" i="85"/>
  <c r="S47" i="85"/>
  <c r="Y47" i="85"/>
  <c r="R47" i="85"/>
  <c r="AA47" i="85"/>
  <c r="T47" i="85"/>
  <c r="AE47" i="85"/>
  <c r="U47" i="85"/>
  <c r="Z47" i="85"/>
  <c r="J47" i="85"/>
  <c r="P47" i="85"/>
  <c r="AG47" i="85"/>
  <c r="K47" i="85"/>
  <c r="W47" i="85"/>
  <c r="AC47" i="85"/>
  <c r="AB47" i="85"/>
  <c r="AD47" i="85"/>
  <c r="L47" i="85"/>
  <c r="M47" i="85"/>
  <c r="I47" i="85"/>
  <c r="N47" i="85"/>
  <c r="Q47" i="85"/>
  <c r="O47" i="85"/>
  <c r="H46" i="85"/>
  <c r="W46" i="85"/>
  <c r="AG46" i="85"/>
  <c r="T46" i="85"/>
  <c r="R46" i="85"/>
  <c r="AE46" i="85"/>
  <c r="Z46" i="85"/>
  <c r="V46" i="85"/>
  <c r="AB46" i="85"/>
  <c r="AA46" i="85"/>
  <c r="AD46" i="85"/>
  <c r="P46" i="85"/>
  <c r="Y46" i="85"/>
  <c r="S46" i="85"/>
  <c r="X46" i="85"/>
  <c r="U46" i="85"/>
  <c r="J46" i="85"/>
  <c r="AC46" i="85"/>
  <c r="K46" i="85"/>
  <c r="AF46" i="85"/>
  <c r="I46" i="85"/>
  <c r="N46" i="85"/>
  <c r="O46" i="85"/>
  <c r="L46" i="85"/>
  <c r="Q46" i="85"/>
  <c r="M46" i="85"/>
  <c r="H20" i="85"/>
  <c r="AF20" i="85"/>
  <c r="AE20" i="85"/>
  <c r="AG20" i="85"/>
  <c r="AD20" i="85"/>
  <c r="AC20" i="85"/>
  <c r="V20" i="85"/>
  <c r="Y20" i="85"/>
  <c r="R20" i="85"/>
  <c r="U20" i="85"/>
  <c r="AA20" i="85"/>
  <c r="M20" i="85"/>
  <c r="X20" i="85"/>
  <c r="L20" i="85"/>
  <c r="T20" i="85"/>
  <c r="O20" i="85"/>
  <c r="S20" i="85"/>
  <c r="Q20" i="85"/>
  <c r="K20" i="85"/>
  <c r="Z20" i="85"/>
  <c r="AB20" i="85"/>
  <c r="N20" i="85"/>
  <c r="W20" i="85"/>
  <c r="P20" i="85"/>
  <c r="I20" i="85"/>
  <c r="J20" i="85"/>
  <c r="H21" i="85"/>
  <c r="AF21" i="85"/>
  <c r="AE21" i="85"/>
  <c r="AG21" i="85"/>
  <c r="AD21" i="85"/>
  <c r="AC21" i="85"/>
  <c r="S21" i="85"/>
  <c r="M21" i="85"/>
  <c r="AB21" i="85"/>
  <c r="Z21" i="85"/>
  <c r="Y21" i="85"/>
  <c r="X21" i="85"/>
  <c r="AA21" i="85"/>
  <c r="T21" i="85"/>
  <c r="Q21" i="85"/>
  <c r="N21" i="85"/>
  <c r="O21" i="85"/>
  <c r="R21" i="85"/>
  <c r="K21" i="85"/>
  <c r="V21" i="85"/>
  <c r="W21" i="85"/>
  <c r="P21" i="85"/>
  <c r="L21" i="85"/>
  <c r="U21" i="85"/>
  <c r="I21" i="85"/>
  <c r="J21" i="85"/>
  <c r="H49" i="85"/>
  <c r="Z49" i="85"/>
  <c r="P49" i="85"/>
  <c r="J49" i="85"/>
  <c r="AD49" i="85"/>
  <c r="T49" i="85"/>
  <c r="AA49" i="85"/>
  <c r="AF49" i="85"/>
  <c r="AE49" i="85"/>
  <c r="AC49" i="85"/>
  <c r="K49" i="85"/>
  <c r="W49" i="85"/>
  <c r="AG49" i="85"/>
  <c r="U49" i="85"/>
  <c r="S49" i="85"/>
  <c r="R49" i="85"/>
  <c r="Y49" i="85"/>
  <c r="V49" i="85"/>
  <c r="AB49" i="85"/>
  <c r="X49" i="85"/>
  <c r="M49" i="85"/>
  <c r="N49" i="85"/>
  <c r="I49" i="85"/>
  <c r="O49" i="85"/>
  <c r="Q49" i="85"/>
  <c r="L49" i="85"/>
  <c r="H16" i="85"/>
  <c r="AE16" i="85"/>
  <c r="AF16" i="85"/>
  <c r="AG16" i="85"/>
  <c r="AD16" i="85"/>
  <c r="AC16" i="85"/>
  <c r="X16" i="85"/>
  <c r="R16" i="85"/>
  <c r="L16" i="85"/>
  <c r="Q16" i="85"/>
  <c r="S16" i="85"/>
  <c r="W16" i="85"/>
  <c r="M16" i="85"/>
  <c r="V16" i="85"/>
  <c r="K16" i="85"/>
  <c r="Z16" i="85"/>
  <c r="Y16" i="85"/>
  <c r="AB16" i="85"/>
  <c r="P16" i="85"/>
  <c r="AA16" i="85"/>
  <c r="O16" i="85"/>
  <c r="T16" i="85"/>
  <c r="U16" i="85"/>
  <c r="N16" i="85"/>
  <c r="I16" i="85"/>
  <c r="J16" i="85"/>
  <c r="H19" i="85"/>
  <c r="AF19" i="85"/>
  <c r="AE19" i="85"/>
  <c r="AG19" i="85"/>
  <c r="AD19" i="85"/>
  <c r="AC19" i="85"/>
  <c r="Q19" i="85"/>
  <c r="W19" i="85"/>
  <c r="U19" i="85"/>
  <c r="L19" i="85"/>
  <c r="AA19" i="85"/>
  <c r="T19" i="85"/>
  <c r="X19" i="85"/>
  <c r="Y19" i="85"/>
  <c r="V19" i="85"/>
  <c r="K19" i="85"/>
  <c r="M19" i="85"/>
  <c r="R19" i="85"/>
  <c r="P19" i="85"/>
  <c r="O19" i="85"/>
  <c r="S19" i="85"/>
  <c r="Z19" i="85"/>
  <c r="N19" i="85"/>
  <c r="AB19" i="85"/>
  <c r="I19" i="85"/>
  <c r="J19" i="85"/>
  <c r="H51" i="85"/>
  <c r="AF51" i="85"/>
  <c r="AB51" i="85"/>
  <c r="J51" i="85"/>
  <c r="Z51" i="85"/>
  <c r="X51" i="85"/>
  <c r="AA51" i="85"/>
  <c r="R51" i="85"/>
  <c r="T51" i="85"/>
  <c r="AD51" i="85"/>
  <c r="Y51" i="85"/>
  <c r="V51" i="85"/>
  <c r="AE51" i="85"/>
  <c r="P51" i="85"/>
  <c r="U51" i="85"/>
  <c r="AG51" i="85"/>
  <c r="AC51" i="85"/>
  <c r="K51" i="85"/>
  <c r="W51" i="85"/>
  <c r="S51" i="85"/>
  <c r="N51" i="85"/>
  <c r="L51" i="85"/>
  <c r="I51" i="85"/>
  <c r="O51" i="85"/>
  <c r="Q51" i="85"/>
  <c r="M51" i="85"/>
  <c r="H17" i="85"/>
  <c r="AF17" i="85"/>
  <c r="AE17" i="85"/>
  <c r="AG17" i="85"/>
  <c r="AD17" i="85"/>
  <c r="AC17" i="85"/>
  <c r="V17" i="85"/>
  <c r="O17" i="85"/>
  <c r="X17" i="85"/>
  <c r="W17" i="85"/>
  <c r="N17" i="85"/>
  <c r="Z17" i="85"/>
  <c r="S17" i="85"/>
  <c r="AB17" i="85"/>
  <c r="Y17" i="85"/>
  <c r="K17" i="85"/>
  <c r="L17" i="85"/>
  <c r="M17" i="85"/>
  <c r="T17" i="85"/>
  <c r="U17" i="85"/>
  <c r="Q17" i="85"/>
  <c r="R17" i="85"/>
  <c r="P17" i="85"/>
  <c r="AA17" i="85"/>
  <c r="J17" i="85"/>
  <c r="I17" i="85"/>
  <c r="H22" i="85"/>
  <c r="AF22" i="85"/>
  <c r="AE22" i="85"/>
  <c r="AG22" i="85"/>
  <c r="AD22" i="85"/>
  <c r="AC22" i="85"/>
  <c r="Z22" i="85"/>
  <c r="Y22" i="85"/>
  <c r="AB22" i="85"/>
  <c r="N22" i="85"/>
  <c r="O22" i="85"/>
  <c r="X22" i="85"/>
  <c r="AA22" i="85"/>
  <c r="Q22" i="85"/>
  <c r="R22" i="85"/>
  <c r="W22" i="85"/>
  <c r="V22" i="85"/>
  <c r="T22" i="85"/>
  <c r="M22" i="85"/>
  <c r="P22" i="85"/>
  <c r="K22" i="85"/>
  <c r="L22" i="85"/>
  <c r="S22" i="85"/>
  <c r="U22" i="85"/>
  <c r="I22" i="85"/>
  <c r="J22" i="85"/>
  <c r="B45" i="85"/>
  <c r="D45" i="85" s="1"/>
  <c r="B50" i="85"/>
  <c r="D50" i="85" s="1"/>
  <c r="D33" i="85"/>
  <c r="G114" i="81"/>
  <c r="N37" i="85" s="1"/>
  <c r="B30" i="85"/>
  <c r="B48" i="85"/>
  <c r="D48" i="85" s="1"/>
  <c r="B44" i="85"/>
  <c r="D44" i="85" s="1"/>
  <c r="D31" i="85"/>
  <c r="D32" i="85"/>
  <c r="D34" i="85"/>
  <c r="D36" i="85"/>
  <c r="V35" i="85" l="1"/>
  <c r="AE37" i="85"/>
  <c r="AA35" i="85"/>
  <c r="AA36" i="85"/>
  <c r="L37" i="85"/>
  <c r="T37" i="85"/>
  <c r="AF35" i="85"/>
  <c r="W32" i="85"/>
  <c r="O33" i="85"/>
  <c r="AG37" i="85"/>
  <c r="Q35" i="85"/>
  <c r="O35" i="85"/>
  <c r="H35" i="85"/>
  <c r="R37" i="85"/>
  <c r="AB35" i="85"/>
  <c r="V37" i="85"/>
  <c r="K35" i="85"/>
  <c r="H37" i="85"/>
  <c r="S35" i="85"/>
  <c r="T35" i="85"/>
  <c r="AC35" i="85"/>
  <c r="Q37" i="85"/>
  <c r="P35" i="85"/>
  <c r="K34" i="85"/>
  <c r="K37" i="85"/>
  <c r="U35" i="85"/>
  <c r="AE35" i="85"/>
  <c r="N31" i="85"/>
  <c r="Z36" i="85"/>
  <c r="AB36" i="85"/>
  <c r="X35" i="85"/>
  <c r="Y35" i="85"/>
  <c r="J35" i="85"/>
  <c r="F20" i="85"/>
  <c r="C95" i="85" s="1"/>
  <c r="F72" i="33" s="1"/>
  <c r="U36" i="85"/>
  <c r="F22" i="85"/>
  <c r="J31" i="85"/>
  <c r="Q36" i="85"/>
  <c r="F51" i="85"/>
  <c r="F47" i="85"/>
  <c r="U32" i="85"/>
  <c r="F16" i="85"/>
  <c r="C91" i="85" s="1"/>
  <c r="F68" i="33" s="1"/>
  <c r="F49" i="85"/>
  <c r="J32" i="85"/>
  <c r="F46" i="85"/>
  <c r="F17" i="85"/>
  <c r="C92" i="85" s="1"/>
  <c r="F69" i="33" s="1"/>
  <c r="R34" i="85"/>
  <c r="P34" i="85"/>
  <c r="H50" i="85"/>
  <c r="X50" i="85"/>
  <c r="K50" i="85"/>
  <c r="AC50" i="85"/>
  <c r="AD50" i="85"/>
  <c r="V50" i="85"/>
  <c r="AG50" i="85"/>
  <c r="Z50" i="85"/>
  <c r="AE50" i="85"/>
  <c r="AF50" i="85"/>
  <c r="P50" i="85"/>
  <c r="U50" i="85"/>
  <c r="J50" i="85"/>
  <c r="AA50" i="85"/>
  <c r="R50" i="85"/>
  <c r="W50" i="85"/>
  <c r="S50" i="85"/>
  <c r="T50" i="85"/>
  <c r="Y50" i="85"/>
  <c r="AB50" i="85"/>
  <c r="Q50" i="85"/>
  <c r="I50" i="85"/>
  <c r="N50" i="85"/>
  <c r="L50" i="85"/>
  <c r="O50" i="85"/>
  <c r="M50" i="85"/>
  <c r="H48" i="85"/>
  <c r="W48" i="85"/>
  <c r="AF48" i="85"/>
  <c r="J48" i="85"/>
  <c r="AA48" i="85"/>
  <c r="AC48" i="85"/>
  <c r="U48" i="85"/>
  <c r="R48" i="85"/>
  <c r="AE48" i="85"/>
  <c r="S48" i="85"/>
  <c r="Z48" i="85"/>
  <c r="AB48" i="85"/>
  <c r="P48" i="85"/>
  <c r="AD48" i="85"/>
  <c r="AG48" i="85"/>
  <c r="K48" i="85"/>
  <c r="X48" i="85"/>
  <c r="V48" i="85"/>
  <c r="T48" i="85"/>
  <c r="Y48" i="85"/>
  <c r="N48" i="85"/>
  <c r="M48" i="85"/>
  <c r="Q48" i="85"/>
  <c r="O48" i="85"/>
  <c r="I48" i="85"/>
  <c r="L48" i="85"/>
  <c r="N34" i="85"/>
  <c r="H44" i="85"/>
  <c r="J44" i="85"/>
  <c r="U44" i="85"/>
  <c r="AD44" i="85"/>
  <c r="R44" i="85"/>
  <c r="AA44" i="85"/>
  <c r="AE44" i="85"/>
  <c r="Z44" i="85"/>
  <c r="S44" i="85"/>
  <c r="T44" i="85"/>
  <c r="AB44" i="85"/>
  <c r="AF44" i="85"/>
  <c r="AC44" i="85"/>
  <c r="K44" i="85"/>
  <c r="AG44" i="85"/>
  <c r="P44" i="85"/>
  <c r="X44" i="85"/>
  <c r="W44" i="85"/>
  <c r="V44" i="85"/>
  <c r="Y44" i="85"/>
  <c r="I44" i="85"/>
  <c r="N44" i="85"/>
  <c r="O44" i="85"/>
  <c r="L44" i="85"/>
  <c r="Q44" i="85"/>
  <c r="M44" i="85"/>
  <c r="AE34" i="85"/>
  <c r="W34" i="85"/>
  <c r="H45" i="85"/>
  <c r="W45" i="85"/>
  <c r="P45" i="85"/>
  <c r="AC45" i="85"/>
  <c r="R45" i="85"/>
  <c r="AE45" i="85"/>
  <c r="T45" i="85"/>
  <c r="U45" i="85"/>
  <c r="AG45" i="85"/>
  <c r="Y45" i="85"/>
  <c r="AB45" i="85"/>
  <c r="K45" i="85"/>
  <c r="Z45" i="85"/>
  <c r="AA45" i="85"/>
  <c r="V45" i="85"/>
  <c r="X45" i="85"/>
  <c r="AD45" i="85"/>
  <c r="AF45" i="85"/>
  <c r="S45" i="85"/>
  <c r="Q45" i="85"/>
  <c r="J45" i="85"/>
  <c r="O45" i="85"/>
  <c r="M45" i="85"/>
  <c r="L45" i="85"/>
  <c r="I45" i="85"/>
  <c r="N45" i="85"/>
  <c r="Q34" i="85"/>
  <c r="X36" i="85"/>
  <c r="O32" i="85"/>
  <c r="M32" i="85"/>
  <c r="AB32" i="85"/>
  <c r="AF36" i="85"/>
  <c r="AC34" i="85"/>
  <c r="AF34" i="85"/>
  <c r="H32" i="85"/>
  <c r="H74" i="33"/>
  <c r="H73" i="33"/>
  <c r="H75" i="33"/>
  <c r="T34" i="85"/>
  <c r="N33" i="85"/>
  <c r="I34" i="85"/>
  <c r="V32" i="85"/>
  <c r="AF32" i="85"/>
  <c r="S31" i="85"/>
  <c r="Y34" i="85"/>
  <c r="X32" i="85"/>
  <c r="L34" i="85"/>
  <c r="U34" i="85"/>
  <c r="AD34" i="85"/>
  <c r="I32" i="85"/>
  <c r="R32" i="85"/>
  <c r="U31" i="85"/>
  <c r="L35" i="85"/>
  <c r="AG35" i="85"/>
  <c r="I35" i="85"/>
  <c r="H31" i="85"/>
  <c r="T31" i="85"/>
  <c r="Y33" i="85"/>
  <c r="X31" i="85"/>
  <c r="K31" i="85"/>
  <c r="M35" i="85"/>
  <c r="AB33" i="85"/>
  <c r="AA33" i="85"/>
  <c r="AE31" i="85"/>
  <c r="Z33" i="85"/>
  <c r="U33" i="85"/>
  <c r="AG33" i="85"/>
  <c r="M31" i="85"/>
  <c r="F23" i="85"/>
  <c r="Q33" i="85"/>
  <c r="V33" i="85"/>
  <c r="W31" i="85"/>
  <c r="I31" i="85"/>
  <c r="AD31" i="85"/>
  <c r="V31" i="85"/>
  <c r="Z31" i="85"/>
  <c r="R31" i="85"/>
  <c r="Q31" i="85"/>
  <c r="L31" i="85"/>
  <c r="P31" i="85"/>
  <c r="Y31" i="85"/>
  <c r="P33" i="85"/>
  <c r="H34" i="85"/>
  <c r="AC31" i="85"/>
  <c r="Q32" i="85"/>
  <c r="L32" i="85"/>
  <c r="AE32" i="85"/>
  <c r="Z32" i="85"/>
  <c r="K32" i="85"/>
  <c r="AD32" i="85"/>
  <c r="T32" i="85"/>
  <c r="AA32" i="85"/>
  <c r="Y32" i="85"/>
  <c r="P32" i="85"/>
  <c r="S32" i="85"/>
  <c r="X33" i="85"/>
  <c r="O36" i="85"/>
  <c r="AC36" i="85"/>
  <c r="S36" i="85"/>
  <c r="AG36" i="85"/>
  <c r="H36" i="85"/>
  <c r="AD36" i="85"/>
  <c r="L36" i="85"/>
  <c r="R36" i="85"/>
  <c r="M36" i="85"/>
  <c r="Y36" i="85"/>
  <c r="I36" i="85"/>
  <c r="F19" i="85"/>
  <c r="P37" i="85"/>
  <c r="AA31" i="85"/>
  <c r="AA37" i="85"/>
  <c r="O34" i="85"/>
  <c r="N32" i="85"/>
  <c r="J36" i="85"/>
  <c r="AF37" i="85"/>
  <c r="R33" i="85"/>
  <c r="AE33" i="85"/>
  <c r="T33" i="85"/>
  <c r="F18" i="85"/>
  <c r="AD33" i="85"/>
  <c r="L33" i="85"/>
  <c r="AC33" i="85"/>
  <c r="X34" i="85"/>
  <c r="AC32" i="85"/>
  <c r="AA34" i="85"/>
  <c r="P36" i="85"/>
  <c r="M37" i="85"/>
  <c r="W37" i="85"/>
  <c r="AF33" i="85"/>
  <c r="I33" i="85"/>
  <c r="W33" i="85"/>
  <c r="S34" i="85"/>
  <c r="J34" i="85"/>
  <c r="V34" i="85"/>
  <c r="Z34" i="85"/>
  <c r="N36" i="85"/>
  <c r="AG34" i="85"/>
  <c r="D30" i="85"/>
  <c r="W30" i="85" s="1"/>
  <c r="AG31" i="85"/>
  <c r="K36" i="85"/>
  <c r="R35" i="85"/>
  <c r="V36" i="85"/>
  <c r="AE36" i="85"/>
  <c r="O31" i="85"/>
  <c r="H33" i="85"/>
  <c r="S33" i="85"/>
  <c r="J33" i="85"/>
  <c r="K33" i="85"/>
  <c r="M33" i="85"/>
  <c r="M34" i="85"/>
  <c r="U28" i="85"/>
  <c r="Z37" i="85"/>
  <c r="AF28" i="85"/>
  <c r="Z28" i="85"/>
  <c r="J28" i="85"/>
  <c r="Q28" i="85"/>
  <c r="S28" i="85"/>
  <c r="I28" i="85"/>
  <c r="AC37" i="85"/>
  <c r="W28" i="85"/>
  <c r="AD28" i="85"/>
  <c r="O28" i="85"/>
  <c r="H28" i="85"/>
  <c r="AC28" i="85"/>
  <c r="AB28" i="85"/>
  <c r="AA28" i="85"/>
  <c r="K28" i="85"/>
  <c r="N28" i="85"/>
  <c r="Y37" i="85"/>
  <c r="R28" i="85"/>
  <c r="P28" i="85"/>
  <c r="AG28" i="85"/>
  <c r="J37" i="85"/>
  <c r="V28" i="85"/>
  <c r="O37" i="85"/>
  <c r="U37" i="85"/>
  <c r="M28" i="85"/>
  <c r="AE28" i="85"/>
  <c r="I37" i="85"/>
  <c r="AD37" i="85"/>
  <c r="AD35" i="85"/>
  <c r="N35" i="85"/>
  <c r="L28" i="85"/>
  <c r="X37" i="85"/>
  <c r="T28" i="85"/>
  <c r="AB37" i="85"/>
  <c r="S37" i="85"/>
  <c r="Y28" i="85"/>
  <c r="X28" i="85"/>
  <c r="AB31" i="85"/>
  <c r="AB34" i="85"/>
  <c r="W35" i="85"/>
  <c r="T36" i="85"/>
  <c r="W36" i="85"/>
  <c r="AF31" i="85"/>
  <c r="AG32" i="85"/>
  <c r="F21" i="85"/>
  <c r="Z35" i="85"/>
  <c r="F44" i="85" l="1"/>
  <c r="E91" i="85" s="1"/>
  <c r="H68" i="33" s="1"/>
  <c r="F45" i="85"/>
  <c r="E92" i="85" s="1"/>
  <c r="H69" i="33" s="1"/>
  <c r="F50" i="85"/>
  <c r="F48" i="85"/>
  <c r="E95" i="85" s="1"/>
  <c r="H72" i="33" s="1"/>
  <c r="E90" i="85"/>
  <c r="H67" i="33" s="1"/>
  <c r="E94" i="85"/>
  <c r="H71" i="33" s="1"/>
  <c r="E93" i="85"/>
  <c r="H70" i="33" s="1"/>
  <c r="C94" i="85"/>
  <c r="F71" i="33" s="1"/>
  <c r="C93" i="85"/>
  <c r="F70" i="33" s="1"/>
  <c r="F28" i="85"/>
  <c r="F32" i="85"/>
  <c r="D93" i="85" s="1"/>
  <c r="F37" i="85"/>
  <c r="F35" i="85"/>
  <c r="AD30" i="85"/>
  <c r="V30" i="85"/>
  <c r="Q30" i="85"/>
  <c r="AF30" i="85"/>
  <c r="O30" i="85"/>
  <c r="F36" i="85"/>
  <c r="J30" i="85"/>
  <c r="K30" i="85"/>
  <c r="S30" i="85"/>
  <c r="AA30" i="85"/>
  <c r="P30" i="85"/>
  <c r="R30" i="85"/>
  <c r="AC30" i="85"/>
  <c r="F33" i="85"/>
  <c r="D94" i="85" s="1"/>
  <c r="X30" i="85"/>
  <c r="AG30" i="85"/>
  <c r="I30" i="85"/>
  <c r="Z30" i="85"/>
  <c r="T30" i="85"/>
  <c r="U30" i="85"/>
  <c r="H30" i="85"/>
  <c r="M30" i="85"/>
  <c r="F34" i="85"/>
  <c r="D95" i="85" s="1"/>
  <c r="Y30" i="85"/>
  <c r="L30" i="85"/>
  <c r="AB30" i="85"/>
  <c r="AE30" i="85"/>
  <c r="N30" i="85"/>
  <c r="F31" i="85"/>
  <c r="D92" i="85" s="1"/>
  <c r="D90" i="85" l="1"/>
  <c r="G67" i="33" s="1"/>
  <c r="G72" i="33"/>
  <c r="G69" i="33"/>
  <c r="G71" i="33"/>
  <c r="G70" i="33"/>
  <c r="F30" i="85"/>
  <c r="D91" i="85" s="1"/>
  <c r="G68" i="33" l="1"/>
  <c r="G75" i="33"/>
  <c r="I98" i="85"/>
  <c r="K98" i="85" s="1"/>
  <c r="L75" i="33" s="1"/>
  <c r="G73" i="33"/>
  <c r="I96" i="85"/>
  <c r="K96" i="85" s="1"/>
  <c r="L73" i="33" s="1"/>
  <c r="G74" i="33"/>
  <c r="I97" i="85"/>
  <c r="I73" i="33" l="1"/>
  <c r="AE31" i="73"/>
  <c r="AE32" i="73" s="1"/>
  <c r="AE56" i="75" s="1"/>
  <c r="Z31" i="73"/>
  <c r="Z32" i="73" s="1"/>
  <c r="T31" i="73"/>
  <c r="T32" i="73" s="1"/>
  <c r="AA31" i="73"/>
  <c r="AA32" i="73" s="1"/>
  <c r="Q31" i="73"/>
  <c r="Q32" i="73" s="1"/>
  <c r="Q56" i="75" s="1"/>
  <c r="AG31" i="73" l="1"/>
  <c r="AG32" i="73" s="1"/>
  <c r="AB31" i="73"/>
  <c r="AB32" i="73" s="1"/>
  <c r="AB40" i="73" s="1"/>
  <c r="AD31" i="73"/>
  <c r="AD32" i="73" s="1"/>
  <c r="AD56" i="75" s="1"/>
  <c r="L31" i="73"/>
  <c r="L32" i="73" s="1"/>
  <c r="P31" i="73"/>
  <c r="P32" i="73" s="1"/>
  <c r="P56" i="75" s="1"/>
  <c r="R31" i="73"/>
  <c r="R32" i="73" s="1"/>
  <c r="R56" i="75" s="1"/>
  <c r="O31" i="73"/>
  <c r="O32" i="73" s="1"/>
  <c r="O40" i="73" s="1"/>
  <c r="O58" i="75" s="1"/>
  <c r="AF31" i="73"/>
  <c r="AF32" i="73" s="1"/>
  <c r="AF40" i="73" s="1"/>
  <c r="AC31" i="73"/>
  <c r="AC32" i="73" s="1"/>
  <c r="AC40" i="73" s="1"/>
  <c r="U31" i="73"/>
  <c r="U32" i="73" s="1"/>
  <c r="U40" i="73" s="1"/>
  <c r="M31" i="73"/>
  <c r="M32" i="73" s="1"/>
  <c r="M56" i="75" s="1"/>
  <c r="W31" i="73"/>
  <c r="W32" i="73" s="1"/>
  <c r="W56" i="75" s="1"/>
  <c r="U56" i="75"/>
  <c r="S31" i="73"/>
  <c r="S32" i="73" s="1"/>
  <c r="S40" i="73" s="1"/>
  <c r="N31" i="73"/>
  <c r="N32" i="73" s="1"/>
  <c r="N56" i="75" s="1"/>
  <c r="T56" i="75"/>
  <c r="T40" i="73"/>
  <c r="AB56" i="75"/>
  <c r="AA56" i="75"/>
  <c r="AA40" i="73"/>
  <c r="AG40" i="73"/>
  <c r="AG56" i="75"/>
  <c r="Z56" i="75"/>
  <c r="Z40" i="73"/>
  <c r="Q40" i="73"/>
  <c r="V31" i="73"/>
  <c r="V32" i="73" s="1"/>
  <c r="Y31" i="73"/>
  <c r="Y32" i="73" s="1"/>
  <c r="X31" i="73"/>
  <c r="X32" i="73" s="1"/>
  <c r="AE40" i="73"/>
  <c r="AD40" i="73" l="1"/>
  <c r="AF56" i="75"/>
  <c r="AC56" i="75"/>
  <c r="R40" i="73"/>
  <c r="P40" i="73"/>
  <c r="P68" i="73" s="1"/>
  <c r="P88" i="73" s="1"/>
  <c r="O56" i="75"/>
  <c r="O68" i="73"/>
  <c r="O88" i="73" s="1"/>
  <c r="O62" i="75" s="1"/>
  <c r="O64" i="75" s="1"/>
  <c r="S56" i="75"/>
  <c r="M40" i="73"/>
  <c r="M58" i="75" s="1"/>
  <c r="N40" i="73"/>
  <c r="N58" i="75" s="1"/>
  <c r="U58" i="75"/>
  <c r="U68" i="73"/>
  <c r="U88" i="73" s="1"/>
  <c r="U62" i="75" s="1"/>
  <c r="U64" i="75" s="1"/>
  <c r="W40" i="73"/>
  <c r="W58" i="75" s="1"/>
  <c r="V56" i="75"/>
  <c r="V40" i="73"/>
  <c r="R58" i="75"/>
  <c r="R68" i="73"/>
  <c r="R88" i="73" s="1"/>
  <c r="T58" i="75"/>
  <c r="T68" i="73"/>
  <c r="T88" i="73" s="1"/>
  <c r="AF58" i="75"/>
  <c r="AF68" i="73"/>
  <c r="AF88" i="73" s="1"/>
  <c r="Y56" i="75"/>
  <c r="Y40" i="73"/>
  <c r="Z58" i="75"/>
  <c r="Z68" i="73"/>
  <c r="Z88" i="73" s="1"/>
  <c r="AD58" i="75"/>
  <c r="AD68" i="73"/>
  <c r="AD88" i="73" s="1"/>
  <c r="AB68" i="73"/>
  <c r="AB88" i="73" s="1"/>
  <c r="AB58" i="75"/>
  <c r="Q58" i="75"/>
  <c r="Q68" i="73"/>
  <c r="Q88" i="73" s="1"/>
  <c r="L56" i="75"/>
  <c r="L40" i="73"/>
  <c r="F32" i="73"/>
  <c r="S58" i="75"/>
  <c r="S68" i="73"/>
  <c r="S88" i="73" s="1"/>
  <c r="AA58" i="75"/>
  <c r="AA68" i="73"/>
  <c r="AA88" i="73" s="1"/>
  <c r="AE58" i="75"/>
  <c r="AE68" i="73"/>
  <c r="AE88" i="73" s="1"/>
  <c r="X56" i="75"/>
  <c r="X40" i="73"/>
  <c r="AG58" i="75"/>
  <c r="AG68" i="73"/>
  <c r="AG88" i="73" s="1"/>
  <c r="AC58" i="75"/>
  <c r="AC68" i="73"/>
  <c r="AC88" i="73" s="1"/>
  <c r="P58" i="75" l="1"/>
  <c r="W68" i="73"/>
  <c r="W88" i="73" s="1"/>
  <c r="W112" i="73" s="1"/>
  <c r="M68" i="73"/>
  <c r="M88" i="73" s="1"/>
  <c r="M112" i="73" s="1"/>
  <c r="O112" i="73"/>
  <c r="N68" i="73"/>
  <c r="N88" i="73" s="1"/>
  <c r="N62" i="75" s="1"/>
  <c r="N64" i="75" s="1"/>
  <c r="O91" i="73"/>
  <c r="O110" i="73" s="1"/>
  <c r="U91" i="73"/>
  <c r="U110" i="73" s="1"/>
  <c r="U112" i="73"/>
  <c r="X68" i="73"/>
  <c r="X88" i="73" s="1"/>
  <c r="X58" i="75"/>
  <c r="AD112" i="73"/>
  <c r="AD62" i="75"/>
  <c r="AD64" i="75" s="1"/>
  <c r="AD91" i="73"/>
  <c r="AD110" i="73" s="1"/>
  <c r="S112" i="73"/>
  <c r="S62" i="75"/>
  <c r="S64" i="75" s="1"/>
  <c r="S91" i="73"/>
  <c r="S110" i="73" s="1"/>
  <c r="L58" i="75"/>
  <c r="L68" i="73"/>
  <c r="L88" i="73" s="1"/>
  <c r="Z112" i="73"/>
  <c r="Z62" i="75"/>
  <c r="Z64" i="75" s="1"/>
  <c r="Z91" i="73"/>
  <c r="Z110" i="73" s="1"/>
  <c r="AF62" i="75"/>
  <c r="AF64" i="75" s="1"/>
  <c r="AF91" i="73"/>
  <c r="AF110" i="73" s="1"/>
  <c r="AF112" i="73"/>
  <c r="AB112" i="73"/>
  <c r="AB62" i="75"/>
  <c r="AB64" i="75" s="1"/>
  <c r="AB91" i="73"/>
  <c r="AB110" i="73" s="1"/>
  <c r="AG112" i="73"/>
  <c r="AG62" i="75"/>
  <c r="AG64" i="75" s="1"/>
  <c r="AG91" i="73"/>
  <c r="AG110" i="73" s="1"/>
  <c r="F56" i="75"/>
  <c r="R62" i="75"/>
  <c r="R64" i="75" s="1"/>
  <c r="R112" i="73"/>
  <c r="R91" i="73"/>
  <c r="R110" i="73" s="1"/>
  <c r="AC112" i="73"/>
  <c r="AC62" i="75"/>
  <c r="AC64" i="75" s="1"/>
  <c r="AC91" i="73"/>
  <c r="AC110" i="73" s="1"/>
  <c r="P112" i="73"/>
  <c r="P62" i="75"/>
  <c r="P64" i="75" s="1"/>
  <c r="P91" i="73"/>
  <c r="P110" i="73" s="1"/>
  <c r="AA112" i="73"/>
  <c r="AA62" i="75"/>
  <c r="AA64" i="75" s="1"/>
  <c r="AA91" i="73"/>
  <c r="AA110" i="73" s="1"/>
  <c r="V58" i="75"/>
  <c r="V68" i="73"/>
  <c r="V88" i="73" s="1"/>
  <c r="AE112" i="73"/>
  <c r="AE91" i="73"/>
  <c r="AE110" i="73" s="1"/>
  <c r="AE62" i="75"/>
  <c r="AE64" i="75" s="1"/>
  <c r="Q62" i="75"/>
  <c r="Q64" i="75" s="1"/>
  <c r="Q112" i="73"/>
  <c r="Q91" i="73"/>
  <c r="Q110" i="73" s="1"/>
  <c r="Y58" i="75"/>
  <c r="Y68" i="73"/>
  <c r="Y88" i="73" s="1"/>
  <c r="T112" i="73"/>
  <c r="T62" i="75"/>
  <c r="T64" i="75" s="1"/>
  <c r="T91" i="73"/>
  <c r="T110" i="73" s="1"/>
  <c r="M91" i="73" l="1"/>
  <c r="M110" i="73" s="1"/>
  <c r="W91" i="73"/>
  <c r="W110" i="73" s="1"/>
  <c r="W118" i="73" s="1" a="1"/>
  <c r="W118" i="73" s="1"/>
  <c r="W62" i="85" s="1"/>
  <c r="W62" i="75"/>
  <c r="W64" i="75" s="1"/>
  <c r="M62" i="75"/>
  <c r="M64" i="75" s="1"/>
  <c r="O115" i="73" a="1"/>
  <c r="O115" i="73" s="1"/>
  <c r="O59" i="85" s="1"/>
  <c r="O117" i="73" a="1"/>
  <c r="O117" i="73" s="1"/>
  <c r="O61" i="85" s="1"/>
  <c r="O116" i="73" a="1"/>
  <c r="O116" i="73" s="1"/>
  <c r="O60" i="85" s="1"/>
  <c r="O120" i="73" a="1"/>
  <c r="O120" i="73" s="1"/>
  <c r="O121" i="73" a="1"/>
  <c r="O121" i="73" s="1"/>
  <c r="U115" i="73" a="1"/>
  <c r="U115" i="73" s="1"/>
  <c r="U59" i="85" s="1"/>
  <c r="O118" i="73" a="1"/>
  <c r="O118" i="73" s="1"/>
  <c r="O62" i="85" s="1"/>
  <c r="U117" i="73" a="1"/>
  <c r="U117" i="73" s="1"/>
  <c r="U61" i="85" s="1"/>
  <c r="U118" i="73" a="1"/>
  <c r="U118" i="73" s="1"/>
  <c r="U62" i="85" s="1"/>
  <c r="N91" i="73"/>
  <c r="N110" i="73" s="1"/>
  <c r="U56" i="85"/>
  <c r="N112" i="73"/>
  <c r="U120" i="73" a="1"/>
  <c r="U120" i="73" s="1"/>
  <c r="U121" i="73" a="1"/>
  <c r="U121" i="73" s="1"/>
  <c r="U114" i="73" a="1"/>
  <c r="U114" i="73" s="1"/>
  <c r="U58" i="85" s="1"/>
  <c r="U116" i="73" a="1"/>
  <c r="U116" i="73" s="1"/>
  <c r="U60" i="85" s="1"/>
  <c r="O56" i="85"/>
  <c r="O119" i="73" a="1"/>
  <c r="O119" i="73" s="1"/>
  <c r="O64" i="85" s="1"/>
  <c r="U119" i="73" a="1"/>
  <c r="U119" i="73" s="1"/>
  <c r="U64" i="85" s="1"/>
  <c r="O114" i="73" a="1"/>
  <c r="O114" i="73" s="1"/>
  <c r="O58" i="85" s="1"/>
  <c r="F58" i="75"/>
  <c r="W56" i="85"/>
  <c r="W120" i="73" a="1"/>
  <c r="W120" i="73" s="1"/>
  <c r="W119" i="73" a="1"/>
  <c r="W119" i="73" s="1"/>
  <c r="V112" i="73"/>
  <c r="V62" i="75"/>
  <c r="V64" i="75" s="1"/>
  <c r="V91" i="73"/>
  <c r="V110" i="73" s="1"/>
  <c r="S114" i="73" a="1"/>
  <c r="S114" i="73" s="1"/>
  <c r="S58" i="85" s="1"/>
  <c r="S117" i="73" a="1"/>
  <c r="S117" i="73" s="1"/>
  <c r="S61" i="85" s="1"/>
  <c r="S115" i="73" a="1"/>
  <c r="S115" i="73" s="1"/>
  <c r="S59" i="85" s="1"/>
  <c r="S56" i="85"/>
  <c r="S121" i="73" a="1"/>
  <c r="S121" i="73" s="1"/>
  <c r="S116" i="73" a="1"/>
  <c r="S116" i="73" s="1"/>
  <c r="S60" i="85" s="1"/>
  <c r="S120" i="73" a="1"/>
  <c r="S120" i="73" s="1"/>
  <c r="S118" i="73" a="1"/>
  <c r="S118" i="73" s="1"/>
  <c r="S62" i="85" s="1"/>
  <c r="S119" i="73" a="1"/>
  <c r="S119" i="73" s="1"/>
  <c r="AF116" i="73" a="1"/>
  <c r="AF116" i="73" s="1"/>
  <c r="AF60" i="85" s="1"/>
  <c r="AF117" i="73" a="1"/>
  <c r="AF117" i="73" s="1"/>
  <c r="AF61" i="85" s="1"/>
  <c r="AF121" i="73" a="1"/>
  <c r="AF121" i="73" s="1"/>
  <c r="AF56" i="85"/>
  <c r="AF115" i="73" a="1"/>
  <c r="AF115" i="73" s="1"/>
  <c r="AF59" i="85" s="1"/>
  <c r="AF120" i="73" a="1"/>
  <c r="AF120" i="73" s="1"/>
  <c r="AF114" i="73" a="1"/>
  <c r="AF114" i="73" s="1"/>
  <c r="AF58" i="85" s="1"/>
  <c r="AF119" i="73" a="1"/>
  <c r="AF119" i="73" s="1"/>
  <c r="AF118" i="73" a="1"/>
  <c r="AF118" i="73" s="1"/>
  <c r="AF62" i="85" s="1"/>
  <c r="Y112" i="73"/>
  <c r="Y62" i="75"/>
  <c r="Y64" i="75" s="1"/>
  <c r="Y91" i="73"/>
  <c r="Y110" i="73" s="1"/>
  <c r="Q116" i="73" a="1"/>
  <c r="Q116" i="73" s="1"/>
  <c r="Q60" i="85" s="1"/>
  <c r="Q117" i="73" a="1"/>
  <c r="Q117" i="73" s="1"/>
  <c r="Q61" i="85" s="1"/>
  <c r="Q115" i="73" a="1"/>
  <c r="Q115" i="73" s="1"/>
  <c r="Q59" i="85" s="1"/>
  <c r="Q120" i="73" a="1"/>
  <c r="Q120" i="73" s="1"/>
  <c r="Q114" i="73" a="1"/>
  <c r="Q114" i="73" s="1"/>
  <c r="Q58" i="85" s="1"/>
  <c r="Q121" i="73" a="1"/>
  <c r="Q121" i="73" s="1"/>
  <c r="Q119" i="73" a="1"/>
  <c r="Q119" i="73" s="1"/>
  <c r="Q118" i="73" a="1"/>
  <c r="Q118" i="73" s="1"/>
  <c r="Q62" i="85" s="1"/>
  <c r="Q56" i="85"/>
  <c r="AA118" i="73" a="1"/>
  <c r="AA118" i="73" s="1"/>
  <c r="AA62" i="85" s="1"/>
  <c r="AA114" i="73" a="1"/>
  <c r="AA114" i="73" s="1"/>
  <c r="AA58" i="85" s="1"/>
  <c r="AA56" i="85"/>
  <c r="AA116" i="73" a="1"/>
  <c r="AA116" i="73" s="1"/>
  <c r="AA60" i="85" s="1"/>
  <c r="AA121" i="73" a="1"/>
  <c r="AA121" i="73" s="1"/>
  <c r="AA117" i="73" a="1"/>
  <c r="AA117" i="73" s="1"/>
  <c r="AA61" i="85" s="1"/>
  <c r="AA120" i="73" a="1"/>
  <c r="AA120" i="73" s="1"/>
  <c r="AA119" i="73" a="1"/>
  <c r="AA119" i="73" s="1"/>
  <c r="AA115" i="73" a="1"/>
  <c r="AA115" i="73" s="1"/>
  <c r="AA59" i="85" s="1"/>
  <c r="AG120" i="73" a="1"/>
  <c r="AG120" i="73" s="1"/>
  <c r="AG115" i="73" a="1"/>
  <c r="AG115" i="73" s="1"/>
  <c r="AG59" i="85" s="1"/>
  <c r="AG117" i="73" a="1"/>
  <c r="AG117" i="73" s="1"/>
  <c r="AG61" i="85" s="1"/>
  <c r="AG56" i="85"/>
  <c r="AG118" i="73" a="1"/>
  <c r="AG118" i="73" s="1"/>
  <c r="AG62" i="85" s="1"/>
  <c r="AG121" i="73" a="1"/>
  <c r="AG121" i="73" s="1"/>
  <c r="AG116" i="73" a="1"/>
  <c r="AG116" i="73" s="1"/>
  <c r="AG60" i="85" s="1"/>
  <c r="AG114" i="73" a="1"/>
  <c r="AG114" i="73" s="1"/>
  <c r="AG58" i="85" s="1"/>
  <c r="AG119" i="73" a="1"/>
  <c r="AG119" i="73" s="1"/>
  <c r="AD120" i="73" a="1"/>
  <c r="AD120" i="73" s="1"/>
  <c r="AD56" i="85"/>
  <c r="AD118" i="73" a="1"/>
  <c r="AD118" i="73" s="1"/>
  <c r="AD62" i="85" s="1"/>
  <c r="AD115" i="73" a="1"/>
  <c r="AD115" i="73" s="1"/>
  <c r="AD59" i="85" s="1"/>
  <c r="AD114" i="73" a="1"/>
  <c r="AD114" i="73" s="1"/>
  <c r="AD58" i="85" s="1"/>
  <c r="AD116" i="73" a="1"/>
  <c r="AD116" i="73" s="1"/>
  <c r="AD60" i="85" s="1"/>
  <c r="AD117" i="73" a="1"/>
  <c r="AD117" i="73" s="1"/>
  <c r="AD61" i="85" s="1"/>
  <c r="AD121" i="73" a="1"/>
  <c r="AD121" i="73" s="1"/>
  <c r="AD119" i="73" a="1"/>
  <c r="AD119" i="73" s="1"/>
  <c r="AC121" i="73" a="1"/>
  <c r="AC121" i="73" s="1"/>
  <c r="AC115" i="73" a="1"/>
  <c r="AC115" i="73" s="1"/>
  <c r="AC59" i="85" s="1"/>
  <c r="AC114" i="73" a="1"/>
  <c r="AC114" i="73" s="1"/>
  <c r="AC58" i="85" s="1"/>
  <c r="AC118" i="73" a="1"/>
  <c r="AC118" i="73" s="1"/>
  <c r="AC62" i="85" s="1"/>
  <c r="AC117" i="73" a="1"/>
  <c r="AC117" i="73" s="1"/>
  <c r="AC61" i="85" s="1"/>
  <c r="AC116" i="73" a="1"/>
  <c r="AC116" i="73" s="1"/>
  <c r="AC60" i="85" s="1"/>
  <c r="AC120" i="73" a="1"/>
  <c r="AC120" i="73" s="1"/>
  <c r="AC119" i="73" a="1"/>
  <c r="AC119" i="73" s="1"/>
  <c r="AC56" i="85"/>
  <c r="P115" i="73" a="1"/>
  <c r="P115" i="73" s="1"/>
  <c r="P59" i="85" s="1"/>
  <c r="P56" i="85"/>
  <c r="P114" i="73" a="1"/>
  <c r="P114" i="73" s="1"/>
  <c r="P58" i="85" s="1"/>
  <c r="P121" i="73" a="1"/>
  <c r="P121" i="73" s="1"/>
  <c r="P118" i="73" a="1"/>
  <c r="P118" i="73" s="1"/>
  <c r="P62" i="85" s="1"/>
  <c r="P120" i="73" a="1"/>
  <c r="P120" i="73" s="1"/>
  <c r="P117" i="73" a="1"/>
  <c r="P117" i="73" s="1"/>
  <c r="P61" i="85" s="1"/>
  <c r="P116" i="73" a="1"/>
  <c r="P116" i="73" s="1"/>
  <c r="P60" i="85" s="1"/>
  <c r="P119" i="73" a="1"/>
  <c r="P119" i="73" s="1"/>
  <c r="AB56" i="85"/>
  <c r="AB118" i="73" a="1"/>
  <c r="AB118" i="73" s="1"/>
  <c r="AB62" i="85" s="1"/>
  <c r="AB115" i="73" a="1"/>
  <c r="AB115" i="73" s="1"/>
  <c r="AB59" i="85" s="1"/>
  <c r="AB114" i="73" a="1"/>
  <c r="AB114" i="73" s="1"/>
  <c r="AB58" i="85" s="1"/>
  <c r="AB117" i="73" a="1"/>
  <c r="AB117" i="73" s="1"/>
  <c r="AB61" i="85" s="1"/>
  <c r="AB121" i="73" a="1"/>
  <c r="AB121" i="73" s="1"/>
  <c r="AB119" i="73" a="1"/>
  <c r="AB119" i="73" s="1"/>
  <c r="AB116" i="73" a="1"/>
  <c r="AB116" i="73" s="1"/>
  <c r="AB60" i="85" s="1"/>
  <c r="AB120" i="73" a="1"/>
  <c r="AB120" i="73" s="1"/>
  <c r="Z116" i="73" a="1"/>
  <c r="Z116" i="73" s="1"/>
  <c r="Z60" i="85" s="1"/>
  <c r="Z118" i="73" a="1"/>
  <c r="Z118" i="73" s="1"/>
  <c r="Z62" i="85" s="1"/>
  <c r="Z56" i="85"/>
  <c r="Z117" i="73" a="1"/>
  <c r="Z117" i="73" s="1"/>
  <c r="Z61" i="85" s="1"/>
  <c r="Z120" i="73" a="1"/>
  <c r="Z120" i="73" s="1"/>
  <c r="Z115" i="73" a="1"/>
  <c r="Z115" i="73" s="1"/>
  <c r="Z59" i="85" s="1"/>
  <c r="Z121" i="73" a="1"/>
  <c r="Z121" i="73" s="1"/>
  <c r="Z114" i="73" a="1"/>
  <c r="Z114" i="73" s="1"/>
  <c r="Z58" i="85" s="1"/>
  <c r="Z119" i="73" a="1"/>
  <c r="Z119" i="73" s="1"/>
  <c r="M117" i="73" a="1"/>
  <c r="M117" i="73" s="1"/>
  <c r="M61" i="85" s="1"/>
  <c r="M119" i="73" a="1"/>
  <c r="M119" i="73" s="1"/>
  <c r="M115" i="73" a="1"/>
  <c r="M115" i="73" s="1"/>
  <c r="M59" i="85" s="1"/>
  <c r="M118" i="73" a="1"/>
  <c r="M118" i="73" s="1"/>
  <c r="M62" i="85" s="1"/>
  <c r="M121" i="73" a="1"/>
  <c r="M121" i="73" s="1"/>
  <c r="M56" i="85"/>
  <c r="M120" i="73" a="1"/>
  <c r="M120" i="73" s="1"/>
  <c r="M114" i="73" a="1"/>
  <c r="M114" i="73" s="1"/>
  <c r="M58" i="85" s="1"/>
  <c r="M116" i="73" a="1"/>
  <c r="M116" i="73" s="1"/>
  <c r="M60" i="85" s="1"/>
  <c r="T116" i="73" a="1"/>
  <c r="T116" i="73" s="1"/>
  <c r="T60" i="85" s="1"/>
  <c r="T118" i="73" a="1"/>
  <c r="T118" i="73" s="1"/>
  <c r="T62" i="85" s="1"/>
  <c r="T114" i="73" a="1"/>
  <c r="T114" i="73" s="1"/>
  <c r="T58" i="85" s="1"/>
  <c r="T120" i="73" a="1"/>
  <c r="T120" i="73" s="1"/>
  <c r="T115" i="73" a="1"/>
  <c r="T115" i="73" s="1"/>
  <c r="T59" i="85" s="1"/>
  <c r="T117" i="73" a="1"/>
  <c r="T117" i="73" s="1"/>
  <c r="T61" i="85" s="1"/>
  <c r="T121" i="73" a="1"/>
  <c r="T121" i="73" s="1"/>
  <c r="T119" i="73" a="1"/>
  <c r="T119" i="73" s="1"/>
  <c r="T56" i="85"/>
  <c r="AE114" i="73" a="1"/>
  <c r="AE114" i="73" s="1"/>
  <c r="AE58" i="85" s="1"/>
  <c r="AE118" i="73" a="1"/>
  <c r="AE118" i="73" s="1"/>
  <c r="AE62" i="85" s="1"/>
  <c r="AE56" i="85"/>
  <c r="AE120" i="73" a="1"/>
  <c r="AE120" i="73" s="1"/>
  <c r="AE121" i="73" a="1"/>
  <c r="AE121" i="73" s="1"/>
  <c r="AE117" i="73" a="1"/>
  <c r="AE117" i="73" s="1"/>
  <c r="AE61" i="85" s="1"/>
  <c r="AE115" i="73" a="1"/>
  <c r="AE115" i="73" s="1"/>
  <c r="AE59" i="85" s="1"/>
  <c r="AE119" i="73" a="1"/>
  <c r="AE119" i="73" s="1"/>
  <c r="AE116" i="73" a="1"/>
  <c r="AE116" i="73" s="1"/>
  <c r="AE60" i="85" s="1"/>
  <c r="R116" i="73" a="1"/>
  <c r="R116" i="73" s="1"/>
  <c r="R60" i="85" s="1"/>
  <c r="R114" i="73" a="1"/>
  <c r="R114" i="73" s="1"/>
  <c r="R58" i="85" s="1"/>
  <c r="R118" i="73" a="1"/>
  <c r="R118" i="73" s="1"/>
  <c r="R62" i="85" s="1"/>
  <c r="R120" i="73" a="1"/>
  <c r="R120" i="73" s="1"/>
  <c r="R115" i="73" a="1"/>
  <c r="R115" i="73" s="1"/>
  <c r="R59" i="85" s="1"/>
  <c r="R117" i="73" a="1"/>
  <c r="R117" i="73" s="1"/>
  <c r="R61" i="85" s="1"/>
  <c r="R56" i="85"/>
  <c r="R121" i="73" a="1"/>
  <c r="R121" i="73" s="1"/>
  <c r="R119" i="73" a="1"/>
  <c r="R119" i="73" s="1"/>
  <c r="L112" i="73"/>
  <c r="L91" i="73"/>
  <c r="L110" i="73" s="1"/>
  <c r="L62" i="75"/>
  <c r="X112" i="73"/>
  <c r="X62" i="75"/>
  <c r="X64" i="75" s="1"/>
  <c r="X91" i="73"/>
  <c r="X110" i="73" s="1"/>
  <c r="W116" i="73" l="1" a="1"/>
  <c r="W116" i="73" s="1"/>
  <c r="W60" i="85" s="1"/>
  <c r="W117" i="73" a="1"/>
  <c r="W117" i="73" s="1"/>
  <c r="W61" i="85" s="1"/>
  <c r="W121" i="73" a="1"/>
  <c r="W121" i="73" s="1"/>
  <c r="W115" i="73" a="1"/>
  <c r="W115" i="73" s="1"/>
  <c r="W59" i="85" s="1"/>
  <c r="W114" i="73" a="1"/>
  <c r="W114" i="73" s="1"/>
  <c r="W58" i="85" s="1"/>
  <c r="N114" i="73" a="1"/>
  <c r="N114" i="73" s="1"/>
  <c r="N58" i="85" s="1"/>
  <c r="N121" i="73" a="1"/>
  <c r="N121" i="73" s="1"/>
  <c r="N56" i="85"/>
  <c r="N119" i="73" a="1"/>
  <c r="N119" i="73" s="1"/>
  <c r="N64" i="85" s="1"/>
  <c r="N118" i="73" a="1"/>
  <c r="N118" i="73" s="1"/>
  <c r="N62" i="85" s="1"/>
  <c r="N115" i="73" a="1"/>
  <c r="N115" i="73" s="1"/>
  <c r="N59" i="85" s="1"/>
  <c r="N120" i="73" a="1"/>
  <c r="N120" i="73" s="1"/>
  <c r="N116" i="73" a="1"/>
  <c r="N116" i="73" s="1"/>
  <c r="N60" i="85" s="1"/>
  <c r="N117" i="73" a="1"/>
  <c r="N117" i="73" s="1"/>
  <c r="N61" i="85" s="1"/>
  <c r="U65" i="85"/>
  <c r="U63" i="85"/>
  <c r="O65" i="85"/>
  <c r="O63" i="85"/>
  <c r="L64" i="75"/>
  <c r="F65" i="75" s="1" a="1"/>
  <c r="F65" i="75" s="1"/>
  <c r="I12" i="33" s="1"/>
  <c r="F62" i="75"/>
  <c r="F67" i="75" s="1"/>
  <c r="H12" i="33" s="1"/>
  <c r="V114" i="73" a="1"/>
  <c r="V114" i="73" s="1"/>
  <c r="V58" i="85" s="1"/>
  <c r="V121" i="73" a="1"/>
  <c r="V121" i="73" s="1"/>
  <c r="V119" i="73" a="1"/>
  <c r="V119" i="73" s="1"/>
  <c r="V120" i="73" a="1"/>
  <c r="V120" i="73" s="1"/>
  <c r="V115" i="73" a="1"/>
  <c r="V115" i="73" s="1"/>
  <c r="V59" i="85" s="1"/>
  <c r="V116" i="73" a="1"/>
  <c r="V116" i="73" s="1"/>
  <c r="V60" i="85" s="1"/>
  <c r="V118" i="73" a="1"/>
  <c r="V118" i="73" s="1"/>
  <c r="V62" i="85" s="1"/>
  <c r="V117" i="73" a="1"/>
  <c r="V117" i="73" s="1"/>
  <c r="V61" i="85" s="1"/>
  <c r="V56" i="85"/>
  <c r="AB63" i="85"/>
  <c r="AB64" i="85"/>
  <c r="AB65" i="85"/>
  <c r="Y120" i="73" a="1"/>
  <c r="Y120" i="73" s="1"/>
  <c r="Y118" i="73" a="1"/>
  <c r="Y118" i="73" s="1"/>
  <c r="Y62" i="85" s="1"/>
  <c r="Y115" i="73" a="1"/>
  <c r="Y115" i="73" s="1"/>
  <c r="Y59" i="85" s="1"/>
  <c r="Y114" i="73" a="1"/>
  <c r="Y114" i="73" s="1"/>
  <c r="Y58" i="85" s="1"/>
  <c r="Y119" i="73" a="1"/>
  <c r="Y119" i="73" s="1"/>
  <c r="Y56" i="85"/>
  <c r="Y117" i="73" a="1"/>
  <c r="Y117" i="73" s="1"/>
  <c r="Y61" i="85" s="1"/>
  <c r="Y121" i="73" a="1"/>
  <c r="Y121" i="73" s="1"/>
  <c r="Y116" i="73" a="1"/>
  <c r="Y116" i="73" s="1"/>
  <c r="Y60" i="85" s="1"/>
  <c r="R63" i="85"/>
  <c r="R64" i="85"/>
  <c r="R65" i="85"/>
  <c r="Q64" i="85"/>
  <c r="Q63" i="85"/>
  <c r="Q65" i="85"/>
  <c r="W65" i="85"/>
  <c r="W64" i="85"/>
  <c r="W63" i="85"/>
  <c r="Z63" i="85"/>
  <c r="Z65" i="85"/>
  <c r="Z64" i="85"/>
  <c r="L121" i="73" a="1"/>
  <c r="L121" i="73" s="1"/>
  <c r="L120" i="73" a="1"/>
  <c r="L120" i="73" s="1"/>
  <c r="L114" i="73" a="1"/>
  <c r="L114" i="73" s="1"/>
  <c r="L58" i="85" s="1"/>
  <c r="L117" i="73" a="1"/>
  <c r="L117" i="73" s="1"/>
  <c r="L61" i="85" s="1"/>
  <c r="L56" i="85"/>
  <c r="L119" i="73" a="1"/>
  <c r="L119" i="73" s="1"/>
  <c r="L116" i="73" a="1"/>
  <c r="L116" i="73" s="1"/>
  <c r="L60" i="85" s="1"/>
  <c r="L115" i="73" a="1"/>
  <c r="L115" i="73" s="1"/>
  <c r="L59" i="85" s="1"/>
  <c r="L118" i="73" a="1"/>
  <c r="L118" i="73" s="1"/>
  <c r="L62" i="85" s="1"/>
  <c r="AE65" i="85"/>
  <c r="AE64" i="85"/>
  <c r="AE63" i="85"/>
  <c r="M64" i="85"/>
  <c r="M63" i="85"/>
  <c r="M65" i="85"/>
  <c r="AG65" i="85"/>
  <c r="AG64" i="85"/>
  <c r="AG63" i="85"/>
  <c r="P65" i="85"/>
  <c r="P64" i="85"/>
  <c r="P63" i="85"/>
  <c r="AA63" i="85"/>
  <c r="AA64" i="85"/>
  <c r="AA65" i="85"/>
  <c r="X121" i="73" a="1"/>
  <c r="X121" i="73" s="1"/>
  <c r="X56" i="85"/>
  <c r="X120" i="73" a="1"/>
  <c r="X120" i="73" s="1"/>
  <c r="X117" i="73" a="1"/>
  <c r="X117" i="73" s="1"/>
  <c r="X61" i="85" s="1"/>
  <c r="X116" i="73" a="1"/>
  <c r="X116" i="73" s="1"/>
  <c r="X60" i="85" s="1"/>
  <c r="X118" i="73" a="1"/>
  <c r="X118" i="73" s="1"/>
  <c r="X62" i="85" s="1"/>
  <c r="X114" i="73" a="1"/>
  <c r="X114" i="73" s="1"/>
  <c r="X58" i="85" s="1"/>
  <c r="X115" i="73" a="1"/>
  <c r="X115" i="73" s="1"/>
  <c r="X59" i="85" s="1"/>
  <c r="X119" i="73" a="1"/>
  <c r="X119" i="73" s="1"/>
  <c r="T65" i="85"/>
  <c r="T63" i="85"/>
  <c r="T64" i="85"/>
  <c r="AC65" i="85"/>
  <c r="AC64" i="85"/>
  <c r="AC63" i="85"/>
  <c r="AD64" i="85"/>
  <c r="AD65" i="85"/>
  <c r="AD63" i="85"/>
  <c r="AF64" i="85"/>
  <c r="AF65" i="85"/>
  <c r="AF63" i="85"/>
  <c r="S63" i="85"/>
  <c r="S65" i="85"/>
  <c r="S64" i="85"/>
  <c r="N65" i="85" l="1"/>
  <c r="N63" i="85"/>
  <c r="F62" i="85"/>
  <c r="F95" i="85" s="1"/>
  <c r="I95" i="85" s="1"/>
  <c r="K95" i="85" s="1"/>
  <c r="L72" i="33" s="1"/>
  <c r="Y65" i="85"/>
  <c r="Y64" i="85"/>
  <c r="Y63" i="85"/>
  <c r="F59" i="85"/>
  <c r="F92" i="85" s="1"/>
  <c r="F60" i="85"/>
  <c r="F93" i="85" s="1"/>
  <c r="C26" i="33"/>
  <c r="V64" i="85"/>
  <c r="V65" i="85"/>
  <c r="V63" i="85"/>
  <c r="F56" i="85"/>
  <c r="F90" i="85" s="1"/>
  <c r="F61" i="85"/>
  <c r="F94" i="85" s="1"/>
  <c r="X65" i="85"/>
  <c r="X63" i="85"/>
  <c r="X64" i="85"/>
  <c r="L64" i="85"/>
  <c r="L65" i="85"/>
  <c r="L63" i="85"/>
  <c r="F58" i="85"/>
  <c r="F91" i="85" s="1"/>
  <c r="I72" i="33" l="1"/>
  <c r="I70" i="33"/>
  <c r="I93" i="85"/>
  <c r="K93" i="85" s="1"/>
  <c r="L70" i="33" s="1"/>
  <c r="I71" i="33"/>
  <c r="I94" i="85"/>
  <c r="K94" i="85" s="1"/>
  <c r="L71" i="33" s="1"/>
  <c r="I67" i="33"/>
  <c r="I90" i="85"/>
  <c r="K90" i="85" s="1"/>
  <c r="L67" i="33" s="1"/>
  <c r="I68" i="33"/>
  <c r="I91" i="85"/>
  <c r="K91" i="85" s="1"/>
  <c r="L68" i="33" s="1"/>
  <c r="F65" i="85"/>
  <c r="I69" i="33"/>
  <c r="I92" i="85"/>
  <c r="K92" i="85" s="1"/>
  <c r="L69" i="33" s="1"/>
  <c r="F63" i="85"/>
  <c r="F64" i="85"/>
  <c r="I31" i="33"/>
  <c r="I30" i="33"/>
  <c r="J31" i="33"/>
  <c r="H30" i="33"/>
  <c r="A91" i="75"/>
  <c r="G30" i="33"/>
  <c r="J30" i="33"/>
  <c r="F30" i="33"/>
  <c r="H31" i="33"/>
  <c r="G31" i="33"/>
  <c r="F31" i="33"/>
  <c r="L31" i="33" l="1"/>
  <c r="L30" i="33"/>
  <c r="K91" i="75" a="1"/>
  <c r="K91" i="75" s="1"/>
  <c r="Z91" i="75" a="1"/>
  <c r="Z91" i="75" s="1"/>
  <c r="U91" i="75" a="1"/>
  <c r="U91" i="75" s="1"/>
  <c r="AB91" i="75" a="1"/>
  <c r="AB91" i="75" s="1"/>
  <c r="N91" i="75" a="1"/>
  <c r="N91" i="75" s="1"/>
  <c r="AF91" i="75" a="1"/>
  <c r="AF91" i="75" s="1"/>
  <c r="M91" i="75" a="1"/>
  <c r="M91" i="75" s="1"/>
  <c r="L91" i="75" a="1"/>
  <c r="L91" i="75" s="1"/>
  <c r="H91" i="75"/>
  <c r="O91" i="75" a="1"/>
  <c r="O91" i="75" s="1"/>
  <c r="AE91" i="75" a="1"/>
  <c r="AE91" i="75" s="1"/>
  <c r="AD91" i="75" a="1"/>
  <c r="AD91" i="75" s="1"/>
  <c r="R91" i="75" a="1"/>
  <c r="R91" i="75" s="1"/>
  <c r="W91" i="75" a="1"/>
  <c r="W91" i="75" s="1"/>
  <c r="AG91" i="75" a="1"/>
  <c r="AG91" i="75" s="1"/>
  <c r="J91" i="75" a="1"/>
  <c r="J91" i="75" s="1"/>
  <c r="T91" i="75" a="1"/>
  <c r="T91" i="75" s="1"/>
  <c r="S91" i="75" a="1"/>
  <c r="S91" i="75" s="1"/>
  <c r="AA91" i="75" a="1"/>
  <c r="AA91" i="75" s="1"/>
  <c r="I91" i="75" a="1"/>
  <c r="I91" i="75" s="1"/>
  <c r="Y91" i="75" a="1"/>
  <c r="Y91" i="75" s="1"/>
  <c r="Q91" i="75" a="1"/>
  <c r="Q91" i="75" s="1"/>
  <c r="X91" i="75" a="1"/>
  <c r="X91" i="75" s="1"/>
  <c r="P91" i="75" a="1"/>
  <c r="P91" i="75" s="1"/>
  <c r="V91" i="75" a="1"/>
  <c r="V91" i="75" s="1"/>
  <c r="AC91" i="75" a="1"/>
  <c r="AC91" i="7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<sst xmlns="http://schemas.openxmlformats.org/spreadsheetml/2006/main" count="749" uniqueCount="251">
  <si>
    <t>CitiPower</t>
  </si>
  <si>
    <t>CBD security of supply</t>
  </si>
  <si>
    <t>Model number:</t>
  </si>
  <si>
    <t>SUMMARY</t>
  </si>
  <si>
    <t>RESULTS</t>
  </si>
  <si>
    <t>PV of costs</t>
  </si>
  <si>
    <t>PV of benefits</t>
  </si>
  <si>
    <t>NPV</t>
  </si>
  <si>
    <t>Option</t>
  </si>
  <si>
    <t>`</t>
  </si>
  <si>
    <t>Preferred option:</t>
  </si>
  <si>
    <t>PREFERRED OPTION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</si>
  <si>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</si>
  <si>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</si>
  <si>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</si>
  <si>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</si>
  <si>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</si>
  <si>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</si>
  <si>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</si>
  <si>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</si>
  <si>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</si>
  <si>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</si>
  <si>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</si>
  <si>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</si>
  <si>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</si>
  <si>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</si>
  <si>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 xml:space="preserve">Date of cost inputs: </t>
  </si>
  <si>
    <t>December</t>
  </si>
  <si>
    <t>Description</t>
  </si>
  <si>
    <t>No change to existing practices</t>
  </si>
  <si>
    <t>Construct new feeders from MG to JA</t>
  </si>
  <si>
    <t>Construct new feeders from MG to JA and rebuild J</t>
  </si>
  <si>
    <t>Rebuild J zone substation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</si>
  <si>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</si>
  <si>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</si>
  <si>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</si>
  <si>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</si>
  <si>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</si>
  <si>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</si>
  <si>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</si>
  <si>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</si>
  <si>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</si>
  <si>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</si>
  <si>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</si>
  <si>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</si>
  <si>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</si>
  <si>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</si>
  <si>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</si>
  <si>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</si>
  <si>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</si>
  <si>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</si>
  <si>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</si>
  <si>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</si>
  <si>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</si>
  <si>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</si>
  <si>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JA</t>
  </si>
  <si>
    <t>Little Bourke Street</t>
  </si>
  <si>
    <t>2024 VCR ($/MWh)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</si>
  <si>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</si>
  <si>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</si>
  <si>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</si>
  <si>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</si>
  <si>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</si>
  <si>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</si>
  <si>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</si>
  <si>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</si>
  <si>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</si>
  <si>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</si>
  <si>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</si>
  <si>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</si>
  <si>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</si>
  <si>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</si>
  <si>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</si>
  <si>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</si>
  <si>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</si>
  <si>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</si>
  <si>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</si>
  <si>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</si>
  <si>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</si>
  <si>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</si>
  <si>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</si>
  <si>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</si>
  <si>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</si>
  <si>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</si>
  <si>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</si>
  <si>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</si>
  <si>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</si>
  <si>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</si>
  <si>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</si>
  <si>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</si>
  <si>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</si>
  <si>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</si>
  <si>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</si>
  <si>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</si>
  <si>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</si>
  <si>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</si>
  <si>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</si>
  <si>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</si>
  <si>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</si>
  <si>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</si>
  <si>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</si>
  <si>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10% PoE</t>
  </si>
  <si>
    <t>MWh</t>
  </si>
  <si>
    <t>Energy at risk 50% PoE</t>
  </si>
  <si>
    <t>Energy at risk (weighted)</t>
  </si>
  <si>
    <t>Energy at risk value</t>
  </si>
  <si>
    <t>Safety consequence</t>
  </si>
  <si>
    <t>(after DF)</t>
  </si>
  <si>
    <t>Unplanned replacements</t>
  </si>
  <si>
    <t>Environmental consequence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</si>
  <si>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</si>
  <si>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</si>
  <si>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</si>
  <si>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</si>
  <si>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</si>
  <si>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</si>
  <si>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</si>
  <si>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</si>
  <si>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</si>
  <si>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</si>
  <si>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</si>
  <si>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</si>
  <si>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</si>
  <si>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</si>
  <si>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</si>
  <si>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</si>
  <si>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</si>
  <si>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</si>
  <si>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</si>
  <si>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</si>
  <si>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</si>
  <si>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</si>
  <si>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</si>
  <si>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</si>
  <si>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</si>
  <si>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</si>
  <si>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</si>
  <si>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</si>
  <si>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</si>
  <si>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Customer value of time - residential</t>
  </si>
  <si>
    <t>Customer value of time - business</t>
  </si>
  <si>
    <t>First capex year</t>
  </si>
  <si>
    <t>First year</t>
  </si>
  <si>
    <t>OPTION 3</t>
  </si>
  <si>
    <t>OPTION 4</t>
  </si>
  <si>
    <t>OPTION 5</t>
  </si>
  <si>
    <t>CONSOLIDATED</t>
  </si>
  <si>
    <t>Discount factor</t>
  </si>
  <si>
    <t>Analysis period</t>
  </si>
  <si>
    <t>COSTS</t>
  </si>
  <si>
    <t>PV</t>
  </si>
  <si>
    <t>CHART DATA</t>
  </si>
  <si>
    <t>Energy at risk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</si>
  <si>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</si>
  <si>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</si>
  <si>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</si>
  <si>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</si>
  <si>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</si>
  <si>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</si>
  <si>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</si>
  <si>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</si>
  <si>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</si>
  <si>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</si>
  <si>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</si>
  <si>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</si>
  <si>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</si>
  <si>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</si>
  <si>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</si>
  <si>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</si>
  <si>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</si>
  <si>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</si>
  <si>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</si>
  <si>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</si>
  <si>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</si>
  <si>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</si>
  <si>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</si>
  <si>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</si>
  <si>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</si>
  <si>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</si>
  <si>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</si>
  <si>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</si>
  <si>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</si>
  <si>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</si>
  <si>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</si>
  <si>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</si>
  <si>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</si>
  <si>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</si>
  <si>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</si>
  <si>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</si>
  <si>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</si>
  <si>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</si>
  <si>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</si>
  <si>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</si>
  <si>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</si>
  <si>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</si>
  <si>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</si>
  <si>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</si>
  <si>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</si>
  <si>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Energy</t>
  </si>
  <si>
    <t>Safety</t>
  </si>
  <si>
    <t>Unplanned replacement</t>
  </si>
  <si>
    <t>UnRepl</t>
  </si>
  <si>
    <t>Bushfire</t>
  </si>
  <si>
    <t>Fire</t>
  </si>
  <si>
    <t>Carbon</t>
  </si>
  <si>
    <t>Other</t>
  </si>
  <si>
    <t>Customers impacted</t>
  </si>
  <si>
    <t>Customer minutes</t>
  </si>
  <si>
    <t>Powercor</t>
  </si>
  <si>
    <t>United Energy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</si>
  <si>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</si>
  <si>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</si>
  <si>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</si>
  <si>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</si>
  <si>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</si>
  <si>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</si>
  <si>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</si>
  <si>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</si>
  <si>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</si>
  <si>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</si>
  <si>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</si>
  <si>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</si>
  <si>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</si>
  <si>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</si>
  <si>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</si>
  <si>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</si>
  <si>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</si>
  <si>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</si>
  <si>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</si>
  <si>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</si>
  <si>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</si>
  <si>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</si>
  <si>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</si>
  <si>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</si>
  <si>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</si>
  <si>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</si>
  <si>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CP</t>
  </si>
  <si>
    <t>CP:</t>
  </si>
  <si>
    <t>June</t>
  </si>
  <si>
    <t>CY</t>
  </si>
  <si>
    <t>PA</t>
  </si>
  <si>
    <t>PAL:</t>
  </si>
  <si>
    <t>FY</t>
  </si>
  <si>
    <t>2025-26</t>
  </si>
  <si>
    <t>UE</t>
  </si>
  <si>
    <t>UE:</t>
  </si>
  <si>
    <t>Opex</t>
  </si>
  <si>
    <t>2024-25</t>
  </si>
  <si>
    <t>3.3.08</t>
  </si>
  <si>
    <t>Revised regulatory proposal 2026-31</t>
  </si>
  <si>
    <t>Const end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</si>
</sst>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\+0%;[Red]\ \ \-0%;\ &quot;-&quot;"/>
    <numFmt numFmtId="190" formatCode="#,##0.00_ ;[Red]\-#,##0.00\ "/>
    <numFmt numFmtId="191" formatCode="#,##0.0;[Red]\ \-#,##0.0;\ &quot;&quot;"/>
    <numFmt numFmtId="192" formatCode="0.000000000000000"/>
    <numFmt numFmtId="193" formatCode="0%;[Red]\ \ \-0%;\ &quot;-&quot;"/>
    <numFmt numFmtId="194" formatCode="mmm\ yyyy"/>
    <numFmt numFmtId="195" formatCode="d\ mmmm\ yyyy"/>
    <numFmt numFmtId="196" formatCode="###0;\ \-###0;\ &quot;-&quot;"/>
    <numFmt numFmtId="197" formatCode="###0;\ \-###0;\ &quot;&quot;"/>
  </numFmts>
  <fonts count="98" x14ac:knownFonts="1">
    <font>
      <sz val="10"/>
      <color theme="1"/>
      <name val="Verdana"/>
      <family val="2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  <font>
      <sz val="10"/>
      <color rgb="FF3333FF"/>
      <name val="Calibri"/>
      <family val="2"/>
    </font>
    <font>
      <sz val="10"/>
      <color rgb="FF000000"/>
      <name val="Verdana"/>
      <family val="2"/>
    </font>
    <font>
      <sz val="10"/>
      <color rgb="FF3333FF"/>
      <name val="Calibri"/>
      <family val="2"/>
      <scheme val="minor"/>
    </font>
    <font>
      <b/>
      <sz val="1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000000"/>
      </patternFill>
    </fill>
  </fills>
  <borders count="17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35">
    <xf numFmtId="0" fontId="0" fillId="0" borderId="0"/>
    <xf numFmtId="0" fontId="5" fillId="0" borderId="0"/>
    <xf numFmtId="0" fontId="1" fillId="2" borderId="1" applyNumberFormat="0" applyAlignment="0">
      <alignment horizontal="right"/>
      <protection locked="0"/>
    </xf>
    <xf numFmtId="164" fontId="2" fillId="0" borderId="0" applyFont="0" applyFill="0" applyBorder="0" applyAlignment="0" applyProtection="0"/>
    <xf numFmtId="165" fontId="3" fillId="3" borderId="2" applyAlignment="0"/>
    <xf numFmtId="0" fontId="13" fillId="0" borderId="0" applyNumberFormat="0"/>
    <xf numFmtId="0" fontId="4" fillId="0" borderId="3" applyNumberFormat="0" applyAlignment="0"/>
    <xf numFmtId="0" fontId="2" fillId="0" borderId="4" applyNumberFormat="0" applyFont="0" applyFill="0" applyAlignment="0"/>
    <xf numFmtId="0" fontId="4" fillId="0" borderId="0"/>
    <xf numFmtId="0" fontId="5" fillId="1" borderId="0"/>
    <xf numFmtId="0" fontId="6" fillId="4" borderId="5" applyNumberFormat="0" applyAlignment="0"/>
    <xf numFmtId="0" fontId="7" fillId="5" borderId="3" applyNumberFormat="0">
      <alignment horizontal="centerContinuous" vertical="center" wrapText="1"/>
    </xf>
    <xf numFmtId="0" fontId="8" fillId="4" borderId="6" applyNumberFormat="0" applyAlignment="0"/>
    <xf numFmtId="0" fontId="9" fillId="0" borderId="0" applyNumberFormat="0"/>
    <xf numFmtId="0" fontId="11" fillId="7" borderId="0"/>
    <xf numFmtId="0" fontId="12" fillId="0" borderId="0"/>
    <xf numFmtId="166" fontId="10" fillId="6" borderId="0"/>
    <xf numFmtId="166" fontId="14" fillId="6" borderId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0" fontId="28" fillId="9" borderId="0" applyNumberFormat="0">
      <alignment horizontal="center"/>
    </xf>
    <xf numFmtId="170" fontId="21" fillId="0" borderId="8" applyNumberFormat="0" applyProtection="0">
      <alignment horizontal="right"/>
    </xf>
    <xf numFmtId="10" fontId="27" fillId="2" borderId="0" applyNumberFormat="0" applyAlignment="0" applyProtection="0"/>
    <xf numFmtId="10" fontId="47" fillId="12" borderId="0" applyNumberFormat="0" applyBorder="0" applyAlignment="0" applyProtection="0"/>
    <xf numFmtId="0" fontId="4" fillId="0" borderId="0"/>
    <xf numFmtId="0" fontId="76" fillId="0" borderId="0"/>
    <xf numFmtId="9" fontId="76" fillId="0" borderId="0" applyFont="0" applyFill="0" applyBorder="0" applyAlignment="0" applyProtection="0"/>
    <xf numFmtId="0" fontId="18" fillId="0" borderId="0"/>
    <xf numFmtId="44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" fontId="91" fillId="17" borderId="16" applyNumberFormat="0" applyProtection="0">
      <alignment horizontal="left" vertical="center" indent="1"/>
    </xf>
    <xf numFmtId="4" fontId="91" fillId="17" borderId="16" applyNumberFormat="0" applyProtection="0">
      <alignment horizontal="left" vertical="center" indent="1"/>
    </xf>
    <xf numFmtId="4" fontId="91" fillId="0" borderId="16" applyNumberFormat="0" applyProtection="0">
      <alignment horizontal="right" vertical="center"/>
    </xf>
    <xf numFmtId="9" fontId="76" fillId="0" borderId="0" applyFont="0" applyFill="0" applyBorder="0" applyAlignment="0" applyProtection="0"/>
  </cellStyleXfs>
  <cellXfs count="309">
    <xf numFmtId="0" fontId="0" fillId="0" borderId="0" xfId="0"/>
    <xf numFmtId="0" fontId="15" fillId="0" borderId="0" xfId="18"/>
    <xf numFmtId="0" fontId="15" fillId="0" borderId="0" xfId="18" applyAlignment="1">
      <alignment horizontal="right"/>
    </xf>
    <xf numFmtId="0" fontId="17" fillId="0" borderId="0" xfId="18" applyFont="1"/>
    <xf numFmtId="0" fontId="16" fillId="0" borderId="0" xfId="18" applyFont="1" applyAlignment="1">
      <alignment vertical="center"/>
    </xf>
    <xf numFmtId="0" fontId="20" fillId="0" borderId="0" xfId="18" applyFont="1"/>
    <xf numFmtId="0" fontId="15" fillId="0" borderId="0" xfId="0" applyFont="1"/>
    <xf numFmtId="0" fontId="22" fillId="0" borderId="0" xfId="8" applyFont="1"/>
    <xf numFmtId="0" fontId="23" fillId="0" borderId="0" xfId="0" applyFont="1"/>
    <xf numFmtId="166" fontId="25" fillId="8" borderId="0" xfId="16" applyFont="1" applyFill="1"/>
    <xf numFmtId="0" fontId="15" fillId="0" borderId="0" xfId="18" applyAlignment="1">
      <alignment horizontal="left"/>
    </xf>
    <xf numFmtId="0" fontId="27" fillId="2" borderId="0" xfId="0" applyFont="1" applyFill="1"/>
    <xf numFmtId="0" fontId="17" fillId="0" borderId="0" xfId="0" applyFont="1"/>
    <xf numFmtId="166" fontId="25" fillId="10" borderId="0" xfId="16" applyFont="1" applyFill="1"/>
    <xf numFmtId="0" fontId="19" fillId="11" borderId="0" xfId="18" applyFont="1" applyFill="1" applyAlignment="1">
      <alignment vertical="center"/>
    </xf>
    <xf numFmtId="0" fontId="19" fillId="11" borderId="0" xfId="18" applyFont="1" applyFill="1" applyAlignment="1">
      <alignment horizontal="right" vertical="center"/>
    </xf>
    <xf numFmtId="0" fontId="24" fillId="11" borderId="0" xfId="18" applyFont="1" applyFill="1" applyAlignment="1">
      <alignment vertical="center"/>
    </xf>
    <xf numFmtId="166" fontId="31" fillId="10" borderId="0" xfId="16" applyFont="1" applyFill="1"/>
    <xf numFmtId="166" fontId="32" fillId="10" borderId="0" xfId="16" applyFont="1" applyFill="1" applyAlignment="1">
      <alignment horizontal="right"/>
    </xf>
    <xf numFmtId="0" fontId="15" fillId="0" borderId="0" xfId="0" applyFont="1" applyAlignment="1">
      <alignment horizontal="left"/>
    </xf>
    <xf numFmtId="0" fontId="21" fillId="0" borderId="0" xfId="18" applyFont="1"/>
    <xf numFmtId="0" fontId="15" fillId="2" borderId="0" xfId="0" applyFont="1" applyFill="1"/>
    <xf numFmtId="172" fontId="15" fillId="0" borderId="0" xfId="0" applyNumberFormat="1" applyFont="1"/>
    <xf numFmtId="172" fontId="15" fillId="2" borderId="0" xfId="0" applyNumberFormat="1" applyFont="1" applyFill="1" applyAlignment="1">
      <alignment horizontal="left"/>
    </xf>
    <xf numFmtId="0" fontId="17" fillId="0" borderId="0" xfId="18" applyFont="1" applyAlignment="1">
      <alignment horizontal="left"/>
    </xf>
    <xf numFmtId="0" fontId="15" fillId="2" borderId="0" xfId="0" quotePrefix="1" applyFont="1" applyFill="1"/>
    <xf numFmtId="0" fontId="17" fillId="0" borderId="7" xfId="18" applyFont="1" applyBorder="1" applyAlignment="1">
      <alignment horizontal="left"/>
    </xf>
    <xf numFmtId="0" fontId="17" fillId="0" borderId="7" xfId="18" applyFont="1" applyBorder="1"/>
    <xf numFmtId="167" fontId="16" fillId="0" borderId="0" xfId="18" applyNumberFormat="1" applyFont="1" applyAlignment="1">
      <alignment horizontal="right" vertical="center"/>
    </xf>
    <xf numFmtId="167" fontId="27" fillId="2" borderId="8" xfId="18" applyNumberFormat="1" applyFont="1" applyFill="1" applyBorder="1" applyAlignment="1">
      <alignment horizontal="right" vertical="center"/>
    </xf>
    <xf numFmtId="0" fontId="34" fillId="0" borderId="0" xfId="8" applyFont="1"/>
    <xf numFmtId="0" fontId="35" fillId="0" borderId="0" xfId="18" applyFont="1"/>
    <xf numFmtId="1" fontId="27" fillId="2" borderId="0" xfId="18" quotePrefix="1" applyNumberFormat="1" applyFont="1" applyFill="1" applyAlignment="1">
      <alignment horizontal="center"/>
    </xf>
    <xf numFmtId="166" fontId="38" fillId="0" borderId="0" xfId="18" applyNumberFormat="1" applyFont="1" applyAlignment="1">
      <alignment horizontal="left"/>
    </xf>
    <xf numFmtId="10" fontId="27" fillId="2" borderId="0" xfId="23" applyNumberFormat="1"/>
    <xf numFmtId="171" fontId="33" fillId="2" borderId="0" xfId="18" applyNumberFormat="1" applyFont="1" applyFill="1" applyAlignment="1">
      <alignment horizontal="right"/>
    </xf>
    <xf numFmtId="14" fontId="15" fillId="0" borderId="0" xfId="0" applyNumberFormat="1" applyFont="1"/>
    <xf numFmtId="1" fontId="15" fillId="2" borderId="0" xfId="0" applyNumberFormat="1" applyFont="1" applyFill="1" applyAlignment="1">
      <alignment horizontal="left"/>
    </xf>
    <xf numFmtId="14" fontId="17" fillId="0" borderId="7" xfId="18" applyNumberFormat="1" applyFont="1" applyBorder="1"/>
    <xf numFmtId="0" fontId="40" fillId="0" borderId="7" xfId="18" quotePrefix="1" applyFont="1" applyBorder="1" applyAlignment="1">
      <alignment horizontal="left"/>
    </xf>
    <xf numFmtId="14" fontId="37" fillId="2" borderId="7" xfId="23" applyNumberFormat="1" applyFont="1" applyBorder="1"/>
    <xf numFmtId="166" fontId="25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0" fillId="0" borderId="7" xfId="18" applyNumberFormat="1" applyFont="1" applyBorder="1" applyAlignment="1">
      <alignment horizontal="left" vertical="center"/>
    </xf>
    <xf numFmtId="0" fontId="21" fillId="0" borderId="0" xfId="18" applyFont="1" applyAlignment="1">
      <alignment horizontal="left"/>
    </xf>
    <xf numFmtId="167" fontId="30" fillId="0" borderId="4" xfId="18" applyNumberFormat="1" applyFont="1" applyBorder="1" applyAlignment="1">
      <alignment horizontal="right" vertical="center"/>
    </xf>
    <xf numFmtId="0" fontId="17" fillId="0" borderId="7" xfId="0" applyFont="1" applyBorder="1"/>
    <xf numFmtId="168" fontId="41" fillId="10" borderId="0" xfId="18" applyNumberFormat="1" applyFont="1" applyFill="1" applyAlignment="1">
      <alignment horizontal="center" vertical="center"/>
    </xf>
    <xf numFmtId="0" fontId="17" fillId="0" borderId="7" xfId="0" applyFont="1" applyBorder="1" applyAlignment="1">
      <alignment horizontal="right"/>
    </xf>
    <xf numFmtId="166" fontId="42" fillId="10" borderId="0" xfId="16" applyFont="1" applyFill="1"/>
    <xf numFmtId="0" fontId="27" fillId="2" borderId="0" xfId="18" applyFont="1" applyFill="1" applyAlignment="1">
      <alignment horizontal="left"/>
    </xf>
    <xf numFmtId="167" fontId="16" fillId="0" borderId="0" xfId="18" applyNumberFormat="1" applyFont="1" applyAlignment="1">
      <alignment horizontal="left" vertical="center"/>
    </xf>
    <xf numFmtId="0" fontId="15" fillId="0" borderId="7" xfId="0" applyFont="1" applyBorder="1"/>
    <xf numFmtId="172" fontId="27" fillId="2" borderId="9" xfId="18" quotePrefix="1" applyNumberFormat="1" applyFont="1" applyFill="1" applyBorder="1" applyAlignment="1">
      <alignment horizontal="left"/>
    </xf>
    <xf numFmtId="0" fontId="16" fillId="0" borderId="0" xfId="18" applyFont="1" applyAlignment="1">
      <alignment horizontal="left" vertical="top"/>
    </xf>
    <xf numFmtId="168" fontId="15" fillId="0" borderId="0" xfId="18" applyNumberFormat="1" applyAlignment="1">
      <alignment horizontal="left"/>
    </xf>
    <xf numFmtId="172" fontId="15" fillId="2" borderId="0" xfId="0" quotePrefix="1" applyNumberFormat="1" applyFont="1" applyFill="1" applyAlignment="1">
      <alignment horizontal="left"/>
    </xf>
    <xf numFmtId="0" fontId="45" fillId="0" borderId="0" xfId="0" applyFont="1" applyAlignment="1">
      <alignment horizontal="right"/>
    </xf>
    <xf numFmtId="0" fontId="43" fillId="0" borderId="0" xfId="0" applyFont="1" applyAlignment="1">
      <alignment horizontal="left" indent="1"/>
    </xf>
    <xf numFmtId="168" fontId="21" fillId="0" borderId="8" xfId="22" applyNumberFormat="1">
      <alignment horizontal="right"/>
    </xf>
    <xf numFmtId="0" fontId="46" fillId="0" borderId="0" xfId="18" quotePrefix="1" applyFont="1" applyAlignment="1">
      <alignment horizontal="left"/>
    </xf>
    <xf numFmtId="168" fontId="44" fillId="0" borderId="0" xfId="23" applyNumberFormat="1" applyFont="1" applyFill="1" applyAlignment="1">
      <alignment horizontal="right"/>
    </xf>
    <xf numFmtId="0" fontId="17" fillId="0" borderId="7" xfId="18" applyFont="1" applyBorder="1" applyAlignment="1">
      <alignment horizontal="right"/>
    </xf>
    <xf numFmtId="0" fontId="44" fillId="0" borderId="0" xfId="18" applyFont="1" applyAlignment="1">
      <alignment horizontal="left" indent="1"/>
    </xf>
    <xf numFmtId="0" fontId="15" fillId="0" borderId="0" xfId="18" applyAlignment="1">
      <alignment horizontal="left" vertical="top" wrapText="1"/>
    </xf>
    <xf numFmtId="0" fontId="17" fillId="0" borderId="7" xfId="18" applyFont="1" applyBorder="1" applyAlignment="1">
      <alignment horizontal="left" vertical="top"/>
    </xf>
    <xf numFmtId="0" fontId="15" fillId="0" borderId="7" xfId="18" applyBorder="1" applyAlignment="1">
      <alignment horizontal="left" vertical="top"/>
    </xf>
    <xf numFmtId="14" fontId="15" fillId="0" borderId="0" xfId="18" applyNumberFormat="1"/>
    <xf numFmtId="14" fontId="15" fillId="0" borderId="7" xfId="18" applyNumberFormat="1" applyBorder="1"/>
    <xf numFmtId="14" fontId="27" fillId="2" borderId="0" xfId="18" applyNumberFormat="1" applyFont="1" applyFill="1"/>
    <xf numFmtId="10" fontId="34" fillId="0" borderId="0" xfId="23" applyNumberFormat="1" applyFont="1" applyFill="1"/>
    <xf numFmtId="0" fontId="26" fillId="0" borderId="0" xfId="0" applyFont="1"/>
    <xf numFmtId="166" fontId="31" fillId="10" borderId="0" xfId="16" applyFont="1" applyFill="1" applyAlignment="1">
      <alignment horizontal="center"/>
    </xf>
    <xf numFmtId="0" fontId="23" fillId="0" borderId="0" xfId="0" applyFont="1" applyAlignment="1">
      <alignment horizontal="center"/>
    </xf>
    <xf numFmtId="176" fontId="16" fillId="0" borderId="0" xfId="18" applyNumberFormat="1" applyFont="1" applyAlignment="1">
      <alignment horizontal="right" vertical="center"/>
    </xf>
    <xf numFmtId="49" fontId="15" fillId="2" borderId="0" xfId="0" applyNumberFormat="1" applyFont="1" applyFill="1" applyAlignment="1">
      <alignment horizontal="left"/>
    </xf>
    <xf numFmtId="0" fontId="50" fillId="0" borderId="7" xfId="18" applyFont="1" applyBorder="1" applyAlignment="1">
      <alignment vertical="center"/>
    </xf>
    <xf numFmtId="0" fontId="36" fillId="0" borderId="7" xfId="18" applyFont="1" applyBorder="1" applyAlignment="1">
      <alignment vertical="center"/>
    </xf>
    <xf numFmtId="173" fontId="15" fillId="0" borderId="0" xfId="18" applyNumberFormat="1"/>
    <xf numFmtId="0" fontId="21" fillId="13" borderId="8" xfId="22" applyNumberFormat="1" applyFill="1" applyAlignment="1">
      <alignment horizontal="left"/>
    </xf>
    <xf numFmtId="0" fontId="51" fillId="0" borderId="0" xfId="18" applyFont="1"/>
    <xf numFmtId="167" fontId="34" fillId="2" borderId="0" xfId="18" applyNumberFormat="1" applyFont="1" applyFill="1" applyAlignment="1">
      <alignment horizontal="right" vertical="center"/>
    </xf>
    <xf numFmtId="173" fontId="16" fillId="0" borderId="0" xfId="18" applyNumberFormat="1" applyFont="1" applyAlignment="1">
      <alignment horizontal="right" vertical="center"/>
    </xf>
    <xf numFmtId="0" fontId="39" fillId="0" borderId="0" xfId="8" applyFont="1"/>
    <xf numFmtId="175" fontId="45" fillId="0" borderId="0" xfId="18" applyNumberFormat="1" applyFont="1" applyAlignment="1">
      <alignment horizontal="right" vertical="center"/>
    </xf>
    <xf numFmtId="0" fontId="39" fillId="0" borderId="0" xfId="8" applyFont="1" applyAlignment="1">
      <alignment horizontal="center"/>
    </xf>
    <xf numFmtId="0" fontId="45" fillId="0" borderId="0" xfId="18" applyFont="1" applyAlignment="1">
      <alignment horizontal="right"/>
    </xf>
    <xf numFmtId="49" fontId="15" fillId="0" borderId="0" xfId="0" applyNumberFormat="1" applyFont="1"/>
    <xf numFmtId="178" fontId="15" fillId="0" borderId="0" xfId="18" applyNumberFormat="1" applyAlignment="1">
      <alignment vertical="top" wrapText="1"/>
    </xf>
    <xf numFmtId="179" fontId="16" fillId="0" borderId="0" xfId="18" applyNumberFormat="1" applyFont="1" applyAlignment="1">
      <alignment horizontal="right" vertical="center"/>
    </xf>
    <xf numFmtId="176" fontId="30" fillId="0" borderId="0" xfId="18" applyNumberFormat="1" applyFont="1" applyAlignment="1">
      <alignment horizontal="right" vertical="center"/>
    </xf>
    <xf numFmtId="0" fontId="49" fillId="0" borderId="0" xfId="0" applyFont="1"/>
    <xf numFmtId="167" fontId="30" fillId="0" borderId="0" xfId="18" applyNumberFormat="1" applyFont="1" applyAlignment="1">
      <alignment horizontal="right" vertical="center"/>
    </xf>
    <xf numFmtId="166" fontId="38" fillId="0" borderId="4" xfId="18" applyNumberFormat="1" applyFont="1" applyBorder="1" applyAlignment="1">
      <alignment horizontal="left"/>
    </xf>
    <xf numFmtId="0" fontId="15" fillId="0" borderId="4" xfId="18" applyBorder="1"/>
    <xf numFmtId="0" fontId="50" fillId="0" borderId="0" xfId="18" applyFont="1" applyAlignment="1">
      <alignment vertical="center"/>
    </xf>
    <xf numFmtId="169" fontId="21" fillId="0" borderId="8" xfId="22" applyNumberFormat="1">
      <alignment horizontal="right"/>
    </xf>
    <xf numFmtId="170" fontId="21" fillId="0" borderId="8" xfId="22" applyNumberFormat="1">
      <alignment horizontal="right"/>
    </xf>
    <xf numFmtId="0" fontId="48" fillId="0" borderId="0" xfId="8" applyFont="1"/>
    <xf numFmtId="0" fontId="36" fillId="0" borderId="7" xfId="18" applyFont="1" applyBorder="1" applyAlignment="1">
      <alignment horizontal="right" vertical="center"/>
    </xf>
    <xf numFmtId="0" fontId="22" fillId="0" borderId="0" xfId="8" applyFont="1" applyAlignment="1">
      <alignment horizontal="left"/>
    </xf>
    <xf numFmtId="0" fontId="17" fillId="0" borderId="4" xfId="0" applyFont="1" applyBorder="1" applyAlignment="1">
      <alignment horizontal="left"/>
    </xf>
    <xf numFmtId="0" fontId="54" fillId="0" borderId="0" xfId="18" applyFont="1"/>
    <xf numFmtId="0" fontId="15" fillId="0" borderId="0" xfId="20" applyFont="1"/>
    <xf numFmtId="0" fontId="15" fillId="0" borderId="0" xfId="20" applyFont="1" applyAlignment="1">
      <alignment horizontal="center"/>
    </xf>
    <xf numFmtId="0" fontId="18" fillId="0" borderId="0" xfId="20"/>
    <xf numFmtId="0" fontId="15" fillId="2" borderId="0" xfId="20" applyFont="1" applyFill="1"/>
    <xf numFmtId="180" fontId="21" fillId="0" borderId="8" xfId="22" applyNumberFormat="1">
      <alignment horizontal="right"/>
    </xf>
    <xf numFmtId="167" fontId="15" fillId="0" borderId="0" xfId="18" applyNumberFormat="1" applyAlignment="1">
      <alignment horizontal="right" vertical="center"/>
    </xf>
    <xf numFmtId="167" fontId="15" fillId="14" borderId="0" xfId="18" applyNumberFormat="1" applyFill="1" applyAlignment="1">
      <alignment horizontal="right" vertical="center"/>
    </xf>
    <xf numFmtId="49" fontId="15" fillId="0" borderId="0" xfId="18" applyNumberFormat="1"/>
    <xf numFmtId="182" fontId="27" fillId="2" borderId="8" xfId="18" applyNumberFormat="1" applyFont="1" applyFill="1" applyBorder="1" applyAlignment="1">
      <alignment horizontal="right" vertical="center"/>
    </xf>
    <xf numFmtId="176" fontId="15" fillId="0" borderId="0" xfId="18" applyNumberFormat="1"/>
    <xf numFmtId="2" fontId="15" fillId="0" borderId="0" xfId="18" applyNumberFormat="1"/>
    <xf numFmtId="178" fontId="30" fillId="0" borderId="0" xfId="18" applyNumberFormat="1" applyFont="1" applyAlignment="1">
      <alignment horizontal="right" vertical="center"/>
    </xf>
    <xf numFmtId="178" fontId="56" fillId="0" borderId="0" xfId="18" applyNumberFormat="1" applyFont="1" applyAlignment="1">
      <alignment horizontal="right" vertical="center"/>
    </xf>
    <xf numFmtId="0" fontId="24" fillId="11" borderId="0" xfId="18" applyFont="1" applyFill="1" applyAlignment="1">
      <alignment horizontal="right" vertical="center"/>
    </xf>
    <xf numFmtId="167" fontId="16" fillId="0" borderId="4" xfId="18" applyNumberFormat="1" applyFont="1" applyBorder="1" applyAlignment="1">
      <alignment horizontal="right" vertical="center"/>
    </xf>
    <xf numFmtId="0" fontId="15" fillId="0" borderId="4" xfId="0" applyFont="1" applyBorder="1" applyAlignment="1">
      <alignment horizontal="left"/>
    </xf>
    <xf numFmtId="0" fontId="15" fillId="2" borderId="0" xfId="18" applyFill="1"/>
    <xf numFmtId="14" fontId="57" fillId="0" borderId="0" xfId="0" applyNumberFormat="1" applyFont="1"/>
    <xf numFmtId="0" fontId="56" fillId="0" borderId="0" xfId="18" applyFont="1" applyAlignment="1">
      <alignment vertical="center"/>
    </xf>
    <xf numFmtId="167" fontId="27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3" fillId="0" borderId="0" xfId="0" applyNumberFormat="1" applyFont="1"/>
    <xf numFmtId="0" fontId="45" fillId="2" borderId="0" xfId="18" applyFont="1" applyFill="1" applyAlignment="1">
      <alignment horizontal="right"/>
    </xf>
    <xf numFmtId="0" fontId="17" fillId="0" borderId="0" xfId="18" applyFont="1" applyAlignment="1">
      <alignment horizontal="center"/>
    </xf>
    <xf numFmtId="167" fontId="34" fillId="2" borderId="0" xfId="18" applyNumberFormat="1" applyFont="1" applyFill="1" applyAlignment="1">
      <alignment horizontal="left" vertical="center"/>
    </xf>
    <xf numFmtId="170" fontId="27" fillId="2" borderId="0" xfId="23" applyNumberFormat="1" applyAlignment="1">
      <alignment horizontal="right"/>
    </xf>
    <xf numFmtId="183" fontId="47" fillId="2" borderId="0" xfId="24" applyNumberFormat="1" applyFill="1" applyAlignment="1">
      <alignment horizontal="right"/>
    </xf>
    <xf numFmtId="0" fontId="17" fillId="0" borderId="7" xfId="0" applyFont="1" applyBorder="1" applyAlignment="1">
      <alignment horizontal="left"/>
    </xf>
    <xf numFmtId="0" fontId="17" fillId="0" borderId="7" xfId="0" applyFont="1" applyBorder="1" applyAlignment="1">
      <alignment horizontal="center"/>
    </xf>
    <xf numFmtId="9" fontId="27" fillId="2" borderId="0" xfId="23" applyNumberFormat="1" applyAlignment="1">
      <alignment horizontal="right"/>
    </xf>
    <xf numFmtId="175" fontId="45" fillId="0" borderId="0" xfId="18" applyNumberFormat="1" applyFont="1" applyAlignment="1">
      <alignment horizontal="left" vertical="center"/>
    </xf>
    <xf numFmtId="0" fontId="17" fillId="0" borderId="0" xfId="0" applyFont="1" applyAlignment="1">
      <alignment horizontal="center"/>
    </xf>
    <xf numFmtId="184" fontId="27" fillId="2" borderId="8" xfId="23" applyNumberFormat="1" applyBorder="1" applyAlignment="1">
      <alignment horizontal="right"/>
    </xf>
    <xf numFmtId="184" fontId="27" fillId="2" borderId="10" xfId="23" applyNumberFormat="1" applyBorder="1" applyAlignment="1">
      <alignment horizontal="right"/>
    </xf>
    <xf numFmtId="185" fontId="27" fillId="2" borderId="10" xfId="23" applyNumberFormat="1" applyBorder="1" applyAlignment="1">
      <alignment horizontal="center"/>
    </xf>
    <xf numFmtId="169" fontId="15" fillId="0" borderId="0" xfId="0" applyNumberFormat="1" applyFont="1"/>
    <xf numFmtId="0" fontId="34" fillId="0" borderId="0" xfId="18" applyFont="1"/>
    <xf numFmtId="179" fontId="27" fillId="2" borderId="8" xfId="18" applyNumberFormat="1" applyFont="1" applyFill="1" applyBorder="1" applyAlignment="1">
      <alignment horizontal="right" vertical="center"/>
    </xf>
    <xf numFmtId="187" fontId="27" fillId="2" borderId="8" xfId="18" applyNumberFormat="1" applyFont="1" applyFill="1" applyBorder="1" applyAlignment="1">
      <alignment horizontal="right" vertical="center"/>
    </xf>
    <xf numFmtId="179" fontId="30" fillId="0" borderId="0" xfId="18" applyNumberFormat="1" applyFont="1" applyAlignment="1">
      <alignment horizontal="right" vertical="center"/>
    </xf>
    <xf numFmtId="0" fontId="15" fillId="0" borderId="7" xfId="18" applyBorder="1"/>
    <xf numFmtId="0" fontId="16" fillId="0" borderId="11" xfId="18" applyFont="1" applyBorder="1" applyAlignment="1">
      <alignment vertical="center"/>
    </xf>
    <xf numFmtId="0" fontId="15" fillId="0" borderId="11" xfId="18" applyBorder="1"/>
    <xf numFmtId="173" fontId="16" fillId="0" borderId="11" xfId="18" applyNumberFormat="1" applyFont="1" applyBorder="1" applyAlignment="1">
      <alignment horizontal="right" vertical="center"/>
    </xf>
    <xf numFmtId="167" fontId="16" fillId="0" borderId="11" xfId="18" applyNumberFormat="1" applyFont="1" applyBorder="1" applyAlignment="1">
      <alignment horizontal="right" vertical="center"/>
    </xf>
    <xf numFmtId="0" fontId="54" fillId="0" borderId="11" xfId="0" applyFont="1" applyBorder="1"/>
    <xf numFmtId="166" fontId="38" fillId="0" borderId="11" xfId="18" applyNumberFormat="1" applyFont="1" applyBorder="1" applyAlignment="1">
      <alignment horizontal="left"/>
    </xf>
    <xf numFmtId="167" fontId="30" fillId="0" borderId="11" xfId="18" applyNumberFormat="1" applyFont="1" applyBorder="1" applyAlignment="1">
      <alignment horizontal="right" vertical="center"/>
    </xf>
    <xf numFmtId="0" fontId="15" fillId="0" borderId="11" xfId="0" applyFont="1" applyBorder="1"/>
    <xf numFmtId="0" fontId="24" fillId="15" borderId="0" xfId="18" applyFont="1" applyFill="1" applyAlignment="1">
      <alignment vertical="center"/>
    </xf>
    <xf numFmtId="0" fontId="24" fillId="15" borderId="0" xfId="18" applyFont="1" applyFill="1" applyAlignment="1">
      <alignment horizontal="right" vertical="center"/>
    </xf>
    <xf numFmtId="0" fontId="19" fillId="15" borderId="0" xfId="18" applyFont="1" applyFill="1" applyAlignment="1">
      <alignment horizontal="right" vertical="center"/>
    </xf>
    <xf numFmtId="188" fontId="15" fillId="0" borderId="7" xfId="18" applyNumberFormat="1" applyBorder="1" applyAlignment="1">
      <alignment horizontal="center"/>
    </xf>
    <xf numFmtId="188" fontId="15" fillId="0" borderId="7" xfId="18" applyNumberFormat="1" applyBorder="1" applyAlignment="1">
      <alignment horizontal="left"/>
    </xf>
    <xf numFmtId="179" fontId="15" fillId="0" borderId="0" xfId="0" applyNumberFormat="1" applyFont="1"/>
    <xf numFmtId="186" fontId="15" fillId="0" borderId="0" xfId="18" applyNumberFormat="1" applyAlignment="1">
      <alignment horizontal="left"/>
    </xf>
    <xf numFmtId="171" fontId="39" fillId="0" borderId="0" xfId="8" applyNumberFormat="1" applyFont="1"/>
    <xf numFmtId="1" fontId="39" fillId="0" borderId="0" xfId="8" applyNumberFormat="1" applyFont="1"/>
    <xf numFmtId="167" fontId="22" fillId="0" borderId="0" xfId="8" applyNumberFormat="1" applyFont="1"/>
    <xf numFmtId="167" fontId="22" fillId="0" borderId="0" xfId="8" applyNumberFormat="1" applyFont="1" applyAlignment="1">
      <alignment horizontal="right"/>
    </xf>
    <xf numFmtId="0" fontId="22" fillId="0" borderId="7" xfId="8" applyFont="1" applyBorder="1" applyAlignment="1">
      <alignment horizontal="left"/>
    </xf>
    <xf numFmtId="0" fontId="23" fillId="0" borderId="7" xfId="0" applyFont="1" applyBorder="1" applyAlignment="1">
      <alignment horizontal="center"/>
    </xf>
    <xf numFmtId="0" fontId="23" fillId="0" borderId="7" xfId="0" applyFont="1" applyBorder="1"/>
    <xf numFmtId="0" fontId="58" fillId="0" borderId="12" xfId="0" applyFont="1" applyBorder="1"/>
    <xf numFmtId="0" fontId="22" fillId="2" borderId="0" xfId="8" applyFont="1" applyFill="1" applyAlignment="1">
      <alignment horizontal="left"/>
    </xf>
    <xf numFmtId="2" fontId="15" fillId="2" borderId="0" xfId="18" applyNumberFormat="1" applyFill="1"/>
    <xf numFmtId="2" fontId="21" fillId="0" borderId="8" xfId="22" applyNumberFormat="1" applyAlignment="1">
      <alignment horizontal="left"/>
    </xf>
    <xf numFmtId="168" fontId="59" fillId="10" borderId="0" xfId="18" applyNumberFormat="1" applyFont="1" applyFill="1" applyAlignment="1">
      <alignment horizontal="center" vertical="center"/>
    </xf>
    <xf numFmtId="168" fontId="59" fillId="10" borderId="0" xfId="18" applyNumberFormat="1" applyFont="1" applyFill="1" applyAlignment="1">
      <alignment horizontal="left" vertical="center"/>
    </xf>
    <xf numFmtId="0" fontId="60" fillId="0" borderId="0" xfId="18" applyFont="1"/>
    <xf numFmtId="0" fontId="61" fillId="0" borderId="7" xfId="18" applyFont="1" applyBorder="1" applyAlignment="1">
      <alignment vertical="center"/>
    </xf>
    <xf numFmtId="0" fontId="62" fillId="0" borderId="0" xfId="18" applyFont="1"/>
    <xf numFmtId="0" fontId="57" fillId="0" borderId="0" xfId="0" applyFont="1"/>
    <xf numFmtId="168" fontId="62" fillId="0" borderId="0" xfId="18" applyNumberFormat="1" applyFont="1" applyAlignment="1">
      <alignment horizontal="left"/>
    </xf>
    <xf numFmtId="0" fontId="61" fillId="0" borderId="0" xfId="18" applyFont="1" applyAlignment="1">
      <alignment vertical="center"/>
    </xf>
    <xf numFmtId="168" fontId="63" fillId="0" borderId="0" xfId="18" applyNumberFormat="1" applyFont="1" applyAlignment="1">
      <alignment horizontal="left"/>
    </xf>
    <xf numFmtId="168" fontId="64" fillId="0" borderId="0" xfId="18" applyNumberFormat="1" applyFont="1" applyAlignment="1">
      <alignment horizontal="left" vertical="center"/>
    </xf>
    <xf numFmtId="0" fontId="61" fillId="0" borderId="0" xfId="18" applyFont="1" applyAlignment="1">
      <alignment horizontal="left" vertical="center"/>
    </xf>
    <xf numFmtId="0" fontId="62" fillId="0" borderId="0" xfId="18" applyFont="1" applyAlignment="1">
      <alignment horizontal="left"/>
    </xf>
    <xf numFmtId="0" fontId="65" fillId="0" borderId="0" xfId="18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168" fontId="64" fillId="0" borderId="11" xfId="18" applyNumberFormat="1" applyFont="1" applyBorder="1" applyAlignment="1">
      <alignment horizontal="left" vertical="center"/>
    </xf>
    <xf numFmtId="168" fontId="66" fillId="0" borderId="0" xfId="18" applyNumberFormat="1" applyFont="1" applyAlignment="1">
      <alignment horizontal="left" vertical="center"/>
    </xf>
    <xf numFmtId="0" fontId="67" fillId="0" borderId="0" xfId="0" applyFont="1"/>
    <xf numFmtId="0" fontId="46" fillId="0" borderId="0" xfId="18" applyFont="1"/>
    <xf numFmtId="0" fontId="68" fillId="11" borderId="0" xfId="18" applyFont="1" applyFill="1" applyAlignment="1">
      <alignment horizontal="right" vertical="center"/>
    </xf>
    <xf numFmtId="167" fontId="64" fillId="0" borderId="0" xfId="18" applyNumberFormat="1" applyFont="1" applyAlignment="1">
      <alignment horizontal="right" vertical="center"/>
    </xf>
    <xf numFmtId="0" fontId="61" fillId="0" borderId="7" xfId="18" applyFont="1" applyBorder="1" applyAlignment="1">
      <alignment horizontal="right" vertical="center"/>
    </xf>
    <xf numFmtId="166" fontId="70" fillId="10" borderId="0" xfId="16" applyFont="1" applyFill="1" applyAlignment="1">
      <alignment horizontal="right"/>
    </xf>
    <xf numFmtId="0" fontId="69" fillId="0" borderId="0" xfId="8" applyFont="1" applyAlignment="1">
      <alignment horizontal="right"/>
    </xf>
    <xf numFmtId="168" fontId="64" fillId="0" borderId="0" xfId="18" applyNumberFormat="1" applyFont="1" applyAlignment="1">
      <alignment horizontal="right" vertical="center"/>
    </xf>
    <xf numFmtId="168" fontId="66" fillId="0" borderId="0" xfId="18" applyNumberFormat="1" applyFont="1" applyAlignment="1">
      <alignment horizontal="right" vertical="center"/>
    </xf>
    <xf numFmtId="168" fontId="64" fillId="0" borderId="4" xfId="18" applyNumberFormat="1" applyFont="1" applyBorder="1" applyAlignment="1">
      <alignment horizontal="right" vertical="center"/>
    </xf>
    <xf numFmtId="0" fontId="62" fillId="0" borderId="0" xfId="18" applyFont="1" applyAlignment="1">
      <alignment horizontal="right"/>
    </xf>
    <xf numFmtId="0" fontId="62" fillId="0" borderId="0" xfId="0" applyFont="1" applyAlignment="1">
      <alignment horizontal="right"/>
    </xf>
    <xf numFmtId="0" fontId="71" fillId="0" borderId="0" xfId="18" applyFont="1" applyAlignment="1">
      <alignment vertical="center"/>
    </xf>
    <xf numFmtId="0" fontId="26" fillId="0" borderId="0" xfId="18" applyFont="1"/>
    <xf numFmtId="178" fontId="71" fillId="0" borderId="0" xfId="18" applyNumberFormat="1" applyFont="1" applyAlignment="1">
      <alignment horizontal="right" vertical="center"/>
    </xf>
    <xf numFmtId="167" fontId="48" fillId="0" borderId="0" xfId="8" applyNumberFormat="1" applyFont="1"/>
    <xf numFmtId="166" fontId="72" fillId="0" borderId="0" xfId="18" applyNumberFormat="1" applyFont="1" applyAlignment="1">
      <alignment horizontal="left"/>
    </xf>
    <xf numFmtId="0" fontId="73" fillId="0" borderId="11" xfId="0" applyFont="1" applyBorder="1"/>
    <xf numFmtId="166" fontId="72" fillId="0" borderId="11" xfId="18" applyNumberFormat="1" applyFont="1" applyBorder="1" applyAlignment="1">
      <alignment horizontal="left"/>
    </xf>
    <xf numFmtId="0" fontId="26" fillId="0" borderId="11" xfId="18" applyFont="1" applyBorder="1" applyAlignment="1">
      <alignment horizontal="right"/>
    </xf>
    <xf numFmtId="0" fontId="74" fillId="0" borderId="0" xfId="18" applyFont="1"/>
    <xf numFmtId="0" fontId="45" fillId="0" borderId="0" xfId="20" applyFont="1" applyAlignment="1">
      <alignment horizontal="center"/>
    </xf>
    <xf numFmtId="174" fontId="15" fillId="0" borderId="0" xfId="18" applyNumberFormat="1"/>
    <xf numFmtId="189" fontId="15" fillId="0" borderId="0" xfId="18" applyNumberFormat="1"/>
    <xf numFmtId="190" fontId="15" fillId="0" borderId="0" xfId="0" applyNumberFormat="1" applyFont="1"/>
    <xf numFmtId="0" fontId="36" fillId="0" borderId="0" xfId="18" applyFont="1" applyAlignment="1">
      <alignment vertical="center"/>
    </xf>
    <xf numFmtId="0" fontId="36" fillId="0" borderId="0" xfId="18" applyFont="1" applyAlignment="1">
      <alignment horizontal="right" vertical="center"/>
    </xf>
    <xf numFmtId="167" fontId="15" fillId="0" borderId="0" xfId="18" applyNumberFormat="1"/>
    <xf numFmtId="0" fontId="76" fillId="0" borderId="0" xfId="0" applyFont="1"/>
    <xf numFmtId="172" fontId="15" fillId="0" borderId="0" xfId="0" applyNumberFormat="1" applyFont="1" applyAlignment="1">
      <alignment horizontal="left"/>
    </xf>
    <xf numFmtId="9" fontId="15" fillId="0" borderId="0" xfId="18" applyNumberFormat="1"/>
    <xf numFmtId="0" fontId="34" fillId="0" borderId="0" xfId="18" applyFont="1" applyAlignment="1">
      <alignment vertical="center"/>
    </xf>
    <xf numFmtId="171" fontId="39" fillId="0" borderId="0" xfId="8" applyNumberFormat="1" applyFont="1" applyAlignment="1">
      <alignment horizontal="right"/>
    </xf>
    <xf numFmtId="0" fontId="77" fillId="0" borderId="0" xfId="0" applyFont="1"/>
    <xf numFmtId="185" fontId="15" fillId="0" borderId="0" xfId="0" applyNumberFormat="1" applyFont="1" applyAlignment="1">
      <alignment horizontal="left"/>
    </xf>
    <xf numFmtId="0" fontId="17" fillId="0" borderId="0" xfId="0" applyFont="1" applyAlignment="1">
      <alignment horizontal="right"/>
    </xf>
    <xf numFmtId="181" fontId="15" fillId="0" borderId="0" xfId="0" applyNumberFormat="1" applyFont="1" applyAlignment="1">
      <alignment horizontal="left"/>
    </xf>
    <xf numFmtId="181" fontId="15" fillId="0" borderId="14" xfId="0" applyNumberFormat="1" applyFont="1" applyBorder="1" applyAlignment="1">
      <alignment horizontal="left"/>
    </xf>
    <xf numFmtId="191" fontId="15" fillId="0" borderId="0" xfId="0" applyNumberFormat="1" applyFont="1" applyAlignment="1">
      <alignment horizontal="center"/>
    </xf>
    <xf numFmtId="0" fontId="78" fillId="0" borderId="0" xfId="0" applyFont="1"/>
    <xf numFmtId="191" fontId="16" fillId="0" borderId="11" xfId="18" applyNumberFormat="1" applyFont="1" applyBorder="1" applyAlignment="1">
      <alignment horizontal="right" vertical="center"/>
    </xf>
    <xf numFmtId="191" fontId="16" fillId="0" borderId="0" xfId="18" applyNumberFormat="1" applyFont="1" applyAlignment="1">
      <alignment horizontal="right" vertical="center"/>
    </xf>
    <xf numFmtId="0" fontId="15" fillId="0" borderId="0" xfId="0" applyFont="1" applyAlignment="1">
      <alignment horizontal="center"/>
    </xf>
    <xf numFmtId="0" fontId="76" fillId="0" borderId="0" xfId="0" applyFont="1" applyAlignment="1">
      <alignment horizontal="center"/>
    </xf>
    <xf numFmtId="0" fontId="15" fillId="0" borderId="7" xfId="0" applyFont="1" applyBorder="1" applyAlignment="1">
      <alignment horizontal="center"/>
    </xf>
    <xf numFmtId="179" fontId="16" fillId="0" borderId="11" xfId="18" applyNumberFormat="1" applyFont="1" applyBorder="1" applyAlignment="1">
      <alignment horizontal="right" vertical="center"/>
    </xf>
    <xf numFmtId="181" fontId="79" fillId="0" borderId="0" xfId="0" applyNumberFormat="1" applyFont="1" applyAlignment="1">
      <alignment horizontal="center"/>
    </xf>
    <xf numFmtId="179" fontId="23" fillId="0" borderId="0" xfId="0" applyNumberFormat="1" applyFont="1"/>
    <xf numFmtId="0" fontId="27" fillId="2" borderId="0" xfId="18" applyFont="1" applyFill="1"/>
    <xf numFmtId="181" fontId="17" fillId="0" borderId="14" xfId="0" applyNumberFormat="1" applyFont="1" applyBorder="1" applyAlignment="1">
      <alignment horizontal="left"/>
    </xf>
    <xf numFmtId="191" fontId="30" fillId="0" borderId="11" xfId="18" applyNumberFormat="1" applyFont="1" applyBorder="1" applyAlignment="1">
      <alignment horizontal="right" vertical="center"/>
    </xf>
    <xf numFmtId="191" fontId="80" fillId="0" borderId="14" xfId="0" applyNumberFormat="1" applyFont="1" applyBorder="1" applyAlignment="1">
      <alignment horizontal="center"/>
    </xf>
    <xf numFmtId="188" fontId="23" fillId="0" borderId="7" xfId="18" applyNumberFormat="1" applyFont="1" applyBorder="1" applyAlignment="1">
      <alignment horizontal="left"/>
    </xf>
    <xf numFmtId="0" fontId="30" fillId="0" borderId="0" xfId="18" applyFont="1" applyAlignment="1">
      <alignment horizontal="left" vertical="top"/>
    </xf>
    <xf numFmtId="0" fontId="37" fillId="2" borderId="0" xfId="0" applyFont="1" applyFill="1"/>
    <xf numFmtId="192" fontId="0" fillId="0" borderId="0" xfId="0" applyNumberFormat="1"/>
    <xf numFmtId="167" fontId="15" fillId="0" borderId="0" xfId="18" applyNumberFormat="1" applyAlignment="1">
      <alignment horizontal="right"/>
    </xf>
    <xf numFmtId="168" fontId="23" fillId="0" borderId="0" xfId="0" applyNumberFormat="1" applyFont="1"/>
    <xf numFmtId="0" fontId="23" fillId="0" borderId="0" xfId="0" applyFont="1" applyAlignment="1">
      <alignment wrapText="1"/>
    </xf>
    <xf numFmtId="168" fontId="27" fillId="2" borderId="0" xfId="24" applyNumberFormat="1" applyFont="1" applyFill="1" applyAlignment="1">
      <alignment horizontal="left" vertical="center"/>
    </xf>
    <xf numFmtId="0" fontId="77" fillId="0" borderId="7" xfId="18" applyFont="1" applyBorder="1"/>
    <xf numFmtId="183" fontId="15" fillId="0" borderId="0" xfId="18" applyNumberFormat="1" applyAlignment="1">
      <alignment horizontal="left"/>
    </xf>
    <xf numFmtId="193" fontId="15" fillId="0" borderId="0" xfId="18" applyNumberFormat="1"/>
    <xf numFmtId="10" fontId="27" fillId="2" borderId="0" xfId="24" quotePrefix="1" applyNumberFormat="1" applyFont="1" applyFill="1"/>
    <xf numFmtId="168" fontId="27" fillId="2" borderId="0" xfId="24" applyNumberFormat="1" applyFont="1" applyFill="1" applyAlignment="1">
      <alignment horizontal="right"/>
    </xf>
    <xf numFmtId="0" fontId="27" fillId="2" borderId="0" xfId="24" applyNumberFormat="1" applyFont="1" applyFill="1"/>
    <xf numFmtId="168" fontId="27" fillId="2" borderId="0" xfId="24" applyNumberFormat="1" applyFont="1" applyFill="1" applyAlignment="1">
      <alignment horizontal="right" vertical="center"/>
    </xf>
    <xf numFmtId="170" fontId="27" fillId="2" borderId="0" xfId="24" applyNumberFormat="1" applyFont="1" applyFill="1" applyBorder="1" applyAlignment="1">
      <alignment horizontal="right"/>
    </xf>
    <xf numFmtId="169" fontId="27" fillId="2" borderId="0" xfId="24" applyNumberFormat="1" applyFont="1" applyFill="1" applyBorder="1" applyAlignment="1">
      <alignment horizontal="right"/>
    </xf>
    <xf numFmtId="189" fontId="27" fillId="2" borderId="0" xfId="23" applyNumberFormat="1" applyAlignment="1">
      <alignment horizontal="right"/>
    </xf>
    <xf numFmtId="189" fontId="37" fillId="2" borderId="0" xfId="23" applyNumberFormat="1" applyFont="1" applyAlignment="1">
      <alignment horizontal="right"/>
    </xf>
    <xf numFmtId="0" fontId="18" fillId="16" borderId="0" xfId="20" applyFill="1"/>
    <xf numFmtId="0" fontId="81" fillId="0" borderId="0" xfId="20" applyFont="1"/>
    <xf numFmtId="0" fontId="82" fillId="0" borderId="0" xfId="20" applyFont="1"/>
    <xf numFmtId="0" fontId="83" fillId="0" borderId="0" xfId="20" applyFont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8" fillId="0" borderId="0" xfId="20" applyFont="1"/>
    <xf numFmtId="194" fontId="89" fillId="10" borderId="0" xfId="16" applyNumberFormat="1" applyFont="1" applyFill="1" applyAlignment="1">
      <alignment horizontal="right"/>
    </xf>
    <xf numFmtId="194" fontId="90" fillId="15" borderId="0" xfId="18" applyNumberFormat="1" applyFont="1" applyFill="1" applyAlignment="1">
      <alignment horizontal="right" vertical="center"/>
    </xf>
    <xf numFmtId="168" fontId="27" fillId="2" borderId="0" xfId="23" applyNumberFormat="1" applyAlignment="1">
      <alignment horizontal="right"/>
    </xf>
    <xf numFmtId="0" fontId="15" fillId="0" borderId="0" xfId="0" applyFont="1" applyAlignment="1">
      <alignment horizontal="left" indent="2"/>
    </xf>
    <xf numFmtId="177" fontId="27" fillId="2" borderId="8" xfId="18" applyNumberFormat="1" applyFont="1" applyFill="1" applyBorder="1" applyAlignment="1">
      <alignment horizontal="right" vertical="center"/>
    </xf>
    <xf numFmtId="0" fontId="27" fillId="2" borderId="8" xfId="23" applyNumberFormat="1" applyBorder="1" applyAlignment="1">
      <alignment horizontal="center"/>
    </xf>
    <xf numFmtId="0" fontId="15" fillId="0" borderId="0" xfId="20" applyFont="1" applyAlignment="1">
      <alignment horizontal="left"/>
    </xf>
    <xf numFmtId="168" fontId="44" fillId="0" borderId="0" xfId="23" applyNumberFormat="1" applyFont="1" applyFill="1" applyAlignment="1">
      <alignment horizontal="left"/>
    </xf>
    <xf numFmtId="0" fontId="85" fillId="0" borderId="0" xfId="20" applyFont="1" applyAlignment="1">
      <alignment horizontal="left"/>
    </xf>
    <xf numFmtId="14" fontId="82" fillId="16" borderId="0" xfId="20" applyNumberFormat="1" applyFont="1" applyFill="1"/>
    <xf numFmtId="9" fontId="27" fillId="2" borderId="0" xfId="18" applyNumberFormat="1" applyFont="1" applyFill="1"/>
    <xf numFmtId="0" fontId="50" fillId="18" borderId="0" xfId="18" applyFont="1" applyFill="1" applyAlignment="1">
      <alignment vertical="center"/>
    </xf>
    <xf numFmtId="0" fontId="15" fillId="18" borderId="0" xfId="18" applyFill="1"/>
    <xf numFmtId="0" fontId="62" fillId="18" borderId="0" xfId="18" applyFont="1" applyFill="1"/>
    <xf numFmtId="9" fontId="27" fillId="18" borderId="0" xfId="18" applyNumberFormat="1" applyFont="1" applyFill="1"/>
    <xf numFmtId="168" fontId="62" fillId="18" borderId="0" xfId="18" applyNumberFormat="1" applyFont="1" applyFill="1" applyAlignment="1">
      <alignment horizontal="left"/>
    </xf>
    <xf numFmtId="0" fontId="0" fillId="18" borderId="0" xfId="0" applyFill="1"/>
    <xf numFmtId="0" fontId="61" fillId="18" borderId="0" xfId="18" applyFont="1" applyFill="1" applyAlignment="1">
      <alignment vertical="center"/>
    </xf>
    <xf numFmtId="187" fontId="27" fillId="18" borderId="0" xfId="18" applyNumberFormat="1" applyFont="1" applyFill="1" applyAlignment="1">
      <alignment horizontal="right" vertical="center"/>
    </xf>
    <xf numFmtId="0" fontId="92" fillId="0" borderId="0" xfId="0" applyFont="1"/>
    <xf numFmtId="0" fontId="93" fillId="0" borderId="0" xfId="0" applyFont="1"/>
    <xf numFmtId="9" fontId="94" fillId="19" borderId="0" xfId="0" applyNumberFormat="1" applyFont="1" applyFill="1"/>
    <xf numFmtId="0" fontId="93" fillId="0" borderId="0" xfId="0" applyFont="1" applyAlignment="1">
      <alignment horizontal="left"/>
    </xf>
    <xf numFmtId="0" fontId="95" fillId="0" borderId="0" xfId="0" applyFont="1"/>
    <xf numFmtId="9" fontId="0" fillId="0" borderId="0" xfId="34" applyFont="1"/>
    <xf numFmtId="185" fontId="21" fillId="0" borderId="8" xfId="22" applyNumberFormat="1" applyAlignment="1">
      <alignment horizontal="center"/>
    </xf>
    <xf numFmtId="179" fontId="96" fillId="2" borderId="8" xfId="18" applyNumberFormat="1" applyFont="1" applyFill="1" applyBorder="1" applyAlignment="1">
      <alignment horizontal="right" vertical="center"/>
    </xf>
    <xf numFmtId="195" fontId="87" fillId="0" borderId="0" xfId="20" applyNumberFormat="1" applyFont="1" applyAlignment="1">
      <alignment horizontal="left"/>
    </xf>
    <xf numFmtId="196" fontId="27" fillId="2" borderId="0" xfId="18" applyNumberFormat="1" applyFont="1" applyFill="1" applyAlignment="1">
      <alignment horizontal="right" vertical="center"/>
    </xf>
    <xf numFmtId="0" fontId="97" fillId="2" borderId="8" xfId="22" applyNumberFormat="1" applyFont="1" applyFill="1" applyAlignment="1">
      <alignment horizontal="left"/>
    </xf>
    <xf numFmtId="178" fontId="16" fillId="0" borderId="0" xfId="18" applyNumberFormat="1" applyFont="1" applyAlignment="1">
      <alignment horizontal="right" vertical="center"/>
    </xf>
    <xf numFmtId="197" fontId="55" fillId="0" borderId="0" xfId="18" applyNumberFormat="1" applyFont="1" applyAlignment="1">
      <alignment horizontal="left" indent="1"/>
    </xf>
    <xf numFmtId="197" fontId="20" fillId="0" borderId="0" xfId="18" applyNumberFormat="1" applyFont="1" applyAlignment="1">
      <alignment horizontal="left" indent="1"/>
    </xf>
    <xf numFmtId="0" fontId="15" fillId="0" borderId="4" xfId="18" applyBorder="1" applyAlignment="1">
      <alignment horizontal="left" vertical="top"/>
    </xf>
    <xf numFmtId="0" fontId="15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5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7" fillId="2" borderId="13" xfId="23" applyNumberFormat="1" applyBorder="1" applyAlignment="1">
      <alignment horizontal="left"/>
    </xf>
    <xf numFmtId="185" fontId="27" fillId="2" borderId="14" xfId="23" applyNumberFormat="1" applyBorder="1" applyAlignment="1">
      <alignment horizontal="left"/>
    </xf>
    <xf numFmtId="185" fontId="27" fillId="2" borderId="15" xfId="23" applyNumberFormat="1" applyBorder="1" applyAlignment="1">
      <alignment horizontal="left"/>
    </xf>
    <xf numFmtId="0" fontId="37" fillId="2" borderId="0" xfId="0" applyFont="1" applyFill="1" applyAlignment="1">
      <alignment horizontal="left"/>
    </xf>
    <xf numFmtId="0" fontId="27" fillId="2" borderId="0" xfId="24" applyNumberFormat="1" applyFont="1" applyFill="1" applyBorder="1" applyAlignment="1">
      <alignment horizontal="left" vertical="top"/>
    </xf>
    <xf numFmtId="0" fontId="27" fillId="2" borderId="0" xfId="18" applyFont="1" applyFill="1" applyAlignment="1">
      <alignment horizontal="left" vertical="top"/>
    </xf>
  </cellXfs>
  <cellStyles count="35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 2 2" xfId="29" xr:uid="{F29057D5-5718-441F-8CAD-00B1D320E1EF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8" xfId="28" xr:uid="{A72DEBFF-D704-40A2-B10B-0D568324BDB3}"/>
    <cellStyle name="Offsheet" xfId="10" xr:uid="{00000000-0005-0000-0000-000012000000}"/>
    <cellStyle name="Percent" xfId="34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6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1" tint="0.499984740745262"/>
      </font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FFFFCC"/>
      <color rgb="FF66FFFF"/>
      <color rgb="FF00215B"/>
      <color rgb="FF3333FF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0163746447994599E-2"/>
          <c:y val="6.7231498068280646E-2"/>
          <c:w val="0.89562073372082374"/>
          <c:h val="0.75931613806725873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3 annualised capex</c:v>
                </c:pt>
              </c:strCache>
            </c:strRef>
          </c:tx>
          <c:spPr>
            <a:ln w="28575" cap="rnd">
              <a:solidFill>
                <a:srgbClr val="0079C1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3.7363253722076237</c:v>
                </c:pt>
                <c:pt idx="1">
                  <c:v>3.7363253722076237</c:v>
                </c:pt>
                <c:pt idx="2">
                  <c:v>3.7363253722076237</c:v>
                </c:pt>
                <c:pt idx="3">
                  <c:v>3.7363253722076237</c:v>
                </c:pt>
                <c:pt idx="4">
                  <c:v>3.7363253722076237</c:v>
                </c:pt>
                <c:pt idx="5">
                  <c:v>3.7363253722076237</c:v>
                </c:pt>
                <c:pt idx="6">
                  <c:v>3.7363253722076237</c:v>
                </c:pt>
                <c:pt idx="7">
                  <c:v>3.7363253722076237</c:v>
                </c:pt>
                <c:pt idx="8">
                  <c:v>3.7363253722076237</c:v>
                </c:pt>
                <c:pt idx="9">
                  <c:v>3.7363253722076237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6E-4088-A167-E1DEAE4ABC30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ACD0E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1.3324698397258763E-3</c:v>
                </c:pt>
                <c:pt idx="1">
                  <c:v>1.4739062891764831E-2</c:v>
                </c:pt>
                <c:pt idx="2">
                  <c:v>3.5205256504725536E-2</c:v>
                </c:pt>
                <c:pt idx="3">
                  <c:v>6.7567318409888624E-2</c:v>
                </c:pt>
                <c:pt idx="4">
                  <c:v>0.10950716863262981</c:v>
                </c:pt>
                <c:pt idx="5">
                  <c:v>0.1710454135656323</c:v>
                </c:pt>
                <c:pt idx="6">
                  <c:v>0.27769373559039184</c:v>
                </c:pt>
                <c:pt idx="7">
                  <c:v>0.44311657214543454</c:v>
                </c:pt>
                <c:pt idx="8">
                  <c:v>0.62570498049061607</c:v>
                </c:pt>
                <c:pt idx="9">
                  <c:v>0.80218122003624959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6E-4088-A167-E1DEAE4ABC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140349075582219E-2"/>
          <c:y val="0.91674025677597648"/>
          <c:w val="0.97443796425947038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80533683289591E-2"/>
          <c:y val="7.7035475234270415E-2"/>
          <c:w val="0.89991863517060366"/>
          <c:h val="0.78679250334672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0079C1"/>
            </a:solidFill>
            <a:ln>
              <a:noFill/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1.2040066517850321E-3</c:v>
                </c:pt>
                <c:pt idx="1">
                  <c:v>1.3318072374841585E-2</c:v>
                </c:pt>
                <c:pt idx="2">
                  <c:v>3.181112378364076E-2</c:v>
                </c:pt>
                <c:pt idx="3">
                  <c:v>6.1053164869772428E-2</c:v>
                </c:pt>
                <c:pt idx="4">
                  <c:v>9.894960135004327E-2</c:v>
                </c:pt>
                <c:pt idx="5">
                  <c:v>0.1545549546792821</c:v>
                </c:pt>
                <c:pt idx="6">
                  <c:v>0.25092133033093578</c:v>
                </c:pt>
                <c:pt idx="7">
                  <c:v>0.40039577968161988</c:v>
                </c:pt>
                <c:pt idx="8">
                  <c:v>0.56538087100020951</c:v>
                </c:pt>
                <c:pt idx="9">
                  <c:v>0.72484306666136145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F-472C-8A8A-2EB688C93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409575</xdr:colOff>
      <xdr:row>1</xdr:row>
      <xdr:rowOff>9525</xdr:rowOff>
    </xdr:from>
    <xdr:to>
      <xdr:col>10</xdr:col>
      <xdr:colOff>234575</xdr:colOff>
      <xdr:row>2</xdr:row>
      <xdr:rowOff>147636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51A16E-B07E-4C8F-9E9C-E41135BDE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200025"/>
          <a:ext cx="1044200" cy="433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61447</xdr:colOff>
          <xdr:row>10</xdr:row>
          <xdr:rowOff>140614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Y$31:$AB$32" spid="_x0000_s3775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Y$14:$Y$19" spid="_x0000_s3775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zoomScaleNormal="100" workbookViewId="0">
      <selection activeCell="A36" sqref="A36"/>
    </sheetView>
  </sheetViews>
  <sheetFormatPr defaultColWidth="0" defaultRowHeight="15" customHeight="1" zeroHeight="1" x14ac:dyDescent="0.25"/>
  <cols>
    <col min="1" max="1" width="8" style="105" customWidth="1"/>
    <col min="2" max="2" width="1.875" style="105" customWidth="1"/>
    <col min="3" max="3" width="14" style="105" customWidth="1"/>
    <col min="4" max="4" width="8" style="105" customWidth="1"/>
    <col min="5" max="5" width="9.375" style="105" customWidth="1"/>
    <col min="6" max="11" width="8" style="105" customWidth="1"/>
    <col min="12" max="19" width="8" style="105" hidden="1" customWidth="1"/>
    <col min="20" max="16384" width="0" style="105" hidden="1"/>
  </cols>
  <sheetData>
    <row r="1" spans="1:19" x14ac:dyDescent="0.25">
      <c r="A1" s="257"/>
    </row>
    <row r="2" spans="1:19" ht="23.25" x14ac:dyDescent="0.35">
      <c r="A2" s="257"/>
      <c r="C2" s="258" t="s">
        <v>0</v>
      </c>
      <c r="D2" s="259"/>
      <c r="E2" s="259"/>
    </row>
    <row r="3" spans="1:19" ht="15.75" x14ac:dyDescent="0.25">
      <c r="A3" s="257"/>
      <c r="C3" s="260" t="s">
        <v>249</v>
      </c>
      <c r="D3" s="259"/>
      <c r="E3" s="259"/>
    </row>
    <row r="4" spans="1:19" x14ac:dyDescent="0.25">
      <c r="A4" s="257"/>
      <c r="D4" s="259"/>
      <c r="E4" s="259"/>
    </row>
    <row r="5" spans="1:19" x14ac:dyDescent="0.25">
      <c r="A5" s="257"/>
      <c r="C5" s="261" t="s">
        <v>1</v>
      </c>
    </row>
    <row r="6" spans="1:19" x14ac:dyDescent="0.25">
      <c r="A6" s="257"/>
      <c r="C6" s="262" t="s">
        <v>2</v>
      </c>
      <c r="D6" s="273" t="s">
        <v>248</v>
      </c>
      <c r="E6" s="262"/>
    </row>
    <row r="7" spans="1:19" x14ac:dyDescent="0.25">
      <c r="A7" s="257"/>
      <c r="F7" s="263"/>
      <c r="G7" s="263"/>
      <c r="H7" s="263"/>
      <c r="J7" s="263"/>
      <c r="K7" s="263"/>
      <c r="L7" s="263"/>
      <c r="M7" s="263"/>
      <c r="N7" s="263"/>
      <c r="O7" s="263"/>
      <c r="P7" s="263"/>
      <c r="Q7" s="263"/>
      <c r="R7" s="263"/>
      <c r="S7" s="263"/>
    </row>
    <row r="8" spans="1:19" x14ac:dyDescent="0.25">
      <c r="A8" s="257"/>
      <c r="C8" s="292">
        <v>45992</v>
      </c>
      <c r="F8" s="263"/>
      <c r="G8" s="263"/>
      <c r="H8" s="263"/>
      <c r="J8" s="263"/>
      <c r="K8" s="263"/>
      <c r="L8" s="263"/>
      <c r="M8" s="263"/>
      <c r="N8" s="263"/>
      <c r="O8" s="263"/>
      <c r="P8" s="263"/>
      <c r="Q8" s="263"/>
      <c r="R8" s="263"/>
      <c r="S8" s="263"/>
    </row>
    <row r="9" spans="1:19" x14ac:dyDescent="0.25">
      <c r="A9" s="257"/>
      <c r="C9" s="264"/>
      <c r="D9" s="264"/>
      <c r="F9" s="263"/>
      <c r="G9" s="263"/>
      <c r="H9" s="263"/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</row>
    <row r="10" spans="1:19" x14ac:dyDescent="0.25">
      <c r="A10" s="257"/>
      <c r="C10" s="264"/>
      <c r="D10" s="264"/>
      <c r="F10" s="263"/>
      <c r="G10" s="263"/>
      <c r="H10" s="263"/>
      <c r="I10" s="263"/>
      <c r="J10" s="263"/>
      <c r="K10" s="263"/>
      <c r="L10" s="263"/>
      <c r="M10" s="263"/>
      <c r="N10" s="263"/>
      <c r="O10" s="263"/>
      <c r="P10" s="263"/>
      <c r="Q10" s="263"/>
      <c r="R10" s="263"/>
      <c r="S10" s="263"/>
    </row>
    <row r="11" spans="1:19" x14ac:dyDescent="0.25">
      <c r="A11" s="257"/>
      <c r="C11" s="264"/>
      <c r="D11" s="264"/>
      <c r="F11" s="263"/>
      <c r="G11" s="263"/>
      <c r="H11" s="263"/>
      <c r="I11" s="263"/>
      <c r="J11" s="263"/>
      <c r="K11" s="263"/>
      <c r="L11" s="263"/>
      <c r="M11" s="263"/>
      <c r="N11" s="263"/>
      <c r="O11" s="263"/>
      <c r="P11" s="263"/>
      <c r="Q11" s="263"/>
      <c r="R11" s="263"/>
      <c r="S11" s="263"/>
    </row>
    <row r="12" spans="1:19" x14ac:dyDescent="0.25">
      <c r="A12" s="257"/>
      <c r="C12" s="264"/>
      <c r="D12" s="264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</row>
    <row r="13" spans="1:19" x14ac:dyDescent="0.25">
      <c r="A13" s="257"/>
      <c r="C13" s="264"/>
      <c r="D13" s="264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</row>
    <row r="14" spans="1:19" x14ac:dyDescent="0.25">
      <c r="A14" s="257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</row>
    <row r="15" spans="1:19" x14ac:dyDescent="0.25">
      <c r="A15" s="257"/>
      <c r="C15" s="261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</row>
    <row r="16" spans="1:19" x14ac:dyDescent="0.25">
      <c r="A16" s="257"/>
      <c r="C16" s="261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</row>
    <row r="17" spans="1:19" x14ac:dyDescent="0.25">
      <c r="A17" s="257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</row>
    <row r="18" spans="1:19" x14ac:dyDescent="0.25">
      <c r="A18" s="257"/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</row>
    <row r="19" spans="1:19" x14ac:dyDescent="0.25">
      <c r="A19" s="257"/>
      <c r="C19" s="263"/>
      <c r="D19" s="263"/>
      <c r="E19" s="263"/>
      <c r="F19" s="263"/>
      <c r="G19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</row>
    <row r="20" spans="1:19" x14ac:dyDescent="0.25">
      <c r="A20" s="257"/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</row>
    <row r="21" spans="1:19" ht="16.5" customHeight="1" x14ac:dyDescent="0.25">
      <c r="A21" s="257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</row>
    <row r="22" spans="1:19" x14ac:dyDescent="0.25">
      <c r="A22" s="257"/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</row>
    <row r="23" spans="1:19" x14ac:dyDescent="0.25">
      <c r="A23" s="257"/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</row>
    <row r="24" spans="1:19" x14ac:dyDescent="0.25">
      <c r="A24" s="257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</row>
    <row r="25" spans="1:19" x14ac:dyDescent="0.25">
      <c r="A25" s="257"/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</row>
    <row r="26" spans="1:19" x14ac:dyDescent="0.25">
      <c r="A26" s="257"/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</row>
    <row r="27" spans="1:19" x14ac:dyDescent="0.25">
      <c r="A27" s="257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</row>
    <row r="28" spans="1:19" x14ac:dyDescent="0.25">
      <c r="A28" s="257"/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</row>
    <row r="29" spans="1:19" x14ac:dyDescent="0.25">
      <c r="A29" s="257"/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</row>
    <row r="30" spans="1:19" x14ac:dyDescent="0.25">
      <c r="A30" s="257"/>
      <c r="C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</row>
    <row r="31" spans="1:19" x14ac:dyDescent="0.25">
      <c r="A31" s="257"/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</row>
    <row r="32" spans="1:19" x14ac:dyDescent="0.25">
      <c r="A32" s="257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</row>
    <row r="33" spans="1:19" x14ac:dyDescent="0.25">
      <c r="A33" s="257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</row>
    <row r="34" spans="1:19" x14ac:dyDescent="0.25">
      <c r="A34" s="257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</row>
    <row r="35" spans="1:19" x14ac:dyDescent="0.25">
      <c r="A35" s="257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</row>
    <row r="36" spans="1:19" x14ac:dyDescent="0.25">
      <c r="A36" s="257"/>
    </row>
    <row r="37" spans="1:19" x14ac:dyDescent="0.25">
      <c r="A37" s="257"/>
    </row>
    <row r="38" spans="1:19" x14ac:dyDescent="0.25">
      <c r="A38" s="257"/>
    </row>
    <row r="39" spans="1:19" x14ac:dyDescent="0.25">
      <c r="A39" s="257"/>
    </row>
    <row r="40" spans="1:19" x14ac:dyDescent="0.25">
      <c r="A40" s="257">
        <f ca="1">_xlfn.SHEETS()</f>
        <v>12</v>
      </c>
    </row>
    <row r="41" spans="1:19" x14ac:dyDescent="0.25">
      <c r="A41" s="274">
        <v>45789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zoomScale="70" zoomScaleNormal="70" workbookViewId="0">
      <pane xSplit="7" ySplit="10" topLeftCell="H11" activePane="bottomRight" state="frozen"/>
      <selection pane="topRight" activeCell="D33" sqref="D33"/>
      <selection pane="bottomLeft" activeCell="D33" sqref="D33"/>
      <selection pane="bottomRight" activeCell="H11" sqref="H11"/>
    </sheetView>
  </sheetViews>
  <sheetFormatPr defaultColWidth="0" defaultRowHeight="12.75" zeroHeight="1" outlineLevelRow="1" x14ac:dyDescent="0.2"/>
  <cols>
    <col min="1" max="1" width="8.125" style="8" customWidth="1"/>
    <col min="2" max="2" width="20.75" style="8" customWidth="1"/>
    <col min="3" max="3" width="20.5" style="8" customWidth="1"/>
    <col min="4" max="4" width="16.875" style="8" bestFit="1" customWidth="1"/>
    <col min="5" max="5" width="12.375" style="8" customWidth="1"/>
    <col min="6" max="6" width="14.25" customWidth="1"/>
    <col min="7" max="7" width="11.6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75" x14ac:dyDescent="0.3">
      <c r="A2" s="49" t="str">
        <f>proj</f>
        <v>CBD security of supply</v>
      </c>
      <c r="B2" s="49"/>
      <c r="C2" s="49"/>
      <c r="D2" s="49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75" x14ac:dyDescent="0.3">
      <c r="A3" s="172" t="s">
        <v>153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2">
      <c r="A4" s="98"/>
      <c r="B4" s="98"/>
      <c r="D4" s="83"/>
      <c r="E4" s="83"/>
      <c r="F4" s="83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</row>
    <row r="5" spans="1:33" s="2" customFormat="1" hidden="1" outlineLevel="1" x14ac:dyDescent="0.2">
      <c r="A5" s="83" t="s">
        <v>147</v>
      </c>
      <c r="B5" s="83"/>
      <c r="D5" s="84"/>
      <c r="E5" s="83"/>
      <c r="F5" s="83"/>
      <c r="G5" s="86"/>
      <c r="H5" s="159">
        <f>Consol!H5</f>
        <v>0</v>
      </c>
      <c r="I5" s="159">
        <f>Consol!I5</f>
        <v>0.98294637436598087</v>
      </c>
      <c r="J5" s="159">
        <f>Consol!J5</f>
        <v>0.94970664189949849</v>
      </c>
      <c r="K5" s="159">
        <f>Consol!K5</f>
        <v>0.91759095835700344</v>
      </c>
      <c r="L5" s="159">
        <f>Consol!L5</f>
        <v>0.88656131242222558</v>
      </c>
      <c r="M5" s="159">
        <f>Consol!M5</f>
        <v>0.85658097818572532</v>
      </c>
      <c r="N5" s="159">
        <f>Consol!N5</f>
        <v>0.8276144716770294</v>
      </c>
      <c r="O5" s="159">
        <f>Consol!O5</f>
        <v>0.79962750886669509</v>
      </c>
      <c r="P5" s="159">
        <f>Consol!P5</f>
        <v>0.77258696508859437</v>
      </c>
      <c r="Q5" s="159">
        <f>Consol!Q5</f>
        <v>0.74646083583439071</v>
      </c>
      <c r="R5" s="159">
        <f>Consol!R5</f>
        <v>0.72121819887380756</v>
      </c>
      <c r="S5" s="159">
        <f>Consol!S5</f>
        <v>0.69682917765585273</v>
      </c>
      <c r="T5" s="159">
        <f>Consol!T5</f>
        <v>0.67326490594768384</v>
      </c>
      <c r="U5" s="159">
        <f>Consol!U5</f>
        <v>0.6504974936692598</v>
      </c>
      <c r="V5" s="159">
        <f>Consol!V5</f>
        <v>0.62849999388334288</v>
      </c>
      <c r="W5" s="159">
        <f>Consol!W5</f>
        <v>0.60724637090178057</v>
      </c>
      <c r="X5" s="159">
        <f>Consol!X5</f>
        <v>0.58671146947031949</v>
      </c>
      <c r="Y5" s="159">
        <f>Consol!Y5</f>
        <v>0.56687098499547783</v>
      </c>
      <c r="Z5" s="159">
        <f>Consol!Z5</f>
        <v>0.54770143477823952</v>
      </c>
      <c r="AA5" s="159">
        <f>Consol!AA5</f>
        <v>0.52918013022052135</v>
      </c>
      <c r="AB5" s="159">
        <f>Consol!AB5</f>
        <v>0.5112851499715183</v>
      </c>
      <c r="AC5" s="159">
        <f>Consol!AC5</f>
        <v>0.4939953139821433</v>
      </c>
      <c r="AD5" s="159">
        <f>Consol!AD5</f>
        <v>0.47729015843685346</v>
      </c>
      <c r="AE5" s="159">
        <f>Consol!AE5</f>
        <v>0.46114991153319179</v>
      </c>
      <c r="AF5" s="159">
        <f>Consol!AF5</f>
        <v>0.4455554700803786</v>
      </c>
      <c r="AG5" s="159">
        <f>Consol!AG5</f>
        <v>0.43048837688925473</v>
      </c>
    </row>
    <row r="6" spans="1:33" s="2" customFormat="1" hidden="1" outlineLevel="1" x14ac:dyDescent="0.2">
      <c r="A6" s="160" t="str">
        <f>'Option1 (base case)'!A6</f>
        <v>Count</v>
      </c>
      <c r="B6" s="83"/>
      <c r="D6" s="84"/>
      <c r="E6" s="83"/>
      <c r="F6" s="83"/>
      <c r="G6" s="86"/>
      <c r="H6" s="160">
        <f>Consol!H6</f>
        <v>0</v>
      </c>
      <c r="I6" s="160">
        <f>Consol!I6</f>
        <v>1</v>
      </c>
      <c r="J6" s="160">
        <f>Consol!J6</f>
        <v>2</v>
      </c>
      <c r="K6" s="160">
        <f>Consol!K6</f>
        <v>3</v>
      </c>
      <c r="L6" s="160">
        <f>Consol!L6</f>
        <v>4</v>
      </c>
      <c r="M6" s="160">
        <f>Consol!M6</f>
        <v>5</v>
      </c>
      <c r="N6" s="160">
        <f>Consol!N6</f>
        <v>6</v>
      </c>
      <c r="O6" s="160">
        <f>Consol!O6</f>
        <v>7</v>
      </c>
      <c r="P6" s="160">
        <f>Consol!P6</f>
        <v>8</v>
      </c>
      <c r="Q6" s="160">
        <f>Consol!Q6</f>
        <v>9</v>
      </c>
      <c r="R6" s="160">
        <f>Consol!R6</f>
        <v>10</v>
      </c>
      <c r="S6" s="160">
        <f>Consol!S6</f>
        <v>11</v>
      </c>
      <c r="T6" s="160">
        <f>Consol!T6</f>
        <v>12</v>
      </c>
      <c r="U6" s="160">
        <f>Consol!U6</f>
        <v>13</v>
      </c>
      <c r="V6" s="160">
        <f>Consol!V6</f>
        <v>14</v>
      </c>
      <c r="W6" s="160">
        <f>Consol!W6</f>
        <v>15</v>
      </c>
      <c r="X6" s="160">
        <f>Consol!X6</f>
        <v>16</v>
      </c>
      <c r="Y6" s="160">
        <f>Consol!Y6</f>
        <v>17</v>
      </c>
      <c r="Z6" s="160">
        <f>Consol!Z6</f>
        <v>18</v>
      </c>
      <c r="AA6" s="160">
        <f>Consol!AA6</f>
        <v>19</v>
      </c>
      <c r="AB6" s="160">
        <f>Consol!AB6</f>
        <v>20</v>
      </c>
      <c r="AC6" s="160">
        <f>Consol!AC6</f>
        <v>21</v>
      </c>
      <c r="AD6" s="160">
        <f>Consol!AD6</f>
        <v>22</v>
      </c>
      <c r="AE6" s="160">
        <f>Consol!AE6</f>
        <v>23</v>
      </c>
      <c r="AF6" s="160">
        <f>Consol!AF6</f>
        <v>24</v>
      </c>
      <c r="AG6" s="160">
        <f>Consol!AG6</f>
        <v>25</v>
      </c>
    </row>
    <row r="7" spans="1:33" s="2" customFormat="1" hidden="1" outlineLevel="1" x14ac:dyDescent="0.2">
      <c r="A7" s="83" t="s">
        <v>148</v>
      </c>
      <c r="B7" s="83"/>
      <c r="D7" s="84"/>
      <c r="E7" s="83"/>
      <c r="F7" s="83"/>
      <c r="G7" s="86"/>
      <c r="H7" s="218" t="b">
        <f>Consol!H7</f>
        <v>1</v>
      </c>
      <c r="I7" s="218" t="b">
        <f>Consol!I7</f>
        <v>1</v>
      </c>
      <c r="J7" s="218" t="b">
        <f>Consol!J7</f>
        <v>1</v>
      </c>
      <c r="K7" s="218" t="b">
        <f>Consol!K7</f>
        <v>1</v>
      </c>
      <c r="L7" s="218" t="b">
        <f>Consol!L7</f>
        <v>1</v>
      </c>
      <c r="M7" s="218" t="b">
        <f>Consol!M7</f>
        <v>1</v>
      </c>
      <c r="N7" s="218" t="b">
        <f>Consol!N7</f>
        <v>1</v>
      </c>
      <c r="O7" s="218" t="b">
        <f>Consol!O7</f>
        <v>1</v>
      </c>
      <c r="P7" s="218" t="b">
        <f>Consol!P7</f>
        <v>1</v>
      </c>
      <c r="Q7" s="218" t="b">
        <f>Consol!Q7</f>
        <v>1</v>
      </c>
      <c r="R7" s="218" t="b">
        <f>Consol!R7</f>
        <v>1</v>
      </c>
      <c r="S7" s="218" t="b">
        <f>Consol!S7</f>
        <v>1</v>
      </c>
      <c r="T7" s="218" t="b">
        <f>Consol!T7</f>
        <v>1</v>
      </c>
      <c r="U7" s="218" t="b">
        <f>Consol!U7</f>
        <v>1</v>
      </c>
      <c r="V7" s="218" t="b">
        <f>Consol!V7</f>
        <v>1</v>
      </c>
      <c r="W7" s="218" t="b">
        <f>Consol!W7</f>
        <v>1</v>
      </c>
      <c r="X7" s="218" t="b">
        <f>Consol!X7</f>
        <v>1</v>
      </c>
      <c r="Y7" s="218" t="b">
        <f>Consol!Y7</f>
        <v>1</v>
      </c>
      <c r="Z7" s="218" t="b">
        <f>Consol!Z7</f>
        <v>1</v>
      </c>
      <c r="AA7" s="218" t="b">
        <f>Consol!AA7</f>
        <v>1</v>
      </c>
      <c r="AB7" s="218" t="b">
        <f>Consol!AB7</f>
        <v>1</v>
      </c>
      <c r="AC7" s="218" t="b">
        <f>Consol!AC7</f>
        <v>0</v>
      </c>
      <c r="AD7" s="218" t="b">
        <f>Consol!AD7</f>
        <v>0</v>
      </c>
      <c r="AE7" s="218" t="b">
        <f>Consol!AE7</f>
        <v>0</v>
      </c>
      <c r="AF7" s="218" t="b">
        <f>Consol!AF7</f>
        <v>0</v>
      </c>
      <c r="AG7" s="218" t="b">
        <f>Consol!AG7</f>
        <v>0</v>
      </c>
    </row>
    <row r="8" spans="1:33" s="2" customFormat="1" ht="4.5" customHeight="1" collapsed="1" x14ac:dyDescent="0.2"/>
    <row r="9" spans="1:33" s="2" customFormat="1" ht="15" x14ac:dyDescent="0.25">
      <c r="A9" s="17"/>
      <c r="B9" s="17"/>
      <c r="C9" s="17"/>
      <c r="D9" s="17"/>
      <c r="E9" s="17"/>
      <c r="F9" s="72"/>
      <c r="G9" s="18"/>
      <c r="H9" s="265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x14ac:dyDescent="0.2">
      <c r="D10" s="7"/>
      <c r="E10" s="7"/>
      <c r="G10" s="189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5" x14ac:dyDescent="0.2">
      <c r="A11" s="76"/>
      <c r="B11" s="76"/>
      <c r="C11" s="76"/>
      <c r="D11" s="77"/>
      <c r="E11" s="77"/>
      <c r="F11" s="62" t="s">
        <v>150</v>
      </c>
      <c r="G11" s="190"/>
      <c r="H11" s="99" t="str" cm="1">
        <f t="array" ref="H11">IF(H6=$D$4,UPPER($A$4),IF(H6=end, "END", ""))</f>
        <v/>
      </c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</row>
    <row r="12" spans="1:33" s="2" customFormat="1" x14ac:dyDescent="0.2">
      <c r="A12" s="211"/>
      <c r="B12" s="211"/>
      <c r="C12" s="211"/>
      <c r="D12" s="211"/>
      <c r="E12" s="211"/>
      <c r="F12" s="211"/>
      <c r="G12" s="212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-142409.03648715606</v>
      </c>
      <c r="AA12" s="28">
        <f>Consol!AB36</f>
        <v>-142409.03648715606</v>
      </c>
      <c r="AB12" s="28">
        <f>Consol!AC36</f>
        <v>0</v>
      </c>
      <c r="AC12" s="28">
        <f>Consol!AD36</f>
        <v>0</v>
      </c>
      <c r="AD12" s="28">
        <f>Consol!AE36</f>
        <v>0</v>
      </c>
      <c r="AE12" s="28">
        <f>Consol!AF36</f>
        <v>0</v>
      </c>
      <c r="AF12" s="28">
        <f>Consol!AG36</f>
        <v>0</v>
      </c>
      <c r="AG12" s="212"/>
    </row>
    <row r="13" spans="1:33" s="2" customFormat="1" x14ac:dyDescent="0.2">
      <c r="A13" s="211"/>
      <c r="B13" s="211"/>
      <c r="C13" s="211"/>
      <c r="D13" s="211"/>
      <c r="E13" s="211"/>
      <c r="F13" s="211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2"/>
    </row>
    <row r="14" spans="1:33" s="2" customFormat="1" x14ac:dyDescent="0.2">
      <c r="A14" s="217" t="s">
        <v>90</v>
      </c>
      <c r="B14" s="217" t="s">
        <v>7</v>
      </c>
      <c r="C14" s="217" t="s">
        <v>137</v>
      </c>
      <c r="D14" s="217" t="str">
        <f>A14&amp;B14</f>
        <v>OPTION 1 (base case)NPV</v>
      </c>
      <c r="E14" s="209"/>
      <c r="F14" s="28">
        <f>SUMPRODUCT($H14:$AG14, $H$5:$AG$5)</f>
        <v>0</v>
      </c>
      <c r="G14" s="212"/>
      <c r="H14" s="28">
        <f>'Option1 (base case)'!I91*conv_2026</f>
        <v>0</v>
      </c>
      <c r="I14" s="28">
        <f>'Option1 (base case)'!J91*conv_2026</f>
        <v>0</v>
      </c>
      <c r="J14" s="28">
        <f>'Option1 (base case)'!K91*conv_2026</f>
        <v>0</v>
      </c>
      <c r="K14" s="28">
        <f>'Option1 (base case)'!L91*conv_2026</f>
        <v>0</v>
      </c>
      <c r="L14" s="28">
        <f>'Option1 (base case)'!M91*conv_2026</f>
        <v>0</v>
      </c>
      <c r="M14" s="28">
        <f>'Option1 (base case)'!N91*conv_2026</f>
        <v>0</v>
      </c>
      <c r="N14" s="28">
        <f>'Option1 (base case)'!O91*conv_2026</f>
        <v>0</v>
      </c>
      <c r="O14" s="28">
        <f>'Option1 (base case)'!P91*conv_2026</f>
        <v>0</v>
      </c>
      <c r="P14" s="28">
        <f>'Option1 (base case)'!Q91*conv_2026</f>
        <v>0</v>
      </c>
      <c r="Q14" s="28">
        <f>'Option1 (base case)'!R91*conv_2026</f>
        <v>0</v>
      </c>
      <c r="R14" s="28">
        <f>'Option1 (base case)'!S91*conv_2026</f>
        <v>0</v>
      </c>
      <c r="S14" s="28">
        <f>'Option1 (base case)'!T91*conv_2026</f>
        <v>0</v>
      </c>
      <c r="T14" s="28">
        <f>'Option1 (base case)'!U91*conv_2026</f>
        <v>0</v>
      </c>
      <c r="U14" s="28">
        <f>'Option1 (base case)'!V91*conv_2026</f>
        <v>0</v>
      </c>
      <c r="V14" s="28">
        <f>'Option1 (base case)'!W91*conv_2026</f>
        <v>0</v>
      </c>
      <c r="W14" s="28">
        <f>'Option1 (base case)'!X91*conv_2026</f>
        <v>0</v>
      </c>
      <c r="X14" s="28">
        <f>'Option1 (base case)'!Y91*conv_2026</f>
        <v>0</v>
      </c>
      <c r="Y14" s="28">
        <f>'Option1 (base case)'!Z91*conv_2026</f>
        <v>0</v>
      </c>
      <c r="Z14" s="28">
        <f>'Option1 (base case)'!AA91*conv_2026</f>
        <v>0</v>
      </c>
      <c r="AA14" s="28">
        <f>'Option1 (base case)'!AB91*conv_2026</f>
        <v>0</v>
      </c>
      <c r="AB14" s="28">
        <f>'Option1 (base case)'!AC91*conv_2026</f>
        <v>0</v>
      </c>
      <c r="AC14" s="28">
        <f>'Option1 (base case)'!AD91*conv_2026</f>
        <v>0</v>
      </c>
      <c r="AD14" s="28">
        <f>'Option1 (base case)'!AE91*conv_2026</f>
        <v>0</v>
      </c>
      <c r="AE14" s="28">
        <f>'Option1 (base case)'!AF91*conv_2026</f>
        <v>0</v>
      </c>
      <c r="AF14" s="28">
        <f>'Option1 (base case)'!AG91*conv_2026</f>
        <v>0</v>
      </c>
      <c r="AG14" s="28">
        <f>'Option1 (base case)'!AH91*conv_2026</f>
        <v>0</v>
      </c>
    </row>
    <row r="15" spans="1:33" s="2" customFormat="1" x14ac:dyDescent="0.2">
      <c r="A15" s="211"/>
      <c r="B15" s="211"/>
      <c r="C15" s="211"/>
      <c r="D15" s="211"/>
      <c r="E15" s="211"/>
      <c r="F15" s="211"/>
      <c r="G15" s="212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x14ac:dyDescent="0.2">
      <c r="A16" s="217" t="s">
        <v>90</v>
      </c>
      <c r="B16" s="217" t="str">
        <f>'Option1 (base case)'!A114</f>
        <v>sens1</v>
      </c>
      <c r="C16" s="217" t="str">
        <f>'Option1 (base case)'!C114</f>
        <v>Capex 10% higher</v>
      </c>
      <c r="D16" s="217" t="str">
        <f t="shared" ref="D16:D23" si="0">A16&amp;B16</f>
        <v>OPTION 1 (base case)sens1</v>
      </c>
      <c r="E16" s="209"/>
      <c r="F16" s="28">
        <f>SUMPRODUCT($H16:$AG16, $H$5:$AG$5)</f>
        <v>0</v>
      </c>
      <c r="G16" s="212"/>
      <c r="H16" s="28">
        <f>(INDEX('Option1 (base case)'!H$110:H$121, MATCH($D16, 'Option1 (base case)'!$G$110:$G$121,0)))*conv_2026*H$7</f>
        <v>0</v>
      </c>
      <c r="I16" s="28">
        <f>(INDEX('Option1 (base case)'!I$110:I$121, MATCH($D16, 'Option1 (base case)'!$G$110:$G$121,0)))*conv_2026*I$7</f>
        <v>0</v>
      </c>
      <c r="J16" s="28">
        <f>(INDEX('Option1 (base case)'!J$110:J$121, MATCH($D16, 'Option1 (base case)'!$G$110:$G$121,0)))*conv_2026*J$7</f>
        <v>0</v>
      </c>
      <c r="K16" s="28">
        <f>(INDEX('Option1 (base case)'!K$110:K$121, MATCH($D16, 'Option1 (base case)'!$G$110:$G$121,0)))*conv_2026*K$7</f>
        <v>0</v>
      </c>
      <c r="L16" s="28">
        <f>(INDEX('Option1 (base case)'!L$110:L$121, MATCH($D16, 'Option1 (base case)'!$G$110:$G$121,0)))*conv_2026*L$7</f>
        <v>0</v>
      </c>
      <c r="M16" s="28">
        <f>(INDEX('Option1 (base case)'!M$110:M$121, MATCH($D16, 'Option1 (base case)'!$G$110:$G$121,0)))*conv_2026*M$7</f>
        <v>0</v>
      </c>
      <c r="N16" s="28">
        <f>(INDEX('Option1 (base case)'!N$110:N$121, MATCH($D16, 'Option1 (base case)'!$G$110:$G$121,0)))*conv_2026*N$7</f>
        <v>0</v>
      </c>
      <c r="O16" s="28">
        <f>(INDEX('Option1 (base case)'!O$110:O$121, MATCH($D16, 'Option1 (base case)'!$G$110:$G$121,0)))*conv_2026*O$7</f>
        <v>0</v>
      </c>
      <c r="P16" s="28">
        <f>(INDEX('Option1 (base case)'!P$110:P$121, MATCH($D16, 'Option1 (base case)'!$G$110:$G$121,0)))*conv_2026*P$7</f>
        <v>0</v>
      </c>
      <c r="Q16" s="28">
        <f>(INDEX('Option1 (base case)'!Q$110:Q$121, MATCH($D16, 'Option1 (base case)'!$G$110:$G$121,0)))*conv_2026*Q$7</f>
        <v>0</v>
      </c>
      <c r="R16" s="28">
        <f>(INDEX('Option1 (base case)'!R$110:R$121, MATCH($D16, 'Option1 (base case)'!$G$110:$G$121,0)))*conv_2026*R$7</f>
        <v>0</v>
      </c>
      <c r="S16" s="28">
        <f>(INDEX('Option1 (base case)'!S$110:S$121, MATCH($D16, 'Option1 (base case)'!$G$110:$G$121,0)))*conv_2026*S$7</f>
        <v>0</v>
      </c>
      <c r="T16" s="28">
        <f>(INDEX('Option1 (base case)'!T$110:T$121, MATCH($D16, 'Option1 (base case)'!$G$110:$G$121,0)))*conv_2026*T$7</f>
        <v>0</v>
      </c>
      <c r="U16" s="28">
        <f>(INDEX('Option1 (base case)'!U$110:U$121, MATCH($D16, 'Option1 (base case)'!$G$110:$G$121,0)))*conv_2026*U$7</f>
        <v>0</v>
      </c>
      <c r="V16" s="28">
        <f>(INDEX('Option1 (base case)'!V$110:V$121, MATCH($D16, 'Option1 (base case)'!$G$110:$G$121,0)))*conv_2026*V$7</f>
        <v>0</v>
      </c>
      <c r="W16" s="28">
        <f>(INDEX('Option1 (base case)'!W$110:W$121, MATCH($D16, 'Option1 (base case)'!$G$110:$G$121,0)))*conv_2026*W$7</f>
        <v>0</v>
      </c>
      <c r="X16" s="28">
        <f>(INDEX('Option1 (base case)'!X$110:X$121, MATCH($D16, 'Option1 (base case)'!$G$110:$G$121,0)))*conv_2026*X$7</f>
        <v>0</v>
      </c>
      <c r="Y16" s="28">
        <f>(INDEX('Option1 (base case)'!Y$110:Y$121, MATCH($D16, 'Option1 (base case)'!$G$110:$G$121,0)))*conv_2026*Y$7</f>
        <v>0</v>
      </c>
      <c r="Z16" s="28">
        <f>(INDEX('Option1 (base case)'!Z$110:Z$121, MATCH($D16, 'Option1 (base case)'!$G$110:$G$121,0)))*conv_2026*Z$7</f>
        <v>0</v>
      </c>
      <c r="AA16" s="28">
        <f>(INDEX('Option1 (base case)'!AA$110:AA$121, MATCH($D16, 'Option1 (base case)'!$G$110:$G$121,0)))*conv_2026*AA$7</f>
        <v>0</v>
      </c>
      <c r="AB16" s="28">
        <f>(INDEX('Option1 (base case)'!AB$110:AB$121, MATCH($D16, 'Option1 (base case)'!$G$110:$G$121,0)))*conv_2026*AB$7</f>
        <v>0</v>
      </c>
      <c r="AC16" s="28">
        <f>(INDEX('Option1 (base case)'!AC$110:AC$121, MATCH($D16, 'Option1 (base case)'!$G$110:$G$121,0)))*conv_2026*AC$7</f>
        <v>0</v>
      </c>
      <c r="AD16" s="28">
        <f>(INDEX('Option1 (base case)'!AD$110:AD$121, MATCH($D16, 'Option1 (base case)'!$G$110:$G$121,0)))*conv_2026*AD$7</f>
        <v>0</v>
      </c>
      <c r="AE16" s="28">
        <f>(INDEX('Option1 (base case)'!AE$110:AE$121, MATCH($D16, 'Option1 (base case)'!$G$110:$G$121,0)))*conv_2026*AE$7</f>
        <v>0</v>
      </c>
      <c r="AF16" s="28">
        <f>(INDEX('Option1 (base case)'!AF$110:AF$121, MATCH($D16, 'Option1 (base case)'!$G$110:$G$121,0)))*conv_2026*AF$7</f>
        <v>0</v>
      </c>
      <c r="AG16" s="28">
        <f>(INDEX('Option1 (base case)'!AG$110:AG$121, MATCH($D16, 'Option1 (base case)'!$G$110:$G$121,0)))*conv_2026*AG$7</f>
        <v>0</v>
      </c>
    </row>
    <row r="17" spans="1:35" s="2" customFormat="1" x14ac:dyDescent="0.2">
      <c r="A17" s="217" t="s">
        <v>90</v>
      </c>
      <c r="B17" s="217" t="str">
        <f>'Option1 (base case)'!A115</f>
        <v>sens2</v>
      </c>
      <c r="C17" s="217" t="str">
        <f>'Option1 (base case)'!C115</f>
        <v>Capex 10% lower</v>
      </c>
      <c r="D17" s="217" t="str">
        <f t="shared" si="0"/>
        <v>OPTION 1 (base case)sens2</v>
      </c>
      <c r="E17" s="209"/>
      <c r="F17" s="28">
        <f t="shared" ref="F17:F23" si="1">SUMPRODUCT($H17:$AG17, $H$5:$AG$5)</f>
        <v>0</v>
      </c>
      <c r="G17" s="217"/>
      <c r="H17" s="28">
        <f>(INDEX('Option1 (base case)'!H$110:H$121, MATCH($D17, 'Option1 (base case)'!$G$110:$G$121,0)))*conv_2026*H$7</f>
        <v>0</v>
      </c>
      <c r="I17" s="28">
        <f>(INDEX('Option1 (base case)'!I$110:I$121, MATCH($D17, 'Option1 (base case)'!$G$110:$G$121,0)))*conv_2026*I$7</f>
        <v>0</v>
      </c>
      <c r="J17" s="28">
        <f>(INDEX('Option1 (base case)'!J$110:J$121, MATCH($D17, 'Option1 (base case)'!$G$110:$G$121,0)))*conv_2026*J$7</f>
        <v>0</v>
      </c>
      <c r="K17" s="28">
        <f>(INDEX('Option1 (base case)'!K$110:K$121, MATCH($D17, 'Option1 (base case)'!$G$110:$G$121,0)))*conv_2026*K$7</f>
        <v>0</v>
      </c>
      <c r="L17" s="28">
        <f>(INDEX('Option1 (base case)'!L$110:L$121, MATCH($D17, 'Option1 (base case)'!$G$110:$G$121,0)))*conv_2026*L$7</f>
        <v>0</v>
      </c>
      <c r="M17" s="28">
        <f>(INDEX('Option1 (base case)'!M$110:M$121, MATCH($D17, 'Option1 (base case)'!$G$110:$G$121,0)))*conv_2026*M$7</f>
        <v>0</v>
      </c>
      <c r="N17" s="28">
        <f>(INDEX('Option1 (base case)'!N$110:N$121, MATCH($D17, 'Option1 (base case)'!$G$110:$G$121,0)))*conv_2026*N$7</f>
        <v>0</v>
      </c>
      <c r="O17" s="28">
        <f>(INDEX('Option1 (base case)'!O$110:O$121, MATCH($D17, 'Option1 (base case)'!$G$110:$G$121,0)))*conv_2026*O$7</f>
        <v>0</v>
      </c>
      <c r="P17" s="28">
        <f>(INDEX('Option1 (base case)'!P$110:P$121, MATCH($D17, 'Option1 (base case)'!$G$110:$G$121,0)))*conv_2026*P$7</f>
        <v>0</v>
      </c>
      <c r="Q17" s="28">
        <f>(INDEX('Option1 (base case)'!Q$110:Q$121, MATCH($D17, 'Option1 (base case)'!$G$110:$G$121,0)))*conv_2026*Q$7</f>
        <v>0</v>
      </c>
      <c r="R17" s="28">
        <f>(INDEX('Option1 (base case)'!R$110:R$121, MATCH($D17, 'Option1 (base case)'!$G$110:$G$121,0)))*conv_2026*R$7</f>
        <v>0</v>
      </c>
      <c r="S17" s="28">
        <f>(INDEX('Option1 (base case)'!S$110:S$121, MATCH($D17, 'Option1 (base case)'!$G$110:$G$121,0)))*conv_2026*S$7</f>
        <v>0</v>
      </c>
      <c r="T17" s="28">
        <f>(INDEX('Option1 (base case)'!T$110:T$121, MATCH($D17, 'Option1 (base case)'!$G$110:$G$121,0)))*conv_2026*T$7</f>
        <v>0</v>
      </c>
      <c r="U17" s="28">
        <f>(INDEX('Option1 (base case)'!U$110:U$121, MATCH($D17, 'Option1 (base case)'!$G$110:$G$121,0)))*conv_2026*U$7</f>
        <v>0</v>
      </c>
      <c r="V17" s="28">
        <f>(INDEX('Option1 (base case)'!V$110:V$121, MATCH($D17, 'Option1 (base case)'!$G$110:$G$121,0)))*conv_2026*V$7</f>
        <v>0</v>
      </c>
      <c r="W17" s="28">
        <f>(INDEX('Option1 (base case)'!W$110:W$121, MATCH($D17, 'Option1 (base case)'!$G$110:$G$121,0)))*conv_2026*W$7</f>
        <v>0</v>
      </c>
      <c r="X17" s="28">
        <f>(INDEX('Option1 (base case)'!X$110:X$121, MATCH($D17, 'Option1 (base case)'!$G$110:$G$121,0)))*conv_2026*X$7</f>
        <v>0</v>
      </c>
      <c r="Y17" s="28">
        <f>(INDEX('Option1 (base case)'!Y$110:Y$121, MATCH($D17, 'Option1 (base case)'!$G$110:$G$121,0)))*conv_2026*Y$7</f>
        <v>0</v>
      </c>
      <c r="Z17" s="28">
        <f>(INDEX('Option1 (base case)'!Z$110:Z$121, MATCH($D17, 'Option1 (base case)'!$G$110:$G$121,0)))*conv_2026*Z$7</f>
        <v>0</v>
      </c>
      <c r="AA17" s="28">
        <f>(INDEX('Option1 (base case)'!AA$110:AA$121, MATCH($D17, 'Option1 (base case)'!$G$110:$G$121,0)))*conv_2026*AA$7</f>
        <v>0</v>
      </c>
      <c r="AB17" s="28">
        <f>(INDEX('Option1 (base case)'!AB$110:AB$121, MATCH($D17, 'Option1 (base case)'!$G$110:$G$121,0)))*conv_2026*AB$7</f>
        <v>0</v>
      </c>
      <c r="AC17" s="28">
        <f>(INDEX('Option1 (base case)'!AC$110:AC$121, MATCH($D17, 'Option1 (base case)'!$G$110:$G$121,0)))*conv_2026*AC$7</f>
        <v>0</v>
      </c>
      <c r="AD17" s="28">
        <f>(INDEX('Option1 (base case)'!AD$110:AD$121, MATCH($D17, 'Option1 (base case)'!$G$110:$G$121,0)))*conv_2026*AD$7</f>
        <v>0</v>
      </c>
      <c r="AE17" s="28">
        <f>(INDEX('Option1 (base case)'!AE$110:AE$121, MATCH($D17, 'Option1 (base case)'!$G$110:$G$121,0)))*conv_2026*AE$7</f>
        <v>0</v>
      </c>
      <c r="AF17" s="28">
        <f>(INDEX('Option1 (base case)'!AF$110:AF$121, MATCH($D17, 'Option1 (base case)'!$G$110:$G$121,0)))*conv_2026*AF$7</f>
        <v>0</v>
      </c>
      <c r="AG17" s="28">
        <f>(INDEX('Option1 (base case)'!AG$110:AG$121, MATCH($D17, 'Option1 (base case)'!$G$110:$G$121,0)))*conv_2026*AG$7</f>
        <v>0</v>
      </c>
      <c r="AH17" s="6"/>
      <c r="AI17" s="6"/>
    </row>
    <row r="18" spans="1:35" s="2" customFormat="1" x14ac:dyDescent="0.2">
      <c r="A18" s="217" t="s">
        <v>90</v>
      </c>
      <c r="B18" s="217" t="str">
        <f>'Option1 (base case)'!A116</f>
        <v>sens3</v>
      </c>
      <c r="C18" s="217" t="str">
        <f>'Option1 (base case)'!C116</f>
        <v>Total benefits 10% higher</v>
      </c>
      <c r="D18" s="217" t="str">
        <f t="shared" si="0"/>
        <v>OPTION 1 (base case)sens3</v>
      </c>
      <c r="E18" s="209"/>
      <c r="F18" s="28">
        <f t="shared" si="1"/>
        <v>0</v>
      </c>
      <c r="G18" s="6"/>
      <c r="H18" s="28">
        <f>(INDEX('Option1 (base case)'!H$110:H$121, MATCH($D18, 'Option1 (base case)'!$G$110:$G$121,0)))*conv_2026*H$7</f>
        <v>0</v>
      </c>
      <c r="I18" s="28">
        <f>(INDEX('Option1 (base case)'!I$110:I$121, MATCH($D18, 'Option1 (base case)'!$G$110:$G$121,0)))*conv_2026*I$7</f>
        <v>0</v>
      </c>
      <c r="J18" s="28">
        <f>(INDEX('Option1 (base case)'!J$110:J$121, MATCH($D18, 'Option1 (base case)'!$G$110:$G$121,0)))*conv_2026*J$7</f>
        <v>0</v>
      </c>
      <c r="K18" s="28">
        <f>(INDEX('Option1 (base case)'!K$110:K$121, MATCH($D18, 'Option1 (base case)'!$G$110:$G$121,0)))*conv_2026*K$7</f>
        <v>0</v>
      </c>
      <c r="L18" s="28">
        <f>(INDEX('Option1 (base case)'!L$110:L$121, MATCH($D18, 'Option1 (base case)'!$G$110:$G$121,0)))*conv_2026*L$7</f>
        <v>0</v>
      </c>
      <c r="M18" s="28">
        <f>(INDEX('Option1 (base case)'!M$110:M$121, MATCH($D18, 'Option1 (base case)'!$G$110:$G$121,0)))*conv_2026*M$7</f>
        <v>0</v>
      </c>
      <c r="N18" s="28">
        <f>(INDEX('Option1 (base case)'!N$110:N$121, MATCH($D18, 'Option1 (base case)'!$G$110:$G$121,0)))*conv_2026*N$7</f>
        <v>0</v>
      </c>
      <c r="O18" s="28">
        <f>(INDEX('Option1 (base case)'!O$110:O$121, MATCH($D18, 'Option1 (base case)'!$G$110:$G$121,0)))*conv_2026*O$7</f>
        <v>0</v>
      </c>
      <c r="P18" s="28">
        <f>(INDEX('Option1 (base case)'!P$110:P$121, MATCH($D18, 'Option1 (base case)'!$G$110:$G$121,0)))*conv_2026*P$7</f>
        <v>0</v>
      </c>
      <c r="Q18" s="28">
        <f>(INDEX('Option1 (base case)'!Q$110:Q$121, MATCH($D18, 'Option1 (base case)'!$G$110:$G$121,0)))*conv_2026*Q$7</f>
        <v>0</v>
      </c>
      <c r="R18" s="28">
        <f>(INDEX('Option1 (base case)'!R$110:R$121, MATCH($D18, 'Option1 (base case)'!$G$110:$G$121,0)))*conv_2026*R$7</f>
        <v>0</v>
      </c>
      <c r="S18" s="28">
        <f>(INDEX('Option1 (base case)'!S$110:S$121, MATCH($D18, 'Option1 (base case)'!$G$110:$G$121,0)))*conv_2026*S$7</f>
        <v>0</v>
      </c>
      <c r="T18" s="28">
        <f>(INDEX('Option1 (base case)'!T$110:T$121, MATCH($D18, 'Option1 (base case)'!$G$110:$G$121,0)))*conv_2026*T$7</f>
        <v>0</v>
      </c>
      <c r="U18" s="28">
        <f>(INDEX('Option1 (base case)'!U$110:U$121, MATCH($D18, 'Option1 (base case)'!$G$110:$G$121,0)))*conv_2026*U$7</f>
        <v>0</v>
      </c>
      <c r="V18" s="28">
        <f>(INDEX('Option1 (base case)'!V$110:V$121, MATCH($D18, 'Option1 (base case)'!$G$110:$G$121,0)))*conv_2026*V$7</f>
        <v>0</v>
      </c>
      <c r="W18" s="28">
        <f>(INDEX('Option1 (base case)'!W$110:W$121, MATCH($D18, 'Option1 (base case)'!$G$110:$G$121,0)))*conv_2026*W$7</f>
        <v>0</v>
      </c>
      <c r="X18" s="28">
        <f>(INDEX('Option1 (base case)'!X$110:X$121, MATCH($D18, 'Option1 (base case)'!$G$110:$G$121,0)))*conv_2026*X$7</f>
        <v>0</v>
      </c>
      <c r="Y18" s="28">
        <f>(INDEX('Option1 (base case)'!Y$110:Y$121, MATCH($D18, 'Option1 (base case)'!$G$110:$G$121,0)))*conv_2026*Y$7</f>
        <v>0</v>
      </c>
      <c r="Z18" s="28">
        <f>(INDEX('Option1 (base case)'!Z$110:Z$121, MATCH($D18, 'Option1 (base case)'!$G$110:$G$121,0)))*conv_2026*Z$7</f>
        <v>0</v>
      </c>
      <c r="AA18" s="28">
        <f>(INDEX('Option1 (base case)'!AA$110:AA$121, MATCH($D18, 'Option1 (base case)'!$G$110:$G$121,0)))*conv_2026*AA$7</f>
        <v>0</v>
      </c>
      <c r="AB18" s="28">
        <f>(INDEX('Option1 (base case)'!AB$110:AB$121, MATCH($D18, 'Option1 (base case)'!$G$110:$G$121,0)))*conv_2026*AB$7</f>
        <v>0</v>
      </c>
      <c r="AC18" s="28">
        <f>(INDEX('Option1 (base case)'!AC$110:AC$121, MATCH($D18, 'Option1 (base case)'!$G$110:$G$121,0)))*conv_2026*AC$7</f>
        <v>0</v>
      </c>
      <c r="AD18" s="28">
        <f>(INDEX('Option1 (base case)'!AD$110:AD$121, MATCH($D18, 'Option1 (base case)'!$G$110:$G$121,0)))*conv_2026*AD$7</f>
        <v>0</v>
      </c>
      <c r="AE18" s="28">
        <f>(INDEX('Option1 (base case)'!AE$110:AE$121, MATCH($D18, 'Option1 (base case)'!$G$110:$G$121,0)))*conv_2026*AE$7</f>
        <v>0</v>
      </c>
      <c r="AF18" s="28">
        <f>(INDEX('Option1 (base case)'!AF$110:AF$121, MATCH($D18, 'Option1 (base case)'!$G$110:$G$121,0)))*conv_2026*AF$7</f>
        <v>0</v>
      </c>
      <c r="AG18" s="28">
        <f>(INDEX('Option1 (base case)'!AG$110:AG$121, MATCH($D18, 'Option1 (base case)'!$G$110:$G$121,0)))*conv_2026*AG$7</f>
        <v>0</v>
      </c>
      <c r="AH18" s="6"/>
      <c r="AI18" s="6"/>
    </row>
    <row r="19" spans="1:35" s="2" customFormat="1" x14ac:dyDescent="0.2">
      <c r="A19" s="217" t="s">
        <v>90</v>
      </c>
      <c r="B19" s="217" t="str">
        <f>'Option1 (base case)'!A117</f>
        <v>sens4</v>
      </c>
      <c r="C19" s="217" t="str">
        <f>'Option1 (base case)'!C117</f>
        <v>Total benefits 10% lower</v>
      </c>
      <c r="D19" s="217" t="str">
        <f t="shared" si="0"/>
        <v>OPTION 1 (base case)sens4</v>
      </c>
      <c r="E19" s="209"/>
      <c r="F19" s="28">
        <f t="shared" si="1"/>
        <v>0</v>
      </c>
      <c r="G19" s="6"/>
      <c r="H19" s="28">
        <f>(INDEX('Option1 (base case)'!H$110:H$121, MATCH($D19, 'Option1 (base case)'!$G$110:$G$121,0)))*conv_2026*H$7</f>
        <v>0</v>
      </c>
      <c r="I19" s="28">
        <f>(INDEX('Option1 (base case)'!I$110:I$121, MATCH($D19, 'Option1 (base case)'!$G$110:$G$121,0)))*conv_2026*I$7</f>
        <v>0</v>
      </c>
      <c r="J19" s="28">
        <f>(INDEX('Option1 (base case)'!J$110:J$121, MATCH($D19, 'Option1 (base case)'!$G$110:$G$121,0)))*conv_2026*J$7</f>
        <v>0</v>
      </c>
      <c r="K19" s="28">
        <f>(INDEX('Option1 (base case)'!K$110:K$121, MATCH($D19, 'Option1 (base case)'!$G$110:$G$121,0)))*conv_2026*K$7</f>
        <v>0</v>
      </c>
      <c r="L19" s="28">
        <f>(INDEX('Option1 (base case)'!L$110:L$121, MATCH($D19, 'Option1 (base case)'!$G$110:$G$121,0)))*conv_2026*L$7</f>
        <v>0</v>
      </c>
      <c r="M19" s="28">
        <f>(INDEX('Option1 (base case)'!M$110:M$121, MATCH($D19, 'Option1 (base case)'!$G$110:$G$121,0)))*conv_2026*M$7</f>
        <v>0</v>
      </c>
      <c r="N19" s="28">
        <f>(INDEX('Option1 (base case)'!N$110:N$121, MATCH($D19, 'Option1 (base case)'!$G$110:$G$121,0)))*conv_2026*N$7</f>
        <v>0</v>
      </c>
      <c r="O19" s="28">
        <f>(INDEX('Option1 (base case)'!O$110:O$121, MATCH($D19, 'Option1 (base case)'!$G$110:$G$121,0)))*conv_2026*O$7</f>
        <v>0</v>
      </c>
      <c r="P19" s="28">
        <f>(INDEX('Option1 (base case)'!P$110:P$121, MATCH($D19, 'Option1 (base case)'!$G$110:$G$121,0)))*conv_2026*P$7</f>
        <v>0</v>
      </c>
      <c r="Q19" s="28">
        <f>(INDEX('Option1 (base case)'!Q$110:Q$121, MATCH($D19, 'Option1 (base case)'!$G$110:$G$121,0)))*conv_2026*Q$7</f>
        <v>0</v>
      </c>
      <c r="R19" s="28">
        <f>(INDEX('Option1 (base case)'!R$110:R$121, MATCH($D19, 'Option1 (base case)'!$G$110:$G$121,0)))*conv_2026*R$7</f>
        <v>0</v>
      </c>
      <c r="S19" s="28">
        <f>(INDEX('Option1 (base case)'!S$110:S$121, MATCH($D19, 'Option1 (base case)'!$G$110:$G$121,0)))*conv_2026*S$7</f>
        <v>0</v>
      </c>
      <c r="T19" s="28">
        <f>(INDEX('Option1 (base case)'!T$110:T$121, MATCH($D19, 'Option1 (base case)'!$G$110:$G$121,0)))*conv_2026*T$7</f>
        <v>0</v>
      </c>
      <c r="U19" s="28">
        <f>(INDEX('Option1 (base case)'!U$110:U$121, MATCH($D19, 'Option1 (base case)'!$G$110:$G$121,0)))*conv_2026*U$7</f>
        <v>0</v>
      </c>
      <c r="V19" s="28">
        <f>(INDEX('Option1 (base case)'!V$110:V$121, MATCH($D19, 'Option1 (base case)'!$G$110:$G$121,0)))*conv_2026*V$7</f>
        <v>0</v>
      </c>
      <c r="W19" s="28">
        <f>(INDEX('Option1 (base case)'!W$110:W$121, MATCH($D19, 'Option1 (base case)'!$G$110:$G$121,0)))*conv_2026*W$7</f>
        <v>0</v>
      </c>
      <c r="X19" s="28">
        <f>(INDEX('Option1 (base case)'!X$110:X$121, MATCH($D19, 'Option1 (base case)'!$G$110:$G$121,0)))*conv_2026*X$7</f>
        <v>0</v>
      </c>
      <c r="Y19" s="28">
        <f>(INDEX('Option1 (base case)'!Y$110:Y$121, MATCH($D19, 'Option1 (base case)'!$G$110:$G$121,0)))*conv_2026*Y$7</f>
        <v>0</v>
      </c>
      <c r="Z19" s="28">
        <f>(INDEX('Option1 (base case)'!Z$110:Z$121, MATCH($D19, 'Option1 (base case)'!$G$110:$G$121,0)))*conv_2026*Z$7</f>
        <v>0</v>
      </c>
      <c r="AA19" s="28">
        <f>(INDEX('Option1 (base case)'!AA$110:AA$121, MATCH($D19, 'Option1 (base case)'!$G$110:$G$121,0)))*conv_2026*AA$7</f>
        <v>0</v>
      </c>
      <c r="AB19" s="28">
        <f>(INDEX('Option1 (base case)'!AB$110:AB$121, MATCH($D19, 'Option1 (base case)'!$G$110:$G$121,0)))*conv_2026*AB$7</f>
        <v>0</v>
      </c>
      <c r="AC19" s="28">
        <f>(INDEX('Option1 (base case)'!AC$110:AC$121, MATCH($D19, 'Option1 (base case)'!$G$110:$G$121,0)))*conv_2026*AC$7</f>
        <v>0</v>
      </c>
      <c r="AD19" s="28">
        <f>(INDEX('Option1 (base case)'!AD$110:AD$121, MATCH($D19, 'Option1 (base case)'!$G$110:$G$121,0)))*conv_2026*AD$7</f>
        <v>0</v>
      </c>
      <c r="AE19" s="28">
        <f>(INDEX('Option1 (base case)'!AE$110:AE$121, MATCH($D19, 'Option1 (base case)'!$G$110:$G$121,0)))*conv_2026*AE$7</f>
        <v>0</v>
      </c>
      <c r="AF19" s="28">
        <f>(INDEX('Option1 (base case)'!AF$110:AF$121, MATCH($D19, 'Option1 (base case)'!$G$110:$G$121,0)))*conv_2026*AF$7</f>
        <v>0</v>
      </c>
      <c r="AG19" s="28">
        <f>(INDEX('Option1 (base case)'!AG$110:AG$121, MATCH($D19, 'Option1 (base case)'!$G$110:$G$121,0)))*conv_2026*AG$7</f>
        <v>0</v>
      </c>
      <c r="AH19" s="6"/>
      <c r="AI19" s="6"/>
    </row>
    <row r="20" spans="1:35" s="2" customFormat="1" x14ac:dyDescent="0.2">
      <c r="A20" s="217" t="s">
        <v>90</v>
      </c>
      <c r="B20" s="217" t="str">
        <f>'Option1 (base case)'!A118</f>
        <v>sens5</v>
      </c>
      <c r="C20" s="217" t="str">
        <f>'Option1 (base case)'!C118</f>
        <v>Capex 10% higher &amp; Total benefits 10% lower</v>
      </c>
      <c r="D20" s="217" t="str">
        <f t="shared" si="0"/>
        <v>OPTION 1 (base case)sens5</v>
      </c>
      <c r="E20" s="209"/>
      <c r="F20" s="28">
        <f t="shared" si="1"/>
        <v>0</v>
      </c>
      <c r="G20" s="6"/>
      <c r="H20" s="28">
        <f>(INDEX('Option1 (base case)'!H$110:H$121, MATCH($D20, 'Option1 (base case)'!$G$110:$G$121,0)))*conv_2026*H$7</f>
        <v>0</v>
      </c>
      <c r="I20" s="28">
        <f>(INDEX('Option1 (base case)'!I$110:I$121, MATCH($D20, 'Option1 (base case)'!$G$110:$G$121,0)))*conv_2026*I$7</f>
        <v>0</v>
      </c>
      <c r="J20" s="28">
        <f>(INDEX('Option1 (base case)'!J$110:J$121, MATCH($D20, 'Option1 (base case)'!$G$110:$G$121,0)))*conv_2026*J$7</f>
        <v>0</v>
      </c>
      <c r="K20" s="28">
        <f>(INDEX('Option1 (base case)'!K$110:K$121, MATCH($D20, 'Option1 (base case)'!$G$110:$G$121,0)))*conv_2026*K$7</f>
        <v>0</v>
      </c>
      <c r="L20" s="28">
        <f>(INDEX('Option1 (base case)'!L$110:L$121, MATCH($D20, 'Option1 (base case)'!$G$110:$G$121,0)))*conv_2026*L$7</f>
        <v>0</v>
      </c>
      <c r="M20" s="28">
        <f>(INDEX('Option1 (base case)'!M$110:M$121, MATCH($D20, 'Option1 (base case)'!$G$110:$G$121,0)))*conv_2026*M$7</f>
        <v>0</v>
      </c>
      <c r="N20" s="28">
        <f>(INDEX('Option1 (base case)'!N$110:N$121, MATCH($D20, 'Option1 (base case)'!$G$110:$G$121,0)))*conv_2026*N$7</f>
        <v>0</v>
      </c>
      <c r="O20" s="28">
        <f>(INDEX('Option1 (base case)'!O$110:O$121, MATCH($D20, 'Option1 (base case)'!$G$110:$G$121,0)))*conv_2026*O$7</f>
        <v>0</v>
      </c>
      <c r="P20" s="28">
        <f>(INDEX('Option1 (base case)'!P$110:P$121, MATCH($D20, 'Option1 (base case)'!$G$110:$G$121,0)))*conv_2026*P$7</f>
        <v>0</v>
      </c>
      <c r="Q20" s="28">
        <f>(INDEX('Option1 (base case)'!Q$110:Q$121, MATCH($D20, 'Option1 (base case)'!$G$110:$G$121,0)))*conv_2026*Q$7</f>
        <v>0</v>
      </c>
      <c r="R20" s="28">
        <f>(INDEX('Option1 (base case)'!R$110:R$121, MATCH($D20, 'Option1 (base case)'!$G$110:$G$121,0)))*conv_2026*R$7</f>
        <v>0</v>
      </c>
      <c r="S20" s="28">
        <f>(INDEX('Option1 (base case)'!S$110:S$121, MATCH($D20, 'Option1 (base case)'!$G$110:$G$121,0)))*conv_2026*S$7</f>
        <v>0</v>
      </c>
      <c r="T20" s="28">
        <f>(INDEX('Option1 (base case)'!T$110:T$121, MATCH($D20, 'Option1 (base case)'!$G$110:$G$121,0)))*conv_2026*T$7</f>
        <v>0</v>
      </c>
      <c r="U20" s="28">
        <f>(INDEX('Option1 (base case)'!U$110:U$121, MATCH($D20, 'Option1 (base case)'!$G$110:$G$121,0)))*conv_2026*U$7</f>
        <v>0</v>
      </c>
      <c r="V20" s="28">
        <f>(INDEX('Option1 (base case)'!V$110:V$121, MATCH($D20, 'Option1 (base case)'!$G$110:$G$121,0)))*conv_2026*V$7</f>
        <v>0</v>
      </c>
      <c r="W20" s="28">
        <f>(INDEX('Option1 (base case)'!W$110:W$121, MATCH($D20, 'Option1 (base case)'!$G$110:$G$121,0)))*conv_2026*W$7</f>
        <v>0</v>
      </c>
      <c r="X20" s="28">
        <f>(INDEX('Option1 (base case)'!X$110:X$121, MATCH($D20, 'Option1 (base case)'!$G$110:$G$121,0)))*conv_2026*X$7</f>
        <v>0</v>
      </c>
      <c r="Y20" s="28">
        <f>(INDEX('Option1 (base case)'!Y$110:Y$121, MATCH($D20, 'Option1 (base case)'!$G$110:$G$121,0)))*conv_2026*Y$7</f>
        <v>0</v>
      </c>
      <c r="Z20" s="28">
        <f>(INDEX('Option1 (base case)'!Z$110:Z$121, MATCH($D20, 'Option1 (base case)'!$G$110:$G$121,0)))*conv_2026*Z$7</f>
        <v>0</v>
      </c>
      <c r="AA20" s="28">
        <f>(INDEX('Option1 (base case)'!AA$110:AA$121, MATCH($D20, 'Option1 (base case)'!$G$110:$G$121,0)))*conv_2026*AA$7</f>
        <v>0</v>
      </c>
      <c r="AB20" s="28">
        <f>(INDEX('Option1 (base case)'!AB$110:AB$121, MATCH($D20, 'Option1 (base case)'!$G$110:$G$121,0)))*conv_2026*AB$7</f>
        <v>0</v>
      </c>
      <c r="AC20" s="28">
        <f>(INDEX('Option1 (base case)'!AC$110:AC$121, MATCH($D20, 'Option1 (base case)'!$G$110:$G$121,0)))*conv_2026*AC$7</f>
        <v>0</v>
      </c>
      <c r="AD20" s="28">
        <f>(INDEX('Option1 (base case)'!AD$110:AD$121, MATCH($D20, 'Option1 (base case)'!$G$110:$G$121,0)))*conv_2026*AD$7</f>
        <v>0</v>
      </c>
      <c r="AE20" s="28">
        <f>(INDEX('Option1 (base case)'!AE$110:AE$121, MATCH($D20, 'Option1 (base case)'!$G$110:$G$121,0)))*conv_2026*AE$7</f>
        <v>0</v>
      </c>
      <c r="AF20" s="28">
        <f>(INDEX('Option1 (base case)'!AF$110:AF$121, MATCH($D20, 'Option1 (base case)'!$G$110:$G$121,0)))*conv_2026*AF$7</f>
        <v>0</v>
      </c>
      <c r="AG20" s="28">
        <f>(INDEX('Option1 (base case)'!AG$110:AG$121, MATCH($D20, 'Option1 (base case)'!$G$110:$G$121,0)))*conv_2026*AG$7</f>
        <v>0</v>
      </c>
      <c r="AH20" s="6"/>
      <c r="AI20" s="6"/>
    </row>
    <row r="21" spans="1:35" s="2" customFormat="1" x14ac:dyDescent="0.2">
      <c r="A21" s="217" t="s">
        <v>90</v>
      </c>
      <c r="B21" s="217" t="str">
        <f>'Option1 (base case)'!A119</f>
        <v>sens</v>
      </c>
      <c r="C21" s="217">
        <f>'Option1 (base case)'!C119</f>
        <v>0</v>
      </c>
      <c r="D21" s="217" t="str">
        <f t="shared" si="0"/>
        <v>OPTION 1 (base case)sens</v>
      </c>
      <c r="E21" s="209"/>
      <c r="F21" s="28">
        <f t="shared" si="1"/>
        <v>0</v>
      </c>
      <c r="G21" s="6"/>
      <c r="H21" s="28">
        <f>(INDEX('Option1 (base case)'!H$110:H$121, MATCH($D21, 'Option1 (base case)'!$G$110:$G$121,0)))*conv_2026*H$7</f>
        <v>0</v>
      </c>
      <c r="I21" s="28">
        <f>(INDEX('Option1 (base case)'!I$110:I$121, MATCH($D21, 'Option1 (base case)'!$G$110:$G$121,0)))*conv_2026*I$7</f>
        <v>0</v>
      </c>
      <c r="J21" s="28">
        <f>(INDEX('Option1 (base case)'!J$110:J$121, MATCH($D21, 'Option1 (base case)'!$G$110:$G$121,0)))*conv_2026*J$7</f>
        <v>0</v>
      </c>
      <c r="K21" s="28">
        <f>(INDEX('Option1 (base case)'!K$110:K$121, MATCH($D21, 'Option1 (base case)'!$G$110:$G$121,0)))*conv_2026*K$7</f>
        <v>0</v>
      </c>
      <c r="L21" s="28">
        <f>(INDEX('Option1 (base case)'!L$110:L$121, MATCH($D21, 'Option1 (base case)'!$G$110:$G$121,0)))*conv_2026*L$7</f>
        <v>0</v>
      </c>
      <c r="M21" s="28">
        <f>(INDEX('Option1 (base case)'!M$110:M$121, MATCH($D21, 'Option1 (base case)'!$G$110:$G$121,0)))*conv_2026*M$7</f>
        <v>0</v>
      </c>
      <c r="N21" s="28">
        <f>(INDEX('Option1 (base case)'!N$110:N$121, MATCH($D21, 'Option1 (base case)'!$G$110:$G$121,0)))*conv_2026*N$7</f>
        <v>0</v>
      </c>
      <c r="O21" s="28">
        <f>(INDEX('Option1 (base case)'!O$110:O$121, MATCH($D21, 'Option1 (base case)'!$G$110:$G$121,0)))*conv_2026*O$7</f>
        <v>0</v>
      </c>
      <c r="P21" s="28">
        <f>(INDEX('Option1 (base case)'!P$110:P$121, MATCH($D21, 'Option1 (base case)'!$G$110:$G$121,0)))*conv_2026*P$7</f>
        <v>0</v>
      </c>
      <c r="Q21" s="28">
        <f>(INDEX('Option1 (base case)'!Q$110:Q$121, MATCH($D21, 'Option1 (base case)'!$G$110:$G$121,0)))*conv_2026*Q$7</f>
        <v>0</v>
      </c>
      <c r="R21" s="28">
        <f>(INDEX('Option1 (base case)'!R$110:R$121, MATCH($D21, 'Option1 (base case)'!$G$110:$G$121,0)))*conv_2026*R$7</f>
        <v>0</v>
      </c>
      <c r="S21" s="28">
        <f>(INDEX('Option1 (base case)'!S$110:S$121, MATCH($D21, 'Option1 (base case)'!$G$110:$G$121,0)))*conv_2026*S$7</f>
        <v>0</v>
      </c>
      <c r="T21" s="28">
        <f>(INDEX('Option1 (base case)'!T$110:T$121, MATCH($D21, 'Option1 (base case)'!$G$110:$G$121,0)))*conv_2026*T$7</f>
        <v>0</v>
      </c>
      <c r="U21" s="28">
        <f>(INDEX('Option1 (base case)'!U$110:U$121, MATCH($D21, 'Option1 (base case)'!$G$110:$G$121,0)))*conv_2026*U$7</f>
        <v>0</v>
      </c>
      <c r="V21" s="28">
        <f>(INDEX('Option1 (base case)'!V$110:V$121, MATCH($D21, 'Option1 (base case)'!$G$110:$G$121,0)))*conv_2026*V$7</f>
        <v>0</v>
      </c>
      <c r="W21" s="28">
        <f>(INDEX('Option1 (base case)'!W$110:W$121, MATCH($D21, 'Option1 (base case)'!$G$110:$G$121,0)))*conv_2026*W$7</f>
        <v>0</v>
      </c>
      <c r="X21" s="28">
        <f>(INDEX('Option1 (base case)'!X$110:X$121, MATCH($D21, 'Option1 (base case)'!$G$110:$G$121,0)))*conv_2026*X$7</f>
        <v>0</v>
      </c>
      <c r="Y21" s="28">
        <f>(INDEX('Option1 (base case)'!Y$110:Y$121, MATCH($D21, 'Option1 (base case)'!$G$110:$G$121,0)))*conv_2026*Y$7</f>
        <v>0</v>
      </c>
      <c r="Z21" s="28">
        <f>(INDEX('Option1 (base case)'!Z$110:Z$121, MATCH($D21, 'Option1 (base case)'!$G$110:$G$121,0)))*conv_2026*Z$7</f>
        <v>0</v>
      </c>
      <c r="AA21" s="28">
        <f>(INDEX('Option1 (base case)'!AA$110:AA$121, MATCH($D21, 'Option1 (base case)'!$G$110:$G$121,0)))*conv_2026*AA$7</f>
        <v>0</v>
      </c>
      <c r="AB21" s="28">
        <f>(INDEX('Option1 (base case)'!AB$110:AB$121, MATCH($D21, 'Option1 (base case)'!$G$110:$G$121,0)))*conv_2026*AB$7</f>
        <v>0</v>
      </c>
      <c r="AC21" s="28">
        <f>(INDEX('Option1 (base case)'!AC$110:AC$121, MATCH($D21, 'Option1 (base case)'!$G$110:$G$121,0)))*conv_2026*AC$7</f>
        <v>0</v>
      </c>
      <c r="AD21" s="28">
        <f>(INDEX('Option1 (base case)'!AD$110:AD$121, MATCH($D21, 'Option1 (base case)'!$G$110:$G$121,0)))*conv_2026*AD$7</f>
        <v>0</v>
      </c>
      <c r="AE21" s="28">
        <f>(INDEX('Option1 (base case)'!AE$110:AE$121, MATCH($D21, 'Option1 (base case)'!$G$110:$G$121,0)))*conv_2026*AE$7</f>
        <v>0</v>
      </c>
      <c r="AF21" s="28">
        <f>(INDEX('Option1 (base case)'!AF$110:AF$121, MATCH($D21, 'Option1 (base case)'!$G$110:$G$121,0)))*conv_2026*AF$7</f>
        <v>0</v>
      </c>
      <c r="AG21" s="28">
        <f>(INDEX('Option1 (base case)'!AG$110:AG$121, MATCH($D21, 'Option1 (base case)'!$G$110:$G$121,0)))*conv_2026*AG$7</f>
        <v>0</v>
      </c>
      <c r="AH21" s="6"/>
      <c r="AI21" s="6"/>
    </row>
    <row r="22" spans="1:35" s="2" customFormat="1" x14ac:dyDescent="0.2">
      <c r="A22" s="217" t="s">
        <v>90</v>
      </c>
      <c r="B22" s="217" t="str">
        <f>'Option1 (base case)'!A120</f>
        <v>sens</v>
      </c>
      <c r="C22" s="217">
        <f>'Option1 (base case)'!C120</f>
        <v>0</v>
      </c>
      <c r="D22" s="217" t="str">
        <f t="shared" si="0"/>
        <v>OPTION 1 (base case)sens</v>
      </c>
      <c r="E22" s="209"/>
      <c r="F22" s="28">
        <f t="shared" si="1"/>
        <v>0</v>
      </c>
      <c r="G22" s="6"/>
      <c r="H22" s="28">
        <f>(INDEX('Option1 (base case)'!H$110:H$121, MATCH($D22, 'Option1 (base case)'!$G$110:$G$121,0)))*conv_2026*H$7</f>
        <v>0</v>
      </c>
      <c r="I22" s="28">
        <f>(INDEX('Option1 (base case)'!I$110:I$121, MATCH($D22, 'Option1 (base case)'!$G$110:$G$121,0)))*conv_2026*I$7</f>
        <v>0</v>
      </c>
      <c r="J22" s="28">
        <f>(INDEX('Option1 (base case)'!J$110:J$121, MATCH($D22, 'Option1 (base case)'!$G$110:$G$121,0)))*conv_2026*J$7</f>
        <v>0</v>
      </c>
      <c r="K22" s="28">
        <f>(INDEX('Option1 (base case)'!K$110:K$121, MATCH($D22, 'Option1 (base case)'!$G$110:$G$121,0)))*conv_2026*K$7</f>
        <v>0</v>
      </c>
      <c r="L22" s="28">
        <f>(INDEX('Option1 (base case)'!L$110:L$121, MATCH($D22, 'Option1 (base case)'!$G$110:$G$121,0)))*conv_2026*L$7</f>
        <v>0</v>
      </c>
      <c r="M22" s="28">
        <f>(INDEX('Option1 (base case)'!M$110:M$121, MATCH($D22, 'Option1 (base case)'!$G$110:$G$121,0)))*conv_2026*M$7</f>
        <v>0</v>
      </c>
      <c r="N22" s="28">
        <f>(INDEX('Option1 (base case)'!N$110:N$121, MATCH($D22, 'Option1 (base case)'!$G$110:$G$121,0)))*conv_2026*N$7</f>
        <v>0</v>
      </c>
      <c r="O22" s="28">
        <f>(INDEX('Option1 (base case)'!O$110:O$121, MATCH($D22, 'Option1 (base case)'!$G$110:$G$121,0)))*conv_2026*O$7</f>
        <v>0</v>
      </c>
      <c r="P22" s="28">
        <f>(INDEX('Option1 (base case)'!P$110:P$121, MATCH($D22, 'Option1 (base case)'!$G$110:$G$121,0)))*conv_2026*P$7</f>
        <v>0</v>
      </c>
      <c r="Q22" s="28">
        <f>(INDEX('Option1 (base case)'!Q$110:Q$121, MATCH($D22, 'Option1 (base case)'!$G$110:$G$121,0)))*conv_2026*Q$7</f>
        <v>0</v>
      </c>
      <c r="R22" s="28">
        <f>(INDEX('Option1 (base case)'!R$110:R$121, MATCH($D22, 'Option1 (base case)'!$G$110:$G$121,0)))*conv_2026*R$7</f>
        <v>0</v>
      </c>
      <c r="S22" s="28">
        <f>(INDEX('Option1 (base case)'!S$110:S$121, MATCH($D22, 'Option1 (base case)'!$G$110:$G$121,0)))*conv_2026*S$7</f>
        <v>0</v>
      </c>
      <c r="T22" s="28">
        <f>(INDEX('Option1 (base case)'!T$110:T$121, MATCH($D22, 'Option1 (base case)'!$G$110:$G$121,0)))*conv_2026*T$7</f>
        <v>0</v>
      </c>
      <c r="U22" s="28">
        <f>(INDEX('Option1 (base case)'!U$110:U$121, MATCH($D22, 'Option1 (base case)'!$G$110:$G$121,0)))*conv_2026*U$7</f>
        <v>0</v>
      </c>
      <c r="V22" s="28">
        <f>(INDEX('Option1 (base case)'!V$110:V$121, MATCH($D22, 'Option1 (base case)'!$G$110:$G$121,0)))*conv_2026*V$7</f>
        <v>0</v>
      </c>
      <c r="W22" s="28">
        <f>(INDEX('Option1 (base case)'!W$110:W$121, MATCH($D22, 'Option1 (base case)'!$G$110:$G$121,0)))*conv_2026*W$7</f>
        <v>0</v>
      </c>
      <c r="X22" s="28">
        <f>(INDEX('Option1 (base case)'!X$110:X$121, MATCH($D22, 'Option1 (base case)'!$G$110:$G$121,0)))*conv_2026*X$7</f>
        <v>0</v>
      </c>
      <c r="Y22" s="28">
        <f>(INDEX('Option1 (base case)'!Y$110:Y$121, MATCH($D22, 'Option1 (base case)'!$G$110:$G$121,0)))*conv_2026*Y$7</f>
        <v>0</v>
      </c>
      <c r="Z22" s="28">
        <f>(INDEX('Option1 (base case)'!Z$110:Z$121, MATCH($D22, 'Option1 (base case)'!$G$110:$G$121,0)))*conv_2026*Z$7</f>
        <v>0</v>
      </c>
      <c r="AA22" s="28">
        <f>(INDEX('Option1 (base case)'!AA$110:AA$121, MATCH($D22, 'Option1 (base case)'!$G$110:$G$121,0)))*conv_2026*AA$7</f>
        <v>0</v>
      </c>
      <c r="AB22" s="28">
        <f>(INDEX('Option1 (base case)'!AB$110:AB$121, MATCH($D22, 'Option1 (base case)'!$G$110:$G$121,0)))*conv_2026*AB$7</f>
        <v>0</v>
      </c>
      <c r="AC22" s="28">
        <f>(INDEX('Option1 (base case)'!AC$110:AC$121, MATCH($D22, 'Option1 (base case)'!$G$110:$G$121,0)))*conv_2026*AC$7</f>
        <v>0</v>
      </c>
      <c r="AD22" s="28">
        <f>(INDEX('Option1 (base case)'!AD$110:AD$121, MATCH($D22, 'Option1 (base case)'!$G$110:$G$121,0)))*conv_2026*AD$7</f>
        <v>0</v>
      </c>
      <c r="AE22" s="28">
        <f>(INDEX('Option1 (base case)'!AE$110:AE$121, MATCH($D22, 'Option1 (base case)'!$G$110:$G$121,0)))*conv_2026*AE$7</f>
        <v>0</v>
      </c>
      <c r="AF22" s="28">
        <f>(INDEX('Option1 (base case)'!AF$110:AF$121, MATCH($D22, 'Option1 (base case)'!$G$110:$G$121,0)))*conv_2026*AF$7</f>
        <v>0</v>
      </c>
      <c r="AG22" s="28">
        <f>(INDEX('Option1 (base case)'!AG$110:AG$121, MATCH($D22, 'Option1 (base case)'!$G$110:$G$121,0)))*conv_2026*AG$7</f>
        <v>0</v>
      </c>
      <c r="AH22" s="6"/>
      <c r="AI22" s="6"/>
    </row>
    <row r="23" spans="1:35" s="2" customFormat="1" x14ac:dyDescent="0.2">
      <c r="A23" s="217" t="s">
        <v>90</v>
      </c>
      <c r="B23" s="217" t="str">
        <f>'Option1 (base case)'!A121</f>
        <v>sens</v>
      </c>
      <c r="C23" s="217">
        <f>'Option1 (base case)'!C121</f>
        <v>0</v>
      </c>
      <c r="D23" s="217" t="str">
        <f t="shared" si="0"/>
        <v>OPTION 1 (base case)sens</v>
      </c>
      <c r="E23" s="209"/>
      <c r="F23" s="28">
        <f t="shared" si="1"/>
        <v>0</v>
      </c>
      <c r="G23" s="6"/>
      <c r="H23" s="28">
        <f>(INDEX('Option1 (base case)'!H$110:H$121, MATCH($D23, 'Option1 (base case)'!$G$110:$G$121,0)))*conv_2026*H$7</f>
        <v>0</v>
      </c>
      <c r="I23" s="28">
        <f>(INDEX('Option1 (base case)'!I$110:I$121, MATCH($D23, 'Option1 (base case)'!$G$110:$G$121,0)))*conv_2026*I$7</f>
        <v>0</v>
      </c>
      <c r="J23" s="28">
        <f>(INDEX('Option1 (base case)'!J$110:J$121, MATCH($D23, 'Option1 (base case)'!$G$110:$G$121,0)))*conv_2026*J$7</f>
        <v>0</v>
      </c>
      <c r="K23" s="28">
        <f>(INDEX('Option1 (base case)'!K$110:K$121, MATCH($D23, 'Option1 (base case)'!$G$110:$G$121,0)))*conv_2026*K$7</f>
        <v>0</v>
      </c>
      <c r="L23" s="28">
        <f>(INDEX('Option1 (base case)'!L$110:L$121, MATCH($D23, 'Option1 (base case)'!$G$110:$G$121,0)))*conv_2026*L$7</f>
        <v>0</v>
      </c>
      <c r="M23" s="28">
        <f>(INDEX('Option1 (base case)'!M$110:M$121, MATCH($D23, 'Option1 (base case)'!$G$110:$G$121,0)))*conv_2026*M$7</f>
        <v>0</v>
      </c>
      <c r="N23" s="28">
        <f>(INDEX('Option1 (base case)'!N$110:N$121, MATCH($D23, 'Option1 (base case)'!$G$110:$G$121,0)))*conv_2026*N$7</f>
        <v>0</v>
      </c>
      <c r="O23" s="28">
        <f>(INDEX('Option1 (base case)'!O$110:O$121, MATCH($D23, 'Option1 (base case)'!$G$110:$G$121,0)))*conv_2026*O$7</f>
        <v>0</v>
      </c>
      <c r="P23" s="28">
        <f>(INDEX('Option1 (base case)'!P$110:P$121, MATCH($D23, 'Option1 (base case)'!$G$110:$G$121,0)))*conv_2026*P$7</f>
        <v>0</v>
      </c>
      <c r="Q23" s="28">
        <f>(INDEX('Option1 (base case)'!Q$110:Q$121, MATCH($D23, 'Option1 (base case)'!$G$110:$G$121,0)))*conv_2026*Q$7</f>
        <v>0</v>
      </c>
      <c r="R23" s="28">
        <f>(INDEX('Option1 (base case)'!R$110:R$121, MATCH($D23, 'Option1 (base case)'!$G$110:$G$121,0)))*conv_2026*R$7</f>
        <v>0</v>
      </c>
      <c r="S23" s="28">
        <f>(INDEX('Option1 (base case)'!S$110:S$121, MATCH($D23, 'Option1 (base case)'!$G$110:$G$121,0)))*conv_2026*S$7</f>
        <v>0</v>
      </c>
      <c r="T23" s="28">
        <f>(INDEX('Option1 (base case)'!T$110:T$121, MATCH($D23, 'Option1 (base case)'!$G$110:$G$121,0)))*conv_2026*T$7</f>
        <v>0</v>
      </c>
      <c r="U23" s="28">
        <f>(INDEX('Option1 (base case)'!U$110:U$121, MATCH($D23, 'Option1 (base case)'!$G$110:$G$121,0)))*conv_2026*U$7</f>
        <v>0</v>
      </c>
      <c r="V23" s="28">
        <f>(INDEX('Option1 (base case)'!V$110:V$121, MATCH($D23, 'Option1 (base case)'!$G$110:$G$121,0)))*conv_2026*V$7</f>
        <v>0</v>
      </c>
      <c r="W23" s="28">
        <f>(INDEX('Option1 (base case)'!W$110:W$121, MATCH($D23, 'Option1 (base case)'!$G$110:$G$121,0)))*conv_2026*W$7</f>
        <v>0</v>
      </c>
      <c r="X23" s="28">
        <f>(INDEX('Option1 (base case)'!X$110:X$121, MATCH($D23, 'Option1 (base case)'!$G$110:$G$121,0)))*conv_2026*X$7</f>
        <v>0</v>
      </c>
      <c r="Y23" s="28">
        <f>(INDEX('Option1 (base case)'!Y$110:Y$121, MATCH($D23, 'Option1 (base case)'!$G$110:$G$121,0)))*conv_2026*Y$7</f>
        <v>0</v>
      </c>
      <c r="Z23" s="28">
        <f>(INDEX('Option1 (base case)'!Z$110:Z$121, MATCH($D23, 'Option1 (base case)'!$G$110:$G$121,0)))*conv_2026*Z$7</f>
        <v>0</v>
      </c>
      <c r="AA23" s="28">
        <f>(INDEX('Option1 (base case)'!AA$110:AA$121, MATCH($D23, 'Option1 (base case)'!$G$110:$G$121,0)))*conv_2026*AA$7</f>
        <v>0</v>
      </c>
      <c r="AB23" s="28">
        <f>(INDEX('Option1 (base case)'!AB$110:AB$121, MATCH($D23, 'Option1 (base case)'!$G$110:$G$121,0)))*conv_2026*AB$7</f>
        <v>0</v>
      </c>
      <c r="AC23" s="28">
        <f>(INDEX('Option1 (base case)'!AC$110:AC$121, MATCH($D23, 'Option1 (base case)'!$G$110:$G$121,0)))*conv_2026*AC$7</f>
        <v>0</v>
      </c>
      <c r="AD23" s="28">
        <f>(INDEX('Option1 (base case)'!AD$110:AD$121, MATCH($D23, 'Option1 (base case)'!$G$110:$G$121,0)))*conv_2026*AD$7</f>
        <v>0</v>
      </c>
      <c r="AE23" s="28">
        <f>(INDEX('Option1 (base case)'!AE$110:AE$121, MATCH($D23, 'Option1 (base case)'!$G$110:$G$121,0)))*conv_2026*AE$7</f>
        <v>0</v>
      </c>
      <c r="AF23" s="28">
        <f>(INDEX('Option1 (base case)'!AF$110:AF$121, MATCH($D23, 'Option1 (base case)'!$G$110:$G$121,0)))*conv_2026*AF$7</f>
        <v>0</v>
      </c>
      <c r="AG23" s="28">
        <f>(INDEX('Option1 (base case)'!AG$110:AG$121, MATCH($D23, 'Option1 (base case)'!$G$110:$G$121,0)))*conv_2026*AG$7</f>
        <v>0</v>
      </c>
      <c r="AH23" s="6"/>
      <c r="AI23" s="6"/>
    </row>
    <row r="24" spans="1:35" s="2" customFormat="1" x14ac:dyDescent="0.2">
      <c r="A24" s="211"/>
      <c r="B24" s="211"/>
      <c r="C24" s="211"/>
      <c r="D24" s="211"/>
      <c r="E24" s="211"/>
      <c r="F24" s="211"/>
      <c r="G24" s="212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x14ac:dyDescent="0.2">
      <c r="A25" s="211"/>
      <c r="B25" s="211"/>
      <c r="C25" s="211"/>
      <c r="D25" s="211"/>
      <c r="E25" s="211"/>
      <c r="F25" s="211"/>
      <c r="G25" s="212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x14ac:dyDescent="0.2">
      <c r="A26" s="211"/>
      <c r="B26" s="211"/>
      <c r="C26" s="211"/>
      <c r="D26" s="211"/>
      <c r="E26" s="211"/>
      <c r="F26" s="211"/>
      <c r="G26" s="212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x14ac:dyDescent="0.2">
      <c r="A27" s="211"/>
      <c r="B27" s="211"/>
      <c r="C27" s="211"/>
      <c r="D27" s="211"/>
      <c r="E27" s="211"/>
      <c r="F27" s="211"/>
      <c r="G27" s="212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x14ac:dyDescent="0.2">
      <c r="A28" s="217" t="s">
        <v>154</v>
      </c>
      <c r="B28" s="217" t="s">
        <v>7</v>
      </c>
      <c r="C28" s="217" t="s">
        <v>137</v>
      </c>
      <c r="D28" s="217" t="str">
        <f>A28&amp;B28</f>
        <v>Option 2NPV</v>
      </c>
      <c r="E28" s="209"/>
      <c r="F28" s="28">
        <f>SUMPRODUCT($H28:$AG28, $H$5:$AG$5)</f>
        <v>-4643005.5417045513</v>
      </c>
      <c r="G28" s="212"/>
      <c r="H28" s="28">
        <f>(INDEX(Option2!H$110:H$121, MATCH($D28, Option2!$G$110:$G$121,0)))*conv_2026*H$7</f>
        <v>0</v>
      </c>
      <c r="I28" s="28">
        <f>(INDEX(Option2!I$110:I$121, MATCH($D28, Option2!$G$110:$G$121,0)))*conv_2026*I$7</f>
        <v>0</v>
      </c>
      <c r="J28" s="28">
        <f>(INDEX(Option2!J$110:J$121, MATCH($D28, Option2!$G$110:$G$121,0)))*conv_2026*J$7</f>
        <v>-373632.53717409412</v>
      </c>
      <c r="K28" s="28">
        <f>(INDEX(Option2!K$110:K$121, MATCH($D28, Option2!$G$110:$G$121,0)))*conv_2026*K$7</f>
        <v>-775800.56844974274</v>
      </c>
      <c r="L28" s="28">
        <f>(INDEX(Option2!L$110:L$121, MATCH($D28, Option2!$G$110:$G$121,0)))*conv_2026*L$7</f>
        <v>-745849.53022360848</v>
      </c>
      <c r="M28" s="28">
        <f>(INDEX(Option2!M$110:M$121, MATCH($D28, Option2!$G$110:$G$121,0)))*conv_2026*M$7</f>
        <v>-701514.62371759617</v>
      </c>
      <c r="N28" s="28">
        <f>(INDEX(Option2!N$110:N$121, MATCH($D28, Option2!$G$110:$G$121,0)))*conv_2026*N$7</f>
        <v>-640236.93478912185</v>
      </c>
      <c r="O28" s="28">
        <f>(INDEX(Option2!O$110:O$121, MATCH($D28, Option2!$G$110:$G$121,0)))*conv_2026*O$7</f>
        <v>-535783.7420142754</v>
      </c>
      <c r="P28" s="28">
        <f>(INDEX(Option2!P$110:P$121, MATCH($D28, Option2!$G$110:$G$121,0)))*conv_2026*P$7</f>
        <v>-381571.57673542132</v>
      </c>
      <c r="Q28" s="28">
        <f>(INDEX(Option2!Q$110:Q$121, MATCH($D28, Option2!$G$110:$G$121,0)))*conv_2026*Q$7</f>
        <v>-217768.36054581613</v>
      </c>
      <c r="R28" s="28">
        <f>(INDEX(Option2!R$110:R$121, MATCH($D28, Option2!$G$110:$G$121,0)))*conv_2026*R$7</f>
        <v>-61451.409408186148</v>
      </c>
      <c r="S28" s="28">
        <f>(INDEX(Option2!S$110:S$121, MATCH($D28, Option2!$G$110:$G$121,0)))*conv_2026*S$7</f>
        <v>-142409.03648715609</v>
      </c>
      <c r="T28" s="28">
        <f>(INDEX(Option2!T$110:T$121, MATCH($D28, Option2!$G$110:$G$121,0)))*conv_2026*T$7</f>
        <v>-142409.03648715609</v>
      </c>
      <c r="U28" s="28">
        <f>(INDEX(Option2!U$110:U$121, MATCH($D28, Option2!$G$110:$G$121,0)))*conv_2026*U$7</f>
        <v>-142409.03648715609</v>
      </c>
      <c r="V28" s="28">
        <f>(INDEX(Option2!V$110:V$121, MATCH($D28, Option2!$G$110:$G$121,0)))*conv_2026*V$7</f>
        <v>-142409.03648715609</v>
      </c>
      <c r="W28" s="28">
        <f>(INDEX(Option2!W$110:W$121, MATCH($D28, Option2!$G$110:$G$121,0)))*conv_2026*W$7</f>
        <v>-142409.03648715609</v>
      </c>
      <c r="X28" s="28">
        <f>(INDEX(Option2!X$110:X$121, MATCH($D28, Option2!$G$110:$G$121,0)))*conv_2026*X$7</f>
        <v>-142409.03648715609</v>
      </c>
      <c r="Y28" s="28">
        <f>(INDEX(Option2!Y$110:Y$121, MATCH($D28, Option2!$G$110:$G$121,0)))*conv_2026*Y$7</f>
        <v>-142409.03648715609</v>
      </c>
      <c r="Z28" s="28">
        <f>(INDEX(Option2!Z$110:Z$121, MATCH($D28, Option2!$G$110:$G$121,0)))*conv_2026*Z$7</f>
        <v>-142409.03648715609</v>
      </c>
      <c r="AA28" s="28">
        <f>(INDEX(Option2!AA$110:AA$121, MATCH($D28, Option2!$G$110:$G$121,0)))*conv_2026*AA$7</f>
        <v>-142409.03648715609</v>
      </c>
      <c r="AB28" s="28">
        <f>(INDEX(Option2!AB$110:AB$121, MATCH($D28, Option2!$G$110:$G$121,0)))*conv_2026*AB$7</f>
        <v>-142409.03648715609</v>
      </c>
      <c r="AC28" s="28">
        <f>(INDEX(Option2!AC$110:AC$121, MATCH($D28, Option2!$G$110:$G$121,0)))*conv_2026*AC$7</f>
        <v>0</v>
      </c>
      <c r="AD28" s="28">
        <f>(INDEX(Option2!AD$110:AD$121, MATCH($D28, Option2!$G$110:$G$121,0)))*conv_2026*AD$7</f>
        <v>0</v>
      </c>
      <c r="AE28" s="28">
        <f>(INDEX(Option2!AE$110:AE$121, MATCH($D28, Option2!$G$110:$G$121,0)))*conv_2026*AE$7</f>
        <v>0</v>
      </c>
      <c r="AF28" s="28">
        <f>(INDEX(Option2!AF$110:AF$121, MATCH($D28, Option2!$G$110:$G$121,0)))*conv_2026*AF$7</f>
        <v>0</v>
      </c>
      <c r="AG28" s="28">
        <f>(INDEX(Option2!AG$110:AG$121, MATCH($D28, Option2!$G$110:$G$121,0)))*conv_2026*AG$7</f>
        <v>0</v>
      </c>
    </row>
    <row r="29" spans="1:35" s="2" customFormat="1" x14ac:dyDescent="0.2">
      <c r="A29" s="211"/>
      <c r="B29" s="211"/>
      <c r="C29" s="211"/>
      <c r="D29" s="211"/>
      <c r="E29" s="211"/>
      <c r="F29" s="211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12"/>
      <c r="AG29" s="212"/>
    </row>
    <row r="30" spans="1:35" s="2" customFormat="1" x14ac:dyDescent="0.2">
      <c r="A30" s="217" t="s">
        <v>154</v>
      </c>
      <c r="B30" s="217" t="str">
        <f>Option2!A114</f>
        <v>sens1</v>
      </c>
      <c r="C30" s="217" t="str">
        <f>Option2!C114</f>
        <v>Capex 10% higher</v>
      </c>
      <c r="D30" s="217" t="str">
        <f t="shared" ref="D30:D37" si="2">A30&amp;B30</f>
        <v>Option 2sens1</v>
      </c>
      <c r="E30" s="209"/>
      <c r="F30" s="28">
        <f>SUMPRODUCT($H30:$AG30, $H$5:$AG$5)</f>
        <v>-5694382.1968910117</v>
      </c>
      <c r="G30" s="212"/>
      <c r="H30" s="28">
        <f>IF($B30=0,0, (INDEX(Option2!H$110:H$121, MATCH($D30, Option2!$G$110:$G$121,0)))*conv_2026*H$7)</f>
        <v>0</v>
      </c>
      <c r="I30" s="28">
        <f>IF($B30=0,0, (INDEX(Option2!I$110:I$121, MATCH($D30, Option2!$G$110:$G$121,0)))*conv_2026*I$7)</f>
        <v>0</v>
      </c>
      <c r="J30" s="28">
        <f>IF($B30=0,0, (INDEX(Option2!J$110:J$121, MATCH($D30, Option2!$G$110:$G$121,0)))*conv_2026*J$7)</f>
        <v>-410995.79089150357</v>
      </c>
      <c r="K30" s="28">
        <f>IF($B30=0,0, (INDEX(Option2!K$110:K$121, MATCH($D30, Option2!$G$110:$G$121,0)))*conv_2026*K$7)</f>
        <v>-856901.15094518953</v>
      </c>
      <c r="L30" s="28">
        <f>IF($B30=0,0, (INDEX(Option2!L$110:L$121, MATCH($D30, Option2!$G$110:$G$121,0)))*conv_2026*L$7)</f>
        <v>-826950.11271905538</v>
      </c>
      <c r="M30" s="28">
        <f>IF($B30=0,0, (INDEX(Option2!M$110:M$121, MATCH($D30, Option2!$G$110:$G$121,0)))*conv_2026*M$7)</f>
        <v>-782615.20621304295</v>
      </c>
      <c r="N30" s="28">
        <f>IF($B30=0,0, (INDEX(Option2!N$110:N$121, MATCH($D30, Option2!$G$110:$G$121,0)))*conv_2026*N$7)</f>
        <v>-721337.51728456863</v>
      </c>
      <c r="O30" s="28">
        <f>IF($B30=0,0, (INDEX(Option2!O$110:O$121, MATCH($D30, Option2!$G$110:$G$121,0)))*conv_2026*O$7)</f>
        <v>-616884.3245097223</v>
      </c>
      <c r="P30" s="28">
        <f>IF($B30=0,0, (INDEX(Option2!P$110:P$121, MATCH($D30, Option2!$G$110:$G$121,0)))*conv_2026*P$7)</f>
        <v>-462672.1592308681</v>
      </c>
      <c r="Q30" s="28">
        <f>IF($B30=0,0, (INDEX(Option2!Q$110:Q$121, MATCH($D30, Option2!$G$110:$G$121,0)))*conv_2026*Q$7)</f>
        <v>-298868.94304126297</v>
      </c>
      <c r="R30" s="28">
        <f>IF($B30=0,0, (INDEX(Option2!R$110:R$121, MATCH($D30, Option2!$G$110:$G$121,0)))*conv_2026*R$7)</f>
        <v>-142551.99190363297</v>
      </c>
      <c r="S30" s="28">
        <f>IF($B30=0,0, (INDEX(Option2!S$110:S$121, MATCH($D30, Option2!$G$110:$G$121,0)))*conv_2026*S$7)</f>
        <v>-223509.6189826029</v>
      </c>
      <c r="T30" s="28">
        <f>IF($B30=0,0, (INDEX(Option2!T$110:T$121, MATCH($D30, Option2!$G$110:$G$121,0)))*conv_2026*T$7)</f>
        <v>-223509.6189826029</v>
      </c>
      <c r="U30" s="28">
        <f>IF($B30=0,0, (INDEX(Option2!U$110:U$121, MATCH($D30, Option2!$G$110:$G$121,0)))*conv_2026*U$7)</f>
        <v>-223509.6189826029</v>
      </c>
      <c r="V30" s="28">
        <f>IF($B30=0,0, (INDEX(Option2!V$110:V$121, MATCH($D30, Option2!$G$110:$G$121,0)))*conv_2026*V$7)</f>
        <v>-223509.6189826029</v>
      </c>
      <c r="W30" s="28">
        <f>IF($B30=0,0, (INDEX(Option2!W$110:W$121, MATCH($D30, Option2!$G$110:$G$121,0)))*conv_2026*W$7)</f>
        <v>-223509.6189826029</v>
      </c>
      <c r="X30" s="28">
        <f>IF($B30=0,0, (INDEX(Option2!X$110:X$121, MATCH($D30, Option2!$G$110:$G$121,0)))*conv_2026*X$7)</f>
        <v>-223509.6189826029</v>
      </c>
      <c r="Y30" s="28">
        <f>IF($B30=0,0, (INDEX(Option2!Y$110:Y$121, MATCH($D30, Option2!$G$110:$G$121,0)))*conv_2026*Y$7)</f>
        <v>-223509.6189826029</v>
      </c>
      <c r="Z30" s="28">
        <f>IF($B30=0,0, (INDEX(Option2!Z$110:Z$121, MATCH($D30, Option2!$G$110:$G$121,0)))*conv_2026*Z$7)</f>
        <v>-223509.6189826029</v>
      </c>
      <c r="AA30" s="28">
        <f>IF($B30=0,0, (INDEX(Option2!AA$110:AA$121, MATCH($D30, Option2!$G$110:$G$121,0)))*conv_2026*AA$7)</f>
        <v>-223509.6189826029</v>
      </c>
      <c r="AB30" s="28">
        <f>IF($B30=0,0, (INDEX(Option2!AB$110:AB$121, MATCH($D30, Option2!$G$110:$G$121,0)))*conv_2026*AB$7)</f>
        <v>-223509.6189826029</v>
      </c>
      <c r="AC30" s="28">
        <f>IF($B30=0,0, (INDEX(Option2!AC$110:AC$121, MATCH($D30, Option2!$G$110:$G$121,0)))*conv_2026*AC$7)</f>
        <v>0</v>
      </c>
      <c r="AD30" s="28">
        <f>IF($B30=0,0, (INDEX(Option2!AD$110:AD$121, MATCH($D30, Option2!$G$110:$G$121,0)))*conv_2026*AD$7)</f>
        <v>0</v>
      </c>
      <c r="AE30" s="28">
        <f>IF($B30=0,0, (INDEX(Option2!AE$110:AE$121, MATCH($D30, Option2!$G$110:$G$121,0)))*conv_2026*AE$7)</f>
        <v>0</v>
      </c>
      <c r="AF30" s="28">
        <f>IF($B30=0,0, (INDEX(Option2!AF$110:AF$121, MATCH($D30, Option2!$G$110:$G$121,0)))*conv_2026*AF$7)</f>
        <v>0</v>
      </c>
      <c r="AG30" s="28">
        <f>IF($B30=0,0, (INDEX(Option2!AG$110:AG$121, MATCH($D30, Option2!$G$110:$G$121,0)))*conv_2026*AG$7)</f>
        <v>0</v>
      </c>
    </row>
    <row r="31" spans="1:35" s="6" customFormat="1" x14ac:dyDescent="0.2">
      <c r="A31" s="217" t="s">
        <v>154</v>
      </c>
      <c r="B31" s="217" t="str">
        <f>Option2!A115</f>
        <v>sens2</v>
      </c>
      <c r="C31" s="217" t="str">
        <f>Option2!C115</f>
        <v>Capex 10% lower</v>
      </c>
      <c r="D31" s="217" t="str">
        <f t="shared" si="2"/>
        <v>Option 2sens2</v>
      </c>
      <c r="E31" s="209"/>
      <c r="F31" s="28">
        <f t="shared" ref="F31:F37" si="3">SUMPRODUCT($H31:$AG31, $H$5:$AG$5)</f>
        <v>-3591628.8865180905</v>
      </c>
      <c r="G31" s="217"/>
      <c r="H31" s="28">
        <f>IF($B31=0,0, (INDEX(Option2!H$110:H$121, MATCH($D31, Option2!$G$110:$G$121,0)))*conv_2026*H$7)</f>
        <v>0</v>
      </c>
      <c r="I31" s="28">
        <f>IF($B31=0,0, (INDEX(Option2!I$110:I$121, MATCH($D31, Option2!$G$110:$G$121,0)))*conv_2026*I$7)</f>
        <v>0</v>
      </c>
      <c r="J31" s="28">
        <f>IF($B31=0,0, (INDEX(Option2!J$110:J$121, MATCH($D31, Option2!$G$110:$G$121,0)))*conv_2026*J$7)</f>
        <v>-336269.28345668467</v>
      </c>
      <c r="K31" s="28">
        <f>IF($B31=0,0, (INDEX(Option2!K$110:K$121, MATCH($D31, Option2!$G$110:$G$121,0)))*conv_2026*K$7)</f>
        <v>-694699.98595429596</v>
      </c>
      <c r="L31" s="28">
        <f>IF($B31=0,0, (INDEX(Option2!L$110:L$121, MATCH($D31, Option2!$G$110:$G$121,0)))*conv_2026*L$7)</f>
        <v>-664748.94772816158</v>
      </c>
      <c r="M31" s="28">
        <f>IF($B31=0,0, (INDEX(Option2!M$110:M$121, MATCH($D31, Option2!$G$110:$G$121,0)))*conv_2026*M$7)</f>
        <v>-620414.04122214939</v>
      </c>
      <c r="N31" s="28">
        <f>IF($B31=0,0, (INDEX(Option2!N$110:N$121, MATCH($D31, Option2!$G$110:$G$121,0)))*conv_2026*N$7)</f>
        <v>-559136.35229367507</v>
      </c>
      <c r="O31" s="28">
        <f>IF($B31=0,0, (INDEX(Option2!O$110:O$121, MATCH($D31, Option2!$G$110:$G$121,0)))*conv_2026*O$7)</f>
        <v>-454683.15951882856</v>
      </c>
      <c r="P31" s="28">
        <f>IF($B31=0,0, (INDEX(Option2!P$110:P$121, MATCH($D31, Option2!$G$110:$G$121,0)))*conv_2026*P$7)</f>
        <v>-300470.99423997448</v>
      </c>
      <c r="Q31" s="28">
        <f>IF($B31=0,0, (INDEX(Option2!Q$110:Q$121, MATCH($D31, Option2!$G$110:$G$121,0)))*conv_2026*Q$7)</f>
        <v>-136667.77805036929</v>
      </c>
      <c r="R31" s="28">
        <f>IF($B31=0,0, (INDEX(Option2!R$110:R$121, MATCH($D31, Option2!$G$110:$G$121,0)))*conv_2026*R$7)</f>
        <v>19649.173087260682</v>
      </c>
      <c r="S31" s="28">
        <f>IF($B31=0,0, (INDEX(Option2!S$110:S$121, MATCH($D31, Option2!$G$110:$G$121,0)))*conv_2026*S$7)</f>
        <v>-61308.453991709255</v>
      </c>
      <c r="T31" s="28">
        <f>IF($B31=0,0, (INDEX(Option2!T$110:T$121, MATCH($D31, Option2!$G$110:$G$121,0)))*conv_2026*T$7)</f>
        <v>-61308.453991709255</v>
      </c>
      <c r="U31" s="28">
        <f>IF($B31=0,0, (INDEX(Option2!U$110:U$121, MATCH($D31, Option2!$G$110:$G$121,0)))*conv_2026*U$7)</f>
        <v>-61308.453991709255</v>
      </c>
      <c r="V31" s="28">
        <f>IF($B31=0,0, (INDEX(Option2!V$110:V$121, MATCH($D31, Option2!$G$110:$G$121,0)))*conv_2026*V$7)</f>
        <v>-61308.453991709255</v>
      </c>
      <c r="W31" s="28">
        <f>IF($B31=0,0, (INDEX(Option2!W$110:W$121, MATCH($D31, Option2!$G$110:$G$121,0)))*conv_2026*W$7)</f>
        <v>-61308.453991709255</v>
      </c>
      <c r="X31" s="28">
        <f>IF($B31=0,0, (INDEX(Option2!X$110:X$121, MATCH($D31, Option2!$G$110:$G$121,0)))*conv_2026*X$7)</f>
        <v>-61308.453991709255</v>
      </c>
      <c r="Y31" s="28">
        <f>IF($B31=0,0, (INDEX(Option2!Y$110:Y$121, MATCH($D31, Option2!$G$110:$G$121,0)))*conv_2026*Y$7)</f>
        <v>-61308.453991709255</v>
      </c>
      <c r="Z31" s="28">
        <f>IF($B31=0,0, (INDEX(Option2!Z$110:Z$121, MATCH($D31, Option2!$G$110:$G$121,0)))*conv_2026*Z$7)</f>
        <v>-61308.453991709255</v>
      </c>
      <c r="AA31" s="28">
        <f>IF($B31=0,0, (INDEX(Option2!AA$110:AA$121, MATCH($D31, Option2!$G$110:$G$121,0)))*conv_2026*AA$7)</f>
        <v>-61308.453991709255</v>
      </c>
      <c r="AB31" s="28">
        <f>IF($B31=0,0, (INDEX(Option2!AB$110:AB$121, MATCH($D31, Option2!$G$110:$G$121,0)))*conv_2026*AB$7)</f>
        <v>-61308.453991709255</v>
      </c>
      <c r="AC31" s="28">
        <f>IF($B31=0,0, (INDEX(Option2!AC$110:AC$121, MATCH($D31, Option2!$G$110:$G$121,0)))*conv_2026*AC$7)</f>
        <v>0</v>
      </c>
      <c r="AD31" s="28">
        <f>IF($B31=0,0, (INDEX(Option2!AD$110:AD$121, MATCH($D31, Option2!$G$110:$G$121,0)))*conv_2026*AD$7)</f>
        <v>0</v>
      </c>
      <c r="AE31" s="28">
        <f>IF($B31=0,0, (INDEX(Option2!AE$110:AE$121, MATCH($D31, Option2!$G$110:$G$121,0)))*conv_2026*AE$7)</f>
        <v>0</v>
      </c>
      <c r="AF31" s="28">
        <f>IF($B31=0,0, (INDEX(Option2!AF$110:AF$121, MATCH($D31, Option2!$G$110:$G$121,0)))*conv_2026*AF$7)</f>
        <v>0</v>
      </c>
      <c r="AG31" s="28">
        <f>IF($B31=0,0, (INDEX(Option2!AG$110:AG$121, MATCH($D31, Option2!$G$110:$G$121,0)))*conv_2026*AG$7)</f>
        <v>0</v>
      </c>
    </row>
    <row r="32" spans="1:35" s="6" customFormat="1" x14ac:dyDescent="0.2">
      <c r="A32" s="217" t="s">
        <v>154</v>
      </c>
      <c r="B32" s="217" t="str">
        <f>Option2!A116</f>
        <v>sens3</v>
      </c>
      <c r="C32" s="217" t="str">
        <f>Option2!C116</f>
        <v>Total benefits 10% higher</v>
      </c>
      <c r="D32" s="217" t="str">
        <f t="shared" si="2"/>
        <v>Option 2sens3</v>
      </c>
      <c r="E32" s="209"/>
      <c r="F32" s="28">
        <f t="shared" si="3"/>
        <v>-4055929.4406885449</v>
      </c>
      <c r="H32" s="28">
        <f>IF($B32=0,0, (INDEX(Option2!H$110:H$121, MATCH($D32, Option2!$G$110:$G$121,0)))*conv_2026*H$7)</f>
        <v>0</v>
      </c>
      <c r="I32" s="28">
        <f>IF($B32=0,0, (INDEX(Option2!I$110:I$121, MATCH($D32, Option2!$G$110:$G$121,0)))*conv_2026*I$7)</f>
        <v>0</v>
      </c>
      <c r="J32" s="28">
        <f>IF($B32=0,0, (INDEX(Option2!J$110:J$121, MATCH($D32, Option2!$G$110:$G$121,0)))*conv_2026*J$7)</f>
        <v>-373632.53717409412</v>
      </c>
      <c r="K32" s="28">
        <f>IF($B32=0,0, (INDEX(Option2!K$110:K$121, MATCH($D32, Option2!$G$110:$G$121,0)))*conv_2026*K$7)</f>
        <v>-772280.04279927013</v>
      </c>
      <c r="L32" s="28">
        <f>IF($B32=0,0, (INDEX(Option2!L$110:L$121, MATCH($D32, Option2!$G$110:$G$121,0)))*conv_2026*L$7)</f>
        <v>-739333.9007505225</v>
      </c>
      <c r="M32" s="28">
        <f>IF($B32=0,0, (INDEX(Option2!M$110:M$121, MATCH($D32, Option2!$G$110:$G$121,0)))*conv_2026*M$7)</f>
        <v>-690565.50359390897</v>
      </c>
      <c r="N32" s="28">
        <f>IF($B32=0,0, (INDEX(Option2!N$110:N$121, MATCH($D32, Option2!$G$110:$G$121,0)))*conv_2026*N$7)</f>
        <v>-623160.0457725873</v>
      </c>
      <c r="O32" s="28">
        <f>IF($B32=0,0, (INDEX(Option2!O$110:O$121, MATCH($D32, Option2!$G$110:$G$121,0)))*conv_2026*O$7)</f>
        <v>-508261.53372025606</v>
      </c>
      <c r="P32" s="28">
        <f>IF($B32=0,0, (INDEX(Option2!P$110:P$121, MATCH($D32, Option2!$G$110:$G$121,0)))*conv_2026*P$7)</f>
        <v>-338628.15191351663</v>
      </c>
      <c r="Q32" s="28">
        <f>IF($B32=0,0, (INDEX(Option2!Q$110:Q$121, MATCH($D32, Option2!$G$110:$G$121,0)))*conv_2026*Q$7)</f>
        <v>-158444.61410495092</v>
      </c>
      <c r="R32" s="28">
        <f>IF($B32=0,0, (INDEX(Option2!R$110:R$121, MATCH($D32, Option2!$G$110:$G$121,0)))*conv_2026*R$7)</f>
        <v>13504.032146442076</v>
      </c>
      <c r="S32" s="28">
        <f>IF($B32=0,0, (INDEX(Option2!S$110:S$121, MATCH($D32, Option2!$G$110:$G$121,0)))*conv_2026*S$7)</f>
        <v>-75549.357640424845</v>
      </c>
      <c r="T32" s="28">
        <f>IF($B32=0,0, (INDEX(Option2!T$110:T$121, MATCH($D32, Option2!$G$110:$G$121,0)))*conv_2026*T$7)</f>
        <v>-75549.357640424845</v>
      </c>
      <c r="U32" s="28">
        <f>IF($B32=0,0, (INDEX(Option2!U$110:U$121, MATCH($D32, Option2!$G$110:$G$121,0)))*conv_2026*U$7)</f>
        <v>-75549.357640424845</v>
      </c>
      <c r="V32" s="28">
        <f>IF($B32=0,0, (INDEX(Option2!V$110:V$121, MATCH($D32, Option2!$G$110:$G$121,0)))*conv_2026*V$7)</f>
        <v>-75549.357640424845</v>
      </c>
      <c r="W32" s="28">
        <f>IF($B32=0,0, (INDEX(Option2!W$110:W$121, MATCH($D32, Option2!$G$110:$G$121,0)))*conv_2026*W$7)</f>
        <v>-75549.357640424845</v>
      </c>
      <c r="X32" s="28">
        <f>IF($B32=0,0, (INDEX(Option2!X$110:X$121, MATCH($D32, Option2!$G$110:$G$121,0)))*conv_2026*X$7)</f>
        <v>-75549.357640424845</v>
      </c>
      <c r="Y32" s="28">
        <f>IF($B32=0,0, (INDEX(Option2!Y$110:Y$121, MATCH($D32, Option2!$G$110:$G$121,0)))*conv_2026*Y$7)</f>
        <v>-75549.357640424845</v>
      </c>
      <c r="Z32" s="28">
        <f>IF($B32=0,0, (INDEX(Option2!Z$110:Z$121, MATCH($D32, Option2!$G$110:$G$121,0)))*conv_2026*Z$7)</f>
        <v>-75549.357640424845</v>
      </c>
      <c r="AA32" s="28">
        <f>IF($B32=0,0, (INDEX(Option2!AA$110:AA$121, MATCH($D32, Option2!$G$110:$G$121,0)))*conv_2026*AA$7)</f>
        <v>-75549.357640424845</v>
      </c>
      <c r="AB32" s="28">
        <f>IF($B32=0,0, (INDEX(Option2!AB$110:AB$121, MATCH($D32, Option2!$G$110:$G$121,0)))*conv_2026*AB$7)</f>
        <v>-75549.357640424845</v>
      </c>
      <c r="AC32" s="28">
        <f>IF($B32=0,0, (INDEX(Option2!AC$110:AC$121, MATCH($D32, Option2!$G$110:$G$121,0)))*conv_2026*AC$7)</f>
        <v>0</v>
      </c>
      <c r="AD32" s="28">
        <f>IF($B32=0,0, (INDEX(Option2!AD$110:AD$121, MATCH($D32, Option2!$G$110:$G$121,0)))*conv_2026*AD$7)</f>
        <v>0</v>
      </c>
      <c r="AE32" s="28">
        <f>IF($B32=0,0, (INDEX(Option2!AE$110:AE$121, MATCH($D32, Option2!$G$110:$G$121,0)))*conv_2026*AE$7)</f>
        <v>0</v>
      </c>
      <c r="AF32" s="28">
        <f>IF($B32=0,0, (INDEX(Option2!AF$110:AF$121, MATCH($D32, Option2!$G$110:$G$121,0)))*conv_2026*AF$7)</f>
        <v>0</v>
      </c>
      <c r="AG32" s="28">
        <f>IF($B32=0,0, (INDEX(Option2!AG$110:AG$121, MATCH($D32, Option2!$G$110:$G$121,0)))*conv_2026*AG$7)</f>
        <v>0</v>
      </c>
    </row>
    <row r="33" spans="1:35" s="6" customFormat="1" x14ac:dyDescent="0.2">
      <c r="A33" s="217" t="s">
        <v>154</v>
      </c>
      <c r="B33" s="217" t="str">
        <f>Option2!A117</f>
        <v>sens4</v>
      </c>
      <c r="C33" s="217" t="str">
        <f>Option2!C117</f>
        <v>Total benefits 10% lower</v>
      </c>
      <c r="D33" s="217" t="str">
        <f t="shared" si="2"/>
        <v>Option 2sens4</v>
      </c>
      <c r="E33" s="209"/>
      <c r="F33" s="28">
        <f t="shared" si="3"/>
        <v>-5230081.6427205559</v>
      </c>
      <c r="H33" s="28">
        <f>IF($B33=0,0, (INDEX(Option2!H$110:H$121, MATCH($D33, Option2!$G$110:$G$121,0)))*conv_2026*H$7)</f>
        <v>0</v>
      </c>
      <c r="I33" s="28">
        <f>IF($B33=0,0, (INDEX(Option2!I$110:I$121, MATCH($D33, Option2!$G$110:$G$121,0)))*conv_2026*I$7)</f>
        <v>0</v>
      </c>
      <c r="J33" s="28">
        <f>IF($B33=0,0, (INDEX(Option2!J$110:J$121, MATCH($D33, Option2!$G$110:$G$121,0)))*conv_2026*J$7)</f>
        <v>-373632.53717409412</v>
      </c>
      <c r="K33" s="28">
        <f>IF($B33=0,0, (INDEX(Option2!K$110:K$121, MATCH($D33, Option2!$G$110:$G$121,0)))*conv_2026*K$7)</f>
        <v>-779321.09410021524</v>
      </c>
      <c r="L33" s="28">
        <f>IF($B33=0,0, (INDEX(Option2!L$110:L$121, MATCH($D33, Option2!$G$110:$G$121,0)))*conv_2026*L$7)</f>
        <v>-752365.15969669446</v>
      </c>
      <c r="M33" s="28">
        <f>IF($B33=0,0, (INDEX(Option2!M$110:M$121, MATCH($D33, Option2!$G$110:$G$121,0)))*conv_2026*M$7)</f>
        <v>-712463.74384128349</v>
      </c>
      <c r="N33" s="28">
        <f>IF($B33=0,0, (INDEX(Option2!N$110:N$121, MATCH($D33, Option2!$G$110:$G$121,0)))*conv_2026*N$7)</f>
        <v>-657313.82380565652</v>
      </c>
      <c r="O33" s="28">
        <f>IF($B33=0,0, (INDEX(Option2!O$110:O$121, MATCH($D33, Option2!$G$110:$G$121,0)))*conv_2026*O$7)</f>
        <v>-563305.95030829473</v>
      </c>
      <c r="P33" s="28">
        <f>IF($B33=0,0, (INDEX(Option2!P$110:P$121, MATCH($D33, Option2!$G$110:$G$121,0)))*conv_2026*P$7)</f>
        <v>-424515.001557326</v>
      </c>
      <c r="Q33" s="28">
        <f>IF($B33=0,0, (INDEX(Option2!Q$110:Q$121, MATCH($D33, Option2!$G$110:$G$121,0)))*conv_2026*Q$7)</f>
        <v>-277092.10698668135</v>
      </c>
      <c r="R33" s="28">
        <f>IF($B33=0,0, (INDEX(Option2!R$110:R$121, MATCH($D33, Option2!$G$110:$G$121,0)))*conv_2026*R$7)</f>
        <v>-136406.85096281438</v>
      </c>
      <c r="S33" s="28">
        <f>IF($B33=0,0, (INDEX(Option2!S$110:S$121, MATCH($D33, Option2!$G$110:$G$121,0)))*conv_2026*S$7)</f>
        <v>-209268.71533388732</v>
      </c>
      <c r="T33" s="28">
        <f>IF($B33=0,0, (INDEX(Option2!T$110:T$121, MATCH($D33, Option2!$G$110:$G$121,0)))*conv_2026*T$7)</f>
        <v>-209268.71533388732</v>
      </c>
      <c r="U33" s="28">
        <f>IF($B33=0,0, (INDEX(Option2!U$110:U$121, MATCH($D33, Option2!$G$110:$G$121,0)))*conv_2026*U$7)</f>
        <v>-209268.71533388732</v>
      </c>
      <c r="V33" s="28">
        <f>IF($B33=0,0, (INDEX(Option2!V$110:V$121, MATCH($D33, Option2!$G$110:$G$121,0)))*conv_2026*V$7)</f>
        <v>-209268.71533388732</v>
      </c>
      <c r="W33" s="28">
        <f>IF($B33=0,0, (INDEX(Option2!W$110:W$121, MATCH($D33, Option2!$G$110:$G$121,0)))*conv_2026*W$7)</f>
        <v>-209268.71533388732</v>
      </c>
      <c r="X33" s="28">
        <f>IF($B33=0,0, (INDEX(Option2!X$110:X$121, MATCH($D33, Option2!$G$110:$G$121,0)))*conv_2026*X$7)</f>
        <v>-209268.71533388732</v>
      </c>
      <c r="Y33" s="28">
        <f>IF($B33=0,0, (INDEX(Option2!Y$110:Y$121, MATCH($D33, Option2!$G$110:$G$121,0)))*conv_2026*Y$7)</f>
        <v>-209268.71533388732</v>
      </c>
      <c r="Z33" s="28">
        <f>IF($B33=0,0, (INDEX(Option2!Z$110:Z$121, MATCH($D33, Option2!$G$110:$G$121,0)))*conv_2026*Z$7)</f>
        <v>-209268.71533388732</v>
      </c>
      <c r="AA33" s="28">
        <f>IF($B33=0,0, (INDEX(Option2!AA$110:AA$121, MATCH($D33, Option2!$G$110:$G$121,0)))*conv_2026*AA$7)</f>
        <v>-209268.71533388732</v>
      </c>
      <c r="AB33" s="28">
        <f>IF($B33=0,0, (INDEX(Option2!AB$110:AB$121, MATCH($D33, Option2!$G$110:$G$121,0)))*conv_2026*AB$7)</f>
        <v>-209268.71533388732</v>
      </c>
      <c r="AC33" s="28">
        <f>IF($B33=0,0, (INDEX(Option2!AC$110:AC$121, MATCH($D33, Option2!$G$110:$G$121,0)))*conv_2026*AC$7)</f>
        <v>0</v>
      </c>
      <c r="AD33" s="28">
        <f>IF($B33=0,0, (INDEX(Option2!AD$110:AD$121, MATCH($D33, Option2!$G$110:$G$121,0)))*conv_2026*AD$7)</f>
        <v>0</v>
      </c>
      <c r="AE33" s="28">
        <f>IF($B33=0,0, (INDEX(Option2!AE$110:AE$121, MATCH($D33, Option2!$G$110:$G$121,0)))*conv_2026*AE$7)</f>
        <v>0</v>
      </c>
      <c r="AF33" s="28">
        <f>IF($B33=0,0, (INDEX(Option2!AF$110:AF$121, MATCH($D33, Option2!$G$110:$G$121,0)))*conv_2026*AF$7)</f>
        <v>0</v>
      </c>
      <c r="AG33" s="28">
        <f>IF($B33=0,0, (INDEX(Option2!AG$110:AG$121, MATCH($D33, Option2!$G$110:$G$121,0)))*conv_2026*AG$7)</f>
        <v>0</v>
      </c>
    </row>
    <row r="34" spans="1:35" s="6" customFormat="1" x14ac:dyDescent="0.2">
      <c r="A34" s="217" t="s">
        <v>154</v>
      </c>
      <c r="B34" s="217" t="str">
        <f>Option2!A118</f>
        <v>sens5</v>
      </c>
      <c r="C34" s="217" t="str">
        <f>Option2!C118</f>
        <v>Capex 10% higher &amp; Total benefits 10% lower</v>
      </c>
      <c r="D34" s="217" t="str">
        <f t="shared" si="2"/>
        <v>Option 2sens5</v>
      </c>
      <c r="E34" s="209"/>
      <c r="F34" s="28">
        <f t="shared" si="3"/>
        <v>-6281458.2979070181</v>
      </c>
      <c r="H34" s="28">
        <f>IF($B34=0,0, (INDEX(Option2!H$110:H$121, MATCH($D34, Option2!$G$110:$G$121,0)))*conv_2026*H$7)</f>
        <v>0</v>
      </c>
      <c r="I34" s="28">
        <f>IF($B34=0,0, (INDEX(Option2!I$110:I$121, MATCH($D34, Option2!$G$110:$G$121,0)))*conv_2026*I$7)</f>
        <v>0</v>
      </c>
      <c r="J34" s="28">
        <f>IF($B34=0,0, (INDEX(Option2!J$110:J$121, MATCH($D34, Option2!$G$110:$G$121,0)))*conv_2026*J$7)</f>
        <v>-410995.79089150357</v>
      </c>
      <c r="K34" s="28">
        <f>IF($B34=0,0, (INDEX(Option2!K$110:K$121, MATCH($D34, Option2!$G$110:$G$121,0)))*conv_2026*K$7)</f>
        <v>-860421.67659566214</v>
      </c>
      <c r="L34" s="28">
        <f>IF($B34=0,0, (INDEX(Option2!L$110:L$121, MATCH($D34, Option2!$G$110:$G$121,0)))*conv_2026*L$7)</f>
        <v>-833465.74219214136</v>
      </c>
      <c r="M34" s="28">
        <f>IF($B34=0,0, (INDEX(Option2!M$110:M$121, MATCH($D34, Option2!$G$110:$G$121,0)))*conv_2026*M$7)</f>
        <v>-793564.32633673016</v>
      </c>
      <c r="N34" s="28">
        <f>IF($B34=0,0, (INDEX(Option2!N$110:N$121, MATCH($D34, Option2!$G$110:$G$121,0)))*conv_2026*N$7)</f>
        <v>-738414.40630110342</v>
      </c>
      <c r="O34" s="28">
        <f>IF($B34=0,0, (INDEX(Option2!O$110:O$121, MATCH($D34, Option2!$G$110:$G$121,0)))*conv_2026*O$7)</f>
        <v>-644406.53280374152</v>
      </c>
      <c r="P34" s="28">
        <f>IF($B34=0,0, (INDEX(Option2!P$110:P$121, MATCH($D34, Option2!$G$110:$G$121,0)))*conv_2026*P$7)</f>
        <v>-505615.58405277279</v>
      </c>
      <c r="Q34" s="28">
        <f>IF($B34=0,0, (INDEX(Option2!Q$110:Q$121, MATCH($D34, Option2!$G$110:$G$121,0)))*conv_2026*Q$7)</f>
        <v>-358192.68948212813</v>
      </c>
      <c r="R34" s="28">
        <f>IF($B34=0,0, (INDEX(Option2!R$110:R$121, MATCH($D34, Option2!$G$110:$G$121,0)))*conv_2026*R$7)</f>
        <v>-217507.43345826122</v>
      </c>
      <c r="S34" s="28">
        <f>IF($B34=0,0, (INDEX(Option2!S$110:S$121, MATCH($D34, Option2!$G$110:$G$121,0)))*conv_2026*S$7)</f>
        <v>-290369.29782933416</v>
      </c>
      <c r="T34" s="28">
        <f>IF($B34=0,0, (INDEX(Option2!T$110:T$121, MATCH($D34, Option2!$G$110:$G$121,0)))*conv_2026*T$7)</f>
        <v>-290369.29782933416</v>
      </c>
      <c r="U34" s="28">
        <f>IF($B34=0,0, (INDEX(Option2!U$110:U$121, MATCH($D34, Option2!$G$110:$G$121,0)))*conv_2026*U$7)</f>
        <v>-290369.29782933416</v>
      </c>
      <c r="V34" s="28">
        <f>IF($B34=0,0, (INDEX(Option2!V$110:V$121, MATCH($D34, Option2!$G$110:$G$121,0)))*conv_2026*V$7)</f>
        <v>-290369.29782933416</v>
      </c>
      <c r="W34" s="28">
        <f>IF($B34=0,0, (INDEX(Option2!W$110:W$121, MATCH($D34, Option2!$G$110:$G$121,0)))*conv_2026*W$7)</f>
        <v>-290369.29782933416</v>
      </c>
      <c r="X34" s="28">
        <f>IF($B34=0,0, (INDEX(Option2!X$110:X$121, MATCH($D34, Option2!$G$110:$G$121,0)))*conv_2026*X$7)</f>
        <v>-290369.29782933416</v>
      </c>
      <c r="Y34" s="28">
        <f>IF($B34=0,0, (INDEX(Option2!Y$110:Y$121, MATCH($D34, Option2!$G$110:$G$121,0)))*conv_2026*Y$7)</f>
        <v>-290369.29782933416</v>
      </c>
      <c r="Z34" s="28">
        <f>IF($B34=0,0, (INDEX(Option2!Z$110:Z$121, MATCH($D34, Option2!$G$110:$G$121,0)))*conv_2026*Z$7)</f>
        <v>-290369.29782933416</v>
      </c>
      <c r="AA34" s="28">
        <f>IF($B34=0,0, (INDEX(Option2!AA$110:AA$121, MATCH($D34, Option2!$G$110:$G$121,0)))*conv_2026*AA$7)</f>
        <v>-290369.29782933416</v>
      </c>
      <c r="AB34" s="28">
        <f>IF($B34=0,0, (INDEX(Option2!AB$110:AB$121, MATCH($D34, Option2!$G$110:$G$121,0)))*conv_2026*AB$7)</f>
        <v>-290369.29782933416</v>
      </c>
      <c r="AC34" s="28">
        <f>IF($B34=0,0, (INDEX(Option2!AC$110:AC$121, MATCH($D34, Option2!$G$110:$G$121,0)))*conv_2026*AC$7)</f>
        <v>0</v>
      </c>
      <c r="AD34" s="28">
        <f>IF($B34=0,0, (INDEX(Option2!AD$110:AD$121, MATCH($D34, Option2!$G$110:$G$121,0)))*conv_2026*AD$7)</f>
        <v>0</v>
      </c>
      <c r="AE34" s="28">
        <f>IF($B34=0,0, (INDEX(Option2!AE$110:AE$121, MATCH($D34, Option2!$G$110:$G$121,0)))*conv_2026*AE$7)</f>
        <v>0</v>
      </c>
      <c r="AF34" s="28">
        <f>IF($B34=0,0, (INDEX(Option2!AF$110:AF$121, MATCH($D34, Option2!$G$110:$G$121,0)))*conv_2026*AF$7)</f>
        <v>0</v>
      </c>
      <c r="AG34" s="28">
        <f>IF($B34=0,0, (INDEX(Option2!AG$110:AG$121, MATCH($D34, Option2!$G$110:$G$121,0)))*conv_2026*AG$7)</f>
        <v>0</v>
      </c>
    </row>
    <row r="35" spans="1:35" s="6" customFormat="1" x14ac:dyDescent="0.2">
      <c r="A35" s="217" t="s">
        <v>154</v>
      </c>
      <c r="B35" s="217" t="str">
        <f>Option2!A119</f>
        <v>sens</v>
      </c>
      <c r="C35" s="217">
        <f>Option2!C119</f>
        <v>0</v>
      </c>
      <c r="D35" s="217" t="str">
        <f t="shared" si="2"/>
        <v>Option 2sens</v>
      </c>
      <c r="E35" s="209"/>
      <c r="F35" s="28">
        <f t="shared" si="3"/>
        <v>-4643005.5417045513</v>
      </c>
      <c r="H35" s="28">
        <f>IF($B35=0,0, (INDEX(Option2!H$110:H$121, MATCH($D35, Option2!$G$110:$G$121,0)))*conv_2026*H$7)</f>
        <v>0</v>
      </c>
      <c r="I35" s="28">
        <f>IF($B35=0,0, (INDEX(Option2!I$110:I$121, MATCH($D35, Option2!$G$110:$G$121,0)))*conv_2026*I$7)</f>
        <v>0</v>
      </c>
      <c r="J35" s="28">
        <f>IF($B35=0,0, (INDEX(Option2!J$110:J$121, MATCH($D35, Option2!$G$110:$G$121,0)))*conv_2026*J$7)</f>
        <v>-373632.53717409412</v>
      </c>
      <c r="K35" s="28">
        <f>IF($B35=0,0, (INDEX(Option2!K$110:K$121, MATCH($D35, Option2!$G$110:$G$121,0)))*conv_2026*K$7)</f>
        <v>-775800.56844974274</v>
      </c>
      <c r="L35" s="28">
        <f>IF($B35=0,0, (INDEX(Option2!L$110:L$121, MATCH($D35, Option2!$G$110:$G$121,0)))*conv_2026*L$7)</f>
        <v>-745849.53022360848</v>
      </c>
      <c r="M35" s="28">
        <f>IF($B35=0,0, (INDEX(Option2!M$110:M$121, MATCH($D35, Option2!$G$110:$G$121,0)))*conv_2026*M$7)</f>
        <v>-701514.62371759617</v>
      </c>
      <c r="N35" s="28">
        <f>IF($B35=0,0, (INDEX(Option2!N$110:N$121, MATCH($D35, Option2!$G$110:$G$121,0)))*conv_2026*N$7)</f>
        <v>-640236.93478912185</v>
      </c>
      <c r="O35" s="28">
        <f>IF($B35=0,0, (INDEX(Option2!O$110:O$121, MATCH($D35, Option2!$G$110:$G$121,0)))*conv_2026*O$7)</f>
        <v>-535783.7420142754</v>
      </c>
      <c r="P35" s="28">
        <f>IF($B35=0,0, (INDEX(Option2!P$110:P$121, MATCH($D35, Option2!$G$110:$G$121,0)))*conv_2026*P$7)</f>
        <v>-381571.57673542132</v>
      </c>
      <c r="Q35" s="28">
        <f>IF($B35=0,0, (INDEX(Option2!Q$110:Q$121, MATCH($D35, Option2!$G$110:$G$121,0)))*conv_2026*Q$7)</f>
        <v>-217768.36054581613</v>
      </c>
      <c r="R35" s="28">
        <f>IF($B35=0,0, (INDEX(Option2!R$110:R$121, MATCH($D35, Option2!$G$110:$G$121,0)))*conv_2026*R$7)</f>
        <v>-61451.409408186148</v>
      </c>
      <c r="S35" s="28">
        <f>IF($B35=0,0, (INDEX(Option2!S$110:S$121, MATCH($D35, Option2!$G$110:$G$121,0)))*conv_2026*S$7)</f>
        <v>-142409.03648715609</v>
      </c>
      <c r="T35" s="28">
        <f>IF($B35=0,0, (INDEX(Option2!T$110:T$121, MATCH($D35, Option2!$G$110:$G$121,0)))*conv_2026*T$7)</f>
        <v>-142409.03648715609</v>
      </c>
      <c r="U35" s="28">
        <f>IF($B35=0,0, (INDEX(Option2!U$110:U$121, MATCH($D35, Option2!$G$110:$G$121,0)))*conv_2026*U$7)</f>
        <v>-142409.03648715609</v>
      </c>
      <c r="V35" s="28">
        <f>IF($B35=0,0, (INDEX(Option2!V$110:V$121, MATCH($D35, Option2!$G$110:$G$121,0)))*conv_2026*V$7)</f>
        <v>-142409.03648715609</v>
      </c>
      <c r="W35" s="28">
        <f>IF($B35=0,0, (INDEX(Option2!W$110:W$121, MATCH($D35, Option2!$G$110:$G$121,0)))*conv_2026*W$7)</f>
        <v>-142409.03648715609</v>
      </c>
      <c r="X35" s="28">
        <f>IF($B35=0,0, (INDEX(Option2!X$110:X$121, MATCH($D35, Option2!$G$110:$G$121,0)))*conv_2026*X$7)</f>
        <v>-142409.03648715609</v>
      </c>
      <c r="Y35" s="28">
        <f>IF($B35=0,0, (INDEX(Option2!Y$110:Y$121, MATCH($D35, Option2!$G$110:$G$121,0)))*conv_2026*Y$7)</f>
        <v>-142409.03648715609</v>
      </c>
      <c r="Z35" s="28">
        <f>IF($B35=0,0, (INDEX(Option2!Z$110:Z$121, MATCH($D35, Option2!$G$110:$G$121,0)))*conv_2026*Z$7)</f>
        <v>-142409.03648715609</v>
      </c>
      <c r="AA35" s="28">
        <f>IF($B35=0,0, (INDEX(Option2!AA$110:AA$121, MATCH($D35, Option2!$G$110:$G$121,0)))*conv_2026*AA$7)</f>
        <v>-142409.03648715609</v>
      </c>
      <c r="AB35" s="28">
        <f>IF($B35=0,0, (INDEX(Option2!AB$110:AB$121, MATCH($D35, Option2!$G$110:$G$121,0)))*conv_2026*AB$7)</f>
        <v>-142409.03648715609</v>
      </c>
      <c r="AC35" s="28">
        <f>IF($B35=0,0, (INDEX(Option2!AC$110:AC$121, MATCH($D35, Option2!$G$110:$G$121,0)))*conv_2026*AC$7)</f>
        <v>0</v>
      </c>
      <c r="AD35" s="28">
        <f>IF($B35=0,0, (INDEX(Option2!AD$110:AD$121, MATCH($D35, Option2!$G$110:$G$121,0)))*conv_2026*AD$7)</f>
        <v>0</v>
      </c>
      <c r="AE35" s="28">
        <f>IF($B35=0,0, (INDEX(Option2!AE$110:AE$121, MATCH($D35, Option2!$G$110:$G$121,0)))*conv_2026*AE$7)</f>
        <v>0</v>
      </c>
      <c r="AF35" s="28">
        <f>IF($B35=0,0, (INDEX(Option2!AF$110:AF$121, MATCH($D35, Option2!$G$110:$G$121,0)))*conv_2026*AF$7)</f>
        <v>0</v>
      </c>
      <c r="AG35" s="28">
        <f>IF($B35=0,0, (INDEX(Option2!AG$110:AG$121, MATCH($D35, Option2!$G$110:$G$121,0)))*conv_2026*AG$7)</f>
        <v>0</v>
      </c>
    </row>
    <row r="36" spans="1:35" s="6" customFormat="1" x14ac:dyDescent="0.2">
      <c r="A36" s="217" t="s">
        <v>154</v>
      </c>
      <c r="B36" s="217" t="str">
        <f>Option2!A120</f>
        <v>sens</v>
      </c>
      <c r="C36" s="217">
        <f>Option2!C120</f>
        <v>0</v>
      </c>
      <c r="D36" s="217" t="str">
        <f t="shared" si="2"/>
        <v>Option 2sens</v>
      </c>
      <c r="E36" s="209"/>
      <c r="F36" s="28">
        <f t="shared" si="3"/>
        <v>-4643005.5417045513</v>
      </c>
      <c r="H36" s="28">
        <f>IF($B36=0,0, (INDEX(Option2!H$110:H$121, MATCH($D36, Option2!$G$110:$G$121,0)))*conv_2026*H$7)</f>
        <v>0</v>
      </c>
      <c r="I36" s="28">
        <f>IF($B36=0,0, (INDEX(Option2!I$110:I$121, MATCH($D36, Option2!$G$110:$G$121,0)))*conv_2026*I$7)</f>
        <v>0</v>
      </c>
      <c r="J36" s="28">
        <f>IF($B36=0,0, (INDEX(Option2!J$110:J$121, MATCH($D36, Option2!$G$110:$G$121,0)))*conv_2026*J$7)</f>
        <v>-373632.53717409412</v>
      </c>
      <c r="K36" s="28">
        <f>IF($B36=0,0, (INDEX(Option2!K$110:K$121, MATCH($D36, Option2!$G$110:$G$121,0)))*conv_2026*K$7)</f>
        <v>-775800.56844974274</v>
      </c>
      <c r="L36" s="28">
        <f>IF($B36=0,0, (INDEX(Option2!L$110:L$121, MATCH($D36, Option2!$G$110:$G$121,0)))*conv_2026*L$7)</f>
        <v>-745849.53022360848</v>
      </c>
      <c r="M36" s="28">
        <f>IF($B36=0,0, (INDEX(Option2!M$110:M$121, MATCH($D36, Option2!$G$110:$G$121,0)))*conv_2026*M$7)</f>
        <v>-701514.62371759617</v>
      </c>
      <c r="N36" s="28">
        <f>IF($B36=0,0, (INDEX(Option2!N$110:N$121, MATCH($D36, Option2!$G$110:$G$121,0)))*conv_2026*N$7)</f>
        <v>-640236.93478912185</v>
      </c>
      <c r="O36" s="28">
        <f>IF($B36=0,0, (INDEX(Option2!O$110:O$121, MATCH($D36, Option2!$G$110:$G$121,0)))*conv_2026*O$7)</f>
        <v>-535783.7420142754</v>
      </c>
      <c r="P36" s="28">
        <f>IF($B36=0,0, (INDEX(Option2!P$110:P$121, MATCH($D36, Option2!$G$110:$G$121,0)))*conv_2026*P$7)</f>
        <v>-381571.57673542132</v>
      </c>
      <c r="Q36" s="28">
        <f>IF($B36=0,0, (INDEX(Option2!Q$110:Q$121, MATCH($D36, Option2!$G$110:$G$121,0)))*conv_2026*Q$7)</f>
        <v>-217768.36054581613</v>
      </c>
      <c r="R36" s="28">
        <f>IF($B36=0,0, (INDEX(Option2!R$110:R$121, MATCH($D36, Option2!$G$110:$G$121,0)))*conv_2026*R$7)</f>
        <v>-61451.409408186148</v>
      </c>
      <c r="S36" s="28">
        <f>IF($B36=0,0, (INDEX(Option2!S$110:S$121, MATCH($D36, Option2!$G$110:$G$121,0)))*conv_2026*S$7)</f>
        <v>-142409.03648715609</v>
      </c>
      <c r="T36" s="28">
        <f>IF($B36=0,0, (INDEX(Option2!T$110:T$121, MATCH($D36, Option2!$G$110:$G$121,0)))*conv_2026*T$7)</f>
        <v>-142409.03648715609</v>
      </c>
      <c r="U36" s="28">
        <f>IF($B36=0,0, (INDEX(Option2!U$110:U$121, MATCH($D36, Option2!$G$110:$G$121,0)))*conv_2026*U$7)</f>
        <v>-142409.03648715609</v>
      </c>
      <c r="V36" s="28">
        <f>IF($B36=0,0, (INDEX(Option2!V$110:V$121, MATCH($D36, Option2!$G$110:$G$121,0)))*conv_2026*V$7)</f>
        <v>-142409.03648715609</v>
      </c>
      <c r="W36" s="28">
        <f>IF($B36=0,0, (INDEX(Option2!W$110:W$121, MATCH($D36, Option2!$G$110:$G$121,0)))*conv_2026*W$7)</f>
        <v>-142409.03648715609</v>
      </c>
      <c r="X36" s="28">
        <f>IF($B36=0,0, (INDEX(Option2!X$110:X$121, MATCH($D36, Option2!$G$110:$G$121,0)))*conv_2026*X$7)</f>
        <v>-142409.03648715609</v>
      </c>
      <c r="Y36" s="28">
        <f>IF($B36=0,0, (INDEX(Option2!Y$110:Y$121, MATCH($D36, Option2!$G$110:$G$121,0)))*conv_2026*Y$7)</f>
        <v>-142409.03648715609</v>
      </c>
      <c r="Z36" s="28">
        <f>IF($B36=0,0, (INDEX(Option2!Z$110:Z$121, MATCH($D36, Option2!$G$110:$G$121,0)))*conv_2026*Z$7)</f>
        <v>-142409.03648715609</v>
      </c>
      <c r="AA36" s="28">
        <f>IF($B36=0,0, (INDEX(Option2!AA$110:AA$121, MATCH($D36, Option2!$G$110:$G$121,0)))*conv_2026*AA$7)</f>
        <v>-142409.03648715609</v>
      </c>
      <c r="AB36" s="28">
        <f>IF($B36=0,0, (INDEX(Option2!AB$110:AB$121, MATCH($D36, Option2!$G$110:$G$121,0)))*conv_2026*AB$7)</f>
        <v>-142409.03648715609</v>
      </c>
      <c r="AC36" s="28">
        <f>IF($B36=0,0, (INDEX(Option2!AC$110:AC$121, MATCH($D36, Option2!$G$110:$G$121,0)))*conv_2026*AC$7)</f>
        <v>0</v>
      </c>
      <c r="AD36" s="28">
        <f>IF($B36=0,0, (INDEX(Option2!AD$110:AD$121, MATCH($D36, Option2!$G$110:$G$121,0)))*conv_2026*AD$7)</f>
        <v>0</v>
      </c>
      <c r="AE36" s="28">
        <f>IF($B36=0,0, (INDEX(Option2!AE$110:AE$121, MATCH($D36, Option2!$G$110:$G$121,0)))*conv_2026*AE$7)</f>
        <v>0</v>
      </c>
      <c r="AF36" s="28">
        <f>IF($B36=0,0, (INDEX(Option2!AF$110:AF$121, MATCH($D36, Option2!$G$110:$G$121,0)))*conv_2026*AF$7)</f>
        <v>0</v>
      </c>
      <c r="AG36" s="28">
        <f>IF($B36=0,0, (INDEX(Option2!AG$110:AG$121, MATCH($D36, Option2!$G$110:$G$121,0)))*conv_2026*AG$7)</f>
        <v>0</v>
      </c>
    </row>
    <row r="37" spans="1:35" s="6" customFormat="1" x14ac:dyDescent="0.2">
      <c r="A37" s="217" t="s">
        <v>154</v>
      </c>
      <c r="B37" s="217" t="str">
        <f>Option2!A121</f>
        <v>sens</v>
      </c>
      <c r="C37" s="217">
        <f>Option2!C121</f>
        <v>0</v>
      </c>
      <c r="D37" s="217" t="str">
        <f t="shared" si="2"/>
        <v>Option 2sens</v>
      </c>
      <c r="E37" s="209"/>
      <c r="F37" s="28">
        <f t="shared" si="3"/>
        <v>-4643005.5417045513</v>
      </c>
      <c r="H37" s="28">
        <f>IF($B37=0,0, (INDEX(Option2!H$110:H$121, MATCH($D37, Option2!$G$110:$G$121,0)))*conv_2026*H$7)</f>
        <v>0</v>
      </c>
      <c r="I37" s="28">
        <f>IF($B37=0,0, (INDEX(Option2!I$110:I$121, MATCH($D37, Option2!$G$110:$G$121,0)))*conv_2026*I$7)</f>
        <v>0</v>
      </c>
      <c r="J37" s="28">
        <f>IF($B37=0,0, (INDEX(Option2!J$110:J$121, MATCH($D37, Option2!$G$110:$G$121,0)))*conv_2026*J$7)</f>
        <v>-373632.53717409412</v>
      </c>
      <c r="K37" s="28">
        <f>IF($B37=0,0, (INDEX(Option2!K$110:K$121, MATCH($D37, Option2!$G$110:$G$121,0)))*conv_2026*K$7)</f>
        <v>-775800.56844974274</v>
      </c>
      <c r="L37" s="28">
        <f>IF($B37=0,0, (INDEX(Option2!L$110:L$121, MATCH($D37, Option2!$G$110:$G$121,0)))*conv_2026*L$7)</f>
        <v>-745849.53022360848</v>
      </c>
      <c r="M37" s="28">
        <f>IF($B37=0,0, (INDEX(Option2!M$110:M$121, MATCH($D37, Option2!$G$110:$G$121,0)))*conv_2026*M$7)</f>
        <v>-701514.62371759617</v>
      </c>
      <c r="N37" s="28">
        <f>IF($B37=0,0, (INDEX(Option2!N$110:N$121, MATCH($D37, Option2!$G$110:$G$121,0)))*conv_2026*N$7)</f>
        <v>-640236.93478912185</v>
      </c>
      <c r="O37" s="28">
        <f>IF($B37=0,0, (INDEX(Option2!O$110:O$121, MATCH($D37, Option2!$G$110:$G$121,0)))*conv_2026*O$7)</f>
        <v>-535783.7420142754</v>
      </c>
      <c r="P37" s="28">
        <f>IF($B37=0,0, (INDEX(Option2!P$110:P$121, MATCH($D37, Option2!$G$110:$G$121,0)))*conv_2026*P$7)</f>
        <v>-381571.57673542132</v>
      </c>
      <c r="Q37" s="28">
        <f>IF($B37=0,0, (INDEX(Option2!Q$110:Q$121, MATCH($D37, Option2!$G$110:$G$121,0)))*conv_2026*Q$7)</f>
        <v>-217768.36054581613</v>
      </c>
      <c r="R37" s="28">
        <f>IF($B37=0,0, (INDEX(Option2!R$110:R$121, MATCH($D37, Option2!$G$110:$G$121,0)))*conv_2026*R$7)</f>
        <v>-61451.409408186148</v>
      </c>
      <c r="S37" s="28">
        <f>IF($B37=0,0, (INDEX(Option2!S$110:S$121, MATCH($D37, Option2!$G$110:$G$121,0)))*conv_2026*S$7)</f>
        <v>-142409.03648715609</v>
      </c>
      <c r="T37" s="28">
        <f>IF($B37=0,0, (INDEX(Option2!T$110:T$121, MATCH($D37, Option2!$G$110:$G$121,0)))*conv_2026*T$7)</f>
        <v>-142409.03648715609</v>
      </c>
      <c r="U37" s="28">
        <f>IF($B37=0,0, (INDEX(Option2!U$110:U$121, MATCH($D37, Option2!$G$110:$G$121,0)))*conv_2026*U$7)</f>
        <v>-142409.03648715609</v>
      </c>
      <c r="V37" s="28">
        <f>IF($B37=0,0, (INDEX(Option2!V$110:V$121, MATCH($D37, Option2!$G$110:$G$121,0)))*conv_2026*V$7)</f>
        <v>-142409.03648715609</v>
      </c>
      <c r="W37" s="28">
        <f>IF($B37=0,0, (INDEX(Option2!W$110:W$121, MATCH($D37, Option2!$G$110:$G$121,0)))*conv_2026*W$7)</f>
        <v>-142409.03648715609</v>
      </c>
      <c r="X37" s="28">
        <f>IF($B37=0,0, (INDEX(Option2!X$110:X$121, MATCH($D37, Option2!$G$110:$G$121,0)))*conv_2026*X$7)</f>
        <v>-142409.03648715609</v>
      </c>
      <c r="Y37" s="28">
        <f>IF($B37=0,0, (INDEX(Option2!Y$110:Y$121, MATCH($D37, Option2!$G$110:$G$121,0)))*conv_2026*Y$7)</f>
        <v>-142409.03648715609</v>
      </c>
      <c r="Z37" s="28">
        <f>IF($B37=0,0, (INDEX(Option2!Z$110:Z$121, MATCH($D37, Option2!$G$110:$G$121,0)))*conv_2026*Z$7)</f>
        <v>-142409.03648715609</v>
      </c>
      <c r="AA37" s="28">
        <f>IF($B37=0,0, (INDEX(Option2!AA$110:AA$121, MATCH($D37, Option2!$G$110:$G$121,0)))*conv_2026*AA$7)</f>
        <v>-142409.03648715609</v>
      </c>
      <c r="AB37" s="28">
        <f>IF($B37=0,0, (INDEX(Option2!AB$110:AB$121, MATCH($D37, Option2!$G$110:$G$121,0)))*conv_2026*AB$7)</f>
        <v>-142409.03648715609</v>
      </c>
      <c r="AC37" s="28">
        <f>IF($B37=0,0, (INDEX(Option2!AC$110:AC$121, MATCH($D37, Option2!$G$110:$G$121,0)))*conv_2026*AC$7)</f>
        <v>0</v>
      </c>
      <c r="AD37" s="28">
        <f>IF($B37=0,0, (INDEX(Option2!AD$110:AD$121, MATCH($D37, Option2!$G$110:$G$121,0)))*conv_2026*AD$7)</f>
        <v>0</v>
      </c>
      <c r="AE37" s="28">
        <f>IF($B37=0,0, (INDEX(Option2!AE$110:AE$121, MATCH($D37, Option2!$G$110:$G$121,0)))*conv_2026*AE$7)</f>
        <v>0</v>
      </c>
      <c r="AF37" s="28">
        <f>IF($B37=0,0, (INDEX(Option2!AF$110:AF$121, MATCH($D37, Option2!$G$110:$G$121,0)))*conv_2026*AF$7)</f>
        <v>0</v>
      </c>
      <c r="AG37" s="28">
        <f>IF($B37=0,0, (INDEX(Option2!AG$110:AG$121, MATCH($D37, Option2!$G$110:$G$121,0)))*conv_2026*AG$7)</f>
        <v>0</v>
      </c>
    </row>
    <row r="38" spans="1:35" s="6" customFormat="1" x14ac:dyDescent="0.2">
      <c r="A38" s="217"/>
      <c r="B38" s="217"/>
      <c r="C38" s="217"/>
      <c r="D38" s="217"/>
      <c r="E38" s="217"/>
      <c r="F38" s="28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</row>
    <row r="39" spans="1:35" s="6" customFormat="1" x14ac:dyDescent="0.2">
      <c r="A39" s="217"/>
      <c r="B39" s="217"/>
      <c r="C39" s="217"/>
      <c r="D39" s="217"/>
      <c r="E39" s="217"/>
      <c r="F39" s="28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</row>
    <row r="40" spans="1:35" s="6" customFormat="1" x14ac:dyDescent="0.2">
      <c r="A40" s="217"/>
      <c r="B40" s="217"/>
      <c r="C40" s="217"/>
      <c r="D40" s="217"/>
      <c r="E40" s="217"/>
      <c r="F40" s="28"/>
      <c r="H40" s="28">
        <f>Consol!H50</f>
        <v>0</v>
      </c>
      <c r="I40" s="28">
        <f>Consol!I50</f>
        <v>0</v>
      </c>
      <c r="J40" s="28">
        <f>Consol!J50</f>
        <v>-373632.53717409412</v>
      </c>
      <c r="K40" s="28">
        <f>Consol!K50</f>
        <v>-775800.56844974065</v>
      </c>
      <c r="L40" s="28">
        <f>Consol!L50</f>
        <v>-769440.81689500285</v>
      </c>
      <c r="M40" s="28">
        <f>Consol!M50</f>
        <v>-1432844.5105308837</v>
      </c>
      <c r="N40" s="28">
        <f>Consol!N50</f>
        <v>-2249162.6857783571</v>
      </c>
      <c r="O40" s="28">
        <f>Consol!O50</f>
        <v>-3022305.3571794573</v>
      </c>
      <c r="P40" s="28">
        <f>Consol!P50</f>
        <v>-3293208.8000621893</v>
      </c>
      <c r="Q40" s="28">
        <f>Consol!Q50</f>
        <v>-3110620.3917170078</v>
      </c>
      <c r="R40" s="28">
        <f>Consol!R50</f>
        <v>-2934144.1521713743</v>
      </c>
      <c r="S40" s="28">
        <f>Consol!S50</f>
        <v>-3026164.7653618539</v>
      </c>
      <c r="T40" s="28">
        <f>Consol!T50</f>
        <v>-3026164.7653618539</v>
      </c>
      <c r="U40" s="28">
        <f>Consol!U50</f>
        <v>-3026164.7653618539</v>
      </c>
      <c r="V40" s="28">
        <f>Consol!V50</f>
        <v>-3026164.7653618539</v>
      </c>
      <c r="W40" s="28">
        <f>Consol!W50</f>
        <v>-3026164.7653618539</v>
      </c>
      <c r="X40" s="28">
        <f>Consol!X50</f>
        <v>-3026164.7653618539</v>
      </c>
      <c r="Y40" s="28">
        <f>Consol!Y50</f>
        <v>-3026164.7653618539</v>
      </c>
      <c r="Z40" s="28">
        <f>Consol!Z50</f>
        <v>-3026164.7653618539</v>
      </c>
      <c r="AA40" s="28">
        <f>Consol!AA50</f>
        <v>-3026164.7653618539</v>
      </c>
      <c r="AB40" s="28">
        <f>Consol!AB50</f>
        <v>-3026164.7653618539</v>
      </c>
      <c r="AC40" s="28">
        <f>Consol!AC50</f>
        <v>0</v>
      </c>
      <c r="AD40" s="28">
        <f>Consol!AD50</f>
        <v>0</v>
      </c>
      <c r="AE40" s="28">
        <f>Consol!AE50</f>
        <v>0</v>
      </c>
      <c r="AF40" s="28">
        <f>Consol!AF50</f>
        <v>0</v>
      </c>
      <c r="AG40" s="28">
        <f>Consol!AG50</f>
        <v>0</v>
      </c>
    </row>
    <row r="41" spans="1:35" s="6" customFormat="1" x14ac:dyDescent="0.2">
      <c r="A41" s="217"/>
      <c r="B41" s="217"/>
      <c r="C41" s="217"/>
      <c r="D41" s="217"/>
      <c r="E41" s="217"/>
      <c r="F41" s="28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</row>
    <row r="42" spans="1:35" s="6" customFormat="1" x14ac:dyDescent="0.2">
      <c r="A42" s="217" t="s">
        <v>155</v>
      </c>
      <c r="B42" s="217" t="s">
        <v>7</v>
      </c>
      <c r="C42" s="217" t="s">
        <v>137</v>
      </c>
      <c r="D42" s="217" t="str">
        <f>A42&amp;B42</f>
        <v>Option 3NPV</v>
      </c>
      <c r="E42" s="209"/>
      <c r="F42" s="28">
        <f t="shared" ref="F42:F51" si="4">SUMPRODUCT($H42:$AG42, $H$5:$AG$5)</f>
        <v>-32387975.320707001</v>
      </c>
      <c r="G42" s="212"/>
      <c r="H42" s="28">
        <f>(INDEX(Option3!H$110:H$121, MATCH($D42, Option3!$G$110:$G$121,0)))*conv_2026*H$7</f>
        <v>0</v>
      </c>
      <c r="I42" s="28">
        <f>(INDEX(Option3!I$110:I$121, MATCH($D42, Option3!$G$110:$G$121,0)))*conv_2026*I$7</f>
        <v>0</v>
      </c>
      <c r="J42" s="28">
        <f>(INDEX(Option3!J$110:J$121, MATCH($D42, Option3!$G$110:$G$121,0)))*conv_2026*J$7</f>
        <v>-373632.53717409412</v>
      </c>
      <c r="K42" s="28">
        <f>(INDEX(Option3!K$110:K$121, MATCH($D42, Option3!$G$110:$G$121,0)))*conv_2026*K$7</f>
        <v>-775800.56844974065</v>
      </c>
      <c r="L42" s="28">
        <f>(INDEX(Option3!L$110:L$121, MATCH($D42, Option3!$G$110:$G$121,0)))*conv_2026*L$7</f>
        <v>-769440.81689500285</v>
      </c>
      <c r="M42" s="28">
        <f>(INDEX(Option3!M$110:M$121, MATCH($D42, Option3!$G$110:$G$121,0)))*conv_2026*M$7</f>
        <v>-1432844.5105308834</v>
      </c>
      <c r="N42" s="28">
        <f>(INDEX(Option3!N$110:N$121, MATCH($D42, Option3!$G$110:$G$121,0)))*conv_2026*N$7</f>
        <v>-2249162.6857783566</v>
      </c>
      <c r="O42" s="28">
        <f>(INDEX(Option3!O$110:O$121, MATCH($D42, Option3!$G$110:$G$121,0)))*conv_2026*O$7</f>
        <v>-3022305.3571794578</v>
      </c>
      <c r="P42" s="28">
        <f>(INDEX(Option3!P$110:P$121, MATCH($D42, Option3!$G$110:$G$121,0)))*conv_2026*P$7</f>
        <v>-3293208.8000621893</v>
      </c>
      <c r="Q42" s="28">
        <f>(INDEX(Option3!Q$110:Q$121, MATCH($D42, Option3!$G$110:$G$121,0)))*conv_2026*Q$7</f>
        <v>-3110620.3917170078</v>
      </c>
      <c r="R42" s="28">
        <f>(INDEX(Option3!R$110:R$121, MATCH($D42, Option3!$G$110:$G$121,0)))*conv_2026*R$7</f>
        <v>-2934144.1521713738</v>
      </c>
      <c r="S42" s="28">
        <f>(INDEX(Option3!S$110:S$121, MATCH($D42, Option3!$G$110:$G$121,0)))*conv_2026*S$7</f>
        <v>-3026164.7653618539</v>
      </c>
      <c r="T42" s="28">
        <f>(INDEX(Option3!T$110:T$121, MATCH($D42, Option3!$G$110:$G$121,0)))*conv_2026*T$7</f>
        <v>-3026164.7653618539</v>
      </c>
      <c r="U42" s="28">
        <f>(INDEX(Option3!U$110:U$121, MATCH($D42, Option3!$G$110:$G$121,0)))*conv_2026*U$7</f>
        <v>-3026164.7653618539</v>
      </c>
      <c r="V42" s="28">
        <f>(INDEX(Option3!V$110:V$121, MATCH($D42, Option3!$G$110:$G$121,0)))*conv_2026*V$7</f>
        <v>-3026164.7653618539</v>
      </c>
      <c r="W42" s="28">
        <f>(INDEX(Option3!W$110:W$121, MATCH($D42, Option3!$G$110:$G$121,0)))*conv_2026*W$7</f>
        <v>-3026164.7653618539</v>
      </c>
      <c r="X42" s="28">
        <f>(INDEX(Option3!X$110:X$121, MATCH($D42, Option3!$G$110:$G$121,0)))*conv_2026*X$7</f>
        <v>-3026164.7653618539</v>
      </c>
      <c r="Y42" s="28">
        <f>(INDEX(Option3!Y$110:Y$121, MATCH($D42, Option3!$G$110:$G$121,0)))*conv_2026*Y$7</f>
        <v>-3026164.7653618539</v>
      </c>
      <c r="Z42" s="28">
        <f>(INDEX(Option3!Z$110:Z$121, MATCH($D42, Option3!$G$110:$G$121,0)))*conv_2026*Z$7</f>
        <v>-3026164.7653618539</v>
      </c>
      <c r="AA42" s="28">
        <f>(INDEX(Option3!AA$110:AA$121, MATCH($D42, Option3!$G$110:$G$121,0)))*conv_2026*AA$7</f>
        <v>-3026164.7653618539</v>
      </c>
      <c r="AB42" s="28">
        <f>(INDEX(Option3!AB$110:AB$121, MATCH($D42, Option3!$G$110:$G$121,0)))*conv_2026*AB$7</f>
        <v>-3026164.7653618539</v>
      </c>
      <c r="AC42" s="28">
        <f>(INDEX(Option3!AC$110:AC$121, MATCH($D42, Option3!$G$110:$G$121,0)))*conv_2026*AC$7</f>
        <v>0</v>
      </c>
      <c r="AD42" s="28">
        <f>(INDEX(Option3!AD$110:AD$121, MATCH($D42, Option3!$G$110:$G$121,0)))*conv_2026*AD$7</f>
        <v>0</v>
      </c>
      <c r="AE42" s="28">
        <f>(INDEX(Option3!AE$110:AE$121, MATCH($D42, Option3!$G$110:$G$121,0)))*conv_2026*AE$7</f>
        <v>0</v>
      </c>
      <c r="AF42" s="28">
        <f>(INDEX(Option3!AF$110:AF$121, MATCH($D42, Option3!$G$110:$G$121,0)))*conv_2026*AF$7</f>
        <v>0</v>
      </c>
      <c r="AG42" s="28">
        <f>(INDEX(Option3!AG$110:AG$121, MATCH($D42, Option3!$G$110:$G$121,0)))*conv_2026*AG$7</f>
        <v>0</v>
      </c>
      <c r="AH42" s="2"/>
      <c r="AI42" s="2"/>
    </row>
    <row r="43" spans="1:35" s="6" customFormat="1" x14ac:dyDescent="0.2">
      <c r="A43" s="211"/>
      <c r="B43" s="211"/>
      <c r="C43" s="211"/>
      <c r="D43" s="211"/>
      <c r="E43" s="211"/>
      <c r="F43" s="211"/>
      <c r="G43" s="212"/>
      <c r="H43" s="212"/>
      <c r="I43" s="212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  <c r="AF43" s="212"/>
      <c r="AG43" s="212"/>
      <c r="AH43" s="2"/>
      <c r="AI43" s="2"/>
    </row>
    <row r="44" spans="1:35" s="6" customFormat="1" x14ac:dyDescent="0.2">
      <c r="A44" s="217" t="s">
        <v>155</v>
      </c>
      <c r="B44" s="217" t="str">
        <f>Option3!A114</f>
        <v>sens1</v>
      </c>
      <c r="C44" s="217" t="str">
        <f>Option3!C114</f>
        <v>Capex 10% higher</v>
      </c>
      <c r="D44" s="217" t="str">
        <f t="shared" ref="D44:D51" si="5">A44&amp;B44</f>
        <v>Option 3sens1</v>
      </c>
      <c r="E44" s="209"/>
      <c r="F44" s="28">
        <f t="shared" si="4"/>
        <v>-36246055.48647137</v>
      </c>
      <c r="G44" s="212"/>
      <c r="H44" s="28">
        <f>(INDEX(Option3!H$110:H$121, MATCH($D44, Option3!$G$110:$G$121,0)))*conv_2026*H$7</f>
        <v>0</v>
      </c>
      <c r="I44" s="28">
        <f>(INDEX(Option3!I$110:I$121, MATCH($D44, Option3!$G$110:$G$121,0)))*conv_2026*I$7</f>
        <v>0</v>
      </c>
      <c r="J44" s="28">
        <f>(INDEX(Option3!J$110:J$121, MATCH($D44, Option3!$G$110:$G$121,0)))*conv_2026*J$7</f>
        <v>-410995.79089150357</v>
      </c>
      <c r="K44" s="28">
        <f>(INDEX(Option3!K$110:K$121, MATCH($D44, Option3!$G$110:$G$121,0)))*conv_2026*K$7</f>
        <v>-856901.15094518731</v>
      </c>
      <c r="L44" s="28">
        <f>(INDEX(Option3!L$110:L$121, MATCH($D44, Option3!$G$110:$G$121,0)))*conv_2026*L$7</f>
        <v>-852900.52805758908</v>
      </c>
      <c r="M44" s="28">
        <f>(INDEX(Option3!M$110:M$121, MATCH($D44, Option3!$G$110:$G$121,0)))*conv_2026*M$7</f>
        <v>-1587078.0817076589</v>
      </c>
      <c r="N44" s="28">
        <f>(INDEX(Option3!N$110:N$121, MATCH($D44, Option3!$G$110:$G$121,0)))*conv_2026*N$7</f>
        <v>-2491155.8433727268</v>
      </c>
      <c r="O44" s="28">
        <f>(INDEX(Option3!O$110:O$121, MATCH($D44, Option3!$G$110:$G$121,0)))*conv_2026*O$7</f>
        <v>-3352058.1011914224</v>
      </c>
      <c r="P44" s="28">
        <f>(INDEX(Option3!P$110:P$121, MATCH($D44, Option3!$G$110:$G$121,0)))*conv_2026*P$7</f>
        <v>-3666841.3372829515</v>
      </c>
      <c r="Q44" s="28">
        <f>(INDEX(Option3!Q$110:Q$121, MATCH($D44, Option3!$G$110:$G$121,0)))*conv_2026*Q$7</f>
        <v>-3484252.92893777</v>
      </c>
      <c r="R44" s="28">
        <f>(INDEX(Option3!R$110:R$121, MATCH($D44, Option3!$G$110:$G$121,0)))*conv_2026*R$7</f>
        <v>-3307776.6893921364</v>
      </c>
      <c r="S44" s="28">
        <f>(INDEX(Option3!S$110:S$121, MATCH($D44, Option3!$G$110:$G$121,0)))*conv_2026*S$7</f>
        <v>-3399797.3025826165</v>
      </c>
      <c r="T44" s="28">
        <f>(INDEX(Option3!T$110:T$121, MATCH($D44, Option3!$G$110:$G$121,0)))*conv_2026*T$7</f>
        <v>-3399797.3025826165</v>
      </c>
      <c r="U44" s="28">
        <f>(INDEX(Option3!U$110:U$121, MATCH($D44, Option3!$G$110:$G$121,0)))*conv_2026*U$7</f>
        <v>-3399797.3025826165</v>
      </c>
      <c r="V44" s="28">
        <f>(INDEX(Option3!V$110:V$121, MATCH($D44, Option3!$G$110:$G$121,0)))*conv_2026*V$7</f>
        <v>-3399797.3025826165</v>
      </c>
      <c r="W44" s="28">
        <f>(INDEX(Option3!W$110:W$121, MATCH($D44, Option3!$G$110:$G$121,0)))*conv_2026*W$7</f>
        <v>-3399797.3025826165</v>
      </c>
      <c r="X44" s="28">
        <f>(INDEX(Option3!X$110:X$121, MATCH($D44, Option3!$G$110:$G$121,0)))*conv_2026*X$7</f>
        <v>-3399797.3025826165</v>
      </c>
      <c r="Y44" s="28">
        <f>(INDEX(Option3!Y$110:Y$121, MATCH($D44, Option3!$G$110:$G$121,0)))*conv_2026*Y$7</f>
        <v>-3399797.3025826165</v>
      </c>
      <c r="Z44" s="28">
        <f>(INDEX(Option3!Z$110:Z$121, MATCH($D44, Option3!$G$110:$G$121,0)))*conv_2026*Z$7</f>
        <v>-3399797.3025826165</v>
      </c>
      <c r="AA44" s="28">
        <f>(INDEX(Option3!AA$110:AA$121, MATCH($D44, Option3!$G$110:$G$121,0)))*conv_2026*AA$7</f>
        <v>-3399797.3025826165</v>
      </c>
      <c r="AB44" s="28">
        <f>(INDEX(Option3!AB$110:AB$121, MATCH($D44, Option3!$G$110:$G$121,0)))*conv_2026*AB$7</f>
        <v>-3399797.3025826165</v>
      </c>
      <c r="AC44" s="28">
        <f>(INDEX(Option3!AC$110:AC$121, MATCH($D44, Option3!$G$110:$G$121,0)))*conv_2026*AC$7</f>
        <v>0</v>
      </c>
      <c r="AD44" s="28">
        <f>(INDEX(Option3!AD$110:AD$121, MATCH($D44, Option3!$G$110:$G$121,0)))*conv_2026*AD$7</f>
        <v>0</v>
      </c>
      <c r="AE44" s="28">
        <f>(INDEX(Option3!AE$110:AE$121, MATCH($D44, Option3!$G$110:$G$121,0)))*conv_2026*AE$7</f>
        <v>0</v>
      </c>
      <c r="AF44" s="28">
        <f>(INDEX(Option3!AF$110:AF$121, MATCH($D44, Option3!$G$110:$G$121,0)))*conv_2026*AF$7</f>
        <v>0</v>
      </c>
      <c r="AG44" s="28">
        <f>(INDEX(Option3!AG$110:AG$121, MATCH($D44, Option3!$G$110:$G$121,0)))*conv_2026*AG$7</f>
        <v>0</v>
      </c>
      <c r="AH44" s="2"/>
      <c r="AI44" s="2"/>
    </row>
    <row r="45" spans="1:35" s="6" customFormat="1" x14ac:dyDescent="0.2">
      <c r="A45" s="217" t="s">
        <v>155</v>
      </c>
      <c r="B45" s="217" t="str">
        <f>Option3!A115</f>
        <v>sens2</v>
      </c>
      <c r="C45" s="217" t="str">
        <f>Option3!C115</f>
        <v>Capex 10% lower</v>
      </c>
      <c r="D45" s="217" t="str">
        <f t="shared" si="5"/>
        <v>Option 3sens2</v>
      </c>
      <c r="E45" s="209"/>
      <c r="F45" s="28">
        <f t="shared" si="4"/>
        <v>-28529895.154942624</v>
      </c>
      <c r="G45" s="217"/>
      <c r="H45" s="28">
        <f>(INDEX(Option3!H$110:H$121, MATCH($D45, Option3!$G$110:$G$121,0)))*conv_2026*H$7</f>
        <v>0</v>
      </c>
      <c r="I45" s="28">
        <f>(INDEX(Option3!I$110:I$121, MATCH($D45, Option3!$G$110:$G$121,0)))*conv_2026*I$7</f>
        <v>0</v>
      </c>
      <c r="J45" s="28">
        <f>(INDEX(Option3!J$110:J$121, MATCH($D45, Option3!$G$110:$G$121,0)))*conv_2026*J$7</f>
        <v>-336269.28345668467</v>
      </c>
      <c r="K45" s="28">
        <f>(INDEX(Option3!K$110:K$121, MATCH($D45, Option3!$G$110:$G$121,0)))*conv_2026*K$7</f>
        <v>-694699.98595429398</v>
      </c>
      <c r="L45" s="28">
        <f>(INDEX(Option3!L$110:L$121, MATCH($D45, Option3!$G$110:$G$121,0)))*conv_2026*L$7</f>
        <v>-685981.10573241662</v>
      </c>
      <c r="M45" s="28">
        <f>(INDEX(Option3!M$110:M$121, MATCH($D45, Option3!$G$110:$G$121,0)))*conv_2026*M$7</f>
        <v>-1278610.9393541079</v>
      </c>
      <c r="N45" s="28">
        <f>(INDEX(Option3!N$110:N$121, MATCH($D45, Option3!$G$110:$G$121,0)))*conv_2026*N$7</f>
        <v>-2007169.5281839864</v>
      </c>
      <c r="O45" s="28">
        <f>(INDEX(Option3!O$110:O$121, MATCH($D45, Option3!$G$110:$G$121,0)))*conv_2026*O$7</f>
        <v>-2692552.6131674927</v>
      </c>
      <c r="P45" s="28">
        <f>(INDEX(Option3!P$110:P$121, MATCH($D45, Option3!$G$110:$G$121,0)))*conv_2026*P$7</f>
        <v>-2919576.2628414272</v>
      </c>
      <c r="Q45" s="28">
        <f>(INDEX(Option3!Q$110:Q$121, MATCH($D45, Option3!$G$110:$G$121,0)))*conv_2026*Q$7</f>
        <v>-2736987.8544962457</v>
      </c>
      <c r="R45" s="28">
        <f>(INDEX(Option3!R$110:R$121, MATCH($D45, Option3!$G$110:$G$121,0)))*conv_2026*R$7</f>
        <v>-2560511.6149506117</v>
      </c>
      <c r="S45" s="28">
        <f>(INDEX(Option3!S$110:S$121, MATCH($D45, Option3!$G$110:$G$121,0)))*conv_2026*S$7</f>
        <v>-2652532.2281410918</v>
      </c>
      <c r="T45" s="28">
        <f>(INDEX(Option3!T$110:T$121, MATCH($D45, Option3!$G$110:$G$121,0)))*conv_2026*T$7</f>
        <v>-2652532.2281410918</v>
      </c>
      <c r="U45" s="28">
        <f>(INDEX(Option3!U$110:U$121, MATCH($D45, Option3!$G$110:$G$121,0)))*conv_2026*U$7</f>
        <v>-2652532.2281410918</v>
      </c>
      <c r="V45" s="28">
        <f>(INDEX(Option3!V$110:V$121, MATCH($D45, Option3!$G$110:$G$121,0)))*conv_2026*V$7</f>
        <v>-2652532.2281410918</v>
      </c>
      <c r="W45" s="28">
        <f>(INDEX(Option3!W$110:W$121, MATCH($D45, Option3!$G$110:$G$121,0)))*conv_2026*W$7</f>
        <v>-2652532.2281410918</v>
      </c>
      <c r="X45" s="28">
        <f>(INDEX(Option3!X$110:X$121, MATCH($D45, Option3!$G$110:$G$121,0)))*conv_2026*X$7</f>
        <v>-2652532.2281410918</v>
      </c>
      <c r="Y45" s="28">
        <f>(INDEX(Option3!Y$110:Y$121, MATCH($D45, Option3!$G$110:$G$121,0)))*conv_2026*Y$7</f>
        <v>-2652532.2281410918</v>
      </c>
      <c r="Z45" s="28">
        <f>(INDEX(Option3!Z$110:Z$121, MATCH($D45, Option3!$G$110:$G$121,0)))*conv_2026*Z$7</f>
        <v>-2652532.2281410918</v>
      </c>
      <c r="AA45" s="28">
        <f>(INDEX(Option3!AA$110:AA$121, MATCH($D45, Option3!$G$110:$G$121,0)))*conv_2026*AA$7</f>
        <v>-2652532.2281410918</v>
      </c>
      <c r="AB45" s="28">
        <f>(INDEX(Option3!AB$110:AB$121, MATCH($D45, Option3!$G$110:$G$121,0)))*conv_2026*AB$7</f>
        <v>-2652532.2281410918</v>
      </c>
      <c r="AC45" s="28">
        <f>(INDEX(Option3!AC$110:AC$121, MATCH($D45, Option3!$G$110:$G$121,0)))*conv_2026*AC$7</f>
        <v>0</v>
      </c>
      <c r="AD45" s="28">
        <f>(INDEX(Option3!AD$110:AD$121, MATCH($D45, Option3!$G$110:$G$121,0)))*conv_2026*AD$7</f>
        <v>0</v>
      </c>
      <c r="AE45" s="28">
        <f>(INDEX(Option3!AE$110:AE$121, MATCH($D45, Option3!$G$110:$G$121,0)))*conv_2026*AE$7</f>
        <v>0</v>
      </c>
      <c r="AF45" s="28">
        <f>(INDEX(Option3!AF$110:AF$121, MATCH($D45, Option3!$G$110:$G$121,0)))*conv_2026*AF$7</f>
        <v>0</v>
      </c>
      <c r="AG45" s="28">
        <f>(INDEX(Option3!AG$110:AG$121, MATCH($D45, Option3!$G$110:$G$121,0)))*conv_2026*AG$7</f>
        <v>0</v>
      </c>
    </row>
    <row r="46" spans="1:35" s="6" customFormat="1" x14ac:dyDescent="0.2">
      <c r="A46" s="217" t="s">
        <v>155</v>
      </c>
      <c r="B46" s="217" t="str">
        <f>Option3!A116</f>
        <v>sens3</v>
      </c>
      <c r="C46" s="217" t="str">
        <f>Option3!C116</f>
        <v>Total benefits 10% higher</v>
      </c>
      <c r="D46" s="217" t="str">
        <f t="shared" si="5"/>
        <v>Option 3sens3</v>
      </c>
      <c r="E46" s="209"/>
      <c r="F46" s="28">
        <f t="shared" si="4"/>
        <v>-31768692.687013321</v>
      </c>
      <c r="H46" s="28">
        <f>(INDEX(Option3!H$110:H$121, MATCH($D46, Option3!$G$110:$G$121,0)))*conv_2026*H$7</f>
        <v>0</v>
      </c>
      <c r="I46" s="28">
        <f>(INDEX(Option3!I$110:I$121, MATCH($D46, Option3!$G$110:$G$121,0)))*conv_2026*I$7</f>
        <v>0</v>
      </c>
      <c r="J46" s="28">
        <f>(INDEX(Option3!J$110:J$121, MATCH($D46, Option3!$G$110:$G$121,0)))*conv_2026*J$7</f>
        <v>-373632.53717409412</v>
      </c>
      <c r="K46" s="28">
        <f>(INDEX(Option3!K$110:K$121, MATCH($D46, Option3!$G$110:$G$121,0)))*conv_2026*K$7</f>
        <v>-772280.04279926815</v>
      </c>
      <c r="L46" s="28">
        <f>(INDEX(Option3!L$110:L$121, MATCH($D46, Option3!$G$110:$G$121,0)))*conv_2026*L$7</f>
        <v>-762925.18742191687</v>
      </c>
      <c r="M46" s="28">
        <f>(INDEX(Option3!M$110:M$121, MATCH($D46, Option3!$G$110:$G$121,0)))*conv_2026*M$7</f>
        <v>-1421895.3904071962</v>
      </c>
      <c r="N46" s="28">
        <f>(INDEX(Option3!N$110:N$121, MATCH($D46, Option3!$G$110:$G$121,0)))*conv_2026*N$7</f>
        <v>-2232085.796761822</v>
      </c>
      <c r="O46" s="28">
        <f>(INDEX(Option3!O$110:O$121, MATCH($D46, Option3!$G$110:$G$121,0)))*conv_2026*O$7</f>
        <v>-2994783.1488854382</v>
      </c>
      <c r="P46" s="28">
        <f>(INDEX(Option3!P$110:P$121, MATCH($D46, Option3!$G$110:$G$121,0)))*conv_2026*P$7</f>
        <v>-3248897.142847646</v>
      </c>
      <c r="Q46" s="28">
        <f>(INDEX(Option3!Q$110:Q$121, MATCH($D46, Option3!$G$110:$G$121,0)))*conv_2026*Q$7</f>
        <v>-3048049.8936679461</v>
      </c>
      <c r="R46" s="28">
        <f>(INDEX(Option3!R$110:R$121, MATCH($D46, Option3!$G$110:$G$121,0)))*conv_2026*R$7</f>
        <v>-2853926.0301677487</v>
      </c>
      <c r="S46" s="28">
        <f>(INDEX(Option3!S$110:S$121, MATCH($D46, Option3!$G$110:$G$121,0)))*conv_2026*S$7</f>
        <v>-2955148.7046772772</v>
      </c>
      <c r="T46" s="28">
        <f>(INDEX(Option3!T$110:T$121, MATCH($D46, Option3!$G$110:$G$121,0)))*conv_2026*T$7</f>
        <v>-2955148.7046772772</v>
      </c>
      <c r="U46" s="28">
        <f>(INDEX(Option3!U$110:U$121, MATCH($D46, Option3!$G$110:$G$121,0)))*conv_2026*U$7</f>
        <v>-2955148.7046772772</v>
      </c>
      <c r="V46" s="28">
        <f>(INDEX(Option3!V$110:V$121, MATCH($D46, Option3!$G$110:$G$121,0)))*conv_2026*V$7</f>
        <v>-2955148.7046772772</v>
      </c>
      <c r="W46" s="28">
        <f>(INDEX(Option3!W$110:W$121, MATCH($D46, Option3!$G$110:$G$121,0)))*conv_2026*W$7</f>
        <v>-2955148.7046772772</v>
      </c>
      <c r="X46" s="28">
        <f>(INDEX(Option3!X$110:X$121, MATCH($D46, Option3!$G$110:$G$121,0)))*conv_2026*X$7</f>
        <v>-2955148.7046772772</v>
      </c>
      <c r="Y46" s="28">
        <f>(INDEX(Option3!Y$110:Y$121, MATCH($D46, Option3!$G$110:$G$121,0)))*conv_2026*Y$7</f>
        <v>-2955148.7046772772</v>
      </c>
      <c r="Z46" s="28">
        <f>(INDEX(Option3!Z$110:Z$121, MATCH($D46, Option3!$G$110:$G$121,0)))*conv_2026*Z$7</f>
        <v>-2955148.7046772772</v>
      </c>
      <c r="AA46" s="28">
        <f>(INDEX(Option3!AA$110:AA$121, MATCH($D46, Option3!$G$110:$G$121,0)))*conv_2026*AA$7</f>
        <v>-2955148.7046772772</v>
      </c>
      <c r="AB46" s="28">
        <f>(INDEX(Option3!AB$110:AB$121, MATCH($D46, Option3!$G$110:$G$121,0)))*conv_2026*AB$7</f>
        <v>-2955148.7046772772</v>
      </c>
      <c r="AC46" s="28">
        <f>(INDEX(Option3!AC$110:AC$121, MATCH($D46, Option3!$G$110:$G$121,0)))*conv_2026*AC$7</f>
        <v>0</v>
      </c>
      <c r="AD46" s="28">
        <f>(INDEX(Option3!AD$110:AD$121, MATCH($D46, Option3!$G$110:$G$121,0)))*conv_2026*AD$7</f>
        <v>0</v>
      </c>
      <c r="AE46" s="28">
        <f>(INDEX(Option3!AE$110:AE$121, MATCH($D46, Option3!$G$110:$G$121,0)))*conv_2026*AE$7</f>
        <v>0</v>
      </c>
      <c r="AF46" s="28">
        <f>(INDEX(Option3!AF$110:AF$121, MATCH($D46, Option3!$G$110:$G$121,0)))*conv_2026*AF$7</f>
        <v>0</v>
      </c>
      <c r="AG46" s="28">
        <f>(INDEX(Option3!AG$110:AG$121, MATCH($D46, Option3!$G$110:$G$121,0)))*conv_2026*AG$7</f>
        <v>0</v>
      </c>
    </row>
    <row r="47" spans="1:35" s="6" customFormat="1" x14ac:dyDescent="0.2">
      <c r="A47" s="217" t="s">
        <v>155</v>
      </c>
      <c r="B47" s="217" t="str">
        <f>Option3!A117</f>
        <v>sens4</v>
      </c>
      <c r="C47" s="217" t="str">
        <f>Option3!C117</f>
        <v>Total benefits 10% lower</v>
      </c>
      <c r="D47" s="217" t="str">
        <f t="shared" si="5"/>
        <v>Option 3sens4</v>
      </c>
      <c r="E47" s="209"/>
      <c r="F47" s="28">
        <f t="shared" si="4"/>
        <v>-33007257.95440067</v>
      </c>
      <c r="H47" s="28">
        <f>(INDEX(Option3!H$110:H$121, MATCH($D47, Option3!$G$110:$G$121,0)))*conv_2026*H$7</f>
        <v>0</v>
      </c>
      <c r="I47" s="28">
        <f>(INDEX(Option3!I$110:I$121, MATCH($D47, Option3!$G$110:$G$121,0)))*conv_2026*I$7</f>
        <v>0</v>
      </c>
      <c r="J47" s="28">
        <f>(INDEX(Option3!J$110:J$121, MATCH($D47, Option3!$G$110:$G$121,0)))*conv_2026*J$7</f>
        <v>-373632.53717409412</v>
      </c>
      <c r="K47" s="28">
        <f>(INDEX(Option3!K$110:K$121, MATCH($D47, Option3!$G$110:$G$121,0)))*conv_2026*K$7</f>
        <v>-779321.09410021326</v>
      </c>
      <c r="L47" s="28">
        <f>(INDEX(Option3!L$110:L$121, MATCH($D47, Option3!$G$110:$G$121,0)))*conv_2026*L$7</f>
        <v>-775956.44636808883</v>
      </c>
      <c r="M47" s="28">
        <f>(INDEX(Option3!M$110:M$121, MATCH($D47, Option3!$G$110:$G$121,0)))*conv_2026*M$7</f>
        <v>-1443793.6306545706</v>
      </c>
      <c r="N47" s="28">
        <f>(INDEX(Option3!N$110:N$121, MATCH($D47, Option3!$G$110:$G$121,0)))*conv_2026*N$7</f>
        <v>-2266239.5747948913</v>
      </c>
      <c r="O47" s="28">
        <f>(INDEX(Option3!O$110:O$121, MATCH($D47, Option3!$G$110:$G$121,0)))*conv_2026*O$7</f>
        <v>-3049827.5654734769</v>
      </c>
      <c r="P47" s="28">
        <f>(INDEX(Option3!P$110:P$121, MATCH($D47, Option3!$G$110:$G$121,0)))*conv_2026*P$7</f>
        <v>-3337520.4572767327</v>
      </c>
      <c r="Q47" s="28">
        <f>(INDEX(Option3!Q$110:Q$121, MATCH($D47, Option3!$G$110:$G$121,0)))*conv_2026*Q$7</f>
        <v>-3173190.8897660696</v>
      </c>
      <c r="R47" s="28">
        <f>(INDEX(Option3!R$110:R$121, MATCH($D47, Option3!$G$110:$G$121,0)))*conv_2026*R$7</f>
        <v>-3014362.274174999</v>
      </c>
      <c r="S47" s="28">
        <f>(INDEX(Option3!S$110:S$121, MATCH($D47, Option3!$G$110:$G$121,0)))*conv_2026*S$7</f>
        <v>-3097180.826046431</v>
      </c>
      <c r="T47" s="28">
        <f>(INDEX(Option3!T$110:T$121, MATCH($D47, Option3!$G$110:$G$121,0)))*conv_2026*T$7</f>
        <v>-3097180.826046431</v>
      </c>
      <c r="U47" s="28">
        <f>(INDEX(Option3!U$110:U$121, MATCH($D47, Option3!$G$110:$G$121,0)))*conv_2026*U$7</f>
        <v>-3097180.826046431</v>
      </c>
      <c r="V47" s="28">
        <f>(INDEX(Option3!V$110:V$121, MATCH($D47, Option3!$G$110:$G$121,0)))*conv_2026*V$7</f>
        <v>-3097180.826046431</v>
      </c>
      <c r="W47" s="28">
        <f>(INDEX(Option3!W$110:W$121, MATCH($D47, Option3!$G$110:$G$121,0)))*conv_2026*W$7</f>
        <v>-3097180.826046431</v>
      </c>
      <c r="X47" s="28">
        <f>(INDEX(Option3!X$110:X$121, MATCH($D47, Option3!$G$110:$G$121,0)))*conv_2026*X$7</f>
        <v>-3097180.826046431</v>
      </c>
      <c r="Y47" s="28">
        <f>(INDEX(Option3!Y$110:Y$121, MATCH($D47, Option3!$G$110:$G$121,0)))*conv_2026*Y$7</f>
        <v>-3097180.826046431</v>
      </c>
      <c r="Z47" s="28">
        <f>(INDEX(Option3!Z$110:Z$121, MATCH($D47, Option3!$G$110:$G$121,0)))*conv_2026*Z$7</f>
        <v>-3097180.826046431</v>
      </c>
      <c r="AA47" s="28">
        <f>(INDEX(Option3!AA$110:AA$121, MATCH($D47, Option3!$G$110:$G$121,0)))*conv_2026*AA$7</f>
        <v>-3097180.826046431</v>
      </c>
      <c r="AB47" s="28">
        <f>(INDEX(Option3!AB$110:AB$121, MATCH($D47, Option3!$G$110:$G$121,0)))*conv_2026*AB$7</f>
        <v>-3097180.826046431</v>
      </c>
      <c r="AC47" s="28">
        <f>(INDEX(Option3!AC$110:AC$121, MATCH($D47, Option3!$G$110:$G$121,0)))*conv_2026*AC$7</f>
        <v>0</v>
      </c>
      <c r="AD47" s="28">
        <f>(INDEX(Option3!AD$110:AD$121, MATCH($D47, Option3!$G$110:$G$121,0)))*conv_2026*AD$7</f>
        <v>0</v>
      </c>
      <c r="AE47" s="28">
        <f>(INDEX(Option3!AE$110:AE$121, MATCH($D47, Option3!$G$110:$G$121,0)))*conv_2026*AE$7</f>
        <v>0</v>
      </c>
      <c r="AF47" s="28">
        <f>(INDEX(Option3!AF$110:AF$121, MATCH($D47, Option3!$G$110:$G$121,0)))*conv_2026*AF$7</f>
        <v>0</v>
      </c>
      <c r="AG47" s="28">
        <f>(INDEX(Option3!AG$110:AG$121, MATCH($D47, Option3!$G$110:$G$121,0)))*conv_2026*AG$7</f>
        <v>0</v>
      </c>
    </row>
    <row r="48" spans="1:35" s="6" customFormat="1" x14ac:dyDescent="0.2">
      <c r="A48" s="217" t="s">
        <v>155</v>
      </c>
      <c r="B48" s="217" t="str">
        <f>Option3!A118</f>
        <v>sens5</v>
      </c>
      <c r="C48" s="217" t="str">
        <f>Option3!C118</f>
        <v>Capex 10% higher &amp; Total benefits 10% lower</v>
      </c>
      <c r="D48" s="217" t="str">
        <f t="shared" si="5"/>
        <v>Option 3sens5</v>
      </c>
      <c r="E48" s="209"/>
      <c r="F48" s="28">
        <f t="shared" si="4"/>
        <v>-36865338.120165057</v>
      </c>
      <c r="H48" s="28">
        <f>(INDEX(Option3!H$110:H$121, MATCH($D48, Option3!$G$110:$G$121,0)))*conv_2026*H$7</f>
        <v>0</v>
      </c>
      <c r="I48" s="28">
        <f>(INDEX(Option3!I$110:I$121, MATCH($D48, Option3!$G$110:$G$121,0)))*conv_2026*I$7</f>
        <v>0</v>
      </c>
      <c r="J48" s="28">
        <f>(INDEX(Option3!J$110:J$121, MATCH($D48, Option3!$G$110:$G$121,0)))*conv_2026*J$7</f>
        <v>-410995.79089150357</v>
      </c>
      <c r="K48" s="28">
        <f>(INDEX(Option3!K$110:K$121, MATCH($D48, Option3!$G$110:$G$121,0)))*conv_2026*K$7</f>
        <v>-860421.67659565981</v>
      </c>
      <c r="L48" s="28">
        <f>(INDEX(Option3!L$110:L$121, MATCH($D48, Option3!$G$110:$G$121,0)))*conv_2026*L$7</f>
        <v>-859416.15753067518</v>
      </c>
      <c r="M48" s="28">
        <f>(INDEX(Option3!M$110:M$121, MATCH($D48, Option3!$G$110:$G$121,0)))*conv_2026*M$7</f>
        <v>-1598027.2018313461</v>
      </c>
      <c r="N48" s="28">
        <f>(INDEX(Option3!N$110:N$121, MATCH($D48, Option3!$G$110:$G$121,0)))*conv_2026*N$7</f>
        <v>-2508232.7323892615</v>
      </c>
      <c r="O48" s="28">
        <f>(INDEX(Option3!O$110:O$121, MATCH($D48, Option3!$G$110:$G$121,0)))*conv_2026*O$7</f>
        <v>-3379580.3094854415</v>
      </c>
      <c r="P48" s="28">
        <f>(INDEX(Option3!P$110:P$121, MATCH($D48, Option3!$G$110:$G$121,0)))*conv_2026*P$7</f>
        <v>-3711152.9944974948</v>
      </c>
      <c r="Q48" s="28">
        <f>(INDEX(Option3!Q$110:Q$121, MATCH($D48, Option3!$G$110:$G$121,0)))*conv_2026*Q$7</f>
        <v>-3546823.4269868317</v>
      </c>
      <c r="R48" s="28">
        <f>(INDEX(Option3!R$110:R$121, MATCH($D48, Option3!$G$110:$G$121,0)))*conv_2026*R$7</f>
        <v>-3387994.8113957611</v>
      </c>
      <c r="S48" s="28">
        <f>(INDEX(Option3!S$110:S$121, MATCH($D48, Option3!$G$110:$G$121,0)))*conv_2026*S$7</f>
        <v>-3470813.3632671935</v>
      </c>
      <c r="T48" s="28">
        <f>(INDEX(Option3!T$110:T$121, MATCH($D48, Option3!$G$110:$G$121,0)))*conv_2026*T$7</f>
        <v>-3470813.3632671935</v>
      </c>
      <c r="U48" s="28">
        <f>(INDEX(Option3!U$110:U$121, MATCH($D48, Option3!$G$110:$G$121,0)))*conv_2026*U$7</f>
        <v>-3470813.3632671935</v>
      </c>
      <c r="V48" s="28">
        <f>(INDEX(Option3!V$110:V$121, MATCH($D48, Option3!$G$110:$G$121,0)))*conv_2026*V$7</f>
        <v>-3470813.3632671935</v>
      </c>
      <c r="W48" s="28">
        <f>(INDEX(Option3!W$110:W$121, MATCH($D48, Option3!$G$110:$G$121,0)))*conv_2026*W$7</f>
        <v>-3470813.3632671935</v>
      </c>
      <c r="X48" s="28">
        <f>(INDEX(Option3!X$110:X$121, MATCH($D48, Option3!$G$110:$G$121,0)))*conv_2026*X$7</f>
        <v>-3470813.3632671935</v>
      </c>
      <c r="Y48" s="28">
        <f>(INDEX(Option3!Y$110:Y$121, MATCH($D48, Option3!$G$110:$G$121,0)))*conv_2026*Y$7</f>
        <v>-3470813.3632671935</v>
      </c>
      <c r="Z48" s="28">
        <f>(INDEX(Option3!Z$110:Z$121, MATCH($D48, Option3!$G$110:$G$121,0)))*conv_2026*Z$7</f>
        <v>-3470813.3632671935</v>
      </c>
      <c r="AA48" s="28">
        <f>(INDEX(Option3!AA$110:AA$121, MATCH($D48, Option3!$G$110:$G$121,0)))*conv_2026*AA$7</f>
        <v>-3470813.3632671935</v>
      </c>
      <c r="AB48" s="28">
        <f>(INDEX(Option3!AB$110:AB$121, MATCH($D48, Option3!$G$110:$G$121,0)))*conv_2026*AB$7</f>
        <v>-3470813.3632671935</v>
      </c>
      <c r="AC48" s="28">
        <f>(INDEX(Option3!AC$110:AC$121, MATCH($D48, Option3!$G$110:$G$121,0)))*conv_2026*AC$7</f>
        <v>0</v>
      </c>
      <c r="AD48" s="28">
        <f>(INDEX(Option3!AD$110:AD$121, MATCH($D48, Option3!$G$110:$G$121,0)))*conv_2026*AD$7</f>
        <v>0</v>
      </c>
      <c r="AE48" s="28">
        <f>(INDEX(Option3!AE$110:AE$121, MATCH($D48, Option3!$G$110:$G$121,0)))*conv_2026*AE$7</f>
        <v>0</v>
      </c>
      <c r="AF48" s="28">
        <f>(INDEX(Option3!AF$110:AF$121, MATCH($D48, Option3!$G$110:$G$121,0)))*conv_2026*AF$7</f>
        <v>0</v>
      </c>
      <c r="AG48" s="28">
        <f>(INDEX(Option3!AG$110:AG$121, MATCH($D48, Option3!$G$110:$G$121,0)))*conv_2026*AG$7</f>
        <v>0</v>
      </c>
    </row>
    <row r="49" spans="1:35" s="6" customFormat="1" x14ac:dyDescent="0.2">
      <c r="A49" s="217" t="s">
        <v>155</v>
      </c>
      <c r="B49" s="217" t="str">
        <f>Option3!A119</f>
        <v>sens</v>
      </c>
      <c r="C49" s="217">
        <f>Option3!C119</f>
        <v>0</v>
      </c>
      <c r="D49" s="217" t="str">
        <f t="shared" si="5"/>
        <v>Option 3sens</v>
      </c>
      <c r="E49" s="209"/>
      <c r="F49" s="28">
        <f t="shared" si="4"/>
        <v>-32387975.320707001</v>
      </c>
      <c r="H49" s="28">
        <f>(INDEX(Option3!H$110:H$121, MATCH($D49, Option3!$G$110:$G$121,0)))*conv_2026*H$7</f>
        <v>0</v>
      </c>
      <c r="I49" s="28">
        <f>(INDEX(Option3!I$110:I$121, MATCH($D49, Option3!$G$110:$G$121,0)))*conv_2026*I$7</f>
        <v>0</v>
      </c>
      <c r="J49" s="28">
        <f>(INDEX(Option3!J$110:J$121, MATCH($D49, Option3!$G$110:$G$121,0)))*conv_2026*J$7</f>
        <v>-373632.53717409412</v>
      </c>
      <c r="K49" s="28">
        <f>(INDEX(Option3!K$110:K$121, MATCH($D49, Option3!$G$110:$G$121,0)))*conv_2026*K$7</f>
        <v>-775800.56844974065</v>
      </c>
      <c r="L49" s="28">
        <f>(INDEX(Option3!L$110:L$121, MATCH($D49, Option3!$G$110:$G$121,0)))*conv_2026*L$7</f>
        <v>-769440.81689500285</v>
      </c>
      <c r="M49" s="28">
        <f>(INDEX(Option3!M$110:M$121, MATCH($D49, Option3!$G$110:$G$121,0)))*conv_2026*M$7</f>
        <v>-1432844.5105308834</v>
      </c>
      <c r="N49" s="28">
        <f>(INDEX(Option3!N$110:N$121, MATCH($D49, Option3!$G$110:$G$121,0)))*conv_2026*N$7</f>
        <v>-2249162.6857783566</v>
      </c>
      <c r="O49" s="28">
        <f>(INDEX(Option3!O$110:O$121, MATCH($D49, Option3!$G$110:$G$121,0)))*conv_2026*O$7</f>
        <v>-3022305.3571794578</v>
      </c>
      <c r="P49" s="28">
        <f>(INDEX(Option3!P$110:P$121, MATCH($D49, Option3!$G$110:$G$121,0)))*conv_2026*P$7</f>
        <v>-3293208.8000621893</v>
      </c>
      <c r="Q49" s="28">
        <f>(INDEX(Option3!Q$110:Q$121, MATCH($D49, Option3!$G$110:$G$121,0)))*conv_2026*Q$7</f>
        <v>-3110620.3917170078</v>
      </c>
      <c r="R49" s="28">
        <f>(INDEX(Option3!R$110:R$121, MATCH($D49, Option3!$G$110:$G$121,0)))*conv_2026*R$7</f>
        <v>-2934144.1521713738</v>
      </c>
      <c r="S49" s="28">
        <f>(INDEX(Option3!S$110:S$121, MATCH($D49, Option3!$G$110:$G$121,0)))*conv_2026*S$7</f>
        <v>-3026164.7653618539</v>
      </c>
      <c r="T49" s="28">
        <f>(INDEX(Option3!T$110:T$121, MATCH($D49, Option3!$G$110:$G$121,0)))*conv_2026*T$7</f>
        <v>-3026164.7653618539</v>
      </c>
      <c r="U49" s="28">
        <f>(INDEX(Option3!U$110:U$121, MATCH($D49, Option3!$G$110:$G$121,0)))*conv_2026*U$7</f>
        <v>-3026164.7653618539</v>
      </c>
      <c r="V49" s="28">
        <f>(INDEX(Option3!V$110:V$121, MATCH($D49, Option3!$G$110:$G$121,0)))*conv_2026*V$7</f>
        <v>-3026164.7653618539</v>
      </c>
      <c r="W49" s="28">
        <f>(INDEX(Option3!W$110:W$121, MATCH($D49, Option3!$G$110:$G$121,0)))*conv_2026*W$7</f>
        <v>-3026164.7653618539</v>
      </c>
      <c r="X49" s="28">
        <f>(INDEX(Option3!X$110:X$121, MATCH($D49, Option3!$G$110:$G$121,0)))*conv_2026*X$7</f>
        <v>-3026164.7653618539</v>
      </c>
      <c r="Y49" s="28">
        <f>(INDEX(Option3!Y$110:Y$121, MATCH($D49, Option3!$G$110:$G$121,0)))*conv_2026*Y$7</f>
        <v>-3026164.7653618539</v>
      </c>
      <c r="Z49" s="28">
        <f>(INDEX(Option3!Z$110:Z$121, MATCH($D49, Option3!$G$110:$G$121,0)))*conv_2026*Z$7</f>
        <v>-3026164.7653618539</v>
      </c>
      <c r="AA49" s="28">
        <f>(INDEX(Option3!AA$110:AA$121, MATCH($D49, Option3!$G$110:$G$121,0)))*conv_2026*AA$7</f>
        <v>-3026164.7653618539</v>
      </c>
      <c r="AB49" s="28">
        <f>(INDEX(Option3!AB$110:AB$121, MATCH($D49, Option3!$G$110:$G$121,0)))*conv_2026*AB$7</f>
        <v>-3026164.7653618539</v>
      </c>
      <c r="AC49" s="28">
        <f>(INDEX(Option3!AC$110:AC$121, MATCH($D49, Option3!$G$110:$G$121,0)))*conv_2026*AC$7</f>
        <v>0</v>
      </c>
      <c r="AD49" s="28">
        <f>(INDEX(Option3!AD$110:AD$121, MATCH($D49, Option3!$G$110:$G$121,0)))*conv_2026*AD$7</f>
        <v>0</v>
      </c>
      <c r="AE49" s="28">
        <f>(INDEX(Option3!AE$110:AE$121, MATCH($D49, Option3!$G$110:$G$121,0)))*conv_2026*AE$7</f>
        <v>0</v>
      </c>
      <c r="AF49" s="28">
        <f>(INDEX(Option3!AF$110:AF$121, MATCH($D49, Option3!$G$110:$G$121,0)))*conv_2026*AF$7</f>
        <v>0</v>
      </c>
      <c r="AG49" s="28">
        <f>(INDEX(Option3!AG$110:AG$121, MATCH($D49, Option3!$G$110:$G$121,0)))*conv_2026*AG$7</f>
        <v>0</v>
      </c>
    </row>
    <row r="50" spans="1:35" s="6" customFormat="1" x14ac:dyDescent="0.2">
      <c r="A50" s="217" t="s">
        <v>155</v>
      </c>
      <c r="B50" s="217" t="str">
        <f>Option3!A120</f>
        <v>sens</v>
      </c>
      <c r="C50" s="217">
        <f>Option3!C120</f>
        <v>0</v>
      </c>
      <c r="D50" s="217" t="str">
        <f t="shared" si="5"/>
        <v>Option 3sens</v>
      </c>
      <c r="E50" s="209"/>
      <c r="F50" s="28">
        <f t="shared" si="4"/>
        <v>-32387975.320707001</v>
      </c>
      <c r="H50" s="28">
        <f>(INDEX(Option3!H$110:H$121, MATCH($D50, Option3!$G$110:$G$121,0)))*conv_2026*H$7</f>
        <v>0</v>
      </c>
      <c r="I50" s="28">
        <f>(INDEX(Option3!I$110:I$121, MATCH($D50, Option3!$G$110:$G$121,0)))*conv_2026*I$7</f>
        <v>0</v>
      </c>
      <c r="J50" s="28">
        <f>(INDEX(Option3!J$110:J$121, MATCH($D50, Option3!$G$110:$G$121,0)))*conv_2026*J$7</f>
        <v>-373632.53717409412</v>
      </c>
      <c r="K50" s="28">
        <f>(INDEX(Option3!K$110:K$121, MATCH($D50, Option3!$G$110:$G$121,0)))*conv_2026*K$7</f>
        <v>-775800.56844974065</v>
      </c>
      <c r="L50" s="28">
        <f>(INDEX(Option3!L$110:L$121, MATCH($D50, Option3!$G$110:$G$121,0)))*conv_2026*L$7</f>
        <v>-769440.81689500285</v>
      </c>
      <c r="M50" s="28">
        <f>(INDEX(Option3!M$110:M$121, MATCH($D50, Option3!$G$110:$G$121,0)))*conv_2026*M$7</f>
        <v>-1432844.5105308834</v>
      </c>
      <c r="N50" s="28">
        <f>(INDEX(Option3!N$110:N$121, MATCH($D50, Option3!$G$110:$G$121,0)))*conv_2026*N$7</f>
        <v>-2249162.6857783566</v>
      </c>
      <c r="O50" s="28">
        <f>(INDEX(Option3!O$110:O$121, MATCH($D50, Option3!$G$110:$G$121,0)))*conv_2026*O$7</f>
        <v>-3022305.3571794578</v>
      </c>
      <c r="P50" s="28">
        <f>(INDEX(Option3!P$110:P$121, MATCH($D50, Option3!$G$110:$G$121,0)))*conv_2026*P$7</f>
        <v>-3293208.8000621893</v>
      </c>
      <c r="Q50" s="28">
        <f>(INDEX(Option3!Q$110:Q$121, MATCH($D50, Option3!$G$110:$G$121,0)))*conv_2026*Q$7</f>
        <v>-3110620.3917170078</v>
      </c>
      <c r="R50" s="28">
        <f>(INDEX(Option3!R$110:R$121, MATCH($D50, Option3!$G$110:$G$121,0)))*conv_2026*R$7</f>
        <v>-2934144.1521713738</v>
      </c>
      <c r="S50" s="28">
        <f>(INDEX(Option3!S$110:S$121, MATCH($D50, Option3!$G$110:$G$121,0)))*conv_2026*S$7</f>
        <v>-3026164.7653618539</v>
      </c>
      <c r="T50" s="28">
        <f>(INDEX(Option3!T$110:T$121, MATCH($D50, Option3!$G$110:$G$121,0)))*conv_2026*T$7</f>
        <v>-3026164.7653618539</v>
      </c>
      <c r="U50" s="28">
        <f>(INDEX(Option3!U$110:U$121, MATCH($D50, Option3!$G$110:$G$121,0)))*conv_2026*U$7</f>
        <v>-3026164.7653618539</v>
      </c>
      <c r="V50" s="28">
        <f>(INDEX(Option3!V$110:V$121, MATCH($D50, Option3!$G$110:$G$121,0)))*conv_2026*V$7</f>
        <v>-3026164.7653618539</v>
      </c>
      <c r="W50" s="28">
        <f>(INDEX(Option3!W$110:W$121, MATCH($D50, Option3!$G$110:$G$121,0)))*conv_2026*W$7</f>
        <v>-3026164.7653618539</v>
      </c>
      <c r="X50" s="28">
        <f>(INDEX(Option3!X$110:X$121, MATCH($D50, Option3!$G$110:$G$121,0)))*conv_2026*X$7</f>
        <v>-3026164.7653618539</v>
      </c>
      <c r="Y50" s="28">
        <f>(INDEX(Option3!Y$110:Y$121, MATCH($D50, Option3!$G$110:$G$121,0)))*conv_2026*Y$7</f>
        <v>-3026164.7653618539</v>
      </c>
      <c r="Z50" s="28">
        <f>(INDEX(Option3!Z$110:Z$121, MATCH($D50, Option3!$G$110:$G$121,0)))*conv_2026*Z$7</f>
        <v>-3026164.7653618539</v>
      </c>
      <c r="AA50" s="28">
        <f>(INDEX(Option3!AA$110:AA$121, MATCH($D50, Option3!$G$110:$G$121,0)))*conv_2026*AA$7</f>
        <v>-3026164.7653618539</v>
      </c>
      <c r="AB50" s="28">
        <f>(INDEX(Option3!AB$110:AB$121, MATCH($D50, Option3!$G$110:$G$121,0)))*conv_2026*AB$7</f>
        <v>-3026164.7653618539</v>
      </c>
      <c r="AC50" s="28">
        <f>(INDEX(Option3!AC$110:AC$121, MATCH($D50, Option3!$G$110:$G$121,0)))*conv_2026*AC$7</f>
        <v>0</v>
      </c>
      <c r="AD50" s="28">
        <f>(INDEX(Option3!AD$110:AD$121, MATCH($D50, Option3!$G$110:$G$121,0)))*conv_2026*AD$7</f>
        <v>0</v>
      </c>
      <c r="AE50" s="28">
        <f>(INDEX(Option3!AE$110:AE$121, MATCH($D50, Option3!$G$110:$G$121,0)))*conv_2026*AE$7</f>
        <v>0</v>
      </c>
      <c r="AF50" s="28">
        <f>(INDEX(Option3!AF$110:AF$121, MATCH($D50, Option3!$G$110:$G$121,0)))*conv_2026*AF$7</f>
        <v>0</v>
      </c>
      <c r="AG50" s="28">
        <f>(INDEX(Option3!AG$110:AG$121, MATCH($D50, Option3!$G$110:$G$121,0)))*conv_2026*AG$7</f>
        <v>0</v>
      </c>
    </row>
    <row r="51" spans="1:35" s="6" customFormat="1" x14ac:dyDescent="0.2">
      <c r="A51" s="217" t="s">
        <v>155</v>
      </c>
      <c r="B51" s="217" t="str">
        <f>Option3!A121</f>
        <v>sens</v>
      </c>
      <c r="C51" s="217">
        <f>Option3!C121</f>
        <v>0</v>
      </c>
      <c r="D51" s="217" t="str">
        <f t="shared" si="5"/>
        <v>Option 3sens</v>
      </c>
      <c r="E51" s="209"/>
      <c r="F51" s="28">
        <f t="shared" si="4"/>
        <v>-32387975.320707001</v>
      </c>
      <c r="H51" s="28">
        <f>(INDEX(Option3!H$110:H$121, MATCH($D51, Option3!$G$110:$G$121,0)))*conv_2026*H$7</f>
        <v>0</v>
      </c>
      <c r="I51" s="28">
        <f>(INDEX(Option3!I$110:I$121, MATCH($D51, Option3!$G$110:$G$121,0)))*conv_2026*I$7</f>
        <v>0</v>
      </c>
      <c r="J51" s="28">
        <f>(INDEX(Option3!J$110:J$121, MATCH($D51, Option3!$G$110:$G$121,0)))*conv_2026*J$7</f>
        <v>-373632.53717409412</v>
      </c>
      <c r="K51" s="28">
        <f>(INDEX(Option3!K$110:K$121, MATCH($D51, Option3!$G$110:$G$121,0)))*conv_2026*K$7</f>
        <v>-775800.56844974065</v>
      </c>
      <c r="L51" s="28">
        <f>(INDEX(Option3!L$110:L$121, MATCH($D51, Option3!$G$110:$G$121,0)))*conv_2026*L$7</f>
        <v>-769440.81689500285</v>
      </c>
      <c r="M51" s="28">
        <f>(INDEX(Option3!M$110:M$121, MATCH($D51, Option3!$G$110:$G$121,0)))*conv_2026*M$7</f>
        <v>-1432844.5105308834</v>
      </c>
      <c r="N51" s="28">
        <f>(INDEX(Option3!N$110:N$121, MATCH($D51, Option3!$G$110:$G$121,0)))*conv_2026*N$7</f>
        <v>-2249162.6857783566</v>
      </c>
      <c r="O51" s="28">
        <f>(INDEX(Option3!O$110:O$121, MATCH($D51, Option3!$G$110:$G$121,0)))*conv_2026*O$7</f>
        <v>-3022305.3571794578</v>
      </c>
      <c r="P51" s="28">
        <f>(INDEX(Option3!P$110:P$121, MATCH($D51, Option3!$G$110:$G$121,0)))*conv_2026*P$7</f>
        <v>-3293208.8000621893</v>
      </c>
      <c r="Q51" s="28">
        <f>(INDEX(Option3!Q$110:Q$121, MATCH($D51, Option3!$G$110:$G$121,0)))*conv_2026*Q$7</f>
        <v>-3110620.3917170078</v>
      </c>
      <c r="R51" s="28">
        <f>(INDEX(Option3!R$110:R$121, MATCH($D51, Option3!$G$110:$G$121,0)))*conv_2026*R$7</f>
        <v>-2934144.1521713738</v>
      </c>
      <c r="S51" s="28">
        <f>(INDEX(Option3!S$110:S$121, MATCH($D51, Option3!$G$110:$G$121,0)))*conv_2026*S$7</f>
        <v>-3026164.7653618539</v>
      </c>
      <c r="T51" s="28">
        <f>(INDEX(Option3!T$110:T$121, MATCH($D51, Option3!$G$110:$G$121,0)))*conv_2026*T$7</f>
        <v>-3026164.7653618539</v>
      </c>
      <c r="U51" s="28">
        <f>(INDEX(Option3!U$110:U$121, MATCH($D51, Option3!$G$110:$G$121,0)))*conv_2026*U$7</f>
        <v>-3026164.7653618539</v>
      </c>
      <c r="V51" s="28">
        <f>(INDEX(Option3!V$110:V$121, MATCH($D51, Option3!$G$110:$G$121,0)))*conv_2026*V$7</f>
        <v>-3026164.7653618539</v>
      </c>
      <c r="W51" s="28">
        <f>(INDEX(Option3!W$110:W$121, MATCH($D51, Option3!$G$110:$G$121,0)))*conv_2026*W$7</f>
        <v>-3026164.7653618539</v>
      </c>
      <c r="X51" s="28">
        <f>(INDEX(Option3!X$110:X$121, MATCH($D51, Option3!$G$110:$G$121,0)))*conv_2026*X$7</f>
        <v>-3026164.7653618539</v>
      </c>
      <c r="Y51" s="28">
        <f>(INDEX(Option3!Y$110:Y$121, MATCH($D51, Option3!$G$110:$G$121,0)))*conv_2026*Y$7</f>
        <v>-3026164.7653618539</v>
      </c>
      <c r="Z51" s="28">
        <f>(INDEX(Option3!Z$110:Z$121, MATCH($D51, Option3!$G$110:$G$121,0)))*conv_2026*Z$7</f>
        <v>-3026164.7653618539</v>
      </c>
      <c r="AA51" s="28">
        <f>(INDEX(Option3!AA$110:AA$121, MATCH($D51, Option3!$G$110:$G$121,0)))*conv_2026*AA$7</f>
        <v>-3026164.7653618539</v>
      </c>
      <c r="AB51" s="28">
        <f>(INDEX(Option3!AB$110:AB$121, MATCH($D51, Option3!$G$110:$G$121,0)))*conv_2026*AB$7</f>
        <v>-3026164.7653618539</v>
      </c>
      <c r="AC51" s="28">
        <f>(INDEX(Option3!AC$110:AC$121, MATCH($D51, Option3!$G$110:$G$121,0)))*conv_2026*AC$7</f>
        <v>0</v>
      </c>
      <c r="AD51" s="28">
        <f>(INDEX(Option3!AD$110:AD$121, MATCH($D51, Option3!$G$110:$G$121,0)))*conv_2026*AD$7</f>
        <v>0</v>
      </c>
      <c r="AE51" s="28">
        <f>(INDEX(Option3!AE$110:AE$121, MATCH($D51, Option3!$G$110:$G$121,0)))*conv_2026*AE$7</f>
        <v>0</v>
      </c>
      <c r="AF51" s="28">
        <f>(INDEX(Option3!AF$110:AF$121, MATCH($D51, Option3!$G$110:$G$121,0)))*conv_2026*AF$7</f>
        <v>0</v>
      </c>
      <c r="AG51" s="28">
        <f>(INDEX(Option3!AG$110:AG$121, MATCH($D51, Option3!$G$110:$G$121,0)))*conv_2026*AG$7</f>
        <v>0</v>
      </c>
    </row>
    <row r="52" spans="1:35" s="6" customFormat="1" x14ac:dyDescent="0.2">
      <c r="A52" s="217"/>
      <c r="B52" s="217"/>
      <c r="C52" s="217"/>
      <c r="D52" s="217"/>
      <c r="E52" s="217"/>
      <c r="F52" s="28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17"/>
      <c r="Y52" s="217"/>
      <c r="Z52" s="217"/>
      <c r="AA52" s="217"/>
      <c r="AB52" s="217"/>
      <c r="AC52" s="217"/>
      <c r="AD52" s="217"/>
      <c r="AE52" s="217"/>
      <c r="AF52" s="217"/>
      <c r="AG52" s="217"/>
    </row>
    <row r="53" spans="1:35" s="6" customFormat="1" x14ac:dyDescent="0.2">
      <c r="A53" s="217"/>
      <c r="B53" s="217"/>
      <c r="C53" s="217"/>
      <c r="D53" s="217"/>
      <c r="E53" s="217"/>
      <c r="F53" s="28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17"/>
      <c r="AG53" s="217"/>
    </row>
    <row r="54" spans="1:35" s="6" customFormat="1" x14ac:dyDescent="0.2">
      <c r="A54" s="217"/>
      <c r="B54" s="217"/>
      <c r="C54" s="217"/>
      <c r="D54" s="217"/>
      <c r="E54" s="217"/>
      <c r="F54" s="28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17"/>
      <c r="AG54" s="217"/>
    </row>
    <row r="55" spans="1:35" s="6" customFormat="1" x14ac:dyDescent="0.2">
      <c r="A55" s="217"/>
      <c r="B55" s="217"/>
      <c r="C55" s="217"/>
      <c r="D55" s="217"/>
      <c r="E55" s="217"/>
      <c r="F55" s="28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17"/>
      <c r="AG55" s="217"/>
    </row>
    <row r="56" spans="1:35" s="6" customFormat="1" x14ac:dyDescent="0.2">
      <c r="A56" s="217" t="s">
        <v>156</v>
      </c>
      <c r="B56" s="217" t="s">
        <v>7</v>
      </c>
      <c r="C56" s="217" t="s">
        <v>137</v>
      </c>
      <c r="D56" s="217" t="str">
        <f>A56&amp;B56</f>
        <v>Option 4NPV</v>
      </c>
      <c r="E56" s="209"/>
      <c r="F56" s="28">
        <f t="shared" ref="F56:F65" si="6">SUMPRODUCT($H56:$AG56, $H$5:$AG$5)</f>
        <v>-29205630.866218276</v>
      </c>
      <c r="G56" s="212"/>
      <c r="H56" s="28">
        <f>(INDEX(Option4!H$110:H$121, MATCH($D56, Option4!$G$110:$G$121,0)))*conv_2026*H$7</f>
        <v>0</v>
      </c>
      <c r="I56" s="28">
        <f>(INDEX(Option4!I$110:I$121, MATCH($D56, Option4!$G$110:$G$121,0)))*conv_2026*I$7</f>
        <v>0</v>
      </c>
      <c r="J56" s="28">
        <f>(INDEX(Option4!J$110:J$121, MATCH($D56, Option4!$G$110:$G$121,0)))*conv_2026*J$7</f>
        <v>-283095.44005675713</v>
      </c>
      <c r="K56" s="28">
        <f>(INDEX(Option4!K$110:K$121, MATCH($D56, Option4!$G$110:$G$121,0)))*conv_2026*K$7</f>
        <v>-1453223.2589580202</v>
      </c>
      <c r="L56" s="28">
        <f>(INDEX(Option4!L$110:L$121, MATCH($D56, Option4!$G$110:$G$121,0)))*conv_2026*L$7</f>
        <v>-2642224.1071963999</v>
      </c>
      <c r="M56" s="28">
        <f>(INDEX(Option4!M$110:M$121, MATCH($D56, Option4!$G$110:$G$121,0)))*conv_2026*M$7</f>
        <v>-2815812.3786205272</v>
      </c>
      <c r="N56" s="28">
        <f>(INDEX(Option4!N$110:N$121, MATCH($D56, Option4!$G$110:$G$121,0)))*conv_2026*N$7</f>
        <v>-2754274.1336875251</v>
      </c>
      <c r="O56" s="28">
        <f>(INDEX(Option4!O$110:O$121, MATCH($D56, Option4!$G$110:$G$121,0)))*conv_2026*O$7</f>
        <v>-2647625.8116627657</v>
      </c>
      <c r="P56" s="28">
        <f>(INDEX(Option4!P$110:P$121, MATCH($D56, Option4!$G$110:$G$121,0)))*conv_2026*P$7</f>
        <v>-2482202.9751077229</v>
      </c>
      <c r="Q56" s="28">
        <f>(INDEX(Option4!Q$110:Q$121, MATCH($D56, Option4!$G$110:$G$121,0)))*conv_2026*Q$7</f>
        <v>-2299614.5667625414</v>
      </c>
      <c r="R56" s="28">
        <f>(INDEX(Option4!R$110:R$121, MATCH($D56, Option4!$G$110:$G$121,0)))*conv_2026*R$7</f>
        <v>-2123138.3272169074</v>
      </c>
      <c r="S56" s="28">
        <f>(INDEX(Option4!S$110:S$121, MATCH($D56, Option4!$G$110:$G$121,0)))*conv_2026*S$7</f>
        <v>-2215158.9404073879</v>
      </c>
      <c r="T56" s="28">
        <f>(INDEX(Option4!T$110:T$121, MATCH($D56, Option4!$G$110:$G$121,0)))*conv_2026*T$7</f>
        <v>-2215158.9404073879</v>
      </c>
      <c r="U56" s="28">
        <f>(INDEX(Option4!U$110:U$121, MATCH($D56, Option4!$G$110:$G$121,0)))*conv_2026*U$7</f>
        <v>-2215158.9404073879</v>
      </c>
      <c r="V56" s="28">
        <f>(INDEX(Option4!V$110:V$121, MATCH($D56, Option4!$G$110:$G$121,0)))*conv_2026*V$7</f>
        <v>-2215158.9404073879</v>
      </c>
      <c r="W56" s="28">
        <f>(INDEX(Option4!W$110:W$121, MATCH($D56, Option4!$G$110:$G$121,0)))*conv_2026*W$7</f>
        <v>-2215158.9404073879</v>
      </c>
      <c r="X56" s="28">
        <f>(INDEX(Option4!X$110:X$121, MATCH($D56, Option4!$G$110:$G$121,0)))*conv_2026*X$7</f>
        <v>-2215158.9404073879</v>
      </c>
      <c r="Y56" s="28">
        <f>(INDEX(Option4!Y$110:Y$121, MATCH($D56, Option4!$G$110:$G$121,0)))*conv_2026*Y$7</f>
        <v>-2215158.9404073879</v>
      </c>
      <c r="Z56" s="28">
        <f>(INDEX(Option4!Z$110:Z$121, MATCH($D56, Option4!$G$110:$G$121,0)))*conv_2026*Z$7</f>
        <v>-2215158.9404073879</v>
      </c>
      <c r="AA56" s="28">
        <f>(INDEX(Option4!AA$110:AA$121, MATCH($D56, Option4!$G$110:$G$121,0)))*conv_2026*AA$7</f>
        <v>-2215158.9404073879</v>
      </c>
      <c r="AB56" s="28">
        <f>(INDEX(Option4!AB$110:AB$121, MATCH($D56, Option4!$G$110:$G$121,0)))*conv_2026*AB$7</f>
        <v>-2215158.9404073879</v>
      </c>
      <c r="AC56" s="28">
        <f>(INDEX(Option4!AC$110:AC$121, MATCH($D56, Option4!$G$110:$G$121,0)))*conv_2026*AC$7</f>
        <v>0</v>
      </c>
      <c r="AD56" s="28">
        <f>(INDEX(Option4!AD$110:AD$121, MATCH($D56, Option4!$G$110:$G$121,0)))*conv_2026*AD$7</f>
        <v>0</v>
      </c>
      <c r="AE56" s="28">
        <f>(INDEX(Option4!AE$110:AE$121, MATCH($D56, Option4!$G$110:$G$121,0)))*conv_2026*AE$7</f>
        <v>0</v>
      </c>
      <c r="AF56" s="28">
        <f>(INDEX(Option4!AF$110:AF$121, MATCH($D56, Option4!$G$110:$G$121,0)))*conv_2026*AF$7</f>
        <v>0</v>
      </c>
      <c r="AG56" s="28">
        <f>(INDEX(Option4!AG$110:AG$121, MATCH($D56, Option4!$G$110:$G$121,0)))*conv_2026*AG$7</f>
        <v>0</v>
      </c>
      <c r="AH56" s="2"/>
      <c r="AI56" s="2"/>
    </row>
    <row r="57" spans="1:35" s="6" customFormat="1" x14ac:dyDescent="0.2">
      <c r="A57" s="211"/>
      <c r="B57" s="211"/>
      <c r="C57" s="211"/>
      <c r="D57" s="211"/>
      <c r="E57" s="211"/>
      <c r="F57" s="211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"/>
      <c r="AI57" s="2"/>
    </row>
    <row r="58" spans="1:35" s="6" customFormat="1" x14ac:dyDescent="0.2">
      <c r="A58" s="217" t="s">
        <v>156</v>
      </c>
      <c r="B58" s="217" t="str">
        <f>Option4!A114</f>
        <v>sens1</v>
      </c>
      <c r="C58" s="217" t="str">
        <f>Option4!C114</f>
        <v>Capex 10% higher</v>
      </c>
      <c r="D58" s="217" t="str">
        <f t="shared" ref="D58:D65" si="7">A58&amp;B58</f>
        <v>Option 4sens1</v>
      </c>
      <c r="E58" s="209"/>
      <c r="F58" s="28">
        <f t="shared" si="6"/>
        <v>-32736691.57237</v>
      </c>
      <c r="G58" s="212"/>
      <c r="H58" s="28">
        <f>(INDEX(Option4!H$110:H$121, MATCH($D58, Option4!$G$110:$G$121,0)))*conv_2026*H$7</f>
        <v>0</v>
      </c>
      <c r="I58" s="28">
        <f>(INDEX(Option4!I$110:I$121, MATCH($D58, Option4!$G$110:$G$121,0)))*conv_2026*I$7</f>
        <v>0</v>
      </c>
      <c r="J58" s="28">
        <f>(INDEX(Option4!J$110:J$121, MATCH($D58, Option4!$G$110:$G$121,0)))*conv_2026*J$7</f>
        <v>-311404.98406243289</v>
      </c>
      <c r="K58" s="28">
        <f>(INDEX(Option4!K$110:K$121, MATCH($D58, Option4!$G$110:$G$121,0)))*conv_2026*K$7</f>
        <v>-1598545.5848538224</v>
      </c>
      <c r="L58" s="28">
        <f>(INDEX(Option4!L$110:L$121, MATCH($D58, Option4!$G$110:$G$121,0)))*conv_2026*L$7</f>
        <v>-2906446.5179160405</v>
      </c>
      <c r="M58" s="28">
        <f>(INDEX(Option4!M$110:M$121, MATCH($D58, Option4!$G$110:$G$121,0)))*conv_2026*M$7</f>
        <v>-3108344.333345843</v>
      </c>
      <c r="N58" s="28">
        <f>(INDEX(Option4!N$110:N$121, MATCH($D58, Option4!$G$110:$G$121,0)))*conv_2026*N$7</f>
        <v>-3046806.0884128409</v>
      </c>
      <c r="O58" s="28">
        <f>(INDEX(Option4!O$110:O$121, MATCH($D58, Option4!$G$110:$G$121,0)))*conv_2026*O$7</f>
        <v>-2940157.766388081</v>
      </c>
      <c r="P58" s="28">
        <f>(INDEX(Option4!P$110:P$121, MATCH($D58, Option4!$G$110:$G$121,0)))*conv_2026*P$7</f>
        <v>-2774734.9298330387</v>
      </c>
      <c r="Q58" s="28">
        <f>(INDEX(Option4!Q$110:Q$121, MATCH($D58, Option4!$G$110:$G$121,0)))*conv_2026*Q$7</f>
        <v>-2592146.5214878572</v>
      </c>
      <c r="R58" s="28">
        <f>(INDEX(Option4!R$110:R$121, MATCH($D58, Option4!$G$110:$G$121,0)))*conv_2026*R$7</f>
        <v>-2415670.2819422232</v>
      </c>
      <c r="S58" s="28">
        <f>(INDEX(Option4!S$110:S$121, MATCH($D58, Option4!$G$110:$G$121,0)))*conv_2026*S$7</f>
        <v>-2507690.8951327032</v>
      </c>
      <c r="T58" s="28">
        <f>(INDEX(Option4!T$110:T$121, MATCH($D58, Option4!$G$110:$G$121,0)))*conv_2026*T$7</f>
        <v>-2507690.8951327032</v>
      </c>
      <c r="U58" s="28">
        <f>(INDEX(Option4!U$110:U$121, MATCH($D58, Option4!$G$110:$G$121,0)))*conv_2026*U$7</f>
        <v>-2507690.8951327032</v>
      </c>
      <c r="V58" s="28">
        <f>(INDEX(Option4!V$110:V$121, MATCH($D58, Option4!$G$110:$G$121,0)))*conv_2026*V$7</f>
        <v>-2507690.8951327032</v>
      </c>
      <c r="W58" s="28">
        <f>(INDEX(Option4!W$110:W$121, MATCH($D58, Option4!$G$110:$G$121,0)))*conv_2026*W$7</f>
        <v>-2507690.8951327032</v>
      </c>
      <c r="X58" s="28">
        <f>(INDEX(Option4!X$110:X$121, MATCH($D58, Option4!$G$110:$G$121,0)))*conv_2026*X$7</f>
        <v>-2507690.8951327032</v>
      </c>
      <c r="Y58" s="28">
        <f>(INDEX(Option4!Y$110:Y$121, MATCH($D58, Option4!$G$110:$G$121,0)))*conv_2026*Y$7</f>
        <v>-2507690.8951327032</v>
      </c>
      <c r="Z58" s="28">
        <f>(INDEX(Option4!Z$110:Z$121, MATCH($D58, Option4!$G$110:$G$121,0)))*conv_2026*Z$7</f>
        <v>-2507690.8951327032</v>
      </c>
      <c r="AA58" s="28">
        <f>(INDEX(Option4!AA$110:AA$121, MATCH($D58, Option4!$G$110:$G$121,0)))*conv_2026*AA$7</f>
        <v>-2507690.8951327032</v>
      </c>
      <c r="AB58" s="28">
        <f>(INDEX(Option4!AB$110:AB$121, MATCH($D58, Option4!$G$110:$G$121,0)))*conv_2026*AB$7</f>
        <v>-2507690.8951327032</v>
      </c>
      <c r="AC58" s="28">
        <f>(INDEX(Option4!AC$110:AC$121, MATCH($D58, Option4!$G$110:$G$121,0)))*conv_2026*AC$7</f>
        <v>0</v>
      </c>
      <c r="AD58" s="28">
        <f>(INDEX(Option4!AD$110:AD$121, MATCH($D58, Option4!$G$110:$G$121,0)))*conv_2026*AD$7</f>
        <v>0</v>
      </c>
      <c r="AE58" s="28">
        <f>(INDEX(Option4!AE$110:AE$121, MATCH($D58, Option4!$G$110:$G$121,0)))*conv_2026*AE$7</f>
        <v>0</v>
      </c>
      <c r="AF58" s="28">
        <f>(INDEX(Option4!AF$110:AF$121, MATCH($D58, Option4!$G$110:$G$121,0)))*conv_2026*AF$7</f>
        <v>0</v>
      </c>
      <c r="AG58" s="28">
        <f>(INDEX(Option4!AG$110:AG$121, MATCH($D58, Option4!$G$110:$G$121,0)))*conv_2026*AG$7</f>
        <v>0</v>
      </c>
      <c r="AH58" s="2"/>
      <c r="AI58" s="2"/>
    </row>
    <row r="59" spans="1:35" s="6" customFormat="1" x14ac:dyDescent="0.2">
      <c r="A59" s="217" t="s">
        <v>156</v>
      </c>
      <c r="B59" s="217" t="str">
        <f>Option4!A115</f>
        <v>sens2</v>
      </c>
      <c r="C59" s="217" t="str">
        <f>Option4!C115</f>
        <v>Capex 10% lower</v>
      </c>
      <c r="D59" s="217" t="str">
        <f t="shared" si="7"/>
        <v>Option 4sens2</v>
      </c>
      <c r="E59" s="209"/>
      <c r="F59" s="28">
        <f t="shared" si="6"/>
        <v>-25674570.160066545</v>
      </c>
      <c r="G59" s="217"/>
      <c r="H59" s="28">
        <f>(INDEX(Option4!H$110:H$121, MATCH($D59, Option4!$G$110:$G$121,0)))*conv_2026*H$7</f>
        <v>0</v>
      </c>
      <c r="I59" s="28">
        <f>(INDEX(Option4!I$110:I$121, MATCH($D59, Option4!$G$110:$G$121,0)))*conv_2026*I$7</f>
        <v>0</v>
      </c>
      <c r="J59" s="28">
        <f>(INDEX(Option4!J$110:J$121, MATCH($D59, Option4!$G$110:$G$121,0)))*conv_2026*J$7</f>
        <v>-254785.89605108145</v>
      </c>
      <c r="K59" s="28">
        <f>(INDEX(Option4!K$110:K$121, MATCH($D59, Option4!$G$110:$G$121,0)))*conv_2026*K$7</f>
        <v>-1307900.9330622181</v>
      </c>
      <c r="L59" s="28">
        <f>(INDEX(Option4!L$110:L$121, MATCH($D59, Option4!$G$110:$G$121,0)))*conv_2026*L$7</f>
        <v>-2378001.6964767599</v>
      </c>
      <c r="M59" s="28">
        <f>(INDEX(Option4!M$110:M$121, MATCH($D59, Option4!$G$110:$G$121,0)))*conv_2026*M$7</f>
        <v>-2523280.4238952119</v>
      </c>
      <c r="N59" s="28">
        <f>(INDEX(Option4!N$110:N$121, MATCH($D59, Option4!$G$110:$G$121,0)))*conv_2026*N$7</f>
        <v>-2461742.1789622097</v>
      </c>
      <c r="O59" s="28">
        <f>(INDEX(Option4!O$110:O$121, MATCH($D59, Option4!$G$110:$G$121,0)))*conv_2026*O$7</f>
        <v>-2355093.8569374499</v>
      </c>
      <c r="P59" s="28">
        <f>(INDEX(Option4!P$110:P$121, MATCH($D59, Option4!$G$110:$G$121,0)))*conv_2026*P$7</f>
        <v>-2189671.0203824071</v>
      </c>
      <c r="Q59" s="28">
        <f>(INDEX(Option4!Q$110:Q$121, MATCH($D59, Option4!$G$110:$G$121,0)))*conv_2026*Q$7</f>
        <v>-2007082.6120372256</v>
      </c>
      <c r="R59" s="28">
        <f>(INDEX(Option4!R$110:R$121, MATCH($D59, Option4!$G$110:$G$121,0)))*conv_2026*R$7</f>
        <v>-1830606.3724915918</v>
      </c>
      <c r="S59" s="28">
        <f>(INDEX(Option4!S$110:S$121, MATCH($D59, Option4!$G$110:$G$121,0)))*conv_2026*S$7</f>
        <v>-1922626.9856820719</v>
      </c>
      <c r="T59" s="28">
        <f>(INDEX(Option4!T$110:T$121, MATCH($D59, Option4!$G$110:$G$121,0)))*conv_2026*T$7</f>
        <v>-1922626.9856820719</v>
      </c>
      <c r="U59" s="28">
        <f>(INDEX(Option4!U$110:U$121, MATCH($D59, Option4!$G$110:$G$121,0)))*conv_2026*U$7</f>
        <v>-1922626.9856820719</v>
      </c>
      <c r="V59" s="28">
        <f>(INDEX(Option4!V$110:V$121, MATCH($D59, Option4!$G$110:$G$121,0)))*conv_2026*V$7</f>
        <v>-1922626.9856820719</v>
      </c>
      <c r="W59" s="28">
        <f>(INDEX(Option4!W$110:W$121, MATCH($D59, Option4!$G$110:$G$121,0)))*conv_2026*W$7</f>
        <v>-1922626.9856820719</v>
      </c>
      <c r="X59" s="28">
        <f>(INDEX(Option4!X$110:X$121, MATCH($D59, Option4!$G$110:$G$121,0)))*conv_2026*X$7</f>
        <v>-1922626.9856820719</v>
      </c>
      <c r="Y59" s="28">
        <f>(INDEX(Option4!Y$110:Y$121, MATCH($D59, Option4!$G$110:$G$121,0)))*conv_2026*Y$7</f>
        <v>-1922626.9856820719</v>
      </c>
      <c r="Z59" s="28">
        <f>(INDEX(Option4!Z$110:Z$121, MATCH($D59, Option4!$G$110:$G$121,0)))*conv_2026*Z$7</f>
        <v>-1922626.9856820719</v>
      </c>
      <c r="AA59" s="28">
        <f>(INDEX(Option4!AA$110:AA$121, MATCH($D59, Option4!$G$110:$G$121,0)))*conv_2026*AA$7</f>
        <v>-1922626.9856820719</v>
      </c>
      <c r="AB59" s="28">
        <f>(INDEX(Option4!AB$110:AB$121, MATCH($D59, Option4!$G$110:$G$121,0)))*conv_2026*AB$7</f>
        <v>-1922626.9856820719</v>
      </c>
      <c r="AC59" s="28">
        <f>(INDEX(Option4!AC$110:AC$121, MATCH($D59, Option4!$G$110:$G$121,0)))*conv_2026*AC$7</f>
        <v>0</v>
      </c>
      <c r="AD59" s="28">
        <f>(INDEX(Option4!AD$110:AD$121, MATCH($D59, Option4!$G$110:$G$121,0)))*conv_2026*AD$7</f>
        <v>0</v>
      </c>
      <c r="AE59" s="28">
        <f>(INDEX(Option4!AE$110:AE$121, MATCH($D59, Option4!$G$110:$G$121,0)))*conv_2026*AE$7</f>
        <v>0</v>
      </c>
      <c r="AF59" s="28">
        <f>(INDEX(Option4!AF$110:AF$121, MATCH($D59, Option4!$G$110:$G$121,0)))*conv_2026*AF$7</f>
        <v>0</v>
      </c>
      <c r="AG59" s="28">
        <f>(INDEX(Option4!AG$110:AG$121, MATCH($D59, Option4!$G$110:$G$121,0)))*conv_2026*AG$7</f>
        <v>0</v>
      </c>
    </row>
    <row r="60" spans="1:35" s="6" customFormat="1" x14ac:dyDescent="0.2">
      <c r="A60" s="217" t="s">
        <v>156</v>
      </c>
      <c r="B60" s="217" t="str">
        <f>Option4!A116</f>
        <v>sens3</v>
      </c>
      <c r="C60" s="217" t="str">
        <f>Option4!C116</f>
        <v>Total benefits 10% higher</v>
      </c>
      <c r="D60" s="217" t="str">
        <f t="shared" si="7"/>
        <v>Option 4sens3</v>
      </c>
      <c r="E60" s="209"/>
      <c r="F60" s="28">
        <f t="shared" si="6"/>
        <v>-28595133.246688381</v>
      </c>
      <c r="H60" s="28">
        <f>(INDEX(Option4!H$110:H$121, MATCH($D60, Option4!$G$110:$G$121,0)))*conv_2026*H$7</f>
        <v>0</v>
      </c>
      <c r="I60" s="28">
        <f>(INDEX(Option4!I$110:I$121, MATCH($D60, Option4!$G$110:$G$121,0)))*conv_2026*I$7</f>
        <v>0</v>
      </c>
      <c r="J60" s="28">
        <f>(INDEX(Option4!J$110:J$121, MATCH($D60, Option4!$G$110:$G$121,0)))*conv_2026*J$7</f>
        <v>-283095.44005675713</v>
      </c>
      <c r="K60" s="28">
        <f>(INDEX(Option4!K$110:K$121, MATCH($D60, Option4!$G$110:$G$121,0)))*conv_2026*K$7</f>
        <v>-1453223.2589580202</v>
      </c>
      <c r="L60" s="28">
        <f>(INDEX(Option4!L$110:L$121, MATCH($D60, Option4!$G$110:$G$121,0)))*conv_2026*L$7</f>
        <v>-2642224.1071963999</v>
      </c>
      <c r="M60" s="28">
        <f>(INDEX(Option4!M$110:M$121, MATCH($D60, Option4!$G$110:$G$121,0)))*conv_2026*M$7</f>
        <v>-2804861.6617572643</v>
      </c>
      <c r="N60" s="28">
        <f>(INDEX(Option4!N$110:N$121, MATCH($D60, Option4!$G$110:$G$121,0)))*conv_2026*N$7</f>
        <v>-2737169.592330962</v>
      </c>
      <c r="O60" s="28">
        <f>(INDEX(Option4!O$110:O$121, MATCH($D60, Option4!$G$110:$G$121,0)))*conv_2026*O$7</f>
        <v>-2619856.4381037266</v>
      </c>
      <c r="P60" s="28">
        <f>(INDEX(Option4!P$110:P$121, MATCH($D60, Option4!$G$110:$G$121,0)))*conv_2026*P$7</f>
        <v>-2437891.3178931796</v>
      </c>
      <c r="Q60" s="28">
        <f>(INDEX(Option4!Q$110:Q$121, MATCH($D60, Option4!$G$110:$G$121,0)))*conv_2026*Q$7</f>
        <v>-2237044.0687134801</v>
      </c>
      <c r="R60" s="28">
        <f>(INDEX(Option4!R$110:R$121, MATCH($D60, Option4!$G$110:$G$121,0)))*conv_2026*R$7</f>
        <v>-2042920.2052132825</v>
      </c>
      <c r="S60" s="28">
        <f>(INDEX(Option4!S$110:S$121, MATCH($D60, Option4!$G$110:$G$121,0)))*conv_2026*S$7</f>
        <v>-2144142.8797228108</v>
      </c>
      <c r="T60" s="28">
        <f>(INDEX(Option4!T$110:T$121, MATCH($D60, Option4!$G$110:$G$121,0)))*conv_2026*T$7</f>
        <v>-2144142.8797228108</v>
      </c>
      <c r="U60" s="28">
        <f>(INDEX(Option4!U$110:U$121, MATCH($D60, Option4!$G$110:$G$121,0)))*conv_2026*U$7</f>
        <v>-2144142.8797228108</v>
      </c>
      <c r="V60" s="28">
        <f>(INDEX(Option4!V$110:V$121, MATCH($D60, Option4!$G$110:$G$121,0)))*conv_2026*V$7</f>
        <v>-2144142.8797228108</v>
      </c>
      <c r="W60" s="28">
        <f>(INDEX(Option4!W$110:W$121, MATCH($D60, Option4!$G$110:$G$121,0)))*conv_2026*W$7</f>
        <v>-2144142.8797228108</v>
      </c>
      <c r="X60" s="28">
        <f>(INDEX(Option4!X$110:X$121, MATCH($D60, Option4!$G$110:$G$121,0)))*conv_2026*X$7</f>
        <v>-2144142.8797228108</v>
      </c>
      <c r="Y60" s="28">
        <f>(INDEX(Option4!Y$110:Y$121, MATCH($D60, Option4!$G$110:$G$121,0)))*conv_2026*Y$7</f>
        <v>-2144142.8797228108</v>
      </c>
      <c r="Z60" s="28">
        <f>(INDEX(Option4!Z$110:Z$121, MATCH($D60, Option4!$G$110:$G$121,0)))*conv_2026*Z$7</f>
        <v>-2144142.8797228108</v>
      </c>
      <c r="AA60" s="28">
        <f>(INDEX(Option4!AA$110:AA$121, MATCH($D60, Option4!$G$110:$G$121,0)))*conv_2026*AA$7</f>
        <v>-2144142.8797228108</v>
      </c>
      <c r="AB60" s="28">
        <f>(INDEX(Option4!AB$110:AB$121, MATCH($D60, Option4!$G$110:$G$121,0)))*conv_2026*AB$7</f>
        <v>-2144142.8797228108</v>
      </c>
      <c r="AC60" s="28">
        <f>(INDEX(Option4!AC$110:AC$121, MATCH($D60, Option4!$G$110:$G$121,0)))*conv_2026*AC$7</f>
        <v>0</v>
      </c>
      <c r="AD60" s="28">
        <f>(INDEX(Option4!AD$110:AD$121, MATCH($D60, Option4!$G$110:$G$121,0)))*conv_2026*AD$7</f>
        <v>0</v>
      </c>
      <c r="AE60" s="28">
        <f>(INDEX(Option4!AE$110:AE$121, MATCH($D60, Option4!$G$110:$G$121,0)))*conv_2026*AE$7</f>
        <v>0</v>
      </c>
      <c r="AF60" s="28">
        <f>(INDEX(Option4!AF$110:AF$121, MATCH($D60, Option4!$G$110:$G$121,0)))*conv_2026*AF$7</f>
        <v>0</v>
      </c>
      <c r="AG60" s="28">
        <f>(INDEX(Option4!AG$110:AG$121, MATCH($D60, Option4!$G$110:$G$121,0)))*conv_2026*AG$7</f>
        <v>0</v>
      </c>
    </row>
    <row r="61" spans="1:35" s="6" customFormat="1" x14ac:dyDescent="0.2">
      <c r="A61" s="217" t="s">
        <v>156</v>
      </c>
      <c r="B61" s="217" t="str">
        <f>Option4!A117</f>
        <v>sens4</v>
      </c>
      <c r="C61" s="217" t="str">
        <f>Option4!C117</f>
        <v>Total benefits 10% lower</v>
      </c>
      <c r="D61" s="217" t="str">
        <f t="shared" si="7"/>
        <v>Option 4sens4</v>
      </c>
      <c r="E61" s="209"/>
      <c r="F61" s="28">
        <f t="shared" si="6"/>
        <v>-29816128.485748172</v>
      </c>
      <c r="H61" s="28">
        <f>(INDEX(Option4!H$110:H$121, MATCH($D61, Option4!$G$110:$G$121,0)))*conv_2026*H$7</f>
        <v>0</v>
      </c>
      <c r="I61" s="28">
        <f>(INDEX(Option4!I$110:I$121, MATCH($D61, Option4!$G$110:$G$121,0)))*conv_2026*I$7</f>
        <v>0</v>
      </c>
      <c r="J61" s="28">
        <f>(INDEX(Option4!J$110:J$121, MATCH($D61, Option4!$G$110:$G$121,0)))*conv_2026*J$7</f>
        <v>-283095.44005675713</v>
      </c>
      <c r="K61" s="28">
        <f>(INDEX(Option4!K$110:K$121, MATCH($D61, Option4!$G$110:$G$121,0)))*conv_2026*K$7</f>
        <v>-1453223.2589580202</v>
      </c>
      <c r="L61" s="28">
        <f>(INDEX(Option4!L$110:L$121, MATCH($D61, Option4!$G$110:$G$121,0)))*conv_2026*L$7</f>
        <v>-2642224.1071963999</v>
      </c>
      <c r="M61" s="28">
        <f>(INDEX(Option4!M$110:M$121, MATCH($D61, Option4!$G$110:$G$121,0)))*conv_2026*M$7</f>
        <v>-2826763.0954837906</v>
      </c>
      <c r="N61" s="28">
        <f>(INDEX(Option4!N$110:N$121, MATCH($D61, Option4!$G$110:$G$121,0)))*conv_2026*N$7</f>
        <v>-2771378.6750440886</v>
      </c>
      <c r="O61" s="28">
        <f>(INDEX(Option4!O$110:O$121, MATCH($D61, Option4!$G$110:$G$121,0)))*conv_2026*O$7</f>
        <v>-2675395.1852218048</v>
      </c>
      <c r="P61" s="28">
        <f>(INDEX(Option4!P$110:P$121, MATCH($D61, Option4!$G$110:$G$121,0)))*conv_2026*P$7</f>
        <v>-2526514.6323222662</v>
      </c>
      <c r="Q61" s="28">
        <f>(INDEX(Option4!Q$110:Q$121, MATCH($D61, Option4!$G$110:$G$121,0)))*conv_2026*Q$7</f>
        <v>-2362185.0648116032</v>
      </c>
      <c r="R61" s="28">
        <f>(INDEX(Option4!R$110:R$121, MATCH($D61, Option4!$G$110:$G$121,0)))*conv_2026*R$7</f>
        <v>-2203356.4492205326</v>
      </c>
      <c r="S61" s="28">
        <f>(INDEX(Option4!S$110:S$121, MATCH($D61, Option4!$G$110:$G$121,0)))*conv_2026*S$7</f>
        <v>-2286175.0010919645</v>
      </c>
      <c r="T61" s="28">
        <f>(INDEX(Option4!T$110:T$121, MATCH($D61, Option4!$G$110:$G$121,0)))*conv_2026*T$7</f>
        <v>-2286175.0010919645</v>
      </c>
      <c r="U61" s="28">
        <f>(INDEX(Option4!U$110:U$121, MATCH($D61, Option4!$G$110:$G$121,0)))*conv_2026*U$7</f>
        <v>-2286175.0010919645</v>
      </c>
      <c r="V61" s="28">
        <f>(INDEX(Option4!V$110:V$121, MATCH($D61, Option4!$G$110:$G$121,0)))*conv_2026*V$7</f>
        <v>-2286175.0010919645</v>
      </c>
      <c r="W61" s="28">
        <f>(INDEX(Option4!W$110:W$121, MATCH($D61, Option4!$G$110:$G$121,0)))*conv_2026*W$7</f>
        <v>-2286175.0010919645</v>
      </c>
      <c r="X61" s="28">
        <f>(INDEX(Option4!X$110:X$121, MATCH($D61, Option4!$G$110:$G$121,0)))*conv_2026*X$7</f>
        <v>-2286175.0010919645</v>
      </c>
      <c r="Y61" s="28">
        <f>(INDEX(Option4!Y$110:Y$121, MATCH($D61, Option4!$G$110:$G$121,0)))*conv_2026*Y$7</f>
        <v>-2286175.0010919645</v>
      </c>
      <c r="Z61" s="28">
        <f>(INDEX(Option4!Z$110:Z$121, MATCH($D61, Option4!$G$110:$G$121,0)))*conv_2026*Z$7</f>
        <v>-2286175.0010919645</v>
      </c>
      <c r="AA61" s="28">
        <f>(INDEX(Option4!AA$110:AA$121, MATCH($D61, Option4!$G$110:$G$121,0)))*conv_2026*AA$7</f>
        <v>-2286175.0010919645</v>
      </c>
      <c r="AB61" s="28">
        <f>(INDEX(Option4!AB$110:AB$121, MATCH($D61, Option4!$G$110:$G$121,0)))*conv_2026*AB$7</f>
        <v>-2286175.0010919645</v>
      </c>
      <c r="AC61" s="28">
        <f>(INDEX(Option4!AC$110:AC$121, MATCH($D61, Option4!$G$110:$G$121,0)))*conv_2026*AC$7</f>
        <v>0</v>
      </c>
      <c r="AD61" s="28">
        <f>(INDEX(Option4!AD$110:AD$121, MATCH($D61, Option4!$G$110:$G$121,0)))*conv_2026*AD$7</f>
        <v>0</v>
      </c>
      <c r="AE61" s="28">
        <f>(INDEX(Option4!AE$110:AE$121, MATCH($D61, Option4!$G$110:$G$121,0)))*conv_2026*AE$7</f>
        <v>0</v>
      </c>
      <c r="AF61" s="28">
        <f>(INDEX(Option4!AF$110:AF$121, MATCH($D61, Option4!$G$110:$G$121,0)))*conv_2026*AF$7</f>
        <v>0</v>
      </c>
      <c r="AG61" s="28">
        <f>(INDEX(Option4!AG$110:AG$121, MATCH($D61, Option4!$G$110:$G$121,0)))*conv_2026*AG$7</f>
        <v>0</v>
      </c>
    </row>
    <row r="62" spans="1:35" s="6" customFormat="1" x14ac:dyDescent="0.2">
      <c r="A62" s="217" t="s">
        <v>156</v>
      </c>
      <c r="B62" s="217" t="str">
        <f>Option4!A118</f>
        <v>sens5</v>
      </c>
      <c r="C62" s="217" t="str">
        <f>Option4!C118</f>
        <v>Capex 10% higher &amp; Total benefits 10% lower</v>
      </c>
      <c r="D62" s="217" t="str">
        <f t="shared" si="7"/>
        <v>Option 4sens5</v>
      </c>
      <c r="E62" s="209"/>
      <c r="F62" s="28">
        <f t="shared" si="6"/>
        <v>-33347189.191899903</v>
      </c>
      <c r="H62" s="28">
        <f>(INDEX(Option4!H$110:H$121, MATCH($D62, Option4!$G$110:$G$121,0)))*conv_2026*H$7</f>
        <v>0</v>
      </c>
      <c r="I62" s="28">
        <f>(INDEX(Option4!I$110:I$121, MATCH($D62, Option4!$G$110:$G$121,0)))*conv_2026*I$7</f>
        <v>0</v>
      </c>
      <c r="J62" s="28">
        <f>(INDEX(Option4!J$110:J$121, MATCH($D62, Option4!$G$110:$G$121,0)))*conv_2026*J$7</f>
        <v>-311404.98406243289</v>
      </c>
      <c r="K62" s="28">
        <f>(INDEX(Option4!K$110:K$121, MATCH($D62, Option4!$G$110:$G$121,0)))*conv_2026*K$7</f>
        <v>-1598545.5848538224</v>
      </c>
      <c r="L62" s="28">
        <f>(INDEX(Option4!L$110:L$121, MATCH($D62, Option4!$G$110:$G$121,0)))*conv_2026*L$7</f>
        <v>-2906446.5179160405</v>
      </c>
      <c r="M62" s="28">
        <f>(INDEX(Option4!M$110:M$121, MATCH($D62, Option4!$G$110:$G$121,0)))*conv_2026*M$7</f>
        <v>-3119295.0502091059</v>
      </c>
      <c r="N62" s="28">
        <f>(INDEX(Option4!N$110:N$121, MATCH($D62, Option4!$G$110:$G$121,0)))*conv_2026*N$7</f>
        <v>-3063910.629769404</v>
      </c>
      <c r="O62" s="28">
        <f>(INDEX(Option4!O$110:O$121, MATCH($D62, Option4!$G$110:$G$121,0)))*conv_2026*O$7</f>
        <v>-2967927.1399471206</v>
      </c>
      <c r="P62" s="28">
        <f>(INDEX(Option4!P$110:P$121, MATCH($D62, Option4!$G$110:$G$121,0)))*conv_2026*P$7</f>
        <v>-2819046.587047582</v>
      </c>
      <c r="Q62" s="28">
        <f>(INDEX(Option4!Q$110:Q$121, MATCH($D62, Option4!$G$110:$G$121,0)))*conv_2026*Q$7</f>
        <v>-2654717.019536919</v>
      </c>
      <c r="R62" s="28">
        <f>(INDEX(Option4!R$110:R$121, MATCH($D62, Option4!$G$110:$G$121,0)))*conv_2026*R$7</f>
        <v>-2495888.4039458483</v>
      </c>
      <c r="S62" s="28">
        <f>(INDEX(Option4!S$110:S$121, MATCH($D62, Option4!$G$110:$G$121,0)))*conv_2026*S$7</f>
        <v>-2578706.9558172803</v>
      </c>
      <c r="T62" s="28">
        <f>(INDEX(Option4!T$110:T$121, MATCH($D62, Option4!$G$110:$G$121,0)))*conv_2026*T$7</f>
        <v>-2578706.9558172803</v>
      </c>
      <c r="U62" s="28">
        <f>(INDEX(Option4!U$110:U$121, MATCH($D62, Option4!$G$110:$G$121,0)))*conv_2026*U$7</f>
        <v>-2578706.9558172803</v>
      </c>
      <c r="V62" s="28">
        <f>(INDEX(Option4!V$110:V$121, MATCH($D62, Option4!$G$110:$G$121,0)))*conv_2026*V$7</f>
        <v>-2578706.9558172803</v>
      </c>
      <c r="W62" s="28">
        <f>(INDEX(Option4!W$110:W$121, MATCH($D62, Option4!$G$110:$G$121,0)))*conv_2026*W$7</f>
        <v>-2578706.9558172803</v>
      </c>
      <c r="X62" s="28">
        <f>(INDEX(Option4!X$110:X$121, MATCH($D62, Option4!$G$110:$G$121,0)))*conv_2026*X$7</f>
        <v>-2578706.9558172803</v>
      </c>
      <c r="Y62" s="28">
        <f>(INDEX(Option4!Y$110:Y$121, MATCH($D62, Option4!$G$110:$G$121,0)))*conv_2026*Y$7</f>
        <v>-2578706.9558172803</v>
      </c>
      <c r="Z62" s="28">
        <f>(INDEX(Option4!Z$110:Z$121, MATCH($D62, Option4!$G$110:$G$121,0)))*conv_2026*Z$7</f>
        <v>-2578706.9558172803</v>
      </c>
      <c r="AA62" s="28">
        <f>(INDEX(Option4!AA$110:AA$121, MATCH($D62, Option4!$G$110:$G$121,0)))*conv_2026*AA$7</f>
        <v>-2578706.9558172803</v>
      </c>
      <c r="AB62" s="28">
        <f>(INDEX(Option4!AB$110:AB$121, MATCH($D62, Option4!$G$110:$G$121,0)))*conv_2026*AB$7</f>
        <v>-2578706.9558172803</v>
      </c>
      <c r="AC62" s="28">
        <f>(INDEX(Option4!AC$110:AC$121, MATCH($D62, Option4!$G$110:$G$121,0)))*conv_2026*AC$7</f>
        <v>0</v>
      </c>
      <c r="AD62" s="28">
        <f>(INDEX(Option4!AD$110:AD$121, MATCH($D62, Option4!$G$110:$G$121,0)))*conv_2026*AD$7</f>
        <v>0</v>
      </c>
      <c r="AE62" s="28">
        <f>(INDEX(Option4!AE$110:AE$121, MATCH($D62, Option4!$G$110:$G$121,0)))*conv_2026*AE$7</f>
        <v>0</v>
      </c>
      <c r="AF62" s="28">
        <f>(INDEX(Option4!AF$110:AF$121, MATCH($D62, Option4!$G$110:$G$121,0)))*conv_2026*AF$7</f>
        <v>0</v>
      </c>
      <c r="AG62" s="28">
        <f>(INDEX(Option4!AG$110:AG$121, MATCH($D62, Option4!$G$110:$G$121,0)))*conv_2026*AG$7</f>
        <v>0</v>
      </c>
    </row>
    <row r="63" spans="1:35" s="6" customFormat="1" x14ac:dyDescent="0.2">
      <c r="A63" s="217" t="s">
        <v>156</v>
      </c>
      <c r="B63" s="217" t="str">
        <f>Option4!A119</f>
        <v>sens</v>
      </c>
      <c r="C63" s="217">
        <f>Option4!C119</f>
        <v>0</v>
      </c>
      <c r="D63" s="217" t="str">
        <f t="shared" si="7"/>
        <v>Option 4sens</v>
      </c>
      <c r="E63" s="209"/>
      <c r="F63" s="28">
        <f t="shared" si="6"/>
        <v>-29205630.866218276</v>
      </c>
      <c r="H63" s="28">
        <f>(INDEX(Option4!H$110:H$121, MATCH($D63, Option4!$G$110:$G$121,0)))*conv_2026*H$7</f>
        <v>0</v>
      </c>
      <c r="I63" s="28">
        <f>(INDEX(Option4!I$110:I$121, MATCH($D63, Option4!$G$110:$G$121,0)))*conv_2026*I$7</f>
        <v>0</v>
      </c>
      <c r="J63" s="28">
        <f>(INDEX(Option4!J$110:J$121, MATCH($D63, Option4!$G$110:$G$121,0)))*conv_2026*J$7</f>
        <v>-283095.44005675713</v>
      </c>
      <c r="K63" s="28">
        <f>(INDEX(Option4!K$110:K$121, MATCH($D63, Option4!$G$110:$G$121,0)))*conv_2026*K$7</f>
        <v>-1453223.2589580202</v>
      </c>
      <c r="L63" s="28">
        <f>(INDEX(Option4!L$110:L$121, MATCH($D63, Option4!$G$110:$G$121,0)))*conv_2026*L$7</f>
        <v>-2642224.1071963999</v>
      </c>
      <c r="M63" s="28">
        <f>(INDEX(Option4!M$110:M$121, MATCH($D63, Option4!$G$110:$G$121,0)))*conv_2026*M$7</f>
        <v>-2815812.3786205272</v>
      </c>
      <c r="N63" s="28">
        <f>(INDEX(Option4!N$110:N$121, MATCH($D63, Option4!$G$110:$G$121,0)))*conv_2026*N$7</f>
        <v>-2754274.1336875251</v>
      </c>
      <c r="O63" s="28">
        <f>(INDEX(Option4!O$110:O$121, MATCH($D63, Option4!$G$110:$G$121,0)))*conv_2026*O$7</f>
        <v>-2647625.8116627657</v>
      </c>
      <c r="P63" s="28">
        <f>(INDEX(Option4!P$110:P$121, MATCH($D63, Option4!$G$110:$G$121,0)))*conv_2026*P$7</f>
        <v>-2482202.9751077229</v>
      </c>
      <c r="Q63" s="28">
        <f>(INDEX(Option4!Q$110:Q$121, MATCH($D63, Option4!$G$110:$G$121,0)))*conv_2026*Q$7</f>
        <v>-2299614.5667625414</v>
      </c>
      <c r="R63" s="28">
        <f>(INDEX(Option4!R$110:R$121, MATCH($D63, Option4!$G$110:$G$121,0)))*conv_2026*R$7</f>
        <v>-2123138.3272169074</v>
      </c>
      <c r="S63" s="28">
        <f>(INDEX(Option4!S$110:S$121, MATCH($D63, Option4!$G$110:$G$121,0)))*conv_2026*S$7</f>
        <v>-2215158.9404073879</v>
      </c>
      <c r="T63" s="28">
        <f>(INDEX(Option4!T$110:T$121, MATCH($D63, Option4!$G$110:$G$121,0)))*conv_2026*T$7</f>
        <v>-2215158.9404073879</v>
      </c>
      <c r="U63" s="28">
        <f>(INDEX(Option4!U$110:U$121, MATCH($D63, Option4!$G$110:$G$121,0)))*conv_2026*U$7</f>
        <v>-2215158.9404073879</v>
      </c>
      <c r="V63" s="28">
        <f>(INDEX(Option4!V$110:V$121, MATCH($D63, Option4!$G$110:$G$121,0)))*conv_2026*V$7</f>
        <v>-2215158.9404073879</v>
      </c>
      <c r="W63" s="28">
        <f>(INDEX(Option4!W$110:W$121, MATCH($D63, Option4!$G$110:$G$121,0)))*conv_2026*W$7</f>
        <v>-2215158.9404073879</v>
      </c>
      <c r="X63" s="28">
        <f>(INDEX(Option4!X$110:X$121, MATCH($D63, Option4!$G$110:$G$121,0)))*conv_2026*X$7</f>
        <v>-2215158.9404073879</v>
      </c>
      <c r="Y63" s="28">
        <f>(INDEX(Option4!Y$110:Y$121, MATCH($D63, Option4!$G$110:$G$121,0)))*conv_2026*Y$7</f>
        <v>-2215158.9404073879</v>
      </c>
      <c r="Z63" s="28">
        <f>(INDEX(Option4!Z$110:Z$121, MATCH($D63, Option4!$G$110:$G$121,0)))*conv_2026*Z$7</f>
        <v>-2215158.9404073879</v>
      </c>
      <c r="AA63" s="28">
        <f>(INDEX(Option4!AA$110:AA$121, MATCH($D63, Option4!$G$110:$G$121,0)))*conv_2026*AA$7</f>
        <v>-2215158.9404073879</v>
      </c>
      <c r="AB63" s="28">
        <f>(INDEX(Option4!AB$110:AB$121, MATCH($D63, Option4!$G$110:$G$121,0)))*conv_2026*AB$7</f>
        <v>-2215158.9404073879</v>
      </c>
      <c r="AC63" s="28">
        <f>(INDEX(Option4!AC$110:AC$121, MATCH($D63, Option4!$G$110:$G$121,0)))*conv_2026*AC$7</f>
        <v>0</v>
      </c>
      <c r="AD63" s="28">
        <f>(INDEX(Option4!AD$110:AD$121, MATCH($D63, Option4!$G$110:$G$121,0)))*conv_2026*AD$7</f>
        <v>0</v>
      </c>
      <c r="AE63" s="28">
        <f>(INDEX(Option4!AE$110:AE$121, MATCH($D63, Option4!$G$110:$G$121,0)))*conv_2026*AE$7</f>
        <v>0</v>
      </c>
      <c r="AF63" s="28">
        <f>(INDEX(Option4!AF$110:AF$121, MATCH($D63, Option4!$G$110:$G$121,0)))*conv_2026*AF$7</f>
        <v>0</v>
      </c>
      <c r="AG63" s="28">
        <f>(INDEX(Option4!AG$110:AG$121, MATCH($D63, Option4!$G$110:$G$121,0)))*conv_2026*AG$7</f>
        <v>0</v>
      </c>
    </row>
    <row r="64" spans="1:35" s="6" customFormat="1" x14ac:dyDescent="0.2">
      <c r="A64" s="217" t="s">
        <v>156</v>
      </c>
      <c r="B64" s="217" t="str">
        <f>Option4!A120</f>
        <v>sens</v>
      </c>
      <c r="C64" s="217">
        <f>Option4!C120</f>
        <v>0</v>
      </c>
      <c r="D64" s="217" t="str">
        <f t="shared" si="7"/>
        <v>Option 4sens</v>
      </c>
      <c r="E64" s="209"/>
      <c r="F64" s="28">
        <f t="shared" si="6"/>
        <v>-29205630.866218276</v>
      </c>
      <c r="H64" s="28">
        <f>(INDEX(Option4!H$110:H$121, MATCH($D64, Option4!$G$110:$G$121,0)))*conv_2026*H$7</f>
        <v>0</v>
      </c>
      <c r="I64" s="28">
        <f>(INDEX(Option4!I$110:I$121, MATCH($D64, Option4!$G$110:$G$121,0)))*conv_2026*I$7</f>
        <v>0</v>
      </c>
      <c r="J64" s="28">
        <f>(INDEX(Option4!J$110:J$121, MATCH($D64, Option4!$G$110:$G$121,0)))*conv_2026*J$7</f>
        <v>-283095.44005675713</v>
      </c>
      <c r="K64" s="28">
        <f>(INDEX(Option4!K$110:K$121, MATCH($D64, Option4!$G$110:$G$121,0)))*conv_2026*K$7</f>
        <v>-1453223.2589580202</v>
      </c>
      <c r="L64" s="28">
        <f>(INDEX(Option4!L$110:L$121, MATCH($D64, Option4!$G$110:$G$121,0)))*conv_2026*L$7</f>
        <v>-2642224.1071963999</v>
      </c>
      <c r="M64" s="28">
        <f>(INDEX(Option4!M$110:M$121, MATCH($D64, Option4!$G$110:$G$121,0)))*conv_2026*M$7</f>
        <v>-2815812.3786205272</v>
      </c>
      <c r="N64" s="28">
        <f>(INDEX(Option4!N$110:N$121, MATCH($D64, Option4!$G$110:$G$121,0)))*conv_2026*N$7</f>
        <v>-2754274.1336875251</v>
      </c>
      <c r="O64" s="28">
        <f>(INDEX(Option4!O$110:O$121, MATCH($D64, Option4!$G$110:$G$121,0)))*conv_2026*O$7</f>
        <v>-2647625.8116627657</v>
      </c>
      <c r="P64" s="28">
        <f>(INDEX(Option4!P$110:P$121, MATCH($D64, Option4!$G$110:$G$121,0)))*conv_2026*P$7</f>
        <v>-2482202.9751077229</v>
      </c>
      <c r="Q64" s="28">
        <f>(INDEX(Option4!Q$110:Q$121, MATCH($D64, Option4!$G$110:$G$121,0)))*conv_2026*Q$7</f>
        <v>-2299614.5667625414</v>
      </c>
      <c r="R64" s="28">
        <f>(INDEX(Option4!R$110:R$121, MATCH($D64, Option4!$G$110:$G$121,0)))*conv_2026*R$7</f>
        <v>-2123138.3272169074</v>
      </c>
      <c r="S64" s="28">
        <f>(INDEX(Option4!S$110:S$121, MATCH($D64, Option4!$G$110:$G$121,0)))*conv_2026*S$7</f>
        <v>-2215158.9404073879</v>
      </c>
      <c r="T64" s="28">
        <f>(INDEX(Option4!T$110:T$121, MATCH($D64, Option4!$G$110:$G$121,0)))*conv_2026*T$7</f>
        <v>-2215158.9404073879</v>
      </c>
      <c r="U64" s="28">
        <f>(INDEX(Option4!U$110:U$121, MATCH($D64, Option4!$G$110:$G$121,0)))*conv_2026*U$7</f>
        <v>-2215158.9404073879</v>
      </c>
      <c r="V64" s="28">
        <f>(INDEX(Option4!V$110:V$121, MATCH($D64, Option4!$G$110:$G$121,0)))*conv_2026*V$7</f>
        <v>-2215158.9404073879</v>
      </c>
      <c r="W64" s="28">
        <f>(INDEX(Option4!W$110:W$121, MATCH($D64, Option4!$G$110:$G$121,0)))*conv_2026*W$7</f>
        <v>-2215158.9404073879</v>
      </c>
      <c r="X64" s="28">
        <f>(INDEX(Option4!X$110:X$121, MATCH($D64, Option4!$G$110:$G$121,0)))*conv_2026*X$7</f>
        <v>-2215158.9404073879</v>
      </c>
      <c r="Y64" s="28">
        <f>(INDEX(Option4!Y$110:Y$121, MATCH($D64, Option4!$G$110:$G$121,0)))*conv_2026*Y$7</f>
        <v>-2215158.9404073879</v>
      </c>
      <c r="Z64" s="28">
        <f>(INDEX(Option4!Z$110:Z$121, MATCH($D64, Option4!$G$110:$G$121,0)))*conv_2026*Z$7</f>
        <v>-2215158.9404073879</v>
      </c>
      <c r="AA64" s="28">
        <f>(INDEX(Option4!AA$110:AA$121, MATCH($D64, Option4!$G$110:$G$121,0)))*conv_2026*AA$7</f>
        <v>-2215158.9404073879</v>
      </c>
      <c r="AB64" s="28">
        <f>(INDEX(Option4!AB$110:AB$121, MATCH($D64, Option4!$G$110:$G$121,0)))*conv_2026*AB$7</f>
        <v>-2215158.9404073879</v>
      </c>
      <c r="AC64" s="28">
        <f>(INDEX(Option4!AC$110:AC$121, MATCH($D64, Option4!$G$110:$G$121,0)))*conv_2026*AC$7</f>
        <v>0</v>
      </c>
      <c r="AD64" s="28">
        <f>(INDEX(Option4!AD$110:AD$121, MATCH($D64, Option4!$G$110:$G$121,0)))*conv_2026*AD$7</f>
        <v>0</v>
      </c>
      <c r="AE64" s="28">
        <f>(INDEX(Option4!AE$110:AE$121, MATCH($D64, Option4!$G$110:$G$121,0)))*conv_2026*AE$7</f>
        <v>0</v>
      </c>
      <c r="AF64" s="28">
        <f>(INDEX(Option4!AF$110:AF$121, MATCH($D64, Option4!$G$110:$G$121,0)))*conv_2026*AF$7</f>
        <v>0</v>
      </c>
      <c r="AG64" s="28">
        <f>(INDEX(Option4!AG$110:AG$121, MATCH($D64, Option4!$G$110:$G$121,0)))*conv_2026*AG$7</f>
        <v>0</v>
      </c>
    </row>
    <row r="65" spans="1:35" s="6" customFormat="1" x14ac:dyDescent="0.2">
      <c r="A65" s="217" t="s">
        <v>156</v>
      </c>
      <c r="B65" s="217" t="str">
        <f>Option4!A121</f>
        <v>sens</v>
      </c>
      <c r="C65" s="217">
        <f>Option4!C121</f>
        <v>0</v>
      </c>
      <c r="D65" s="217" t="str">
        <f t="shared" si="7"/>
        <v>Option 4sens</v>
      </c>
      <c r="E65" s="209"/>
      <c r="F65" s="28">
        <f t="shared" si="6"/>
        <v>-29205630.866218276</v>
      </c>
      <c r="H65" s="28">
        <f>(INDEX(Option4!H$110:H$121, MATCH($D65, Option4!$G$110:$G$121,0)))*conv_2026*H$7</f>
        <v>0</v>
      </c>
      <c r="I65" s="28">
        <f>(INDEX(Option4!I$110:I$121, MATCH($D65, Option4!$G$110:$G$121,0)))*conv_2026*I$7</f>
        <v>0</v>
      </c>
      <c r="J65" s="28">
        <f>(INDEX(Option4!J$110:J$121, MATCH($D65, Option4!$G$110:$G$121,0)))*conv_2026*J$7</f>
        <v>-283095.44005675713</v>
      </c>
      <c r="K65" s="28">
        <f>(INDEX(Option4!K$110:K$121, MATCH($D65, Option4!$G$110:$G$121,0)))*conv_2026*K$7</f>
        <v>-1453223.2589580202</v>
      </c>
      <c r="L65" s="28">
        <f>(INDEX(Option4!L$110:L$121, MATCH($D65, Option4!$G$110:$G$121,0)))*conv_2026*L$7</f>
        <v>-2642224.1071963999</v>
      </c>
      <c r="M65" s="28">
        <f>(INDEX(Option4!M$110:M$121, MATCH($D65, Option4!$G$110:$G$121,0)))*conv_2026*M$7</f>
        <v>-2815812.3786205272</v>
      </c>
      <c r="N65" s="28">
        <f>(INDEX(Option4!N$110:N$121, MATCH($D65, Option4!$G$110:$G$121,0)))*conv_2026*N$7</f>
        <v>-2754274.1336875251</v>
      </c>
      <c r="O65" s="28">
        <f>(INDEX(Option4!O$110:O$121, MATCH($D65, Option4!$G$110:$G$121,0)))*conv_2026*O$7</f>
        <v>-2647625.8116627657</v>
      </c>
      <c r="P65" s="28">
        <f>(INDEX(Option4!P$110:P$121, MATCH($D65, Option4!$G$110:$G$121,0)))*conv_2026*P$7</f>
        <v>-2482202.9751077229</v>
      </c>
      <c r="Q65" s="28">
        <f>(INDEX(Option4!Q$110:Q$121, MATCH($D65, Option4!$G$110:$G$121,0)))*conv_2026*Q$7</f>
        <v>-2299614.5667625414</v>
      </c>
      <c r="R65" s="28">
        <f>(INDEX(Option4!R$110:R$121, MATCH($D65, Option4!$G$110:$G$121,0)))*conv_2026*R$7</f>
        <v>-2123138.3272169074</v>
      </c>
      <c r="S65" s="28">
        <f>(INDEX(Option4!S$110:S$121, MATCH($D65, Option4!$G$110:$G$121,0)))*conv_2026*S$7</f>
        <v>-2215158.9404073879</v>
      </c>
      <c r="T65" s="28">
        <f>(INDEX(Option4!T$110:T$121, MATCH($D65, Option4!$G$110:$G$121,0)))*conv_2026*T$7</f>
        <v>-2215158.9404073879</v>
      </c>
      <c r="U65" s="28">
        <f>(INDEX(Option4!U$110:U$121, MATCH($D65, Option4!$G$110:$G$121,0)))*conv_2026*U$7</f>
        <v>-2215158.9404073879</v>
      </c>
      <c r="V65" s="28">
        <f>(INDEX(Option4!V$110:V$121, MATCH($D65, Option4!$G$110:$G$121,0)))*conv_2026*V$7</f>
        <v>-2215158.9404073879</v>
      </c>
      <c r="W65" s="28">
        <f>(INDEX(Option4!W$110:W$121, MATCH($D65, Option4!$G$110:$G$121,0)))*conv_2026*W$7</f>
        <v>-2215158.9404073879</v>
      </c>
      <c r="X65" s="28">
        <f>(INDEX(Option4!X$110:X$121, MATCH($D65, Option4!$G$110:$G$121,0)))*conv_2026*X$7</f>
        <v>-2215158.9404073879</v>
      </c>
      <c r="Y65" s="28">
        <f>(INDEX(Option4!Y$110:Y$121, MATCH($D65, Option4!$G$110:$G$121,0)))*conv_2026*Y$7</f>
        <v>-2215158.9404073879</v>
      </c>
      <c r="Z65" s="28">
        <f>(INDEX(Option4!Z$110:Z$121, MATCH($D65, Option4!$G$110:$G$121,0)))*conv_2026*Z$7</f>
        <v>-2215158.9404073879</v>
      </c>
      <c r="AA65" s="28">
        <f>(INDEX(Option4!AA$110:AA$121, MATCH($D65, Option4!$G$110:$G$121,0)))*conv_2026*AA$7</f>
        <v>-2215158.9404073879</v>
      </c>
      <c r="AB65" s="28">
        <f>(INDEX(Option4!AB$110:AB$121, MATCH($D65, Option4!$G$110:$G$121,0)))*conv_2026*AB$7</f>
        <v>-2215158.9404073879</v>
      </c>
      <c r="AC65" s="28">
        <f>(INDEX(Option4!AC$110:AC$121, MATCH($D65, Option4!$G$110:$G$121,0)))*conv_2026*AC$7</f>
        <v>0</v>
      </c>
      <c r="AD65" s="28">
        <f>(INDEX(Option4!AD$110:AD$121, MATCH($D65, Option4!$G$110:$G$121,0)))*conv_2026*AD$7</f>
        <v>0</v>
      </c>
      <c r="AE65" s="28">
        <f>(INDEX(Option4!AE$110:AE$121, MATCH($D65, Option4!$G$110:$G$121,0)))*conv_2026*AE$7</f>
        <v>0</v>
      </c>
      <c r="AF65" s="28">
        <f>(INDEX(Option4!AF$110:AF$121, MATCH($D65, Option4!$G$110:$G$121,0)))*conv_2026*AF$7</f>
        <v>0</v>
      </c>
      <c r="AG65" s="28">
        <f>(INDEX(Option4!AG$110:AG$121, MATCH($D65, Option4!$G$110:$G$121,0)))*conv_2026*AG$7</f>
        <v>0</v>
      </c>
    </row>
    <row r="66" spans="1:35" s="6" customFormat="1" x14ac:dyDescent="0.2">
      <c r="A66" s="217"/>
      <c r="B66" s="217"/>
      <c r="C66" s="217"/>
      <c r="D66" s="217"/>
      <c r="E66" s="217"/>
      <c r="F66" s="28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</row>
    <row r="67" spans="1:35" s="6" customFormat="1" x14ac:dyDescent="0.2">
      <c r="A67" s="217"/>
      <c r="B67" s="217"/>
      <c r="C67" s="217"/>
      <c r="D67" s="217"/>
      <c r="E67" s="217"/>
      <c r="F67" s="28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</row>
    <row r="68" spans="1:35" s="6" customFormat="1" x14ac:dyDescent="0.2">
      <c r="A68" s="217"/>
      <c r="B68" s="217"/>
      <c r="C68" s="217"/>
      <c r="D68" s="217"/>
      <c r="E68" s="217"/>
      <c r="F68" s="28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</row>
    <row r="69" spans="1:35" s="6" customFormat="1" x14ac:dyDescent="0.2">
      <c r="A69" s="217"/>
      <c r="B69" s="217"/>
      <c r="C69" s="217"/>
      <c r="D69" s="217"/>
      <c r="E69" s="217"/>
      <c r="F69" s="28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17"/>
      <c r="AG69" s="217"/>
    </row>
    <row r="70" spans="1:35" s="6" customFormat="1" x14ac:dyDescent="0.2">
      <c r="A70" s="217" t="s">
        <v>157</v>
      </c>
      <c r="B70" s="217" t="s">
        <v>7</v>
      </c>
      <c r="C70" s="217" t="s">
        <v>137</v>
      </c>
      <c r="D70" s="217" t="str">
        <f>A70&amp;B70</f>
        <v>Option 5NPV</v>
      </c>
      <c r="E70" s="209"/>
      <c r="F70" s="28">
        <f t="shared" ref="F70:F79" si="8">SUMPRODUCT($H70:$AG70, $H$5:$AG$5)</f>
        <v>0</v>
      </c>
      <c r="G70" s="212"/>
      <c r="H70" s="28">
        <f>(INDEX(Option5!H$110:H$121, MATCH($D70, Option5!$G$110:$G$121,0)))*conv_2026*H$7</f>
        <v>0</v>
      </c>
      <c r="I70" s="28">
        <f>(INDEX(Option5!I$110:I$121, MATCH($D70, Option5!$G$110:$G$121,0)))*conv_2026*I$7</f>
        <v>0</v>
      </c>
      <c r="J70" s="28">
        <f>(INDEX(Option5!J$110:J$121, MATCH($D70, Option5!$G$110:$G$121,0)))*conv_2026*J$7</f>
        <v>0</v>
      </c>
      <c r="K70" s="28">
        <f>(INDEX(Option5!K$110:K$121, MATCH($D70, Option5!$G$110:$G$121,0)))*conv_2026*K$7</f>
        <v>0</v>
      </c>
      <c r="L70" s="28">
        <f>(INDEX(Option5!L$110:L$121, MATCH($D70, Option5!$G$110:$G$121,0)))*conv_2026*L$7</f>
        <v>0</v>
      </c>
      <c r="M70" s="28">
        <f>(INDEX(Option5!M$110:M$121, MATCH($D70, Option5!$G$110:$G$121,0)))*conv_2026*M$7</f>
        <v>0</v>
      </c>
      <c r="N70" s="28">
        <f>(INDEX(Option5!N$110:N$121, MATCH($D70, Option5!$G$110:$G$121,0)))*conv_2026*N$7</f>
        <v>0</v>
      </c>
      <c r="O70" s="28">
        <f>(INDEX(Option5!O$110:O$121, MATCH($D70, Option5!$G$110:$G$121,0)))*conv_2026*O$7</f>
        <v>0</v>
      </c>
      <c r="P70" s="28">
        <f>(INDEX(Option5!P$110:P$121, MATCH($D70, Option5!$G$110:$G$121,0)))*conv_2026*P$7</f>
        <v>0</v>
      </c>
      <c r="Q70" s="28">
        <f>(INDEX(Option5!Q$110:Q$121, MATCH($D70, Option5!$G$110:$G$121,0)))*conv_2026*Q$7</f>
        <v>0</v>
      </c>
      <c r="R70" s="28">
        <f>(INDEX(Option5!R$110:R$121, MATCH($D70, Option5!$G$110:$G$121,0)))*conv_2026*R$7</f>
        <v>0</v>
      </c>
      <c r="S70" s="28">
        <f>(INDEX(Option5!S$110:S$121, MATCH($D70, Option5!$G$110:$G$121,0)))*conv_2026*S$7</f>
        <v>0</v>
      </c>
      <c r="T70" s="28">
        <f>(INDEX(Option5!T$110:T$121, MATCH($D70, Option5!$G$110:$G$121,0)))*conv_2026*T$7</f>
        <v>0</v>
      </c>
      <c r="U70" s="28">
        <f>(INDEX(Option5!U$110:U$121, MATCH($D70, Option5!$G$110:$G$121,0)))*conv_2026*U$7</f>
        <v>0</v>
      </c>
      <c r="V70" s="28">
        <f>(INDEX(Option5!V$110:V$121, MATCH($D70, Option5!$G$110:$G$121,0)))*conv_2026*V$7</f>
        <v>0</v>
      </c>
      <c r="W70" s="28">
        <f>(INDEX(Option5!W$110:W$121, MATCH($D70, Option5!$G$110:$G$121,0)))*conv_2026*W$7</f>
        <v>0</v>
      </c>
      <c r="X70" s="28">
        <f>(INDEX(Option5!X$110:X$121, MATCH($D70, Option5!$G$110:$G$121,0)))*conv_2026*X$7</f>
        <v>0</v>
      </c>
      <c r="Y70" s="28">
        <f>(INDEX(Option5!Y$110:Y$121, MATCH($D70, Option5!$G$110:$G$121,0)))*conv_2026*Y$7</f>
        <v>0</v>
      </c>
      <c r="Z70" s="28">
        <f>(INDEX(Option5!Z$110:Z$121, MATCH($D70, Option5!$G$110:$G$121,0)))*conv_2026*Z$7</f>
        <v>0</v>
      </c>
      <c r="AA70" s="28">
        <f>(INDEX(Option5!AA$110:AA$121, MATCH($D70, Option5!$G$110:$G$121,0)))*conv_2026*AA$7</f>
        <v>0</v>
      </c>
      <c r="AB70" s="28">
        <f>(INDEX(Option5!AB$110:AB$121, MATCH($D70, Option5!$G$110:$G$121,0)))*conv_2026*AB$7</f>
        <v>0</v>
      </c>
      <c r="AC70" s="28">
        <f>(INDEX(Option5!AC$110:AC$121, MATCH($D70, Option5!$G$110:$G$121,0)))*conv_2026*AC$7</f>
        <v>0</v>
      </c>
      <c r="AD70" s="28">
        <f>(INDEX(Option5!AD$110:AD$121, MATCH($D70, Option5!$G$110:$G$121,0)))*conv_2026*AD$7</f>
        <v>0</v>
      </c>
      <c r="AE70" s="28">
        <f>(INDEX(Option5!AE$110:AE$121, MATCH($D70, Option5!$G$110:$G$121,0)))*conv_2026*AE$7</f>
        <v>0</v>
      </c>
      <c r="AF70" s="28">
        <f>(INDEX(Option5!AF$110:AF$121, MATCH($D70, Option5!$G$110:$G$121,0)))*conv_2026*AF$7</f>
        <v>0</v>
      </c>
      <c r="AG70" s="28">
        <f>(INDEX(Option5!AG$110:AG$121, MATCH($D70, Option5!$G$110:$G$121,0)))*conv_2026*AG$7</f>
        <v>0</v>
      </c>
      <c r="AH70" s="2"/>
      <c r="AI70" s="2"/>
    </row>
    <row r="71" spans="1:35" s="6" customFormat="1" x14ac:dyDescent="0.2">
      <c r="A71" s="211"/>
      <c r="B71" s="211"/>
      <c r="C71" s="211"/>
      <c r="D71" s="211"/>
      <c r="E71" s="211"/>
      <c r="F71" s="211"/>
      <c r="G71" s="212"/>
      <c r="H71" s="21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  <c r="U71" s="212"/>
      <c r="V71" s="212"/>
      <c r="W71" s="212"/>
      <c r="X71" s="212"/>
      <c r="Y71" s="212"/>
      <c r="Z71" s="212"/>
      <c r="AA71" s="212"/>
      <c r="AB71" s="212"/>
      <c r="AC71" s="212"/>
      <c r="AD71" s="212"/>
      <c r="AE71" s="212"/>
      <c r="AF71" s="212"/>
      <c r="AG71" s="212"/>
      <c r="AH71" s="2"/>
      <c r="AI71" s="2"/>
    </row>
    <row r="72" spans="1:35" s="6" customFormat="1" x14ac:dyDescent="0.2">
      <c r="A72" s="217" t="s">
        <v>157</v>
      </c>
      <c r="B72" s="217" t="str">
        <f>Option5!A114</f>
        <v>sens1</v>
      </c>
      <c r="C72" s="217" t="str">
        <f>Option5!C114</f>
        <v>Capex 10% higher</v>
      </c>
      <c r="D72" s="217" t="str">
        <f t="shared" ref="D72:D79" si="9">A72&amp;B72</f>
        <v>Option 5sens1</v>
      </c>
      <c r="E72" s="209"/>
      <c r="F72" s="28">
        <f t="shared" si="8"/>
        <v>0</v>
      </c>
      <c r="G72" s="212"/>
      <c r="H72" s="28">
        <f>(INDEX(Option5!H$110:H$121, MATCH($D72, Option5!$G$110:$G$121,0)))*conv_2026*H$7</f>
        <v>0</v>
      </c>
      <c r="I72" s="28">
        <f>(INDEX(Option5!I$110:I$121, MATCH($D72, Option5!$G$110:$G$121,0)))*conv_2026*I$7</f>
        <v>0</v>
      </c>
      <c r="J72" s="28">
        <f>(INDEX(Option5!J$110:J$121, MATCH($D72, Option5!$G$110:$G$121,0)))*conv_2026*J$7</f>
        <v>0</v>
      </c>
      <c r="K72" s="28">
        <f>(INDEX(Option5!K$110:K$121, MATCH($D72, Option5!$G$110:$G$121,0)))*conv_2026*K$7</f>
        <v>0</v>
      </c>
      <c r="L72" s="28">
        <f>(INDEX(Option5!L$110:L$121, MATCH($D72, Option5!$G$110:$G$121,0)))*conv_2026*L$7</f>
        <v>0</v>
      </c>
      <c r="M72" s="28">
        <f>(INDEX(Option5!M$110:M$121, MATCH($D72, Option5!$G$110:$G$121,0)))*conv_2026*M$7</f>
        <v>0</v>
      </c>
      <c r="N72" s="28">
        <f>(INDEX(Option5!N$110:N$121, MATCH($D72, Option5!$G$110:$G$121,0)))*conv_2026*N$7</f>
        <v>0</v>
      </c>
      <c r="O72" s="28">
        <f>(INDEX(Option5!O$110:O$121, MATCH($D72, Option5!$G$110:$G$121,0)))*conv_2026*O$7</f>
        <v>0</v>
      </c>
      <c r="P72" s="28">
        <f>(INDEX(Option5!P$110:P$121, MATCH($D72, Option5!$G$110:$G$121,0)))*conv_2026*P$7</f>
        <v>0</v>
      </c>
      <c r="Q72" s="28">
        <f>(INDEX(Option5!Q$110:Q$121, MATCH($D72, Option5!$G$110:$G$121,0)))*conv_2026*Q$7</f>
        <v>0</v>
      </c>
      <c r="R72" s="28">
        <f>(INDEX(Option5!R$110:R$121, MATCH($D72, Option5!$G$110:$G$121,0)))*conv_2026*R$7</f>
        <v>0</v>
      </c>
      <c r="S72" s="28">
        <f>(INDEX(Option5!S$110:S$121, MATCH($D72, Option5!$G$110:$G$121,0)))*conv_2026*S$7</f>
        <v>0</v>
      </c>
      <c r="T72" s="28">
        <f>(INDEX(Option5!T$110:T$121, MATCH($D72, Option5!$G$110:$G$121,0)))*conv_2026*T$7</f>
        <v>0</v>
      </c>
      <c r="U72" s="28">
        <f>(INDEX(Option5!U$110:U$121, MATCH($D72, Option5!$G$110:$G$121,0)))*conv_2026*U$7</f>
        <v>0</v>
      </c>
      <c r="V72" s="28">
        <f>(INDEX(Option5!V$110:V$121, MATCH($D72, Option5!$G$110:$G$121,0)))*conv_2026*V$7</f>
        <v>0</v>
      </c>
      <c r="W72" s="28">
        <f>(INDEX(Option5!W$110:W$121, MATCH($D72, Option5!$G$110:$G$121,0)))*conv_2026*W$7</f>
        <v>0</v>
      </c>
      <c r="X72" s="28">
        <f>(INDEX(Option5!X$110:X$121, MATCH($D72, Option5!$G$110:$G$121,0)))*conv_2026*X$7</f>
        <v>0</v>
      </c>
      <c r="Y72" s="28">
        <f>(INDEX(Option5!Y$110:Y$121, MATCH($D72, Option5!$G$110:$G$121,0)))*conv_2026*Y$7</f>
        <v>0</v>
      </c>
      <c r="Z72" s="28">
        <f>(INDEX(Option5!Z$110:Z$121, MATCH($D72, Option5!$G$110:$G$121,0)))*conv_2026*Z$7</f>
        <v>0</v>
      </c>
      <c r="AA72" s="28">
        <f>(INDEX(Option5!AA$110:AA$121, MATCH($D72, Option5!$G$110:$G$121,0)))*conv_2026*AA$7</f>
        <v>0</v>
      </c>
      <c r="AB72" s="28">
        <f>(INDEX(Option5!AB$110:AB$121, MATCH($D72, Option5!$G$110:$G$121,0)))*conv_2026*AB$7</f>
        <v>0</v>
      </c>
      <c r="AC72" s="28">
        <f>(INDEX(Option5!AC$110:AC$121, MATCH($D72, Option5!$G$110:$G$121,0)))*conv_2026*AC$7</f>
        <v>0</v>
      </c>
      <c r="AD72" s="28">
        <f>(INDEX(Option5!AD$110:AD$121, MATCH($D72, Option5!$G$110:$G$121,0)))*conv_2026*AD$7</f>
        <v>0</v>
      </c>
      <c r="AE72" s="28">
        <f>(INDEX(Option5!AE$110:AE$121, MATCH($D72, Option5!$G$110:$G$121,0)))*conv_2026*AE$7</f>
        <v>0</v>
      </c>
      <c r="AF72" s="28">
        <f>(INDEX(Option5!AF$110:AF$121, MATCH($D72, Option5!$G$110:$G$121,0)))*conv_2026*AF$7</f>
        <v>0</v>
      </c>
      <c r="AG72" s="28">
        <f>(INDEX(Option5!AG$110:AG$121, MATCH($D72, Option5!$G$110:$G$121,0)))*conv_2026*AG$7</f>
        <v>0</v>
      </c>
      <c r="AH72" s="2"/>
      <c r="AI72" s="2"/>
    </row>
    <row r="73" spans="1:35" s="6" customFormat="1" x14ac:dyDescent="0.2">
      <c r="A73" s="217" t="s">
        <v>157</v>
      </c>
      <c r="B73" s="217" t="str">
        <f>Option5!A115</f>
        <v>sens2</v>
      </c>
      <c r="C73" s="217" t="str">
        <f>Option5!C115</f>
        <v>Capex 10% lower</v>
      </c>
      <c r="D73" s="217" t="str">
        <f t="shared" si="9"/>
        <v>Option 5sens2</v>
      </c>
      <c r="E73" s="209"/>
      <c r="F73" s="28">
        <f t="shared" si="8"/>
        <v>0</v>
      </c>
      <c r="G73" s="217"/>
      <c r="H73" s="28">
        <f>(INDEX(Option5!H$110:H$121, MATCH($D73, Option5!$G$110:$G$121,0)))*conv_2026*H$7</f>
        <v>0</v>
      </c>
      <c r="I73" s="28">
        <f>(INDEX(Option5!I$110:I$121, MATCH($D73, Option5!$G$110:$G$121,0)))*conv_2026*I$7</f>
        <v>0</v>
      </c>
      <c r="J73" s="28">
        <f>(INDEX(Option5!J$110:J$121, MATCH($D73, Option5!$G$110:$G$121,0)))*conv_2026*J$7</f>
        <v>0</v>
      </c>
      <c r="K73" s="28">
        <f>(INDEX(Option5!K$110:K$121, MATCH($D73, Option5!$G$110:$G$121,0)))*conv_2026*K$7</f>
        <v>0</v>
      </c>
      <c r="L73" s="28">
        <f>(INDEX(Option5!L$110:L$121, MATCH($D73, Option5!$G$110:$G$121,0)))*conv_2026*L$7</f>
        <v>0</v>
      </c>
      <c r="M73" s="28">
        <f>(INDEX(Option5!M$110:M$121, MATCH($D73, Option5!$G$110:$G$121,0)))*conv_2026*M$7</f>
        <v>0</v>
      </c>
      <c r="N73" s="28">
        <f>(INDEX(Option5!N$110:N$121, MATCH($D73, Option5!$G$110:$G$121,0)))*conv_2026*N$7</f>
        <v>0</v>
      </c>
      <c r="O73" s="28">
        <f>(INDEX(Option5!O$110:O$121, MATCH($D73, Option5!$G$110:$G$121,0)))*conv_2026*O$7</f>
        <v>0</v>
      </c>
      <c r="P73" s="28">
        <f>(INDEX(Option5!P$110:P$121, MATCH($D73, Option5!$G$110:$G$121,0)))*conv_2026*P$7</f>
        <v>0</v>
      </c>
      <c r="Q73" s="28">
        <f>(INDEX(Option5!Q$110:Q$121, MATCH($D73, Option5!$G$110:$G$121,0)))*conv_2026*Q$7</f>
        <v>0</v>
      </c>
      <c r="R73" s="28">
        <f>(INDEX(Option5!R$110:R$121, MATCH($D73, Option5!$G$110:$G$121,0)))*conv_2026*R$7</f>
        <v>0</v>
      </c>
      <c r="S73" s="28">
        <f>(INDEX(Option5!S$110:S$121, MATCH($D73, Option5!$G$110:$G$121,0)))*conv_2026*S$7</f>
        <v>0</v>
      </c>
      <c r="T73" s="28">
        <f>(INDEX(Option5!T$110:T$121, MATCH($D73, Option5!$G$110:$G$121,0)))*conv_2026*T$7</f>
        <v>0</v>
      </c>
      <c r="U73" s="28">
        <f>(INDEX(Option5!U$110:U$121, MATCH($D73, Option5!$G$110:$G$121,0)))*conv_2026*U$7</f>
        <v>0</v>
      </c>
      <c r="V73" s="28">
        <f>(INDEX(Option5!V$110:V$121, MATCH($D73, Option5!$G$110:$G$121,0)))*conv_2026*V$7</f>
        <v>0</v>
      </c>
      <c r="W73" s="28">
        <f>(INDEX(Option5!W$110:W$121, MATCH($D73, Option5!$G$110:$G$121,0)))*conv_2026*W$7</f>
        <v>0</v>
      </c>
      <c r="X73" s="28">
        <f>(INDEX(Option5!X$110:X$121, MATCH($D73, Option5!$G$110:$G$121,0)))*conv_2026*X$7</f>
        <v>0</v>
      </c>
      <c r="Y73" s="28">
        <f>(INDEX(Option5!Y$110:Y$121, MATCH($D73, Option5!$G$110:$G$121,0)))*conv_2026*Y$7</f>
        <v>0</v>
      </c>
      <c r="Z73" s="28">
        <f>(INDEX(Option5!Z$110:Z$121, MATCH($D73, Option5!$G$110:$G$121,0)))*conv_2026*Z$7</f>
        <v>0</v>
      </c>
      <c r="AA73" s="28">
        <f>(INDEX(Option5!AA$110:AA$121, MATCH($D73, Option5!$G$110:$G$121,0)))*conv_2026*AA$7</f>
        <v>0</v>
      </c>
      <c r="AB73" s="28">
        <f>(INDEX(Option5!AB$110:AB$121, MATCH($D73, Option5!$G$110:$G$121,0)))*conv_2026*AB$7</f>
        <v>0</v>
      </c>
      <c r="AC73" s="28">
        <f>(INDEX(Option5!AC$110:AC$121, MATCH($D73, Option5!$G$110:$G$121,0)))*conv_2026*AC$7</f>
        <v>0</v>
      </c>
      <c r="AD73" s="28">
        <f>(INDEX(Option5!AD$110:AD$121, MATCH($D73, Option5!$G$110:$G$121,0)))*conv_2026*AD$7</f>
        <v>0</v>
      </c>
      <c r="AE73" s="28">
        <f>(INDEX(Option5!AE$110:AE$121, MATCH($D73, Option5!$G$110:$G$121,0)))*conv_2026*AE$7</f>
        <v>0</v>
      </c>
      <c r="AF73" s="28">
        <f>(INDEX(Option5!AF$110:AF$121, MATCH($D73, Option5!$G$110:$G$121,0)))*conv_2026*AF$7</f>
        <v>0</v>
      </c>
      <c r="AG73" s="28">
        <f>(INDEX(Option5!AG$110:AG$121, MATCH($D73, Option5!$G$110:$G$121,0)))*conv_2026*AG$7</f>
        <v>0</v>
      </c>
    </row>
    <row r="74" spans="1:35" s="6" customFormat="1" x14ac:dyDescent="0.2">
      <c r="A74" s="217" t="s">
        <v>157</v>
      </c>
      <c r="B74" s="217" t="str">
        <f>Option5!A116</f>
        <v>sens3</v>
      </c>
      <c r="C74" s="217" t="str">
        <f>Option5!C116</f>
        <v>Total benefits 10% higher</v>
      </c>
      <c r="D74" s="217" t="str">
        <f t="shared" si="9"/>
        <v>Option 5sens3</v>
      </c>
      <c r="E74" s="209"/>
      <c r="F74" s="28">
        <f t="shared" si="8"/>
        <v>0</v>
      </c>
      <c r="H74" s="28">
        <f>(INDEX(Option5!H$110:H$121, MATCH($D74, Option5!$G$110:$G$121,0)))*conv_2026*H$7</f>
        <v>0</v>
      </c>
      <c r="I74" s="28">
        <f>(INDEX(Option5!I$110:I$121, MATCH($D74, Option5!$G$110:$G$121,0)))*conv_2026*I$7</f>
        <v>0</v>
      </c>
      <c r="J74" s="28">
        <f>(INDEX(Option5!J$110:J$121, MATCH($D74, Option5!$G$110:$G$121,0)))*conv_2026*J$7</f>
        <v>0</v>
      </c>
      <c r="K74" s="28">
        <f>(INDEX(Option5!K$110:K$121, MATCH($D74, Option5!$G$110:$G$121,0)))*conv_2026*K$7</f>
        <v>0</v>
      </c>
      <c r="L74" s="28">
        <f>(INDEX(Option5!L$110:L$121, MATCH($D74, Option5!$G$110:$G$121,0)))*conv_2026*L$7</f>
        <v>0</v>
      </c>
      <c r="M74" s="28">
        <f>(INDEX(Option5!M$110:M$121, MATCH($D74, Option5!$G$110:$G$121,0)))*conv_2026*M$7</f>
        <v>0</v>
      </c>
      <c r="N74" s="28">
        <f>(INDEX(Option5!N$110:N$121, MATCH($D74, Option5!$G$110:$G$121,0)))*conv_2026*N$7</f>
        <v>0</v>
      </c>
      <c r="O74" s="28">
        <f>(INDEX(Option5!O$110:O$121, MATCH($D74, Option5!$G$110:$G$121,0)))*conv_2026*O$7</f>
        <v>0</v>
      </c>
      <c r="P74" s="28">
        <f>(INDEX(Option5!P$110:P$121, MATCH($D74, Option5!$G$110:$G$121,0)))*conv_2026*P$7</f>
        <v>0</v>
      </c>
      <c r="Q74" s="28">
        <f>(INDEX(Option5!Q$110:Q$121, MATCH($D74, Option5!$G$110:$G$121,0)))*conv_2026*Q$7</f>
        <v>0</v>
      </c>
      <c r="R74" s="28">
        <f>(INDEX(Option5!R$110:R$121, MATCH($D74, Option5!$G$110:$G$121,0)))*conv_2026*R$7</f>
        <v>0</v>
      </c>
      <c r="S74" s="28">
        <f>(INDEX(Option5!S$110:S$121, MATCH($D74, Option5!$G$110:$G$121,0)))*conv_2026*S$7</f>
        <v>0</v>
      </c>
      <c r="T74" s="28">
        <f>(INDEX(Option5!T$110:T$121, MATCH($D74, Option5!$G$110:$G$121,0)))*conv_2026*T$7</f>
        <v>0</v>
      </c>
      <c r="U74" s="28">
        <f>(INDEX(Option5!U$110:U$121, MATCH($D74, Option5!$G$110:$G$121,0)))*conv_2026*U$7</f>
        <v>0</v>
      </c>
      <c r="V74" s="28">
        <f>(INDEX(Option5!V$110:V$121, MATCH($D74, Option5!$G$110:$G$121,0)))*conv_2026*V$7</f>
        <v>0</v>
      </c>
      <c r="W74" s="28">
        <f>(INDEX(Option5!W$110:W$121, MATCH($D74, Option5!$G$110:$G$121,0)))*conv_2026*W$7</f>
        <v>0</v>
      </c>
      <c r="X74" s="28">
        <f>(INDEX(Option5!X$110:X$121, MATCH($D74, Option5!$G$110:$G$121,0)))*conv_2026*X$7</f>
        <v>0</v>
      </c>
      <c r="Y74" s="28">
        <f>(INDEX(Option5!Y$110:Y$121, MATCH($D74, Option5!$G$110:$G$121,0)))*conv_2026*Y$7</f>
        <v>0</v>
      </c>
      <c r="Z74" s="28">
        <f>(INDEX(Option5!Z$110:Z$121, MATCH($D74, Option5!$G$110:$G$121,0)))*conv_2026*Z$7</f>
        <v>0</v>
      </c>
      <c r="AA74" s="28">
        <f>(INDEX(Option5!AA$110:AA$121, MATCH($D74, Option5!$G$110:$G$121,0)))*conv_2026*AA$7</f>
        <v>0</v>
      </c>
      <c r="AB74" s="28">
        <f>(INDEX(Option5!AB$110:AB$121, MATCH($D74, Option5!$G$110:$G$121,0)))*conv_2026*AB$7</f>
        <v>0</v>
      </c>
      <c r="AC74" s="28">
        <f>(INDEX(Option5!AC$110:AC$121, MATCH($D74, Option5!$G$110:$G$121,0)))*conv_2026*AC$7</f>
        <v>0</v>
      </c>
      <c r="AD74" s="28">
        <f>(INDEX(Option5!AD$110:AD$121, MATCH($D74, Option5!$G$110:$G$121,0)))*conv_2026*AD$7</f>
        <v>0</v>
      </c>
      <c r="AE74" s="28">
        <f>(INDEX(Option5!AE$110:AE$121, MATCH($D74, Option5!$G$110:$G$121,0)))*conv_2026*AE$7</f>
        <v>0</v>
      </c>
      <c r="AF74" s="28">
        <f>(INDEX(Option5!AF$110:AF$121, MATCH($D74, Option5!$G$110:$G$121,0)))*conv_2026*AF$7</f>
        <v>0</v>
      </c>
      <c r="AG74" s="28">
        <f>(INDEX(Option5!AG$110:AG$121, MATCH($D74, Option5!$G$110:$G$121,0)))*conv_2026*AG$7</f>
        <v>0</v>
      </c>
    </row>
    <row r="75" spans="1:35" s="6" customFormat="1" x14ac:dyDescent="0.2">
      <c r="A75" s="217" t="s">
        <v>157</v>
      </c>
      <c r="B75" s="217" t="str">
        <f>Option5!A117</f>
        <v>sens4</v>
      </c>
      <c r="C75" s="217" t="str">
        <f>Option5!C117</f>
        <v>Total benefits 10% lower</v>
      </c>
      <c r="D75" s="217" t="str">
        <f t="shared" si="9"/>
        <v>Option 5sens4</v>
      </c>
      <c r="E75" s="209"/>
      <c r="F75" s="28">
        <f t="shared" si="8"/>
        <v>0</v>
      </c>
      <c r="H75" s="28">
        <f>(INDEX(Option5!H$110:H$121, MATCH($D75, Option5!$G$110:$G$121,0)))*conv_2026*H$7</f>
        <v>0</v>
      </c>
      <c r="I75" s="28">
        <f>(INDEX(Option5!I$110:I$121, MATCH($D75, Option5!$G$110:$G$121,0)))*conv_2026*I$7</f>
        <v>0</v>
      </c>
      <c r="J75" s="28">
        <f>(INDEX(Option5!J$110:J$121, MATCH($D75, Option5!$G$110:$G$121,0)))*conv_2026*J$7</f>
        <v>0</v>
      </c>
      <c r="K75" s="28">
        <f>(INDEX(Option5!K$110:K$121, MATCH($D75, Option5!$G$110:$G$121,0)))*conv_2026*K$7</f>
        <v>0</v>
      </c>
      <c r="L75" s="28">
        <f>(INDEX(Option5!L$110:L$121, MATCH($D75, Option5!$G$110:$G$121,0)))*conv_2026*L$7</f>
        <v>0</v>
      </c>
      <c r="M75" s="28">
        <f>(INDEX(Option5!M$110:M$121, MATCH($D75, Option5!$G$110:$G$121,0)))*conv_2026*M$7</f>
        <v>0</v>
      </c>
      <c r="N75" s="28">
        <f>(INDEX(Option5!N$110:N$121, MATCH($D75, Option5!$G$110:$G$121,0)))*conv_2026*N$7</f>
        <v>0</v>
      </c>
      <c r="O75" s="28">
        <f>(INDEX(Option5!O$110:O$121, MATCH($D75, Option5!$G$110:$G$121,0)))*conv_2026*O$7</f>
        <v>0</v>
      </c>
      <c r="P75" s="28">
        <f>(INDEX(Option5!P$110:P$121, MATCH($D75, Option5!$G$110:$G$121,0)))*conv_2026*P$7</f>
        <v>0</v>
      </c>
      <c r="Q75" s="28">
        <f>(INDEX(Option5!Q$110:Q$121, MATCH($D75, Option5!$G$110:$G$121,0)))*conv_2026*Q$7</f>
        <v>0</v>
      </c>
      <c r="R75" s="28">
        <f>(INDEX(Option5!R$110:R$121, MATCH($D75, Option5!$G$110:$G$121,0)))*conv_2026*R$7</f>
        <v>0</v>
      </c>
      <c r="S75" s="28">
        <f>(INDEX(Option5!S$110:S$121, MATCH($D75, Option5!$G$110:$G$121,0)))*conv_2026*S$7</f>
        <v>0</v>
      </c>
      <c r="T75" s="28">
        <f>(INDEX(Option5!T$110:T$121, MATCH($D75, Option5!$G$110:$G$121,0)))*conv_2026*T$7</f>
        <v>0</v>
      </c>
      <c r="U75" s="28">
        <f>(INDEX(Option5!U$110:U$121, MATCH($D75, Option5!$G$110:$G$121,0)))*conv_2026*U$7</f>
        <v>0</v>
      </c>
      <c r="V75" s="28">
        <f>(INDEX(Option5!V$110:V$121, MATCH($D75, Option5!$G$110:$G$121,0)))*conv_2026*V$7</f>
        <v>0</v>
      </c>
      <c r="W75" s="28">
        <f>(INDEX(Option5!W$110:W$121, MATCH($D75, Option5!$G$110:$G$121,0)))*conv_2026*W$7</f>
        <v>0</v>
      </c>
      <c r="X75" s="28">
        <f>(INDEX(Option5!X$110:X$121, MATCH($D75, Option5!$G$110:$G$121,0)))*conv_2026*X$7</f>
        <v>0</v>
      </c>
      <c r="Y75" s="28">
        <f>(INDEX(Option5!Y$110:Y$121, MATCH($D75, Option5!$G$110:$G$121,0)))*conv_2026*Y$7</f>
        <v>0</v>
      </c>
      <c r="Z75" s="28">
        <f>(INDEX(Option5!Z$110:Z$121, MATCH($D75, Option5!$G$110:$G$121,0)))*conv_2026*Z$7</f>
        <v>0</v>
      </c>
      <c r="AA75" s="28">
        <f>(INDEX(Option5!AA$110:AA$121, MATCH($D75, Option5!$G$110:$G$121,0)))*conv_2026*AA$7</f>
        <v>0</v>
      </c>
      <c r="AB75" s="28">
        <f>(INDEX(Option5!AB$110:AB$121, MATCH($D75, Option5!$G$110:$G$121,0)))*conv_2026*AB$7</f>
        <v>0</v>
      </c>
      <c r="AC75" s="28">
        <f>(INDEX(Option5!AC$110:AC$121, MATCH($D75, Option5!$G$110:$G$121,0)))*conv_2026*AC$7</f>
        <v>0</v>
      </c>
      <c r="AD75" s="28">
        <f>(INDEX(Option5!AD$110:AD$121, MATCH($D75, Option5!$G$110:$G$121,0)))*conv_2026*AD$7</f>
        <v>0</v>
      </c>
      <c r="AE75" s="28">
        <f>(INDEX(Option5!AE$110:AE$121, MATCH($D75, Option5!$G$110:$G$121,0)))*conv_2026*AE$7</f>
        <v>0</v>
      </c>
      <c r="AF75" s="28">
        <f>(INDEX(Option5!AF$110:AF$121, MATCH($D75, Option5!$G$110:$G$121,0)))*conv_2026*AF$7</f>
        <v>0</v>
      </c>
      <c r="AG75" s="28">
        <f>(INDEX(Option5!AG$110:AG$121, MATCH($D75, Option5!$G$110:$G$121,0)))*conv_2026*AG$7</f>
        <v>0</v>
      </c>
    </row>
    <row r="76" spans="1:35" s="6" customFormat="1" x14ac:dyDescent="0.2">
      <c r="A76" s="217" t="s">
        <v>157</v>
      </c>
      <c r="B76" s="217" t="str">
        <f>Option5!A118</f>
        <v>sens5</v>
      </c>
      <c r="C76" s="217" t="str">
        <f>Option5!C118</f>
        <v>Capex 10% higher &amp; Total benefits 10% lower</v>
      </c>
      <c r="D76" s="217" t="str">
        <f t="shared" si="9"/>
        <v>Option 5sens5</v>
      </c>
      <c r="E76" s="209"/>
      <c r="F76" s="28">
        <f t="shared" si="8"/>
        <v>0</v>
      </c>
      <c r="H76" s="28">
        <f>(INDEX(Option5!H$110:H$121, MATCH($D76, Option5!$G$110:$G$121,0)))*conv_2026*H$7</f>
        <v>0</v>
      </c>
      <c r="I76" s="28">
        <f>(INDEX(Option5!I$110:I$121, MATCH($D76, Option5!$G$110:$G$121,0)))*conv_2026*I$7</f>
        <v>0</v>
      </c>
      <c r="J76" s="28">
        <f>(INDEX(Option5!J$110:J$121, MATCH($D76, Option5!$G$110:$G$121,0)))*conv_2026*J$7</f>
        <v>0</v>
      </c>
      <c r="K76" s="28">
        <f>(INDEX(Option5!K$110:K$121, MATCH($D76, Option5!$G$110:$G$121,0)))*conv_2026*K$7</f>
        <v>0</v>
      </c>
      <c r="L76" s="28">
        <f>(INDEX(Option5!L$110:L$121, MATCH($D76, Option5!$G$110:$G$121,0)))*conv_2026*L$7</f>
        <v>0</v>
      </c>
      <c r="M76" s="28">
        <f>(INDEX(Option5!M$110:M$121, MATCH($D76, Option5!$G$110:$G$121,0)))*conv_2026*M$7</f>
        <v>0</v>
      </c>
      <c r="N76" s="28">
        <f>(INDEX(Option5!N$110:N$121, MATCH($D76, Option5!$G$110:$G$121,0)))*conv_2026*N$7</f>
        <v>0</v>
      </c>
      <c r="O76" s="28">
        <f>(INDEX(Option5!O$110:O$121, MATCH($D76, Option5!$G$110:$G$121,0)))*conv_2026*O$7</f>
        <v>0</v>
      </c>
      <c r="P76" s="28">
        <f>(INDEX(Option5!P$110:P$121, MATCH($D76, Option5!$G$110:$G$121,0)))*conv_2026*P$7</f>
        <v>0</v>
      </c>
      <c r="Q76" s="28">
        <f>(INDEX(Option5!Q$110:Q$121, MATCH($D76, Option5!$G$110:$G$121,0)))*conv_2026*Q$7</f>
        <v>0</v>
      </c>
      <c r="R76" s="28">
        <f>(INDEX(Option5!R$110:R$121, MATCH($D76, Option5!$G$110:$G$121,0)))*conv_2026*R$7</f>
        <v>0</v>
      </c>
      <c r="S76" s="28">
        <f>(INDEX(Option5!S$110:S$121, MATCH($D76, Option5!$G$110:$G$121,0)))*conv_2026*S$7</f>
        <v>0</v>
      </c>
      <c r="T76" s="28">
        <f>(INDEX(Option5!T$110:T$121, MATCH($D76, Option5!$G$110:$G$121,0)))*conv_2026*T$7</f>
        <v>0</v>
      </c>
      <c r="U76" s="28">
        <f>(INDEX(Option5!U$110:U$121, MATCH($D76, Option5!$G$110:$G$121,0)))*conv_2026*U$7</f>
        <v>0</v>
      </c>
      <c r="V76" s="28">
        <f>(INDEX(Option5!V$110:V$121, MATCH($D76, Option5!$G$110:$G$121,0)))*conv_2026*V$7</f>
        <v>0</v>
      </c>
      <c r="W76" s="28">
        <f>(INDEX(Option5!W$110:W$121, MATCH($D76, Option5!$G$110:$G$121,0)))*conv_2026*W$7</f>
        <v>0</v>
      </c>
      <c r="X76" s="28">
        <f>(INDEX(Option5!X$110:X$121, MATCH($D76, Option5!$G$110:$G$121,0)))*conv_2026*X$7</f>
        <v>0</v>
      </c>
      <c r="Y76" s="28">
        <f>(INDEX(Option5!Y$110:Y$121, MATCH($D76, Option5!$G$110:$G$121,0)))*conv_2026*Y$7</f>
        <v>0</v>
      </c>
      <c r="Z76" s="28">
        <f>(INDEX(Option5!Z$110:Z$121, MATCH($D76, Option5!$G$110:$G$121,0)))*conv_2026*Z$7</f>
        <v>0</v>
      </c>
      <c r="AA76" s="28">
        <f>(INDEX(Option5!AA$110:AA$121, MATCH($D76, Option5!$G$110:$G$121,0)))*conv_2026*AA$7</f>
        <v>0</v>
      </c>
      <c r="AB76" s="28">
        <f>(INDEX(Option5!AB$110:AB$121, MATCH($D76, Option5!$G$110:$G$121,0)))*conv_2026*AB$7</f>
        <v>0</v>
      </c>
      <c r="AC76" s="28">
        <f>(INDEX(Option5!AC$110:AC$121, MATCH($D76, Option5!$G$110:$G$121,0)))*conv_2026*AC$7</f>
        <v>0</v>
      </c>
      <c r="AD76" s="28">
        <f>(INDEX(Option5!AD$110:AD$121, MATCH($D76, Option5!$G$110:$G$121,0)))*conv_2026*AD$7</f>
        <v>0</v>
      </c>
      <c r="AE76" s="28">
        <f>(INDEX(Option5!AE$110:AE$121, MATCH($D76, Option5!$G$110:$G$121,0)))*conv_2026*AE$7</f>
        <v>0</v>
      </c>
      <c r="AF76" s="28">
        <f>(INDEX(Option5!AF$110:AF$121, MATCH($D76, Option5!$G$110:$G$121,0)))*conv_2026*AF$7</f>
        <v>0</v>
      </c>
      <c r="AG76" s="28">
        <f>(INDEX(Option5!AG$110:AG$121, MATCH($D76, Option5!$G$110:$G$121,0)))*conv_2026*AG$7</f>
        <v>0</v>
      </c>
    </row>
    <row r="77" spans="1:35" s="6" customFormat="1" x14ac:dyDescent="0.2">
      <c r="A77" s="217" t="s">
        <v>157</v>
      </c>
      <c r="B77" s="217" t="str">
        <f>Option5!A119</f>
        <v>sens</v>
      </c>
      <c r="C77" s="217">
        <f>Option5!C119</f>
        <v>0</v>
      </c>
      <c r="D77" s="217" t="str">
        <f t="shared" si="9"/>
        <v>Option 5sens</v>
      </c>
      <c r="E77" s="209"/>
      <c r="F77" s="28">
        <f t="shared" si="8"/>
        <v>0</v>
      </c>
      <c r="H77" s="28">
        <f>(INDEX(Option5!H$110:H$121, MATCH($D77, Option5!$G$110:$G$121,0)))*conv_2026*H$7</f>
        <v>0</v>
      </c>
      <c r="I77" s="28">
        <f>(INDEX(Option5!I$110:I$121, MATCH($D77, Option5!$G$110:$G$121,0)))*conv_2026*I$7</f>
        <v>0</v>
      </c>
      <c r="J77" s="28">
        <f>(INDEX(Option5!J$110:J$121, MATCH($D77, Option5!$G$110:$G$121,0)))*conv_2026*J$7</f>
        <v>0</v>
      </c>
      <c r="K77" s="28">
        <f>(INDEX(Option5!K$110:K$121, MATCH($D77, Option5!$G$110:$G$121,0)))*conv_2026*K$7</f>
        <v>0</v>
      </c>
      <c r="L77" s="28">
        <f>(INDEX(Option5!L$110:L$121, MATCH($D77, Option5!$G$110:$G$121,0)))*conv_2026*L$7</f>
        <v>0</v>
      </c>
      <c r="M77" s="28">
        <f>(INDEX(Option5!M$110:M$121, MATCH($D77, Option5!$G$110:$G$121,0)))*conv_2026*M$7</f>
        <v>0</v>
      </c>
      <c r="N77" s="28">
        <f>(INDEX(Option5!N$110:N$121, MATCH($D77, Option5!$G$110:$G$121,0)))*conv_2026*N$7</f>
        <v>0</v>
      </c>
      <c r="O77" s="28">
        <f>(INDEX(Option5!O$110:O$121, MATCH($D77, Option5!$G$110:$G$121,0)))*conv_2026*O$7</f>
        <v>0</v>
      </c>
      <c r="P77" s="28">
        <f>(INDEX(Option5!P$110:P$121, MATCH($D77, Option5!$G$110:$G$121,0)))*conv_2026*P$7</f>
        <v>0</v>
      </c>
      <c r="Q77" s="28">
        <f>(INDEX(Option5!Q$110:Q$121, MATCH($D77, Option5!$G$110:$G$121,0)))*conv_2026*Q$7</f>
        <v>0</v>
      </c>
      <c r="R77" s="28">
        <f>(INDEX(Option5!R$110:R$121, MATCH($D77, Option5!$G$110:$G$121,0)))*conv_2026*R$7</f>
        <v>0</v>
      </c>
      <c r="S77" s="28">
        <f>(INDEX(Option5!S$110:S$121, MATCH($D77, Option5!$G$110:$G$121,0)))*conv_2026*S$7</f>
        <v>0</v>
      </c>
      <c r="T77" s="28">
        <f>(INDEX(Option5!T$110:T$121, MATCH($D77, Option5!$G$110:$G$121,0)))*conv_2026*T$7</f>
        <v>0</v>
      </c>
      <c r="U77" s="28">
        <f>(INDEX(Option5!U$110:U$121, MATCH($D77, Option5!$G$110:$G$121,0)))*conv_2026*U$7</f>
        <v>0</v>
      </c>
      <c r="V77" s="28">
        <f>(INDEX(Option5!V$110:V$121, MATCH($D77, Option5!$G$110:$G$121,0)))*conv_2026*V$7</f>
        <v>0</v>
      </c>
      <c r="W77" s="28">
        <f>(INDEX(Option5!W$110:W$121, MATCH($D77, Option5!$G$110:$G$121,0)))*conv_2026*W$7</f>
        <v>0</v>
      </c>
      <c r="X77" s="28">
        <f>(INDEX(Option5!X$110:X$121, MATCH($D77, Option5!$G$110:$G$121,0)))*conv_2026*X$7</f>
        <v>0</v>
      </c>
      <c r="Y77" s="28">
        <f>(INDEX(Option5!Y$110:Y$121, MATCH($D77, Option5!$G$110:$G$121,0)))*conv_2026*Y$7</f>
        <v>0</v>
      </c>
      <c r="Z77" s="28">
        <f>(INDEX(Option5!Z$110:Z$121, MATCH($D77, Option5!$G$110:$G$121,0)))*conv_2026*Z$7</f>
        <v>0</v>
      </c>
      <c r="AA77" s="28">
        <f>(INDEX(Option5!AA$110:AA$121, MATCH($D77, Option5!$G$110:$G$121,0)))*conv_2026*AA$7</f>
        <v>0</v>
      </c>
      <c r="AB77" s="28">
        <f>(INDEX(Option5!AB$110:AB$121, MATCH($D77, Option5!$G$110:$G$121,0)))*conv_2026*AB$7</f>
        <v>0</v>
      </c>
      <c r="AC77" s="28">
        <f>(INDEX(Option5!AC$110:AC$121, MATCH($D77, Option5!$G$110:$G$121,0)))*conv_2026*AC$7</f>
        <v>0</v>
      </c>
      <c r="AD77" s="28">
        <f>(INDEX(Option5!AD$110:AD$121, MATCH($D77, Option5!$G$110:$G$121,0)))*conv_2026*AD$7</f>
        <v>0</v>
      </c>
      <c r="AE77" s="28">
        <f>(INDEX(Option5!AE$110:AE$121, MATCH($D77, Option5!$G$110:$G$121,0)))*conv_2026*AE$7</f>
        <v>0</v>
      </c>
      <c r="AF77" s="28">
        <f>(INDEX(Option5!AF$110:AF$121, MATCH($D77, Option5!$G$110:$G$121,0)))*conv_2026*AF$7</f>
        <v>0</v>
      </c>
      <c r="AG77" s="28">
        <f>(INDEX(Option5!AG$110:AG$121, MATCH($D77, Option5!$G$110:$G$121,0)))*conv_2026*AG$7</f>
        <v>0</v>
      </c>
    </row>
    <row r="78" spans="1:35" s="6" customFormat="1" x14ac:dyDescent="0.2">
      <c r="A78" s="217" t="s">
        <v>157</v>
      </c>
      <c r="B78" s="217" t="str">
        <f>Option5!A120</f>
        <v>sens</v>
      </c>
      <c r="C78" s="217">
        <f>Option5!C120</f>
        <v>0</v>
      </c>
      <c r="D78" s="217" t="str">
        <f t="shared" si="9"/>
        <v>Option 5sens</v>
      </c>
      <c r="E78" s="209"/>
      <c r="F78" s="28">
        <f t="shared" si="8"/>
        <v>0</v>
      </c>
      <c r="H78" s="28">
        <f>(INDEX(Option5!H$110:H$121, MATCH($D78, Option5!$G$110:$G$121,0)))*conv_2026*H$7</f>
        <v>0</v>
      </c>
      <c r="I78" s="28">
        <f>(INDEX(Option5!I$110:I$121, MATCH($D78, Option5!$G$110:$G$121,0)))*conv_2026*I$7</f>
        <v>0</v>
      </c>
      <c r="J78" s="28">
        <f>(INDEX(Option5!J$110:J$121, MATCH($D78, Option5!$G$110:$G$121,0)))*conv_2026*J$7</f>
        <v>0</v>
      </c>
      <c r="K78" s="28">
        <f>(INDEX(Option5!K$110:K$121, MATCH($D78, Option5!$G$110:$G$121,0)))*conv_2026*K$7</f>
        <v>0</v>
      </c>
      <c r="L78" s="28">
        <f>(INDEX(Option5!L$110:L$121, MATCH($D78, Option5!$G$110:$G$121,0)))*conv_2026*L$7</f>
        <v>0</v>
      </c>
      <c r="M78" s="28">
        <f>(INDEX(Option5!M$110:M$121, MATCH($D78, Option5!$G$110:$G$121,0)))*conv_2026*M$7</f>
        <v>0</v>
      </c>
      <c r="N78" s="28">
        <f>(INDEX(Option5!N$110:N$121, MATCH($D78, Option5!$G$110:$G$121,0)))*conv_2026*N$7</f>
        <v>0</v>
      </c>
      <c r="O78" s="28">
        <f>(INDEX(Option5!O$110:O$121, MATCH($D78, Option5!$G$110:$G$121,0)))*conv_2026*O$7</f>
        <v>0</v>
      </c>
      <c r="P78" s="28">
        <f>(INDEX(Option5!P$110:P$121, MATCH($D78, Option5!$G$110:$G$121,0)))*conv_2026*P$7</f>
        <v>0</v>
      </c>
      <c r="Q78" s="28">
        <f>(INDEX(Option5!Q$110:Q$121, MATCH($D78, Option5!$G$110:$G$121,0)))*conv_2026*Q$7</f>
        <v>0</v>
      </c>
      <c r="R78" s="28">
        <f>(INDEX(Option5!R$110:R$121, MATCH($D78, Option5!$G$110:$G$121,0)))*conv_2026*R$7</f>
        <v>0</v>
      </c>
      <c r="S78" s="28">
        <f>(INDEX(Option5!S$110:S$121, MATCH($D78, Option5!$G$110:$G$121,0)))*conv_2026*S$7</f>
        <v>0</v>
      </c>
      <c r="T78" s="28">
        <f>(INDEX(Option5!T$110:T$121, MATCH($D78, Option5!$G$110:$G$121,0)))*conv_2026*T$7</f>
        <v>0</v>
      </c>
      <c r="U78" s="28">
        <f>(INDEX(Option5!U$110:U$121, MATCH($D78, Option5!$G$110:$G$121,0)))*conv_2026*U$7</f>
        <v>0</v>
      </c>
      <c r="V78" s="28">
        <f>(INDEX(Option5!V$110:V$121, MATCH($D78, Option5!$G$110:$G$121,0)))*conv_2026*V$7</f>
        <v>0</v>
      </c>
      <c r="W78" s="28">
        <f>(INDEX(Option5!W$110:W$121, MATCH($D78, Option5!$G$110:$G$121,0)))*conv_2026*W$7</f>
        <v>0</v>
      </c>
      <c r="X78" s="28">
        <f>(INDEX(Option5!X$110:X$121, MATCH($D78, Option5!$G$110:$G$121,0)))*conv_2026*X$7</f>
        <v>0</v>
      </c>
      <c r="Y78" s="28">
        <f>(INDEX(Option5!Y$110:Y$121, MATCH($D78, Option5!$G$110:$G$121,0)))*conv_2026*Y$7</f>
        <v>0</v>
      </c>
      <c r="Z78" s="28">
        <f>(INDEX(Option5!Z$110:Z$121, MATCH($D78, Option5!$G$110:$G$121,0)))*conv_2026*Z$7</f>
        <v>0</v>
      </c>
      <c r="AA78" s="28">
        <f>(INDEX(Option5!AA$110:AA$121, MATCH($D78, Option5!$G$110:$G$121,0)))*conv_2026*AA$7</f>
        <v>0</v>
      </c>
      <c r="AB78" s="28">
        <f>(INDEX(Option5!AB$110:AB$121, MATCH($D78, Option5!$G$110:$G$121,0)))*conv_2026*AB$7</f>
        <v>0</v>
      </c>
      <c r="AC78" s="28">
        <f>(INDEX(Option5!AC$110:AC$121, MATCH($D78, Option5!$G$110:$G$121,0)))*conv_2026*AC$7</f>
        <v>0</v>
      </c>
      <c r="AD78" s="28">
        <f>(INDEX(Option5!AD$110:AD$121, MATCH($D78, Option5!$G$110:$G$121,0)))*conv_2026*AD$7</f>
        <v>0</v>
      </c>
      <c r="AE78" s="28">
        <f>(INDEX(Option5!AE$110:AE$121, MATCH($D78, Option5!$G$110:$G$121,0)))*conv_2026*AE$7</f>
        <v>0</v>
      </c>
      <c r="AF78" s="28">
        <f>(INDEX(Option5!AF$110:AF$121, MATCH($D78, Option5!$G$110:$G$121,0)))*conv_2026*AF$7</f>
        <v>0</v>
      </c>
      <c r="AG78" s="28">
        <f>(INDEX(Option5!AG$110:AG$121, MATCH($D78, Option5!$G$110:$G$121,0)))*conv_2026*AG$7</f>
        <v>0</v>
      </c>
    </row>
    <row r="79" spans="1:35" s="6" customFormat="1" x14ac:dyDescent="0.2">
      <c r="A79" s="217" t="s">
        <v>157</v>
      </c>
      <c r="B79" s="217" t="str">
        <f>Option5!A121</f>
        <v>sens</v>
      </c>
      <c r="C79" s="217">
        <f>Option5!C121</f>
        <v>0</v>
      </c>
      <c r="D79" s="217" t="str">
        <f t="shared" si="9"/>
        <v>Option 5sens</v>
      </c>
      <c r="E79" s="209"/>
      <c r="F79" s="28">
        <f t="shared" si="8"/>
        <v>0</v>
      </c>
      <c r="H79" s="28">
        <f>(INDEX(Option5!H$110:H$121, MATCH($D79, Option5!$G$110:$G$121,0)))*conv_2026*H$7</f>
        <v>0</v>
      </c>
      <c r="I79" s="28">
        <f>(INDEX(Option5!I$110:I$121, MATCH($D79, Option5!$G$110:$G$121,0)))*conv_2026*I$7</f>
        <v>0</v>
      </c>
      <c r="J79" s="28">
        <f>(INDEX(Option5!J$110:J$121, MATCH($D79, Option5!$G$110:$G$121,0)))*conv_2026*J$7</f>
        <v>0</v>
      </c>
      <c r="K79" s="28">
        <f>(INDEX(Option5!K$110:K$121, MATCH($D79, Option5!$G$110:$G$121,0)))*conv_2026*K$7</f>
        <v>0</v>
      </c>
      <c r="L79" s="28">
        <f>(INDEX(Option5!L$110:L$121, MATCH($D79, Option5!$G$110:$G$121,0)))*conv_2026*L$7</f>
        <v>0</v>
      </c>
      <c r="M79" s="28">
        <f>(INDEX(Option5!M$110:M$121, MATCH($D79, Option5!$G$110:$G$121,0)))*conv_2026*M$7</f>
        <v>0</v>
      </c>
      <c r="N79" s="28">
        <f>(INDEX(Option5!N$110:N$121, MATCH($D79, Option5!$G$110:$G$121,0)))*conv_2026*N$7</f>
        <v>0</v>
      </c>
      <c r="O79" s="28">
        <f>(INDEX(Option5!O$110:O$121, MATCH($D79, Option5!$G$110:$G$121,0)))*conv_2026*O$7</f>
        <v>0</v>
      </c>
      <c r="P79" s="28">
        <f>(INDEX(Option5!P$110:P$121, MATCH($D79, Option5!$G$110:$G$121,0)))*conv_2026*P$7</f>
        <v>0</v>
      </c>
      <c r="Q79" s="28">
        <f>(INDEX(Option5!Q$110:Q$121, MATCH($D79, Option5!$G$110:$G$121,0)))*conv_2026*Q$7</f>
        <v>0</v>
      </c>
      <c r="R79" s="28">
        <f>(INDEX(Option5!R$110:R$121, MATCH($D79, Option5!$G$110:$G$121,0)))*conv_2026*R$7</f>
        <v>0</v>
      </c>
      <c r="S79" s="28">
        <f>(INDEX(Option5!S$110:S$121, MATCH($D79, Option5!$G$110:$G$121,0)))*conv_2026*S$7</f>
        <v>0</v>
      </c>
      <c r="T79" s="28">
        <f>(INDEX(Option5!T$110:T$121, MATCH($D79, Option5!$G$110:$G$121,0)))*conv_2026*T$7</f>
        <v>0</v>
      </c>
      <c r="U79" s="28">
        <f>(INDEX(Option5!U$110:U$121, MATCH($D79, Option5!$G$110:$G$121,0)))*conv_2026*U$7</f>
        <v>0</v>
      </c>
      <c r="V79" s="28">
        <f>(INDEX(Option5!V$110:V$121, MATCH($D79, Option5!$G$110:$G$121,0)))*conv_2026*V$7</f>
        <v>0</v>
      </c>
      <c r="W79" s="28">
        <f>(INDEX(Option5!W$110:W$121, MATCH($D79, Option5!$G$110:$G$121,0)))*conv_2026*W$7</f>
        <v>0</v>
      </c>
      <c r="X79" s="28">
        <f>(INDEX(Option5!X$110:X$121, MATCH($D79, Option5!$G$110:$G$121,0)))*conv_2026*X$7</f>
        <v>0</v>
      </c>
      <c r="Y79" s="28">
        <f>(INDEX(Option5!Y$110:Y$121, MATCH($D79, Option5!$G$110:$G$121,0)))*conv_2026*Y$7</f>
        <v>0</v>
      </c>
      <c r="Z79" s="28">
        <f>(INDEX(Option5!Z$110:Z$121, MATCH($D79, Option5!$G$110:$G$121,0)))*conv_2026*Z$7</f>
        <v>0</v>
      </c>
      <c r="AA79" s="28">
        <f>(INDEX(Option5!AA$110:AA$121, MATCH($D79, Option5!$G$110:$G$121,0)))*conv_2026*AA$7</f>
        <v>0</v>
      </c>
      <c r="AB79" s="28">
        <f>(INDEX(Option5!AB$110:AB$121, MATCH($D79, Option5!$G$110:$G$121,0)))*conv_2026*AB$7</f>
        <v>0</v>
      </c>
      <c r="AC79" s="28">
        <f>(INDEX(Option5!AC$110:AC$121, MATCH($D79, Option5!$G$110:$G$121,0)))*conv_2026*AC$7</f>
        <v>0</v>
      </c>
      <c r="AD79" s="28">
        <f>(INDEX(Option5!AD$110:AD$121, MATCH($D79, Option5!$G$110:$G$121,0)))*conv_2026*AD$7</f>
        <v>0</v>
      </c>
      <c r="AE79" s="28">
        <f>(INDEX(Option5!AE$110:AE$121, MATCH($D79, Option5!$G$110:$G$121,0)))*conv_2026*AE$7</f>
        <v>0</v>
      </c>
      <c r="AF79" s="28">
        <f>(INDEX(Option5!AF$110:AF$121, MATCH($D79, Option5!$G$110:$G$121,0)))*conv_2026*AF$7</f>
        <v>0</v>
      </c>
      <c r="AG79" s="28">
        <f>(INDEX(Option5!AG$110:AG$121, MATCH($D79, Option5!$G$110:$G$121,0)))*conv_2026*AG$7</f>
        <v>0</v>
      </c>
    </row>
    <row r="80" spans="1:35" s="6" customFormat="1" x14ac:dyDescent="0.2">
      <c r="F80" s="214"/>
    </row>
    <row r="81" spans="1:34" s="6" customFormat="1" x14ac:dyDescent="0.2">
      <c r="F81" s="214"/>
    </row>
    <row r="82" spans="1:34" s="6" customFormat="1" x14ac:dyDescent="0.2">
      <c r="F82" s="214"/>
    </row>
    <row r="83" spans="1:34" s="6" customFormat="1" x14ac:dyDescent="0.2">
      <c r="F83" s="214"/>
    </row>
    <row r="84" spans="1:34" s="6" customFormat="1" ht="15" x14ac:dyDescent="0.25">
      <c r="A84" s="171" t="s">
        <v>4</v>
      </c>
      <c r="B84" s="47"/>
      <c r="C84" s="17"/>
      <c r="D84" s="17"/>
      <c r="E84" s="72"/>
      <c r="F84" s="17"/>
      <c r="G84" s="191"/>
      <c r="H84" s="170"/>
      <c r="I84" s="170"/>
      <c r="J84" s="170"/>
      <c r="K84" s="170"/>
      <c r="L84" s="170"/>
      <c r="M84" s="170"/>
      <c r="N84" s="170"/>
      <c r="O84" s="170"/>
      <c r="P84" s="170"/>
      <c r="Q84" s="170"/>
      <c r="R84" s="170"/>
      <c r="S84" s="170"/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70"/>
      <c r="AE84" s="170"/>
      <c r="AF84" s="170"/>
      <c r="AG84" s="8"/>
      <c r="AH84" s="8"/>
    </row>
    <row r="85" spans="1:34" s="6" customFormat="1" x14ac:dyDescent="0.2">
      <c r="F85" s="214"/>
    </row>
    <row r="86" spans="1:34" s="6" customFormat="1" x14ac:dyDescent="0.2">
      <c r="F86" s="214"/>
    </row>
    <row r="87" spans="1:34" s="6" customFormat="1" x14ac:dyDescent="0.2">
      <c r="E87" s="214"/>
    </row>
    <row r="88" spans="1:34" s="6" customFormat="1" x14ac:dyDescent="0.2">
      <c r="C88" s="228" t="b" cm="1">
        <f t="array" ref="C88:G88">TRANSPOSE(Data!F9:F13)</f>
        <v>1</v>
      </c>
      <c r="D88" s="228" t="b">
        <v>0</v>
      </c>
      <c r="E88" s="229" t="b">
        <v>0</v>
      </c>
      <c r="F88" s="228" t="b">
        <v>0</v>
      </c>
      <c r="G88" s="228" t="b">
        <v>1</v>
      </c>
      <c r="K88" s="6" t="b">
        <f>AND(_xlfn.ANCHORARRAY(C88))</f>
        <v>0</v>
      </c>
    </row>
    <row r="89" spans="1:34" s="6" customFormat="1" x14ac:dyDescent="0.2">
      <c r="A89" s="52"/>
      <c r="B89" s="52"/>
      <c r="C89" s="230" t="str" cm="1">
        <f t="array" ref="C89:G89">TRANSPOSE(options)</f>
        <v>Option 1 (base case)</v>
      </c>
      <c r="D89" s="230" t="str">
        <v>Option 2</v>
      </c>
      <c r="E89" s="230" t="str">
        <v>Option 3</v>
      </c>
      <c r="F89" s="230" t="str">
        <v>Option 4</v>
      </c>
      <c r="G89" s="230" t="str">
        <v>Option 5</v>
      </c>
      <c r="I89" s="230" t="s">
        <v>158</v>
      </c>
      <c r="K89" s="52" t="s">
        <v>159</v>
      </c>
    </row>
    <row r="90" spans="1:34" s="6" customFormat="1" x14ac:dyDescent="0.2">
      <c r="A90" s="220" t="s">
        <v>7</v>
      </c>
      <c r="B90" s="220" t="s">
        <v>160</v>
      </c>
      <c r="C90" s="89" t="str">
        <f t="shared" ref="C90:G98" si="10">IF(OR($B90=0,C$88),"", INDEX($F$14:$F$81, MATCH(C$89&amp;$A90,$D$14:$D$81,0))/10^6)</f>
        <v/>
      </c>
      <c r="D90" s="89">
        <f t="shared" si="10"/>
        <v>-4.643005541704551</v>
      </c>
      <c r="E90" s="89">
        <f t="shared" si="10"/>
        <v>-32.387975320707</v>
      </c>
      <c r="F90" s="89">
        <f t="shared" si="10"/>
        <v>-29.205630866218275</v>
      </c>
      <c r="G90" s="89" t="str">
        <f t="shared" si="10"/>
        <v/>
      </c>
      <c r="H90" s="157"/>
      <c r="I90" s="89">
        <f t="shared" ref="I90:I98" si="11">_xlfn.MAXIFS(C90:G90,_xlfn.ANCHORARRAY( C$88),FALSE)</f>
        <v>-4.643005541704551</v>
      </c>
      <c r="K90" s="6" t="str">
        <f t="shared" ref="K90:K98" si="12">IF(OR(B90=0,$K$88),"", INDEX(_xlfn.ANCHORARRAY($C$89), MATCH(I90, $C90:$G90,0)))</f>
        <v>Option 2</v>
      </c>
    </row>
    <row r="91" spans="1:34" s="6" customFormat="1" x14ac:dyDescent="0.2">
      <c r="A91" s="220" t="str">
        <f>"sens"&amp;Assumptions!B111</f>
        <v>sens1</v>
      </c>
      <c r="B91" s="220" t="str">
        <f>Assumptions!C111</f>
        <v>Capex 10% higher</v>
      </c>
      <c r="C91" s="89" t="str">
        <f t="shared" si="10"/>
        <v/>
      </c>
      <c r="D91" s="89">
        <f t="shared" si="10"/>
        <v>-5.694382196891012</v>
      </c>
      <c r="E91" s="89">
        <f t="shared" si="10"/>
        <v>-36.24605548647137</v>
      </c>
      <c r="F91" s="89">
        <f t="shared" si="10"/>
        <v>-32.736691572369999</v>
      </c>
      <c r="G91" s="89" t="str">
        <f t="shared" si="10"/>
        <v/>
      </c>
      <c r="H91" s="157"/>
      <c r="I91" s="89">
        <f t="shared" si="11"/>
        <v>-5.694382196891012</v>
      </c>
      <c r="K91" s="6" t="str">
        <f t="shared" si="12"/>
        <v>Option 2</v>
      </c>
    </row>
    <row r="92" spans="1:34" s="6" customFormat="1" x14ac:dyDescent="0.2">
      <c r="A92" s="220" t="str">
        <f>"sens"&amp;Assumptions!B112</f>
        <v>sens2</v>
      </c>
      <c r="B92" s="220" t="str">
        <f>Assumptions!C112</f>
        <v>Capex 10% lower</v>
      </c>
      <c r="C92" s="89" t="str">
        <f t="shared" si="10"/>
        <v/>
      </c>
      <c r="D92" s="89">
        <f t="shared" si="10"/>
        <v>-3.5916288865180905</v>
      </c>
      <c r="E92" s="89">
        <f t="shared" si="10"/>
        <v>-28.529895154942626</v>
      </c>
      <c r="F92" s="89">
        <f t="shared" si="10"/>
        <v>-25.674570160066544</v>
      </c>
      <c r="G92" s="89" t="str">
        <f t="shared" si="10"/>
        <v/>
      </c>
      <c r="H92" s="157"/>
      <c r="I92" s="89">
        <f t="shared" si="11"/>
        <v>-3.5916288865180905</v>
      </c>
      <c r="K92" s="6" t="str">
        <f t="shared" si="12"/>
        <v>Option 2</v>
      </c>
    </row>
    <row r="93" spans="1:34" s="6" customFormat="1" x14ac:dyDescent="0.2">
      <c r="A93" s="220" t="str">
        <f>"sens"&amp;Assumptions!B113</f>
        <v>sens3</v>
      </c>
      <c r="B93" s="220" t="str">
        <f>Assumptions!C113</f>
        <v>Total benefits 10% higher</v>
      </c>
      <c r="C93" s="89" t="str">
        <f t="shared" si="10"/>
        <v/>
      </c>
      <c r="D93" s="89">
        <f t="shared" si="10"/>
        <v>-4.0559294406885451</v>
      </c>
      <c r="E93" s="89">
        <f t="shared" si="10"/>
        <v>-31.768692687013321</v>
      </c>
      <c r="F93" s="89">
        <f t="shared" si="10"/>
        <v>-28.595133246688381</v>
      </c>
      <c r="G93" s="89" t="str">
        <f t="shared" si="10"/>
        <v/>
      </c>
      <c r="H93" s="157"/>
      <c r="I93" s="89">
        <f t="shared" si="11"/>
        <v>-4.0559294406885451</v>
      </c>
      <c r="K93" s="6" t="str">
        <f t="shared" si="12"/>
        <v>Option 2</v>
      </c>
    </row>
    <row r="94" spans="1:34" s="6" customFormat="1" x14ac:dyDescent="0.2">
      <c r="A94" s="220" t="str">
        <f>"sens"&amp;Assumptions!B114</f>
        <v>sens4</v>
      </c>
      <c r="B94" s="220" t="str">
        <f>Assumptions!C114</f>
        <v>Total benefits 10% lower</v>
      </c>
      <c r="C94" s="89" t="str">
        <f t="shared" si="10"/>
        <v/>
      </c>
      <c r="D94" s="89">
        <f t="shared" si="10"/>
        <v>-5.2300816427205561</v>
      </c>
      <c r="E94" s="89">
        <f t="shared" si="10"/>
        <v>-33.007257954400671</v>
      </c>
      <c r="F94" s="89">
        <f t="shared" si="10"/>
        <v>-29.816128485748173</v>
      </c>
      <c r="G94" s="89" t="str">
        <f t="shared" si="10"/>
        <v/>
      </c>
      <c r="H94" s="157"/>
      <c r="I94" s="89">
        <f t="shared" si="11"/>
        <v>-5.2300816427205561</v>
      </c>
      <c r="K94" s="6" t="str">
        <f t="shared" si="12"/>
        <v>Option 2</v>
      </c>
    </row>
    <row r="95" spans="1:34" s="6" customFormat="1" x14ac:dyDescent="0.2">
      <c r="A95" s="220" t="str">
        <f>"sens"&amp;Assumptions!B115</f>
        <v>sens5</v>
      </c>
      <c r="B95" s="220" t="str">
        <f>Assumptions!C115</f>
        <v>Capex 10% higher &amp; Total benefits 10% lower</v>
      </c>
      <c r="C95" s="89" t="str">
        <f t="shared" si="10"/>
        <v/>
      </c>
      <c r="D95" s="89">
        <f t="shared" si="10"/>
        <v>-6.2814582979070179</v>
      </c>
      <c r="E95" s="89">
        <f t="shared" si="10"/>
        <v>-36.865338120165056</v>
      </c>
      <c r="F95" s="89">
        <f t="shared" si="10"/>
        <v>-33.347189191899901</v>
      </c>
      <c r="G95" s="89" t="str">
        <f t="shared" si="10"/>
        <v/>
      </c>
      <c r="H95" s="157"/>
      <c r="I95" s="89">
        <f t="shared" si="11"/>
        <v>-6.2814582979070179</v>
      </c>
      <c r="K95" s="6" t="str">
        <f t="shared" si="12"/>
        <v>Option 2</v>
      </c>
    </row>
    <row r="96" spans="1:34" s="6" customFormat="1" x14ac:dyDescent="0.2">
      <c r="A96" s="220" t="str">
        <f>"sens"&amp;Assumptions!B116</f>
        <v>sens</v>
      </c>
      <c r="B96" s="220">
        <f>Assumptions!C116</f>
        <v>0</v>
      </c>
      <c r="C96" s="89" t="str">
        <f t="shared" si="10"/>
        <v/>
      </c>
      <c r="D96" s="89" t="str">
        <f t="shared" si="10"/>
        <v/>
      </c>
      <c r="E96" s="89" t="str">
        <f t="shared" si="10"/>
        <v/>
      </c>
      <c r="F96" s="89" t="str">
        <f t="shared" si="10"/>
        <v/>
      </c>
      <c r="G96" s="89" t="str">
        <f t="shared" si="10"/>
        <v/>
      </c>
      <c r="H96" s="157"/>
      <c r="I96" s="89">
        <f t="shared" si="11"/>
        <v>0</v>
      </c>
      <c r="K96" s="6" t="str">
        <f t="shared" si="12"/>
        <v/>
      </c>
    </row>
    <row r="97" spans="1:11" x14ac:dyDescent="0.2">
      <c r="A97" s="220" t="str">
        <f>"sens"&amp;Assumptions!B117</f>
        <v>sens</v>
      </c>
      <c r="B97" s="220">
        <f>Assumptions!C117</f>
        <v>0</v>
      </c>
      <c r="C97" s="89" t="str">
        <f t="shared" si="10"/>
        <v/>
      </c>
      <c r="D97" s="89" t="str">
        <f t="shared" si="10"/>
        <v/>
      </c>
      <c r="E97" s="89" t="str">
        <f t="shared" si="10"/>
        <v/>
      </c>
      <c r="F97" s="89" t="str">
        <f t="shared" si="10"/>
        <v/>
      </c>
      <c r="G97" s="89" t="str">
        <f t="shared" si="10"/>
        <v/>
      </c>
      <c r="H97" s="233"/>
      <c r="I97" s="89">
        <f t="shared" si="11"/>
        <v>0</v>
      </c>
      <c r="K97" s="6" t="str">
        <f t="shared" si="12"/>
        <v/>
      </c>
    </row>
    <row r="98" spans="1:11" x14ac:dyDescent="0.2">
      <c r="A98" s="220" t="str">
        <f>"sens"&amp;Assumptions!B118</f>
        <v>sens</v>
      </c>
      <c r="B98" s="220">
        <f>Assumptions!C118</f>
        <v>0</v>
      </c>
      <c r="C98" s="89" t="str">
        <f t="shared" si="10"/>
        <v/>
      </c>
      <c r="D98" s="89" t="str">
        <f t="shared" si="10"/>
        <v/>
      </c>
      <c r="E98" s="89" t="str">
        <f t="shared" si="10"/>
        <v/>
      </c>
      <c r="F98" s="89" t="str">
        <f t="shared" si="10"/>
        <v/>
      </c>
      <c r="G98" s="89" t="str">
        <f t="shared" si="10"/>
        <v/>
      </c>
      <c r="H98" s="233"/>
      <c r="I98" s="89">
        <f t="shared" si="11"/>
        <v>0</v>
      </c>
      <c r="K98" s="6" t="str">
        <f t="shared" si="12"/>
        <v/>
      </c>
    </row>
    <row r="99" spans="1:11" x14ac:dyDescent="0.2">
      <c r="C99" s="28"/>
      <c r="E99"/>
      <c r="F99" s="8"/>
    </row>
    <row r="100" spans="1:11" x14ac:dyDescent="0.2">
      <c r="E100"/>
      <c r="F100" s="8"/>
    </row>
    <row r="101" spans="1:11" x14ac:dyDescent="0.2">
      <c r="E101"/>
      <c r="F101" s="8"/>
    </row>
    <row r="102" spans="1:11" x14ac:dyDescent="0.2">
      <c r="E102"/>
      <c r="F102" s="8"/>
    </row>
    <row r="103" spans="1:11" x14ac:dyDescent="0.2">
      <c r="E103"/>
      <c r="F103" s="8"/>
    </row>
    <row r="104" spans="1:11" x14ac:dyDescent="0.2">
      <c r="E104"/>
      <c r="F104" s="8"/>
    </row>
    <row r="105" spans="1:11" x14ac:dyDescent="0.2">
      <c r="E105"/>
      <c r="F105" s="8"/>
    </row>
    <row r="106" spans="1:11" x14ac:dyDescent="0.2"/>
    <row r="107" spans="1:11" x14ac:dyDescent="0.2"/>
    <row r="108" spans="1:11" x14ac:dyDescent="0.2"/>
    <row r="109" spans="1:11" x14ac:dyDescent="0.2"/>
    <row r="110" spans="1:11" x14ac:dyDescent="0.2"/>
    <row r="111" spans="1:11" x14ac:dyDescent="0.2"/>
    <row r="112" spans="1:11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</sheetData>
  <pageMargins left="0.25" right="0.25" top="0.75" bottom="0.75" header="0.3" footer="0.3"/>
  <pageSetup paperSize="9" scale="3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2"/>
  <sheetViews>
    <sheetView showGridLines="0" zoomScale="70" zoomScaleNormal="70" workbookViewId="0"/>
  </sheetViews>
  <sheetFormatPr defaultRowHeight="12.75" x14ac:dyDescent="0.2"/>
  <cols>
    <col min="2" max="2" width="21.375" customWidth="1"/>
    <col min="3" max="3" width="20.5" customWidth="1"/>
    <col min="4" max="4" width="14.5" style="42" customWidth="1"/>
    <col min="5" max="5" width="14.5" customWidth="1"/>
    <col min="8" max="11" width="14.375" customWidth="1"/>
    <col min="12" max="12" width="15.75" customWidth="1"/>
    <col min="13" max="18" width="14.375" customWidth="1"/>
  </cols>
  <sheetData>
    <row r="1" spans="1:23" ht="18.75" x14ac:dyDescent="0.3">
      <c r="A1" s="13" t="str">
        <f>bus</f>
        <v>CitiPower</v>
      </c>
      <c r="B1" s="13"/>
      <c r="C1" s="13"/>
      <c r="D1" s="41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75" x14ac:dyDescent="0.3">
      <c r="A2" s="49" t="str">
        <f>proj</f>
        <v>CBD security of supply</v>
      </c>
      <c r="B2" s="13"/>
      <c r="C2" s="13"/>
      <c r="D2" s="41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75" x14ac:dyDescent="0.25">
      <c r="A3" s="5"/>
    </row>
    <row r="4" spans="1:23" s="1" customFormat="1" ht="15" x14ac:dyDescent="0.2">
      <c r="A4" s="16" t="s">
        <v>161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x14ac:dyDescent="0.2"/>
    <row r="6" spans="1:23" s="1" customFormat="1" x14ac:dyDescent="0.2">
      <c r="B6" s="68" t="s">
        <v>162</v>
      </c>
      <c r="C6" s="68"/>
      <c r="D6" s="43"/>
      <c r="E6" s="27"/>
      <c r="F6" s="39"/>
      <c r="G6" s="27"/>
      <c r="H6" s="40">
        <v>44377</v>
      </c>
      <c r="I6" s="38">
        <f>IF(EOMONTH(H6,12)&gt;output_dollars, output_dollars, EOMONTH(H6,12))</f>
        <v>44742</v>
      </c>
      <c r="J6" s="38">
        <f>IF(EOMONTH(I6,12)&gt;output_dollars, output_dollars, EOMONTH(I6,12))</f>
        <v>45107</v>
      </c>
      <c r="K6" s="38">
        <f>IF(EOMONTH(J6,12)&gt;output_dollars, output_dollars, EOMONTH(J6,12))</f>
        <v>45473</v>
      </c>
      <c r="L6" s="38">
        <f>IF(EOMONTH(K6,12)&gt;output_dollars, output_dollars, EOMONTH(K6,12))</f>
        <v>45838</v>
      </c>
      <c r="M6" s="38">
        <f>IF(EOMONTH(L6,12)&gt;output_dollars, output_dollars, EOMONTH(L6,12))</f>
        <v>46203</v>
      </c>
    </row>
    <row r="7" spans="1:23" s="20" customFormat="1" x14ac:dyDescent="0.2">
      <c r="D7" s="44"/>
      <c r="N7" s="1"/>
      <c r="O7"/>
      <c r="P7"/>
      <c r="Q7"/>
      <c r="R7"/>
      <c r="S7"/>
      <c r="T7"/>
      <c r="U7"/>
      <c r="V7"/>
      <c r="W7"/>
    </row>
    <row r="8" spans="1:23" s="20" customFormat="1" x14ac:dyDescent="0.2">
      <c r="B8" s="20" t="s">
        <v>163</v>
      </c>
      <c r="D8" s="44"/>
      <c r="H8" s="34">
        <v>0</v>
      </c>
      <c r="I8" s="34">
        <v>8.6058519793459354E-3</v>
      </c>
      <c r="J8" s="34">
        <v>3.4982935153583528E-2</v>
      </c>
      <c r="K8" s="34">
        <v>7.8318219291014124E-2</v>
      </c>
      <c r="L8" s="34">
        <v>4.0519877675840865E-2</v>
      </c>
      <c r="M8" s="34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2">
      <c r="D9" s="10"/>
      <c r="O9"/>
      <c r="P9"/>
      <c r="Q9"/>
      <c r="R9"/>
      <c r="S9"/>
      <c r="T9"/>
      <c r="U9"/>
      <c r="V9"/>
      <c r="W9"/>
    </row>
    <row r="10" spans="1:23" s="1" customFormat="1" x14ac:dyDescent="0.2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2">
      <c r="A11"/>
      <c r="B11" s="20" t="s">
        <v>164</v>
      </c>
      <c r="C11"/>
      <c r="D11"/>
      <c r="E11"/>
      <c r="F11"/>
      <c r="G11"/>
      <c r="H11" s="69">
        <f>H6</f>
        <v>44377</v>
      </c>
      <c r="I11" s="69">
        <f>EOMONTH(H11,6)</f>
        <v>44561</v>
      </c>
      <c r="J11" s="69">
        <f>EOMONTH(I11,6)</f>
        <v>44742</v>
      </c>
      <c r="K11" s="69">
        <f t="shared" ref="K11:Q11" si="0">EOMONTH(J11,6)</f>
        <v>44926</v>
      </c>
      <c r="L11" s="69">
        <f t="shared" si="0"/>
        <v>45107</v>
      </c>
      <c r="M11" s="69">
        <f t="shared" si="0"/>
        <v>45291</v>
      </c>
      <c r="N11" s="69">
        <f t="shared" si="0"/>
        <v>45473</v>
      </c>
      <c r="O11" s="69">
        <f t="shared" si="0"/>
        <v>45657</v>
      </c>
      <c r="P11" s="69">
        <f t="shared" si="0"/>
        <v>45838</v>
      </c>
      <c r="Q11" s="69">
        <f t="shared" si="0"/>
        <v>46022</v>
      </c>
      <c r="R11" s="69">
        <f>EOMONTH(Q11,6)</f>
        <v>46203</v>
      </c>
      <c r="S11"/>
      <c r="T11"/>
      <c r="U11"/>
      <c r="V11"/>
      <c r="W11"/>
    </row>
    <row r="12" spans="1:23" s="1" customFormat="1" x14ac:dyDescent="0.2">
      <c r="A12"/>
      <c r="B12" s="20" t="s">
        <v>165</v>
      </c>
      <c r="C12"/>
      <c r="D12"/>
      <c r="E12"/>
      <c r="F12"/>
      <c r="G12"/>
      <c r="H12" s="67">
        <f t="shared" ref="H12:R12" si="1">IF(MONTH(H11)=12, EOMONTH(H11,6), H11)</f>
        <v>44377</v>
      </c>
      <c r="I12" s="67">
        <f t="shared" si="1"/>
        <v>44742</v>
      </c>
      <c r="J12" s="67">
        <f t="shared" si="1"/>
        <v>44742</v>
      </c>
      <c r="K12" s="67">
        <f t="shared" si="1"/>
        <v>45107</v>
      </c>
      <c r="L12" s="67">
        <f t="shared" si="1"/>
        <v>45107</v>
      </c>
      <c r="M12" s="67">
        <f t="shared" si="1"/>
        <v>45473</v>
      </c>
      <c r="N12" s="67">
        <f t="shared" si="1"/>
        <v>45473</v>
      </c>
      <c r="O12" s="67">
        <f t="shared" si="1"/>
        <v>45838</v>
      </c>
      <c r="P12" s="67">
        <f t="shared" si="1"/>
        <v>45838</v>
      </c>
      <c r="Q12" s="67">
        <f t="shared" si="1"/>
        <v>46203</v>
      </c>
      <c r="R12" s="67">
        <f t="shared" si="1"/>
        <v>46203</v>
      </c>
      <c r="S12"/>
      <c r="T12"/>
      <c r="U12"/>
      <c r="V12"/>
      <c r="W12"/>
    </row>
    <row r="13" spans="1:23" s="1" customFormat="1" x14ac:dyDescent="0.2">
      <c r="A13"/>
      <c r="B13" s="20" t="s">
        <v>163</v>
      </c>
      <c r="C13"/>
      <c r="D13"/>
      <c r="E13"/>
      <c r="F13"/>
      <c r="G13"/>
      <c r="H13" s="70">
        <f t="shared" ref="H13:R13" si="2">IF(output_dollars&lt;H12,0,INDEX($H$8:$M$8,MATCH(H12,CY_years,0)))</f>
        <v>0</v>
      </c>
      <c r="I13" s="70">
        <f t="shared" si="2"/>
        <v>8.6058519793459354E-3</v>
      </c>
      <c r="J13" s="70">
        <f t="shared" si="2"/>
        <v>8.6058519793459354E-3</v>
      </c>
      <c r="K13" s="70">
        <f t="shared" si="2"/>
        <v>3.4982935153583528E-2</v>
      </c>
      <c r="L13" s="70">
        <f t="shared" si="2"/>
        <v>3.4982935153583528E-2</v>
      </c>
      <c r="M13" s="70">
        <f t="shared" si="2"/>
        <v>7.8318219291014124E-2</v>
      </c>
      <c r="N13" s="70">
        <f t="shared" si="2"/>
        <v>7.8318219291014124E-2</v>
      </c>
      <c r="O13" s="70">
        <f t="shared" si="2"/>
        <v>4.0519877675840865E-2</v>
      </c>
      <c r="P13" s="70">
        <f t="shared" si="2"/>
        <v>4.0519877675840865E-2</v>
      </c>
      <c r="Q13" s="70">
        <f t="shared" si="2"/>
        <v>2.4246877296105973E-2</v>
      </c>
      <c r="R13" s="70">
        <f t="shared" si="2"/>
        <v>2.4246877296105973E-2</v>
      </c>
      <c r="S13"/>
      <c r="T13"/>
      <c r="U13"/>
      <c r="V13"/>
      <c r="W13"/>
    </row>
    <row r="14" spans="1:23" s="1" customFormat="1" x14ac:dyDescent="0.2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2">
      <c r="A15"/>
      <c r="B15" s="20" t="s">
        <v>166</v>
      </c>
      <c r="C15"/>
      <c r="D15"/>
      <c r="E15"/>
      <c r="F15"/>
      <c r="G15"/>
      <c r="H15" s="35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2">
      <c r="A16"/>
      <c r="B16" s="20" t="s">
        <v>167</v>
      </c>
      <c r="C16" s="59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2">
      <c r="A17"/>
      <c r="B17" s="20" t="s">
        <v>168</v>
      </c>
      <c r="C17" s="59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2">
      <c r="B19" s="20" t="s">
        <v>169</v>
      </c>
      <c r="D19" s="20">
        <f>D17/D16</f>
        <v>1.1066964104811112</v>
      </c>
      <c r="L19" s="241"/>
    </row>
    <row r="20" spans="1:34" x14ac:dyDescent="0.2">
      <c r="B20" s="20"/>
      <c r="D20" s="20"/>
    </row>
    <row r="21" spans="1:34" x14ac:dyDescent="0.2">
      <c r="B21" s="20" t="s">
        <v>170</v>
      </c>
      <c r="C21" s="59">
        <f>vcr_date</f>
        <v>45657</v>
      </c>
      <c r="D21" s="20">
        <f>INDEX(hy_escalation, MATCH(C21,hy_dates,0))</f>
        <v>1.1482244927118261</v>
      </c>
    </row>
    <row r="22" spans="1:34" x14ac:dyDescent="0.2">
      <c r="B22" s="20" t="s">
        <v>171</v>
      </c>
      <c r="C22" s="59">
        <f>input_dollars</f>
        <v>45291</v>
      </c>
      <c r="D22" s="20">
        <f>INDEX(hy_escalation, MATCH(C22,hy_dates,0))</f>
        <v>1.0839971599793141</v>
      </c>
    </row>
    <row r="23" spans="1:34" x14ac:dyDescent="0.2">
      <c r="B23" s="20" t="s">
        <v>172</v>
      </c>
      <c r="D23" s="20">
        <f>D22/D21</f>
        <v>0.94406378444268968</v>
      </c>
    </row>
    <row r="25" spans="1:34" x14ac:dyDescent="0.2">
      <c r="B25" s="20" t="s">
        <v>173</v>
      </c>
      <c r="C25" s="6" t="str">
        <f>start</f>
        <v>2026-27</v>
      </c>
    </row>
    <row r="28" spans="1:34" s="1" customFormat="1" ht="15" x14ac:dyDescent="0.2">
      <c r="A28" s="16" t="s">
        <v>174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2">
      <c r="B31" s="163" t="s">
        <v>8</v>
      </c>
      <c r="C31" s="164" t="s">
        <v>142</v>
      </c>
      <c r="D31" s="165" t="s">
        <v>175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2">
      <c r="B32" s="110" t="s">
        <v>154</v>
      </c>
      <c r="C32" s="162">
        <f>Option2!$G$96</f>
        <v>1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2">
      <c r="B33" s="110" t="s">
        <v>155</v>
      </c>
      <c r="C33" s="162">
        <f>Option3!$G$96</f>
        <v>1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2">
      <c r="B34" s="110" t="s">
        <v>156</v>
      </c>
      <c r="C34" s="162">
        <f>Option4!$G$96</f>
        <v>1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2">
      <c r="B35" s="110" t="s">
        <v>157</v>
      </c>
      <c r="C35" s="162" t="str">
        <f>Option5!$G$96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2">
      <c r="B36" s="8"/>
      <c r="C36" s="73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2">
      <c r="B37" s="8"/>
      <c r="C37" s="73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2">
      <c r="B38" s="166" t="s">
        <v>142</v>
      </c>
      <c r="C38" s="166" cm="1">
        <f t="array" ref="C38">IF(OR(NOT(Data!$C$10:$C$13)), _xlfn.MINIFS($C$32:$C$35,$D$32:$D$35,TRUE), 0)</f>
        <v>1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2">
      <c r="B39" s="8"/>
      <c r="C39" s="73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2">
      <c r="A40" s="8"/>
      <c r="B40" s="8"/>
      <c r="C40" s="73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2">
      <c r="D41"/>
    </row>
    <row r="42" spans="1:34" x14ac:dyDescent="0.2">
      <c r="D42"/>
    </row>
  </sheetData>
  <pageMargins left="0.7" right="0.7" top="0.75" bottom="0.75" header="0.3" footer="0.3"/>
  <pageSetup paperSize="9" orientation="portrait" horizontalDpi="90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Y313"/>
  <sheetViews>
    <sheetView showGridLines="0" topLeftCell="A3" zoomScale="80" zoomScaleNormal="80" workbookViewId="0">
      <selection activeCell="E10" sqref="E10"/>
    </sheetView>
  </sheetViews>
  <sheetFormatPr defaultColWidth="9" defaultRowHeight="12.75" x14ac:dyDescent="0.2"/>
  <cols>
    <col min="1" max="1" width="5.375" style="6" customWidth="1"/>
    <col min="2" max="2" width="24.5" style="6" customWidth="1"/>
    <col min="3" max="3" width="9" style="6"/>
    <col min="4" max="4" width="9.875" style="6" bestFit="1" customWidth="1"/>
    <col min="5" max="5" width="10.875" style="6" customWidth="1"/>
    <col min="6" max="14" width="9" style="6"/>
    <col min="15" max="15" width="30.125" style="6" customWidth="1"/>
    <col min="16" max="18" width="9" style="6"/>
    <col min="19" max="19" width="11.375" style="6" bestFit="1" customWidth="1"/>
    <col min="20" max="24" width="9" style="6"/>
    <col min="25" max="25" width="19.125" style="6" customWidth="1"/>
    <col min="26" max="16384" width="9" style="6"/>
  </cols>
  <sheetData>
    <row r="1" spans="1:25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41"/>
      <c r="L1" s="41"/>
      <c r="M1" s="41"/>
      <c r="N1" s="13"/>
      <c r="O1" s="13"/>
      <c r="P1" s="13"/>
      <c r="Q1" s="13"/>
      <c r="R1"/>
      <c r="S1" s="120"/>
      <c r="T1"/>
      <c r="U1"/>
    </row>
    <row r="2" spans="1:25" ht="18.75" x14ac:dyDescent="0.3">
      <c r="A2" s="49" t="str">
        <f>proj</f>
        <v>CBD security of supply</v>
      </c>
      <c r="B2" s="49"/>
      <c r="C2" s="49"/>
      <c r="D2" s="49"/>
      <c r="E2" s="49"/>
      <c r="F2" s="49"/>
      <c r="G2" s="13"/>
      <c r="H2" s="13"/>
      <c r="I2" s="13"/>
      <c r="J2" s="13"/>
      <c r="K2" s="41"/>
      <c r="L2" s="41"/>
      <c r="M2" s="41"/>
      <c r="N2" s="13"/>
      <c r="O2" s="13"/>
      <c r="P2" s="13"/>
      <c r="Q2" s="13"/>
      <c r="R2"/>
      <c r="S2"/>
      <c r="T2"/>
      <c r="U2"/>
    </row>
    <row r="3" spans="1:25" ht="15.75" x14ac:dyDescent="0.25">
      <c r="A3" s="5"/>
      <c r="B3" s="5"/>
      <c r="C3" s="5"/>
      <c r="D3" s="5"/>
      <c r="E3" s="5"/>
      <c r="F3" s="5"/>
      <c r="R3"/>
      <c r="S3"/>
      <c r="T3"/>
      <c r="U3"/>
    </row>
    <row r="4" spans="1:25" x14ac:dyDescent="0.2">
      <c r="R4"/>
      <c r="S4"/>
      <c r="T4"/>
    </row>
    <row r="5" spans="1:25" ht="15" x14ac:dyDescent="0.25">
      <c r="A5" s="17" t="s">
        <v>178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/>
      <c r="S5"/>
      <c r="T5"/>
    </row>
    <row r="6" spans="1:25" x14ac:dyDescent="0.2">
      <c r="R6"/>
      <c r="S6"/>
      <c r="T6"/>
    </row>
    <row r="7" spans="1:25" x14ac:dyDescent="0.2">
      <c r="A7" s="12" t="s">
        <v>179</v>
      </c>
      <c r="R7"/>
      <c r="S7"/>
      <c r="T7"/>
    </row>
    <row r="8" spans="1:25" x14ac:dyDescent="0.2">
      <c r="A8" s="52"/>
      <c r="B8" s="52"/>
      <c r="C8" s="46" t="s">
        <v>180</v>
      </c>
      <c r="D8" s="46" t="s">
        <v>181</v>
      </c>
      <c r="F8" s="6" t="s">
        <v>182</v>
      </c>
      <c r="R8"/>
      <c r="S8"/>
      <c r="T8"/>
    </row>
    <row r="9" spans="1:25" x14ac:dyDescent="0.2">
      <c r="A9" s="25" t="s">
        <v>183</v>
      </c>
      <c r="B9" s="75" t="s">
        <v>176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1</v>
      </c>
      <c r="R9"/>
      <c r="S9"/>
      <c r="T9"/>
      <c r="U9"/>
    </row>
    <row r="10" spans="1:25" x14ac:dyDescent="0.2">
      <c r="A10" s="25" t="s">
        <v>184</v>
      </c>
      <c r="B10" s="75" t="s">
        <v>154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R10"/>
      <c r="S10"/>
      <c r="T10"/>
      <c r="U10"/>
      <c r="X10"/>
      <c r="Y10"/>
    </row>
    <row r="11" spans="1:25" x14ac:dyDescent="0.2">
      <c r="A11" s="25" t="s">
        <v>185</v>
      </c>
      <c r="B11" s="75" t="s">
        <v>155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R11"/>
      <c r="S11"/>
      <c r="T11"/>
      <c r="U11"/>
      <c r="X11"/>
      <c r="Y11"/>
    </row>
    <row r="12" spans="1:25" x14ac:dyDescent="0.2">
      <c r="A12" s="25" t="s">
        <v>186</v>
      </c>
      <c r="B12" s="75" t="s">
        <v>156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R12"/>
      <c r="S12"/>
      <c r="T12"/>
      <c r="U12"/>
      <c r="X12"/>
      <c r="Y12"/>
    </row>
    <row r="13" spans="1:25" x14ac:dyDescent="0.2">
      <c r="A13" s="25" t="s">
        <v>187</v>
      </c>
      <c r="B13" s="75" t="s">
        <v>157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R13"/>
      <c r="S13"/>
      <c r="T13"/>
      <c r="U13"/>
      <c r="X13"/>
      <c r="Y13"/>
    </row>
    <row r="14" spans="1:25" x14ac:dyDescent="0.2">
      <c r="R14"/>
      <c r="S14"/>
      <c r="T14"/>
      <c r="U14"/>
      <c r="X14"/>
      <c r="Y14"/>
    </row>
    <row r="15" spans="1:25" x14ac:dyDescent="0.2">
      <c r="R15"/>
      <c r="S15"/>
      <c r="T15"/>
      <c r="U15"/>
      <c r="X15"/>
      <c r="Y15"/>
    </row>
    <row r="16" spans="1:25" x14ac:dyDescent="0.2">
      <c r="A16" s="6" t="s">
        <v>33</v>
      </c>
      <c r="D16" s="21" t="s">
        <v>188</v>
      </c>
      <c r="E16" s="6" t="b">
        <f>Assumptions!E20=Data!D16</f>
        <v>1</v>
      </c>
      <c r="R16"/>
      <c r="S16"/>
      <c r="T16"/>
      <c r="U16"/>
      <c r="X16"/>
      <c r="Y16"/>
    </row>
    <row r="17" spans="1:25" x14ac:dyDescent="0.2">
      <c r="R17"/>
      <c r="S17"/>
      <c r="T17"/>
      <c r="U17"/>
      <c r="X17"/>
      <c r="Y17"/>
    </row>
    <row r="18" spans="1:25" x14ac:dyDescent="0.2">
      <c r="R18"/>
      <c r="S18"/>
      <c r="T18"/>
      <c r="U18"/>
      <c r="X18"/>
      <c r="Y18"/>
    </row>
    <row r="19" spans="1:25" x14ac:dyDescent="0.2">
      <c r="B19" s="75" t="s">
        <v>29</v>
      </c>
      <c r="C19" s="19"/>
      <c r="R19"/>
      <c r="S19"/>
      <c r="T19"/>
      <c r="U19"/>
      <c r="X19"/>
      <c r="Y19"/>
    </row>
    <row r="20" spans="1:25" x14ac:dyDescent="0.2">
      <c r="B20" s="75" t="s">
        <v>189</v>
      </c>
      <c r="C20" s="19"/>
      <c r="R20"/>
      <c r="S20"/>
      <c r="T20"/>
      <c r="U20"/>
      <c r="X20"/>
      <c r="Y20"/>
    </row>
    <row r="21" spans="1:25" x14ac:dyDescent="0.2">
      <c r="B21" s="75" t="s">
        <v>190</v>
      </c>
      <c r="R21"/>
      <c r="S21"/>
      <c r="T21"/>
      <c r="U21"/>
      <c r="X21"/>
      <c r="Y21"/>
    </row>
    <row r="22" spans="1:25" x14ac:dyDescent="0.2">
      <c r="R22"/>
      <c r="S22"/>
      <c r="T22"/>
      <c r="U22"/>
      <c r="X22"/>
      <c r="Y22"/>
    </row>
    <row r="23" spans="1:25" x14ac:dyDescent="0.2">
      <c r="R23"/>
      <c r="S23"/>
      <c r="T23"/>
      <c r="U23"/>
    </row>
    <row r="24" spans="1:25" x14ac:dyDescent="0.2">
      <c r="A24" s="6" t="s">
        <v>191</v>
      </c>
      <c r="B24" s="87"/>
      <c r="R24"/>
      <c r="S24"/>
      <c r="T24"/>
      <c r="U24"/>
    </row>
    <row r="25" spans="1:25" x14ac:dyDescent="0.2">
      <c r="B25" s="21" t="s">
        <v>97</v>
      </c>
      <c r="R25"/>
      <c r="S25"/>
      <c r="T25"/>
      <c r="U25"/>
    </row>
    <row r="26" spans="1:25" x14ac:dyDescent="0.2">
      <c r="R26"/>
      <c r="S26"/>
      <c r="T26"/>
      <c r="U26"/>
    </row>
    <row r="27" spans="1:25" x14ac:dyDescent="0.2">
      <c r="R27"/>
      <c r="S27"/>
      <c r="T27"/>
      <c r="U27"/>
    </row>
    <row r="28" spans="1:25" x14ac:dyDescent="0.2">
      <c r="A28" s="12" t="s">
        <v>192</v>
      </c>
      <c r="R28"/>
      <c r="S28"/>
      <c r="T28"/>
      <c r="U28"/>
    </row>
    <row r="29" spans="1:25" x14ac:dyDescent="0.2">
      <c r="A29" s="12"/>
      <c r="B29" s="46"/>
      <c r="C29" s="46" t="s">
        <v>193</v>
      </c>
      <c r="R29"/>
      <c r="S29"/>
      <c r="T29"/>
      <c r="U29"/>
    </row>
    <row r="30" spans="1:25" x14ac:dyDescent="0.2">
      <c r="B30" s="21" t="s">
        <v>15</v>
      </c>
      <c r="C30" s="21">
        <v>-1</v>
      </c>
      <c r="R30"/>
      <c r="S30"/>
      <c r="T30"/>
      <c r="U30"/>
    </row>
    <row r="31" spans="1:25" x14ac:dyDescent="0.2">
      <c r="B31" s="21" t="s">
        <v>133</v>
      </c>
      <c r="C31" s="21">
        <v>-1</v>
      </c>
      <c r="R31"/>
      <c r="S31"/>
      <c r="T31"/>
      <c r="U31"/>
      <c r="Y31" s="58"/>
    </row>
    <row r="32" spans="1:25" x14ac:dyDescent="0.2">
      <c r="B32" s="21" t="s">
        <v>16</v>
      </c>
      <c r="C32" s="21">
        <v>-1</v>
      </c>
      <c r="R32"/>
      <c r="S32"/>
      <c r="T32"/>
      <c r="U32"/>
      <c r="Y32" s="58"/>
    </row>
    <row r="33" spans="1:21" x14ac:dyDescent="0.2">
      <c r="B33" s="21" t="s">
        <v>135</v>
      </c>
      <c r="C33" s="21">
        <v>1</v>
      </c>
      <c r="R33"/>
      <c r="S33"/>
      <c r="T33"/>
      <c r="U33"/>
    </row>
    <row r="34" spans="1:21" x14ac:dyDescent="0.2">
      <c r="B34" s="21" t="s">
        <v>136</v>
      </c>
      <c r="C34" s="21">
        <v>1</v>
      </c>
      <c r="R34"/>
      <c r="S34"/>
      <c r="T34"/>
      <c r="U34"/>
    </row>
    <row r="35" spans="1:21" x14ac:dyDescent="0.2">
      <c r="B35" s="21" t="s">
        <v>137</v>
      </c>
      <c r="C35" s="21">
        <v>1</v>
      </c>
      <c r="R35"/>
      <c r="S35"/>
      <c r="T35"/>
      <c r="U35"/>
    </row>
    <row r="36" spans="1:21" x14ac:dyDescent="0.2">
      <c r="B36" s="21" t="s">
        <v>111</v>
      </c>
      <c r="C36" s="21">
        <v>1</v>
      </c>
      <c r="R36"/>
      <c r="S36"/>
      <c r="T36"/>
      <c r="U36"/>
    </row>
    <row r="37" spans="1:21" x14ac:dyDescent="0.2">
      <c r="R37"/>
      <c r="S37"/>
      <c r="T37"/>
      <c r="U37"/>
    </row>
    <row r="38" spans="1:21" x14ac:dyDescent="0.2">
      <c r="R38"/>
      <c r="S38"/>
      <c r="T38"/>
      <c r="U38"/>
    </row>
    <row r="39" spans="1:21" x14ac:dyDescent="0.2">
      <c r="R39"/>
      <c r="S39"/>
      <c r="T39"/>
      <c r="U39"/>
    </row>
    <row r="40" spans="1:21" x14ac:dyDescent="0.2">
      <c r="R40"/>
      <c r="S40"/>
      <c r="T40"/>
      <c r="U40"/>
    </row>
    <row r="41" spans="1:21" x14ac:dyDescent="0.2">
      <c r="A41" s="12" t="s">
        <v>194</v>
      </c>
      <c r="R41"/>
      <c r="S41"/>
      <c r="T41"/>
      <c r="U41"/>
    </row>
    <row r="42" spans="1:21" x14ac:dyDescent="0.2">
      <c r="A42" s="52"/>
      <c r="B42" s="52"/>
      <c r="C42" s="46" t="s">
        <v>193</v>
      </c>
      <c r="D42" s="46" t="s">
        <v>195</v>
      </c>
      <c r="E42" s="46" t="s">
        <v>94</v>
      </c>
      <c r="F42" s="6" t="s">
        <v>196</v>
      </c>
      <c r="R42"/>
      <c r="S42"/>
      <c r="T42"/>
      <c r="U42"/>
    </row>
    <row r="43" spans="1:21" x14ac:dyDescent="0.2">
      <c r="A43" s="25">
        <v>1</v>
      </c>
      <c r="B43" s="25" t="s">
        <v>197</v>
      </c>
      <c r="C43" s="25" t="s">
        <v>198</v>
      </c>
      <c r="D43" s="25" t="b">
        <v>0</v>
      </c>
      <c r="E43" s="21" t="s">
        <v>102</v>
      </c>
      <c r="F43" s="25" t="b">
        <v>0</v>
      </c>
      <c r="R43"/>
      <c r="S43"/>
      <c r="T43"/>
      <c r="U43"/>
    </row>
    <row r="44" spans="1:21" x14ac:dyDescent="0.2">
      <c r="A44" s="25">
        <f>A43+1</f>
        <v>2</v>
      </c>
      <c r="B44" s="25" t="s">
        <v>199</v>
      </c>
      <c r="C44" s="25" t="s">
        <v>199</v>
      </c>
      <c r="D44" s="25" t="b">
        <v>0</v>
      </c>
      <c r="E44" s="21" t="s">
        <v>115</v>
      </c>
      <c r="F44" s="25" t="b">
        <v>1</v>
      </c>
      <c r="R44"/>
      <c r="S44"/>
      <c r="T44"/>
      <c r="U44"/>
    </row>
    <row r="45" spans="1:21" x14ac:dyDescent="0.2">
      <c r="A45" s="25">
        <f t="shared" ref="A45:A55" si="0">A44+1</f>
        <v>3</v>
      </c>
      <c r="B45" s="25" t="s">
        <v>200</v>
      </c>
      <c r="C45" s="25" t="s">
        <v>201</v>
      </c>
      <c r="D45" s="25" t="b">
        <v>0</v>
      </c>
      <c r="E45" s="21" t="s">
        <v>115</v>
      </c>
      <c r="F45" s="25" t="b">
        <v>1</v>
      </c>
      <c r="R45"/>
      <c r="S45"/>
      <c r="T45"/>
      <c r="U45"/>
    </row>
    <row r="46" spans="1:21" x14ac:dyDescent="0.2">
      <c r="A46" s="25">
        <f t="shared" si="0"/>
        <v>4</v>
      </c>
      <c r="B46" s="25" t="s">
        <v>202</v>
      </c>
      <c r="C46" s="25" t="s">
        <v>203</v>
      </c>
      <c r="D46" s="25" t="b">
        <v>0</v>
      </c>
      <c r="E46" s="21" t="s">
        <v>115</v>
      </c>
      <c r="F46" s="25" t="b">
        <v>1</v>
      </c>
      <c r="R46"/>
      <c r="S46"/>
      <c r="T46"/>
      <c r="U46"/>
    </row>
    <row r="47" spans="1:21" ht="13.5" x14ac:dyDescent="0.25">
      <c r="A47" s="25">
        <f t="shared" si="0"/>
        <v>5</v>
      </c>
      <c r="B47" s="25" t="s">
        <v>113</v>
      </c>
      <c r="C47" s="25" t="s">
        <v>204</v>
      </c>
      <c r="D47" s="25" t="b">
        <v>1</v>
      </c>
      <c r="E47" s="21" t="s">
        <v>102</v>
      </c>
      <c r="F47" s="25" t="b">
        <v>0</v>
      </c>
      <c r="R47"/>
      <c r="S47"/>
      <c r="T47"/>
      <c r="U47"/>
    </row>
    <row r="48" spans="1:21" x14ac:dyDescent="0.2">
      <c r="A48" s="25">
        <f t="shared" si="0"/>
        <v>6</v>
      </c>
      <c r="B48" s="25" t="s">
        <v>116</v>
      </c>
      <c r="C48" s="25" t="s">
        <v>205</v>
      </c>
      <c r="D48" s="25" t="b">
        <v>1</v>
      </c>
      <c r="E48" s="21" t="s">
        <v>102</v>
      </c>
      <c r="F48" s="25" t="b">
        <v>0</v>
      </c>
      <c r="I48"/>
      <c r="R48"/>
      <c r="S48"/>
      <c r="T48"/>
      <c r="U48"/>
    </row>
    <row r="49" spans="1:21" x14ac:dyDescent="0.2">
      <c r="A49" s="25">
        <f t="shared" si="0"/>
        <v>7</v>
      </c>
      <c r="B49" s="25" t="s">
        <v>117</v>
      </c>
      <c r="C49" s="25" t="s">
        <v>205</v>
      </c>
      <c r="D49" s="25" t="b">
        <v>1</v>
      </c>
      <c r="E49" s="21" t="s">
        <v>102</v>
      </c>
      <c r="F49" s="25" t="b">
        <v>0</v>
      </c>
      <c r="R49"/>
      <c r="S49"/>
      <c r="T49"/>
      <c r="U49"/>
    </row>
    <row r="50" spans="1:21" x14ac:dyDescent="0.2">
      <c r="A50" s="25">
        <f t="shared" si="0"/>
        <v>8</v>
      </c>
      <c r="B50" s="25" t="s">
        <v>118</v>
      </c>
      <c r="C50" s="25" t="s">
        <v>205</v>
      </c>
      <c r="D50" s="25" t="b">
        <v>1</v>
      </c>
      <c r="E50" s="21" t="s">
        <v>102</v>
      </c>
      <c r="F50" s="25" t="b">
        <v>0</v>
      </c>
      <c r="R50"/>
      <c r="S50"/>
      <c r="T50"/>
      <c r="U50"/>
    </row>
    <row r="51" spans="1:21" x14ac:dyDescent="0.2">
      <c r="A51" s="25">
        <f t="shared" si="0"/>
        <v>9</v>
      </c>
      <c r="B51" s="25" t="s">
        <v>119</v>
      </c>
      <c r="C51" s="25" t="s">
        <v>205</v>
      </c>
      <c r="D51" s="25" t="b">
        <v>1</v>
      </c>
      <c r="E51" s="21" t="s">
        <v>206</v>
      </c>
      <c r="F51" s="25" t="b">
        <v>0</v>
      </c>
      <c r="R51"/>
      <c r="S51"/>
      <c r="T51"/>
      <c r="U51"/>
    </row>
    <row r="52" spans="1:21" x14ac:dyDescent="0.2">
      <c r="A52" s="25">
        <f t="shared" si="0"/>
        <v>10</v>
      </c>
      <c r="B52" s="25" t="s">
        <v>139</v>
      </c>
      <c r="C52" s="25" t="s">
        <v>205</v>
      </c>
      <c r="D52" s="25" t="b">
        <v>1</v>
      </c>
      <c r="E52" s="21" t="s">
        <v>207</v>
      </c>
      <c r="F52" s="25" t="b">
        <v>0</v>
      </c>
      <c r="R52"/>
      <c r="S52"/>
      <c r="T52"/>
      <c r="U52"/>
    </row>
    <row r="53" spans="1:21" x14ac:dyDescent="0.2">
      <c r="A53" s="25">
        <f t="shared" si="0"/>
        <v>11</v>
      </c>
      <c r="B53" s="25" t="s">
        <v>140</v>
      </c>
      <c r="C53" s="25" t="s">
        <v>205</v>
      </c>
      <c r="D53" s="25" t="b">
        <v>1</v>
      </c>
      <c r="E53" s="21" t="s">
        <v>207</v>
      </c>
      <c r="F53" s="25" t="b">
        <v>0</v>
      </c>
      <c r="R53"/>
      <c r="S53"/>
      <c r="T53"/>
      <c r="U53"/>
    </row>
    <row r="54" spans="1:21" x14ac:dyDescent="0.2">
      <c r="A54" s="25">
        <f t="shared" si="0"/>
        <v>12</v>
      </c>
      <c r="B54" s="25" t="s">
        <v>126</v>
      </c>
      <c r="C54" s="25" t="s">
        <v>205</v>
      </c>
      <c r="D54" s="25" t="b">
        <v>1</v>
      </c>
      <c r="E54" s="21" t="s">
        <v>206</v>
      </c>
      <c r="F54" s="25" t="b">
        <v>0</v>
      </c>
      <c r="O54"/>
      <c r="P54"/>
      <c r="Q54"/>
      <c r="R54"/>
      <c r="S54"/>
      <c r="T54"/>
      <c r="U54"/>
    </row>
    <row r="55" spans="1:21" x14ac:dyDescent="0.2">
      <c r="A55" s="25">
        <f t="shared" si="0"/>
        <v>13</v>
      </c>
      <c r="B55" s="25" t="s">
        <v>127</v>
      </c>
      <c r="C55" s="25" t="s">
        <v>205</v>
      </c>
      <c r="D55" s="25" t="b">
        <v>1</v>
      </c>
      <c r="E55" s="21" t="s">
        <v>206</v>
      </c>
      <c r="F55" s="25" t="b">
        <v>0</v>
      </c>
      <c r="O55"/>
      <c r="P55"/>
      <c r="Q55"/>
      <c r="R55"/>
      <c r="S55"/>
      <c r="T55"/>
      <c r="U55"/>
    </row>
    <row r="56" spans="1:21" x14ac:dyDescent="0.2">
      <c r="O56"/>
      <c r="P56"/>
      <c r="Q56"/>
      <c r="R56"/>
      <c r="S56"/>
      <c r="T56"/>
      <c r="U56"/>
    </row>
    <row r="57" spans="1:21" x14ac:dyDescent="0.2">
      <c r="O57"/>
      <c r="P57"/>
      <c r="Q57"/>
      <c r="R57"/>
      <c r="S57"/>
      <c r="T57"/>
      <c r="U57"/>
    </row>
    <row r="58" spans="1:21" x14ac:dyDescent="0.2">
      <c r="H58"/>
      <c r="I58"/>
      <c r="J58"/>
      <c r="O58"/>
      <c r="P58"/>
      <c r="Q58"/>
      <c r="R58"/>
      <c r="S58"/>
      <c r="T58"/>
      <c r="U58"/>
    </row>
    <row r="59" spans="1:21" x14ac:dyDescent="0.2">
      <c r="A59" s="6" t="s">
        <v>210</v>
      </c>
      <c r="O59"/>
      <c r="P59"/>
      <c r="Q59"/>
      <c r="R59"/>
      <c r="S59"/>
      <c r="T59"/>
      <c r="U59"/>
    </row>
    <row r="60" spans="1:21" x14ac:dyDescent="0.2">
      <c r="B60" s="6" t="s">
        <v>211</v>
      </c>
      <c r="C60" s="81">
        <v>1000</v>
      </c>
      <c r="O60"/>
      <c r="P60"/>
      <c r="Q60"/>
      <c r="R60"/>
      <c r="S60"/>
      <c r="T60"/>
      <c r="U60"/>
    </row>
    <row r="61" spans="1:21" x14ac:dyDescent="0.2">
      <c r="B61" s="6" t="s">
        <v>212</v>
      </c>
      <c r="C61" s="81">
        <v>1000000</v>
      </c>
      <c r="O61"/>
      <c r="P61"/>
      <c r="Q61"/>
      <c r="R61"/>
      <c r="S61"/>
      <c r="T61"/>
      <c r="U61"/>
    </row>
    <row r="62" spans="1:21" x14ac:dyDescent="0.2">
      <c r="O62"/>
      <c r="P62"/>
      <c r="Q62"/>
      <c r="R62"/>
      <c r="S62"/>
      <c r="T62"/>
      <c r="U62"/>
    </row>
    <row r="63" spans="1:21" x14ac:dyDescent="0.2">
      <c r="O63"/>
      <c r="P63"/>
      <c r="Q63"/>
      <c r="R63"/>
      <c r="S63"/>
      <c r="T63"/>
      <c r="U63"/>
    </row>
    <row r="64" spans="1:21" x14ac:dyDescent="0.2">
      <c r="A64" s="6" t="s">
        <v>177</v>
      </c>
      <c r="O64"/>
      <c r="P64"/>
      <c r="Q64"/>
      <c r="R64"/>
      <c r="S64"/>
      <c r="T64"/>
      <c r="U64"/>
    </row>
    <row r="65" spans="1:21" x14ac:dyDescent="0.2">
      <c r="B65" s="6" t="s">
        <v>177</v>
      </c>
      <c r="C65" s="127" t="s">
        <v>213</v>
      </c>
      <c r="O65"/>
      <c r="P65"/>
      <c r="Q65"/>
      <c r="R65"/>
      <c r="S65"/>
      <c r="T65"/>
      <c r="U65"/>
    </row>
    <row r="66" spans="1:21" x14ac:dyDescent="0.2">
      <c r="O66"/>
      <c r="P66"/>
      <c r="Q66"/>
      <c r="R66"/>
      <c r="S66"/>
      <c r="T66"/>
      <c r="U66"/>
    </row>
    <row r="67" spans="1:21" x14ac:dyDescent="0.2">
      <c r="O67"/>
      <c r="P67"/>
      <c r="Q67"/>
      <c r="R67"/>
      <c r="S67"/>
      <c r="T67"/>
      <c r="U67"/>
    </row>
    <row r="68" spans="1:21" x14ac:dyDescent="0.2">
      <c r="A68" s="6" t="s">
        <v>214</v>
      </c>
      <c r="C68" s="6" t="s">
        <v>215</v>
      </c>
      <c r="O68"/>
      <c r="P68"/>
      <c r="Q68"/>
      <c r="R68"/>
      <c r="S68"/>
      <c r="T68"/>
      <c r="U68"/>
    </row>
    <row r="69" spans="1:21" x14ac:dyDescent="0.2">
      <c r="O69"/>
      <c r="P69"/>
      <c r="Q69"/>
      <c r="R69"/>
      <c r="S69"/>
      <c r="T69"/>
      <c r="U69"/>
    </row>
    <row r="70" spans="1:21" x14ac:dyDescent="0.2">
      <c r="O70"/>
      <c r="P70"/>
      <c r="Q70"/>
      <c r="R70"/>
      <c r="S70"/>
      <c r="T70"/>
      <c r="U70"/>
    </row>
    <row r="71" spans="1:21" x14ac:dyDescent="0.2">
      <c r="O71"/>
      <c r="P71"/>
      <c r="Q71"/>
      <c r="R71"/>
      <c r="S71"/>
      <c r="T71"/>
      <c r="U71"/>
    </row>
    <row r="72" spans="1:21" x14ac:dyDescent="0.2">
      <c r="A72" s="1"/>
      <c r="B72" s="1"/>
      <c r="C72" s="1"/>
      <c r="D72" s="1"/>
      <c r="E72" s="1"/>
      <c r="F72" s="1"/>
      <c r="K72" s="1"/>
      <c r="L72" s="1"/>
      <c r="M72" s="1"/>
      <c r="N72" s="1"/>
      <c r="O72"/>
      <c r="P72"/>
      <c r="Q72"/>
      <c r="R72"/>
      <c r="S72"/>
      <c r="T72"/>
      <c r="U72"/>
    </row>
    <row r="73" spans="1:21" x14ac:dyDescent="0.2">
      <c r="A73" s="12" t="s">
        <v>216</v>
      </c>
      <c r="B73" s="12"/>
      <c r="K73" s="1"/>
      <c r="L73" s="1"/>
      <c r="M73" s="1"/>
      <c r="N73" s="1"/>
      <c r="O73"/>
      <c r="P73"/>
      <c r="Q73"/>
      <c r="R73"/>
      <c r="S73"/>
      <c r="T73"/>
      <c r="U73"/>
    </row>
    <row r="74" spans="1:21" x14ac:dyDescent="0.2">
      <c r="A74" s="12"/>
      <c r="B74" s="56" t="s">
        <v>217</v>
      </c>
      <c r="F74" s="129">
        <v>0</v>
      </c>
      <c r="K74" s="1"/>
      <c r="L74" s="1"/>
      <c r="M74" s="1"/>
      <c r="N74" s="1"/>
      <c r="O74"/>
      <c r="P74"/>
      <c r="Q74"/>
      <c r="R74"/>
      <c r="S74"/>
      <c r="T74"/>
      <c r="U74"/>
    </row>
    <row r="75" spans="1:21" x14ac:dyDescent="0.2">
      <c r="A75" s="1"/>
      <c r="B75" s="6" t="s">
        <v>218</v>
      </c>
      <c r="F75" s="129">
        <v>1</v>
      </c>
      <c r="K75" s="1"/>
      <c r="L75" s="1"/>
      <c r="M75" s="1"/>
      <c r="N75" s="1"/>
      <c r="O75"/>
      <c r="P75"/>
      <c r="Q75"/>
      <c r="R75"/>
      <c r="S75"/>
      <c r="T75"/>
      <c r="U75"/>
    </row>
    <row r="76" spans="1:21" x14ac:dyDescent="0.2">
      <c r="A76" s="1"/>
      <c r="B76" s="6" t="s">
        <v>219</v>
      </c>
      <c r="F76" s="129">
        <v>1</v>
      </c>
      <c r="K76" s="1"/>
      <c r="L76" s="1"/>
      <c r="M76" s="1"/>
      <c r="N76" s="1"/>
      <c r="O76"/>
      <c r="P76"/>
      <c r="Q76"/>
      <c r="R76"/>
      <c r="S76"/>
      <c r="T76"/>
      <c r="U76"/>
    </row>
    <row r="77" spans="1:21" x14ac:dyDescent="0.2">
      <c r="A77" s="1"/>
      <c r="B77" s="6" t="s">
        <v>220</v>
      </c>
      <c r="F77" s="129">
        <v>1</v>
      </c>
      <c r="K77" s="1"/>
      <c r="L77" s="1"/>
      <c r="M77" s="1"/>
      <c r="N77" s="1"/>
      <c r="O77"/>
      <c r="P77"/>
      <c r="Q77"/>
      <c r="R77"/>
      <c r="S77"/>
      <c r="T77"/>
      <c r="U77"/>
    </row>
    <row r="78" spans="1:21" x14ac:dyDescent="0.2">
      <c r="A78" s="1"/>
      <c r="B78" s="6" t="s">
        <v>221</v>
      </c>
      <c r="F78" s="129">
        <v>1</v>
      </c>
      <c r="K78" s="1"/>
      <c r="L78" s="1"/>
      <c r="M78" s="1"/>
      <c r="N78" s="1"/>
      <c r="O78"/>
      <c r="P78"/>
      <c r="Q78"/>
      <c r="R78"/>
      <c r="S78"/>
      <c r="T78"/>
      <c r="U78"/>
    </row>
    <row r="79" spans="1:21" x14ac:dyDescent="0.2">
      <c r="A79" s="1"/>
      <c r="B79" s="6" t="s">
        <v>222</v>
      </c>
      <c r="F79" s="129">
        <v>3</v>
      </c>
      <c r="K79" s="1"/>
      <c r="L79" s="1"/>
      <c r="M79" s="1"/>
      <c r="N79" s="1"/>
      <c r="O79"/>
      <c r="P79"/>
      <c r="Q79"/>
      <c r="R79"/>
      <c r="S79"/>
      <c r="T79"/>
      <c r="U79"/>
    </row>
    <row r="80" spans="1:21" x14ac:dyDescent="0.2">
      <c r="A80" s="1"/>
      <c r="B80" s="6" t="s">
        <v>223</v>
      </c>
      <c r="F80" s="129">
        <v>3</v>
      </c>
      <c r="K80" s="1"/>
      <c r="L80" s="1"/>
      <c r="M80" s="1"/>
      <c r="N80" s="1"/>
      <c r="O80" s="1"/>
    </row>
    <row r="81" spans="1:23" x14ac:dyDescent="0.2">
      <c r="A81" s="1"/>
      <c r="B81" s="6" t="s">
        <v>224</v>
      </c>
      <c r="F81" s="129">
        <v>6</v>
      </c>
      <c r="K81" s="1"/>
      <c r="L81" s="1"/>
      <c r="M81" s="1"/>
      <c r="N81" s="1"/>
      <c r="O81" s="1"/>
    </row>
    <row r="82" spans="1:23" x14ac:dyDescent="0.2">
      <c r="A82" s="1"/>
      <c r="B82" s="6" t="s">
        <v>225</v>
      </c>
      <c r="F82" s="129">
        <v>6</v>
      </c>
      <c r="K82" s="1"/>
      <c r="L82" s="1"/>
      <c r="M82" s="1"/>
      <c r="N82" s="1"/>
      <c r="O82" s="1"/>
    </row>
    <row r="83" spans="1:23" x14ac:dyDescent="0.2">
      <c r="A83" s="1"/>
      <c r="B83" s="6" t="s">
        <v>226</v>
      </c>
      <c r="F83" s="129">
        <v>10</v>
      </c>
      <c r="K83" s="1"/>
      <c r="L83" s="1"/>
      <c r="M83" s="1"/>
      <c r="N83" s="1"/>
      <c r="O83" s="1"/>
    </row>
    <row r="84" spans="1:23" x14ac:dyDescent="0.2">
      <c r="A84" s="1"/>
      <c r="B84" s="1"/>
      <c r="C84" s="1"/>
      <c r="D84" s="1"/>
      <c r="E84" s="1"/>
      <c r="F84" s="1"/>
      <c r="K84" s="1"/>
      <c r="L84" s="1"/>
      <c r="M84" s="1"/>
      <c r="N84" s="1"/>
      <c r="O84" s="1"/>
    </row>
    <row r="85" spans="1:23" x14ac:dyDescent="0.2">
      <c r="A85" s="1"/>
      <c r="B85" s="1"/>
      <c r="C85" s="1"/>
      <c r="D85" s="1"/>
      <c r="E85" s="1"/>
      <c r="F85" s="1"/>
      <c r="K85" s="1"/>
      <c r="L85" s="1"/>
      <c r="M85" s="1"/>
      <c r="N85" s="1"/>
      <c r="O85" s="1"/>
    </row>
    <row r="86" spans="1:23" x14ac:dyDescent="0.2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23" x14ac:dyDescent="0.2">
      <c r="A87" s="1"/>
      <c r="B87" s="119" t="s">
        <v>134</v>
      </c>
      <c r="C87" s="1"/>
      <c r="D87" s="1"/>
      <c r="E87" s="1"/>
      <c r="F87" s="1"/>
      <c r="K87" s="1"/>
      <c r="L87" s="1"/>
      <c r="M87" s="1"/>
      <c r="N87" s="1"/>
      <c r="O87" s="1"/>
    </row>
    <row r="88" spans="1:23" x14ac:dyDescent="0.2">
      <c r="A88" s="1"/>
      <c r="B88" s="119" t="s">
        <v>105</v>
      </c>
      <c r="C88" s="1"/>
      <c r="D88" s="1"/>
      <c r="E88" s="1"/>
      <c r="F88" s="1"/>
      <c r="K88" s="1"/>
      <c r="L88" s="1"/>
      <c r="M88" s="1"/>
      <c r="N88" s="1"/>
      <c r="O88" s="1"/>
    </row>
    <row r="89" spans="1:23" x14ac:dyDescent="0.2">
      <c r="A89" s="1"/>
      <c r="B89" s="119" t="s">
        <v>130</v>
      </c>
      <c r="C89" s="1"/>
      <c r="D89" s="1"/>
      <c r="E89" s="1"/>
      <c r="F89" s="1"/>
      <c r="K89" s="1"/>
      <c r="L89" s="1"/>
      <c r="M89" s="1"/>
      <c r="N89" s="1"/>
      <c r="O89" s="1"/>
    </row>
    <row r="90" spans="1:23" x14ac:dyDescent="0.2">
      <c r="A90" s="1"/>
      <c r="B90" s="1"/>
      <c r="C90" s="1"/>
      <c r="D90" s="1"/>
      <c r="E90" s="1"/>
      <c r="F90" s="1"/>
      <c r="K90" s="1"/>
      <c r="L90" s="1"/>
      <c r="M90" s="1"/>
      <c r="N90" s="1"/>
      <c r="O90" s="1"/>
    </row>
    <row r="91" spans="1:23" x14ac:dyDescent="0.2">
      <c r="A91" s="1"/>
      <c r="B91" s="1"/>
      <c r="C91" s="1"/>
      <c r="D91" s="1"/>
      <c r="E91" s="1"/>
      <c r="F91" s="1"/>
      <c r="K91" s="1"/>
      <c r="L91" s="1"/>
      <c r="M91" s="1"/>
      <c r="N91" s="1"/>
      <c r="O91" s="1"/>
    </row>
    <row r="92" spans="1:23" x14ac:dyDescent="0.2">
      <c r="R92"/>
      <c r="S92"/>
      <c r="T92"/>
      <c r="U92"/>
    </row>
    <row r="93" spans="1:23" x14ac:dyDescent="0.2">
      <c r="R93"/>
      <c r="S93"/>
      <c r="T93"/>
      <c r="U93"/>
    </row>
    <row r="94" spans="1:23" ht="15" x14ac:dyDescent="0.25">
      <c r="A94" s="17" t="s">
        <v>227</v>
      </c>
      <c r="B94" s="17"/>
      <c r="C94" s="17"/>
      <c r="D94" s="17"/>
      <c r="E94" s="17"/>
      <c r="F94" s="18"/>
      <c r="G94" s="17"/>
      <c r="H94" s="17"/>
      <c r="I94" s="17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</row>
    <row r="95" spans="1:23" x14ac:dyDescent="0.2">
      <c r="S95"/>
      <c r="T95"/>
      <c r="U95"/>
      <c r="V95"/>
      <c r="W95"/>
    </row>
    <row r="96" spans="1:23" x14ac:dyDescent="0.2">
      <c r="B96" s="6" t="s">
        <v>228</v>
      </c>
      <c r="F96" s="6" t="s">
        <v>229</v>
      </c>
      <c r="H96" s="6" t="s">
        <v>230</v>
      </c>
      <c r="J96" s="6" t="s">
        <v>231</v>
      </c>
      <c r="N96" s="6" t="s">
        <v>232</v>
      </c>
      <c r="P96" s="6" t="s">
        <v>233</v>
      </c>
      <c r="R96" s="6" t="s">
        <v>234</v>
      </c>
      <c r="S96"/>
      <c r="T96" s="6" t="s">
        <v>235</v>
      </c>
      <c r="U96"/>
      <c r="W96"/>
    </row>
    <row r="97" spans="2:23" x14ac:dyDescent="0.2">
      <c r="B97" s="23" t="s">
        <v>0</v>
      </c>
      <c r="C97" s="106" t="s">
        <v>236</v>
      </c>
      <c r="D97" s="106" t="s">
        <v>237</v>
      </c>
      <c r="F97" s="56" t="s">
        <v>217</v>
      </c>
      <c r="H97" s="23" t="b">
        <v>0</v>
      </c>
      <c r="J97" s="23" t="s">
        <v>238</v>
      </c>
      <c r="K97" s="37">
        <v>6</v>
      </c>
      <c r="L97" s="37" t="s">
        <v>239</v>
      </c>
      <c r="N97" s="37" t="s">
        <v>180</v>
      </c>
      <c r="P97" s="21">
        <v>2026</v>
      </c>
      <c r="R97" s="21" t="s">
        <v>34</v>
      </c>
      <c r="S97"/>
      <c r="T97" s="21" t="s">
        <v>36</v>
      </c>
      <c r="U97"/>
    </row>
    <row r="98" spans="2:23" x14ac:dyDescent="0.2">
      <c r="B98" s="23" t="s">
        <v>208</v>
      </c>
      <c r="C98" s="106" t="s">
        <v>240</v>
      </c>
      <c r="D98" s="106" t="s">
        <v>241</v>
      </c>
      <c r="F98" s="23" t="s">
        <v>88</v>
      </c>
      <c r="H98" s="23" t="b">
        <v>1</v>
      </c>
      <c r="J98" s="23" t="s">
        <v>27</v>
      </c>
      <c r="K98" s="37">
        <v>12</v>
      </c>
      <c r="L98" s="37" t="s">
        <v>242</v>
      </c>
      <c r="P98" s="21">
        <f>P97-1</f>
        <v>2025</v>
      </c>
      <c r="R98" s="21" t="s">
        <v>188</v>
      </c>
      <c r="S98"/>
      <c r="T98" s="21" t="s">
        <v>243</v>
      </c>
      <c r="U98"/>
    </row>
    <row r="99" spans="2:23" x14ac:dyDescent="0.2">
      <c r="B99" s="23" t="s">
        <v>209</v>
      </c>
      <c r="C99" s="106" t="s">
        <v>244</v>
      </c>
      <c r="D99" s="106" t="s">
        <v>245</v>
      </c>
      <c r="F99" s="23" t="s">
        <v>246</v>
      </c>
      <c r="J99" s="19"/>
      <c r="K99" s="19"/>
      <c r="L99" s="22"/>
      <c r="P99" s="21">
        <f t="shared" ref="P99:P103" si="1">P98-1</f>
        <v>2024</v>
      </c>
      <c r="R99" s="21" t="s">
        <v>190</v>
      </c>
      <c r="S99"/>
      <c r="T99" s="21" t="s">
        <v>247</v>
      </c>
      <c r="U99"/>
      <c r="V99"/>
      <c r="W99"/>
    </row>
    <row r="100" spans="2:23" x14ac:dyDescent="0.2">
      <c r="C100" s="103"/>
      <c r="D100" s="103"/>
      <c r="F100" s="23"/>
      <c r="J100" s="19"/>
      <c r="K100" s="19"/>
      <c r="P100" s="21">
        <f t="shared" si="1"/>
        <v>2023</v>
      </c>
      <c r="S100"/>
      <c r="T100" s="21"/>
      <c r="U100"/>
      <c r="V100"/>
      <c r="W100"/>
    </row>
    <row r="101" spans="2:23" x14ac:dyDescent="0.2">
      <c r="C101" s="103"/>
      <c r="D101" s="103"/>
      <c r="J101" s="19"/>
      <c r="K101" s="19"/>
      <c r="P101" s="21">
        <f t="shared" si="1"/>
        <v>2022</v>
      </c>
      <c r="S101"/>
      <c r="U101"/>
      <c r="V101"/>
      <c r="W101"/>
    </row>
    <row r="102" spans="2:23" x14ac:dyDescent="0.2">
      <c r="J102" s="19"/>
      <c r="K102" s="19"/>
      <c r="P102" s="21">
        <f t="shared" si="1"/>
        <v>2021</v>
      </c>
      <c r="S102"/>
      <c r="U102"/>
      <c r="V102"/>
      <c r="W102"/>
    </row>
    <row r="103" spans="2:23" x14ac:dyDescent="0.2">
      <c r="P103" s="21">
        <f t="shared" si="1"/>
        <v>2020</v>
      </c>
      <c r="S103"/>
      <c r="T103" s="215"/>
      <c r="U103"/>
      <c r="V103"/>
      <c r="W103"/>
    </row>
    <row r="104" spans="2:23" x14ac:dyDescent="0.2">
      <c r="P104" s="21"/>
      <c r="S104"/>
      <c r="T104" s="215"/>
      <c r="U104"/>
      <c r="V104"/>
      <c r="W104"/>
    </row>
    <row r="105" spans="2:23" x14ac:dyDescent="0.2">
      <c r="S105"/>
      <c r="T105" s="215"/>
      <c r="U105"/>
      <c r="V105"/>
      <c r="W105"/>
    </row>
    <row r="106" spans="2:23" x14ac:dyDescent="0.2">
      <c r="S106"/>
      <c r="T106"/>
      <c r="U106"/>
      <c r="V106"/>
      <c r="W106"/>
    </row>
    <row r="107" spans="2:23" x14ac:dyDescent="0.2">
      <c r="S107"/>
      <c r="T107"/>
      <c r="U107"/>
      <c r="V107"/>
      <c r="W107"/>
    </row>
    <row r="108" spans="2:23" x14ac:dyDescent="0.2">
      <c r="S108"/>
      <c r="T108"/>
      <c r="U108"/>
      <c r="V108"/>
    </row>
    <row r="109" spans="2:23" x14ac:dyDescent="0.2">
      <c r="S109"/>
      <c r="T109"/>
      <c r="U109"/>
      <c r="V109"/>
    </row>
    <row r="110" spans="2:23" x14ac:dyDescent="0.2">
      <c r="T110"/>
      <c r="U110"/>
      <c r="V110"/>
    </row>
    <row r="111" spans="2:23" x14ac:dyDescent="0.2">
      <c r="S111"/>
      <c r="T111"/>
      <c r="U111"/>
      <c r="V111"/>
    </row>
    <row r="112" spans="2:23" x14ac:dyDescent="0.2">
      <c r="S112"/>
      <c r="T112"/>
      <c r="U112"/>
      <c r="V112"/>
    </row>
    <row r="113" spans="18:22" x14ac:dyDescent="0.2">
      <c r="S113"/>
      <c r="T113"/>
      <c r="U113"/>
      <c r="V113"/>
    </row>
    <row r="114" spans="18:22" x14ac:dyDescent="0.2">
      <c r="S114"/>
      <c r="T114"/>
      <c r="U114"/>
      <c r="V114"/>
    </row>
    <row r="115" spans="18:22" x14ac:dyDescent="0.2">
      <c r="S115"/>
      <c r="T115"/>
      <c r="U115"/>
      <c r="V115"/>
    </row>
    <row r="116" spans="18:22" x14ac:dyDescent="0.2">
      <c r="S116"/>
      <c r="T116"/>
      <c r="U116"/>
      <c r="V116"/>
    </row>
    <row r="117" spans="18:22" x14ac:dyDescent="0.2">
      <c r="R117"/>
      <c r="S117"/>
      <c r="T117"/>
      <c r="U117"/>
    </row>
    <row r="118" spans="18:22" x14ac:dyDescent="0.2">
      <c r="R118"/>
      <c r="S118"/>
      <c r="T118"/>
      <c r="U118"/>
    </row>
    <row r="119" spans="18:22" x14ac:dyDescent="0.2">
      <c r="R119"/>
      <c r="S119"/>
      <c r="T119"/>
      <c r="U119"/>
    </row>
    <row r="120" spans="18:22" x14ac:dyDescent="0.2">
      <c r="R120"/>
      <c r="S120"/>
      <c r="T120"/>
      <c r="U120"/>
    </row>
    <row r="121" spans="18:22" x14ac:dyDescent="0.2">
      <c r="R121"/>
      <c r="S121"/>
      <c r="T121"/>
      <c r="U121"/>
    </row>
    <row r="122" spans="18:22" x14ac:dyDescent="0.2">
      <c r="R122"/>
      <c r="S122"/>
      <c r="T122"/>
      <c r="U122"/>
    </row>
    <row r="123" spans="18:22" x14ac:dyDescent="0.2">
      <c r="R123"/>
      <c r="S123"/>
      <c r="T123"/>
      <c r="U123"/>
    </row>
    <row r="124" spans="18:22" x14ac:dyDescent="0.2">
      <c r="R124"/>
      <c r="S124"/>
      <c r="T124"/>
      <c r="U124"/>
    </row>
    <row r="125" spans="18:22" x14ac:dyDescent="0.2">
      <c r="R125"/>
      <c r="S125"/>
      <c r="T125"/>
      <c r="U125"/>
    </row>
    <row r="126" spans="18:22" x14ac:dyDescent="0.2">
      <c r="R126"/>
      <c r="S126"/>
      <c r="T126"/>
      <c r="U126"/>
    </row>
    <row r="127" spans="18:22" x14ac:dyDescent="0.2">
      <c r="R127"/>
      <c r="S127"/>
      <c r="T127"/>
      <c r="U127"/>
    </row>
    <row r="128" spans="18:22" x14ac:dyDescent="0.2">
      <c r="R128"/>
      <c r="S128"/>
      <c r="T128"/>
      <c r="U128"/>
    </row>
    <row r="129" spans="18:21" x14ac:dyDescent="0.2">
      <c r="R129"/>
      <c r="S129"/>
      <c r="T129"/>
      <c r="U129"/>
    </row>
    <row r="130" spans="18:21" x14ac:dyDescent="0.2">
      <c r="R130"/>
      <c r="S130"/>
      <c r="T130"/>
      <c r="U130"/>
    </row>
    <row r="131" spans="18:21" x14ac:dyDescent="0.2">
      <c r="R131"/>
      <c r="S131"/>
      <c r="T131"/>
      <c r="U131"/>
    </row>
    <row r="132" spans="18:21" x14ac:dyDescent="0.2">
      <c r="R132"/>
      <c r="S132"/>
      <c r="T132"/>
      <c r="U132"/>
    </row>
    <row r="133" spans="18:21" x14ac:dyDescent="0.2">
      <c r="R133"/>
      <c r="S133"/>
      <c r="T133"/>
      <c r="U133"/>
    </row>
    <row r="134" spans="18:21" x14ac:dyDescent="0.2">
      <c r="R134"/>
      <c r="S134"/>
      <c r="T134"/>
      <c r="U134"/>
    </row>
    <row r="135" spans="18:21" x14ac:dyDescent="0.2">
      <c r="R135"/>
      <c r="S135"/>
      <c r="T135"/>
      <c r="U135"/>
    </row>
    <row r="136" spans="18:21" x14ac:dyDescent="0.2">
      <c r="R136"/>
      <c r="S136"/>
      <c r="T136"/>
      <c r="U136"/>
    </row>
    <row r="137" spans="18:21" x14ac:dyDescent="0.2">
      <c r="R137"/>
      <c r="S137"/>
      <c r="T137"/>
      <c r="U137"/>
    </row>
    <row r="138" spans="18:21" x14ac:dyDescent="0.2">
      <c r="R138"/>
      <c r="S138"/>
      <c r="T138"/>
      <c r="U138"/>
    </row>
    <row r="139" spans="18:21" x14ac:dyDescent="0.2">
      <c r="R139"/>
      <c r="S139"/>
      <c r="T139"/>
      <c r="U139"/>
    </row>
    <row r="140" spans="18:21" x14ac:dyDescent="0.2">
      <c r="R140"/>
      <c r="S140"/>
      <c r="T140"/>
      <c r="U140"/>
    </row>
    <row r="141" spans="18:21" x14ac:dyDescent="0.2">
      <c r="R141"/>
      <c r="S141"/>
      <c r="T141"/>
      <c r="U141"/>
    </row>
    <row r="142" spans="18:21" x14ac:dyDescent="0.2">
      <c r="R142"/>
      <c r="S142"/>
      <c r="T142"/>
      <c r="U142"/>
    </row>
    <row r="143" spans="18:21" x14ac:dyDescent="0.2">
      <c r="R143"/>
      <c r="S143"/>
      <c r="T143"/>
      <c r="U143"/>
    </row>
    <row r="144" spans="18:21" x14ac:dyDescent="0.2">
      <c r="R144"/>
      <c r="S144"/>
      <c r="T144"/>
      <c r="U144"/>
    </row>
    <row r="145" spans="18:21" x14ac:dyDescent="0.2">
      <c r="R145"/>
      <c r="S145"/>
      <c r="T145"/>
      <c r="U145"/>
    </row>
    <row r="146" spans="18:21" x14ac:dyDescent="0.2">
      <c r="R146"/>
      <c r="S146"/>
      <c r="T146"/>
      <c r="U146"/>
    </row>
    <row r="147" spans="18:21" x14ac:dyDescent="0.2">
      <c r="R147"/>
      <c r="S147"/>
      <c r="T147"/>
      <c r="U147"/>
    </row>
    <row r="148" spans="18:21" x14ac:dyDescent="0.2">
      <c r="R148"/>
      <c r="S148"/>
      <c r="T148"/>
      <c r="U148"/>
    </row>
    <row r="149" spans="18:21" x14ac:dyDescent="0.2">
      <c r="R149"/>
      <c r="S149"/>
      <c r="T149"/>
      <c r="U149"/>
    </row>
    <row r="150" spans="18:21" x14ac:dyDescent="0.2">
      <c r="R150"/>
      <c r="S150"/>
      <c r="T150"/>
      <c r="U150"/>
    </row>
    <row r="151" spans="18:21" x14ac:dyDescent="0.2">
      <c r="R151"/>
      <c r="S151"/>
      <c r="T151"/>
      <c r="U151"/>
    </row>
    <row r="152" spans="18:21" x14ac:dyDescent="0.2">
      <c r="R152"/>
      <c r="S152"/>
      <c r="T152"/>
      <c r="U152"/>
    </row>
    <row r="153" spans="18:21" x14ac:dyDescent="0.2">
      <c r="R153"/>
      <c r="S153"/>
      <c r="T153"/>
      <c r="U153"/>
    </row>
    <row r="154" spans="18:21" x14ac:dyDescent="0.2">
      <c r="R154"/>
      <c r="S154"/>
      <c r="T154"/>
      <c r="U154"/>
    </row>
    <row r="155" spans="18:21" x14ac:dyDescent="0.2">
      <c r="R155"/>
      <c r="S155"/>
      <c r="T155"/>
      <c r="U155"/>
    </row>
    <row r="156" spans="18:21" x14ac:dyDescent="0.2">
      <c r="R156"/>
      <c r="S156"/>
      <c r="T156"/>
      <c r="U156"/>
    </row>
    <row r="157" spans="18:21" x14ac:dyDescent="0.2">
      <c r="R157"/>
      <c r="S157"/>
      <c r="T157"/>
      <c r="U157"/>
    </row>
    <row r="158" spans="18:21" x14ac:dyDescent="0.2">
      <c r="R158"/>
      <c r="S158"/>
      <c r="T158"/>
      <c r="U158"/>
    </row>
    <row r="159" spans="18:21" x14ac:dyDescent="0.2">
      <c r="R159"/>
      <c r="S159"/>
      <c r="T159"/>
      <c r="U159"/>
    </row>
    <row r="160" spans="18:21" x14ac:dyDescent="0.2">
      <c r="R160"/>
      <c r="S160"/>
      <c r="T160"/>
      <c r="U160"/>
    </row>
    <row r="161" spans="18:21" x14ac:dyDescent="0.2">
      <c r="R161"/>
      <c r="S161"/>
      <c r="T161"/>
      <c r="U161"/>
    </row>
    <row r="162" spans="18:21" x14ac:dyDescent="0.2">
      <c r="R162"/>
      <c r="S162"/>
      <c r="T162"/>
      <c r="U162"/>
    </row>
    <row r="163" spans="18:21" x14ac:dyDescent="0.2">
      <c r="R163"/>
      <c r="S163"/>
      <c r="T163"/>
      <c r="U163"/>
    </row>
    <row r="164" spans="18:21" x14ac:dyDescent="0.2">
      <c r="R164"/>
      <c r="S164"/>
      <c r="T164"/>
      <c r="U164"/>
    </row>
    <row r="165" spans="18:21" x14ac:dyDescent="0.2">
      <c r="R165"/>
      <c r="S165"/>
      <c r="T165"/>
      <c r="U165"/>
    </row>
    <row r="166" spans="18:21" x14ac:dyDescent="0.2">
      <c r="R166"/>
      <c r="S166"/>
      <c r="T166"/>
      <c r="U166"/>
    </row>
    <row r="167" spans="18:21" x14ac:dyDescent="0.2">
      <c r="R167"/>
      <c r="S167"/>
      <c r="T167"/>
      <c r="U167"/>
    </row>
    <row r="168" spans="18:21" x14ac:dyDescent="0.2">
      <c r="R168"/>
      <c r="S168"/>
      <c r="T168"/>
      <c r="U168"/>
    </row>
    <row r="169" spans="18:21" x14ac:dyDescent="0.2">
      <c r="R169"/>
      <c r="S169"/>
      <c r="T169"/>
      <c r="U169"/>
    </row>
    <row r="170" spans="18:21" x14ac:dyDescent="0.2">
      <c r="R170"/>
      <c r="S170"/>
      <c r="T170"/>
      <c r="U170"/>
    </row>
    <row r="171" spans="18:21" x14ac:dyDescent="0.2">
      <c r="R171"/>
      <c r="S171"/>
      <c r="T171"/>
      <c r="U171"/>
    </row>
    <row r="172" spans="18:21" x14ac:dyDescent="0.2">
      <c r="R172"/>
      <c r="S172"/>
      <c r="T172"/>
      <c r="U172"/>
    </row>
    <row r="173" spans="18:21" x14ac:dyDescent="0.2">
      <c r="R173"/>
      <c r="S173"/>
      <c r="T173"/>
      <c r="U173"/>
    </row>
    <row r="174" spans="18:21" x14ac:dyDescent="0.2">
      <c r="R174"/>
      <c r="S174"/>
      <c r="T174"/>
      <c r="U174"/>
    </row>
    <row r="175" spans="18:21" x14ac:dyDescent="0.2">
      <c r="R175"/>
      <c r="S175"/>
      <c r="T175"/>
      <c r="U175"/>
    </row>
    <row r="176" spans="18:21" x14ac:dyDescent="0.2">
      <c r="R176"/>
      <c r="S176"/>
      <c r="T176"/>
      <c r="U176"/>
    </row>
    <row r="177" spans="18:21" x14ac:dyDescent="0.2">
      <c r="R177"/>
      <c r="S177"/>
      <c r="T177"/>
      <c r="U177"/>
    </row>
    <row r="178" spans="18:21" x14ac:dyDescent="0.2">
      <c r="R178"/>
      <c r="S178"/>
      <c r="T178"/>
      <c r="U178"/>
    </row>
    <row r="179" spans="18:21" x14ac:dyDescent="0.2">
      <c r="R179"/>
      <c r="S179"/>
      <c r="T179"/>
      <c r="U179"/>
    </row>
    <row r="180" spans="18:21" x14ac:dyDescent="0.2">
      <c r="R180"/>
      <c r="S180"/>
      <c r="T180"/>
      <c r="U180"/>
    </row>
    <row r="181" spans="18:21" x14ac:dyDescent="0.2">
      <c r="R181"/>
      <c r="S181"/>
      <c r="T181"/>
      <c r="U181"/>
    </row>
    <row r="182" spans="18:21" x14ac:dyDescent="0.2">
      <c r="R182"/>
      <c r="S182"/>
      <c r="T182"/>
      <c r="U182"/>
    </row>
    <row r="183" spans="18:21" x14ac:dyDescent="0.2">
      <c r="R183"/>
      <c r="S183"/>
      <c r="T183"/>
      <c r="U183"/>
    </row>
    <row r="184" spans="18:21" x14ac:dyDescent="0.2">
      <c r="R184"/>
      <c r="S184"/>
      <c r="T184"/>
      <c r="U184"/>
    </row>
    <row r="185" spans="18:21" x14ac:dyDescent="0.2">
      <c r="R185"/>
      <c r="S185"/>
      <c r="T185"/>
      <c r="U185"/>
    </row>
    <row r="186" spans="18:21" x14ac:dyDescent="0.2">
      <c r="R186"/>
      <c r="S186"/>
      <c r="T186"/>
      <c r="U186"/>
    </row>
    <row r="187" spans="18:21" x14ac:dyDescent="0.2">
      <c r="R187"/>
      <c r="S187"/>
      <c r="T187"/>
      <c r="U187"/>
    </row>
    <row r="188" spans="18:21" x14ac:dyDescent="0.2">
      <c r="R188"/>
      <c r="S188"/>
      <c r="T188"/>
      <c r="U188"/>
    </row>
    <row r="189" spans="18:21" x14ac:dyDescent="0.2">
      <c r="R189"/>
      <c r="S189"/>
      <c r="T189"/>
      <c r="U189"/>
    </row>
    <row r="190" spans="18:21" x14ac:dyDescent="0.2">
      <c r="R190"/>
      <c r="S190"/>
      <c r="T190"/>
      <c r="U190"/>
    </row>
    <row r="191" spans="18:21" x14ac:dyDescent="0.2">
      <c r="R191"/>
      <c r="S191"/>
      <c r="T191"/>
      <c r="U191"/>
    </row>
    <row r="192" spans="18:21" x14ac:dyDescent="0.2">
      <c r="R192"/>
      <c r="S192"/>
      <c r="T192"/>
      <c r="U192"/>
    </row>
    <row r="193" spans="18:21" x14ac:dyDescent="0.2">
      <c r="R193"/>
      <c r="S193"/>
      <c r="T193"/>
      <c r="U193"/>
    </row>
    <row r="194" spans="18:21" x14ac:dyDescent="0.2">
      <c r="R194"/>
      <c r="S194"/>
      <c r="T194"/>
      <c r="U194"/>
    </row>
    <row r="195" spans="18:21" x14ac:dyDescent="0.2">
      <c r="R195"/>
      <c r="S195"/>
      <c r="T195"/>
      <c r="U195"/>
    </row>
    <row r="196" spans="18:21" x14ac:dyDescent="0.2">
      <c r="R196"/>
      <c r="S196"/>
      <c r="T196"/>
      <c r="U196"/>
    </row>
    <row r="197" spans="18:21" x14ac:dyDescent="0.2">
      <c r="R197"/>
      <c r="S197"/>
      <c r="T197"/>
      <c r="U197"/>
    </row>
    <row r="198" spans="18:21" x14ac:dyDescent="0.2">
      <c r="R198"/>
      <c r="S198"/>
      <c r="T198"/>
      <c r="U198"/>
    </row>
    <row r="199" spans="18:21" x14ac:dyDescent="0.2">
      <c r="R199"/>
      <c r="S199"/>
      <c r="T199"/>
      <c r="U199"/>
    </row>
    <row r="200" spans="18:21" x14ac:dyDescent="0.2">
      <c r="R200"/>
      <c r="S200"/>
      <c r="T200"/>
      <c r="U200"/>
    </row>
    <row r="201" spans="18:21" x14ac:dyDescent="0.2">
      <c r="R201"/>
      <c r="S201"/>
      <c r="T201"/>
      <c r="U201"/>
    </row>
    <row r="202" spans="18:21" x14ac:dyDescent="0.2">
      <c r="R202"/>
      <c r="S202"/>
      <c r="T202"/>
      <c r="U202"/>
    </row>
    <row r="203" spans="18:21" x14ac:dyDescent="0.2">
      <c r="R203"/>
      <c r="S203"/>
      <c r="T203"/>
      <c r="U203"/>
    </row>
    <row r="204" spans="18:21" x14ac:dyDescent="0.2">
      <c r="R204"/>
      <c r="S204"/>
      <c r="T204"/>
      <c r="U204"/>
    </row>
    <row r="205" spans="18:21" x14ac:dyDescent="0.2">
      <c r="R205"/>
      <c r="S205"/>
      <c r="T205"/>
      <c r="U205"/>
    </row>
    <row r="206" spans="18:21" x14ac:dyDescent="0.2">
      <c r="R206"/>
      <c r="S206"/>
      <c r="T206"/>
      <c r="U206"/>
    </row>
    <row r="207" spans="18:21" x14ac:dyDescent="0.2">
      <c r="R207"/>
      <c r="S207"/>
      <c r="T207"/>
      <c r="U207"/>
    </row>
    <row r="208" spans="18:21" x14ac:dyDescent="0.2">
      <c r="R208"/>
      <c r="S208"/>
      <c r="T208"/>
      <c r="U208"/>
    </row>
    <row r="209" spans="18:21" x14ac:dyDescent="0.2">
      <c r="R209"/>
      <c r="S209"/>
      <c r="T209"/>
      <c r="U209"/>
    </row>
    <row r="210" spans="18:21" x14ac:dyDescent="0.2">
      <c r="R210"/>
      <c r="S210"/>
      <c r="T210"/>
      <c r="U210"/>
    </row>
    <row r="211" spans="18:21" x14ac:dyDescent="0.2">
      <c r="R211"/>
      <c r="S211"/>
      <c r="T211"/>
      <c r="U211"/>
    </row>
    <row r="212" spans="18:21" x14ac:dyDescent="0.2">
      <c r="R212"/>
      <c r="S212"/>
      <c r="T212"/>
      <c r="U212"/>
    </row>
    <row r="213" spans="18:21" x14ac:dyDescent="0.2">
      <c r="R213"/>
      <c r="S213"/>
      <c r="T213"/>
      <c r="U213"/>
    </row>
    <row r="214" spans="18:21" x14ac:dyDescent="0.2">
      <c r="R214"/>
      <c r="S214"/>
      <c r="T214"/>
      <c r="U214"/>
    </row>
    <row r="215" spans="18:21" x14ac:dyDescent="0.2">
      <c r="R215"/>
      <c r="S215"/>
      <c r="T215"/>
      <c r="U215"/>
    </row>
    <row r="216" spans="18:21" x14ac:dyDescent="0.2">
      <c r="R216"/>
      <c r="S216"/>
      <c r="T216"/>
      <c r="U216"/>
    </row>
    <row r="217" spans="18:21" x14ac:dyDescent="0.2">
      <c r="R217"/>
      <c r="S217"/>
      <c r="T217"/>
      <c r="U217"/>
    </row>
    <row r="218" spans="18:21" x14ac:dyDescent="0.2">
      <c r="R218"/>
      <c r="S218"/>
      <c r="T218"/>
      <c r="U218"/>
    </row>
    <row r="219" spans="18:21" x14ac:dyDescent="0.2">
      <c r="R219"/>
      <c r="S219"/>
      <c r="T219"/>
      <c r="U219"/>
    </row>
    <row r="220" spans="18:21" x14ac:dyDescent="0.2">
      <c r="R220"/>
      <c r="S220"/>
      <c r="T220"/>
      <c r="U220"/>
    </row>
    <row r="221" spans="18:21" x14ac:dyDescent="0.2">
      <c r="R221"/>
      <c r="S221"/>
      <c r="T221"/>
      <c r="U221"/>
    </row>
    <row r="222" spans="18:21" x14ac:dyDescent="0.2">
      <c r="R222"/>
      <c r="S222"/>
      <c r="T222"/>
      <c r="U222"/>
    </row>
    <row r="223" spans="18:21" x14ac:dyDescent="0.2">
      <c r="R223"/>
      <c r="S223"/>
      <c r="T223"/>
      <c r="U223"/>
    </row>
    <row r="224" spans="18:21" x14ac:dyDescent="0.2">
      <c r="R224"/>
      <c r="S224"/>
      <c r="T224"/>
      <c r="U224"/>
    </row>
    <row r="225" spans="18:21" x14ac:dyDescent="0.2">
      <c r="R225"/>
      <c r="S225"/>
      <c r="T225"/>
      <c r="U225"/>
    </row>
    <row r="226" spans="18:21" x14ac:dyDescent="0.2">
      <c r="R226"/>
      <c r="S226"/>
      <c r="T226"/>
      <c r="U226"/>
    </row>
    <row r="227" spans="18:21" x14ac:dyDescent="0.2">
      <c r="R227"/>
      <c r="S227"/>
      <c r="T227"/>
      <c r="U227"/>
    </row>
    <row r="228" spans="18:21" x14ac:dyDescent="0.2">
      <c r="R228"/>
      <c r="S228"/>
      <c r="T228"/>
      <c r="U228"/>
    </row>
    <row r="229" spans="18:21" x14ac:dyDescent="0.2">
      <c r="R229"/>
      <c r="S229"/>
      <c r="T229"/>
      <c r="U229"/>
    </row>
    <row r="230" spans="18:21" x14ac:dyDescent="0.2">
      <c r="R230"/>
      <c r="S230"/>
      <c r="T230"/>
      <c r="U230"/>
    </row>
    <row r="231" spans="18:21" x14ac:dyDescent="0.2">
      <c r="R231"/>
      <c r="S231"/>
      <c r="T231"/>
      <c r="U231"/>
    </row>
    <row r="232" spans="18:21" x14ac:dyDescent="0.2">
      <c r="R232"/>
      <c r="S232"/>
      <c r="T232"/>
      <c r="U232"/>
    </row>
    <row r="233" spans="18:21" x14ac:dyDescent="0.2">
      <c r="R233"/>
      <c r="S233"/>
      <c r="T233"/>
      <c r="U233"/>
    </row>
    <row r="234" spans="18:21" x14ac:dyDescent="0.2">
      <c r="R234"/>
      <c r="S234"/>
      <c r="T234"/>
      <c r="U234"/>
    </row>
    <row r="235" spans="18:21" x14ac:dyDescent="0.2">
      <c r="R235"/>
      <c r="S235"/>
      <c r="T235"/>
      <c r="U235"/>
    </row>
    <row r="236" spans="18:21" x14ac:dyDescent="0.2">
      <c r="R236"/>
      <c r="S236"/>
      <c r="T236"/>
      <c r="U236"/>
    </row>
    <row r="237" spans="18:21" x14ac:dyDescent="0.2">
      <c r="R237"/>
      <c r="S237"/>
      <c r="T237"/>
      <c r="U237"/>
    </row>
    <row r="238" spans="18:21" x14ac:dyDescent="0.2">
      <c r="R238"/>
      <c r="S238"/>
      <c r="T238"/>
      <c r="U238"/>
    </row>
    <row r="239" spans="18:21" x14ac:dyDescent="0.2">
      <c r="R239"/>
      <c r="S239"/>
      <c r="T239"/>
      <c r="U239"/>
    </row>
    <row r="240" spans="18:21" x14ac:dyDescent="0.2">
      <c r="R240"/>
      <c r="S240"/>
      <c r="T240"/>
      <c r="U240"/>
    </row>
    <row r="241" spans="18:21" x14ac:dyDescent="0.2">
      <c r="R241"/>
      <c r="S241"/>
      <c r="T241"/>
      <c r="U241"/>
    </row>
    <row r="242" spans="18:21" x14ac:dyDescent="0.2">
      <c r="R242"/>
      <c r="S242"/>
      <c r="T242"/>
      <c r="U242"/>
    </row>
    <row r="243" spans="18:21" x14ac:dyDescent="0.2">
      <c r="R243"/>
      <c r="S243"/>
      <c r="T243"/>
      <c r="U243"/>
    </row>
    <row r="244" spans="18:21" x14ac:dyDescent="0.2">
      <c r="R244"/>
      <c r="S244"/>
      <c r="T244"/>
      <c r="U244"/>
    </row>
    <row r="245" spans="18:21" x14ac:dyDescent="0.2">
      <c r="R245"/>
      <c r="S245"/>
      <c r="T245"/>
      <c r="U245"/>
    </row>
    <row r="246" spans="18:21" x14ac:dyDescent="0.2">
      <c r="R246"/>
      <c r="S246"/>
      <c r="T246"/>
      <c r="U246"/>
    </row>
    <row r="247" spans="18:21" x14ac:dyDescent="0.2">
      <c r="R247"/>
      <c r="S247"/>
      <c r="T247"/>
      <c r="U247"/>
    </row>
    <row r="248" spans="18:21" x14ac:dyDescent="0.2">
      <c r="R248"/>
      <c r="S248"/>
      <c r="T248"/>
      <c r="U248"/>
    </row>
    <row r="249" spans="18:21" x14ac:dyDescent="0.2">
      <c r="R249"/>
      <c r="S249"/>
      <c r="T249"/>
      <c r="U249"/>
    </row>
    <row r="250" spans="18:21" x14ac:dyDescent="0.2">
      <c r="R250"/>
      <c r="S250"/>
      <c r="T250"/>
      <c r="U250"/>
    </row>
    <row r="251" spans="18:21" x14ac:dyDescent="0.2">
      <c r="R251"/>
      <c r="S251"/>
      <c r="T251"/>
      <c r="U251"/>
    </row>
    <row r="252" spans="18:21" x14ac:dyDescent="0.2">
      <c r="R252"/>
      <c r="S252"/>
      <c r="T252"/>
      <c r="U252"/>
    </row>
    <row r="253" spans="18:21" x14ac:dyDescent="0.2">
      <c r="R253"/>
      <c r="S253"/>
      <c r="T253"/>
    </row>
    <row r="254" spans="18:21" x14ac:dyDescent="0.2">
      <c r="R254"/>
      <c r="S254"/>
      <c r="T254"/>
    </row>
    <row r="255" spans="18:21" x14ac:dyDescent="0.2">
      <c r="R255"/>
      <c r="S255"/>
      <c r="T255"/>
    </row>
    <row r="256" spans="18:21" x14ac:dyDescent="0.2">
      <c r="R256"/>
      <c r="S256"/>
      <c r="T256"/>
    </row>
    <row r="257" spans="18:20" x14ac:dyDescent="0.2">
      <c r="R257"/>
      <c r="S257"/>
      <c r="T257"/>
    </row>
    <row r="258" spans="18:20" x14ac:dyDescent="0.2">
      <c r="R258"/>
      <c r="S258"/>
      <c r="T258"/>
    </row>
    <row r="259" spans="18:20" x14ac:dyDescent="0.2">
      <c r="R259"/>
      <c r="S259"/>
      <c r="T259"/>
    </row>
    <row r="260" spans="18:20" x14ac:dyDescent="0.2">
      <c r="R260"/>
      <c r="S260"/>
      <c r="T260"/>
    </row>
    <row r="261" spans="18:20" x14ac:dyDescent="0.2">
      <c r="R261"/>
      <c r="S261"/>
      <c r="T261"/>
    </row>
    <row r="262" spans="18:20" x14ac:dyDescent="0.2">
      <c r="R262"/>
      <c r="S262"/>
      <c r="T262"/>
    </row>
    <row r="263" spans="18:20" x14ac:dyDescent="0.2">
      <c r="R263"/>
      <c r="S263"/>
      <c r="T263"/>
    </row>
    <row r="264" spans="18:20" x14ac:dyDescent="0.2">
      <c r="R264"/>
      <c r="S264"/>
      <c r="T264"/>
    </row>
    <row r="265" spans="18:20" x14ac:dyDescent="0.2">
      <c r="R265"/>
      <c r="S265"/>
      <c r="T265"/>
    </row>
    <row r="266" spans="18:20" x14ac:dyDescent="0.2">
      <c r="R266"/>
      <c r="S266"/>
      <c r="T266"/>
    </row>
    <row r="267" spans="18:20" x14ac:dyDescent="0.2">
      <c r="R267"/>
      <c r="S267"/>
      <c r="T267"/>
    </row>
    <row r="268" spans="18:20" x14ac:dyDescent="0.2">
      <c r="R268"/>
      <c r="S268"/>
      <c r="T268"/>
    </row>
    <row r="269" spans="18:20" x14ac:dyDescent="0.2">
      <c r="R269"/>
      <c r="S269"/>
      <c r="T269"/>
    </row>
    <row r="270" spans="18:20" x14ac:dyDescent="0.2">
      <c r="R270"/>
      <c r="S270"/>
      <c r="T270"/>
    </row>
    <row r="271" spans="18:20" x14ac:dyDescent="0.2">
      <c r="R271"/>
      <c r="S271"/>
      <c r="T271"/>
    </row>
    <row r="272" spans="18:20" x14ac:dyDescent="0.2">
      <c r="R272"/>
      <c r="S272"/>
      <c r="T272"/>
    </row>
    <row r="273" spans="18:20" x14ac:dyDescent="0.2">
      <c r="R273"/>
      <c r="S273"/>
      <c r="T273"/>
    </row>
    <row r="274" spans="18:20" x14ac:dyDescent="0.2">
      <c r="R274"/>
      <c r="S274"/>
      <c r="T274"/>
    </row>
    <row r="275" spans="18:20" x14ac:dyDescent="0.2">
      <c r="R275"/>
      <c r="S275"/>
      <c r="T275"/>
    </row>
    <row r="276" spans="18:20" x14ac:dyDescent="0.2">
      <c r="R276"/>
      <c r="S276"/>
      <c r="T276"/>
    </row>
    <row r="277" spans="18:20" x14ac:dyDescent="0.2">
      <c r="R277"/>
      <c r="S277"/>
      <c r="T277"/>
    </row>
    <row r="278" spans="18:20" x14ac:dyDescent="0.2">
      <c r="R278"/>
      <c r="S278"/>
      <c r="T278"/>
    </row>
    <row r="279" spans="18:20" x14ac:dyDescent="0.2">
      <c r="R279"/>
      <c r="S279"/>
      <c r="T279"/>
    </row>
    <row r="280" spans="18:20" x14ac:dyDescent="0.2">
      <c r="R280"/>
      <c r="S280"/>
      <c r="T280"/>
    </row>
    <row r="281" spans="18:20" x14ac:dyDescent="0.2">
      <c r="R281"/>
      <c r="S281"/>
      <c r="T281"/>
    </row>
    <row r="282" spans="18:20" x14ac:dyDescent="0.2">
      <c r="R282"/>
      <c r="S282"/>
      <c r="T282"/>
    </row>
    <row r="283" spans="18:20" x14ac:dyDescent="0.2">
      <c r="R283"/>
      <c r="S283"/>
      <c r="T283"/>
    </row>
    <row r="284" spans="18:20" x14ac:dyDescent="0.2">
      <c r="R284"/>
      <c r="S284"/>
      <c r="T284"/>
    </row>
    <row r="285" spans="18:20" x14ac:dyDescent="0.2">
      <c r="R285"/>
      <c r="S285"/>
      <c r="T285"/>
    </row>
    <row r="286" spans="18:20" x14ac:dyDescent="0.2">
      <c r="R286"/>
      <c r="S286"/>
      <c r="T286"/>
    </row>
    <row r="287" spans="18:20" x14ac:dyDescent="0.2">
      <c r="R287"/>
      <c r="S287"/>
      <c r="T287"/>
    </row>
    <row r="288" spans="18:20" x14ac:dyDescent="0.2">
      <c r="R288"/>
      <c r="S288"/>
      <c r="T288"/>
    </row>
    <row r="289" spans="18:20" x14ac:dyDescent="0.2">
      <c r="R289"/>
      <c r="S289"/>
      <c r="T289"/>
    </row>
    <row r="290" spans="18:20" x14ac:dyDescent="0.2">
      <c r="R290"/>
      <c r="S290"/>
      <c r="T290"/>
    </row>
    <row r="291" spans="18:20" x14ac:dyDescent="0.2">
      <c r="R291"/>
      <c r="S291"/>
      <c r="T291"/>
    </row>
    <row r="292" spans="18:20" x14ac:dyDescent="0.2">
      <c r="R292"/>
      <c r="S292"/>
      <c r="T292"/>
    </row>
    <row r="293" spans="18:20" x14ac:dyDescent="0.2">
      <c r="R293"/>
      <c r="S293"/>
      <c r="T293"/>
    </row>
    <row r="294" spans="18:20" x14ac:dyDescent="0.2">
      <c r="R294"/>
      <c r="S294"/>
      <c r="T294"/>
    </row>
    <row r="295" spans="18:20" x14ac:dyDescent="0.2">
      <c r="R295"/>
      <c r="S295"/>
      <c r="T295"/>
    </row>
    <row r="296" spans="18:20" x14ac:dyDescent="0.2">
      <c r="R296"/>
      <c r="S296"/>
      <c r="T296"/>
    </row>
    <row r="297" spans="18:20" x14ac:dyDescent="0.2">
      <c r="R297"/>
      <c r="S297"/>
      <c r="T297"/>
    </row>
    <row r="298" spans="18:20" x14ac:dyDescent="0.2">
      <c r="R298"/>
      <c r="S298"/>
      <c r="T298"/>
    </row>
    <row r="299" spans="18:20" x14ac:dyDescent="0.2">
      <c r="R299"/>
      <c r="S299"/>
      <c r="T299"/>
    </row>
    <row r="300" spans="18:20" x14ac:dyDescent="0.2">
      <c r="R300"/>
      <c r="S300"/>
      <c r="T300"/>
    </row>
    <row r="301" spans="18:20" x14ac:dyDescent="0.2">
      <c r="R301"/>
      <c r="S301"/>
      <c r="T301"/>
    </row>
    <row r="302" spans="18:20" x14ac:dyDescent="0.2">
      <c r="R302"/>
      <c r="S302"/>
      <c r="T302"/>
    </row>
    <row r="303" spans="18:20" x14ac:dyDescent="0.2">
      <c r="R303"/>
      <c r="S303"/>
      <c r="T303"/>
    </row>
    <row r="304" spans="18:20" x14ac:dyDescent="0.2">
      <c r="R304"/>
      <c r="S304"/>
      <c r="T304"/>
    </row>
    <row r="305" spans="18:19" x14ac:dyDescent="0.2">
      <c r="R305"/>
      <c r="S305"/>
    </row>
    <row r="306" spans="18:19" x14ac:dyDescent="0.2">
      <c r="R306"/>
      <c r="S306"/>
    </row>
    <row r="307" spans="18:19" x14ac:dyDescent="0.2">
      <c r="R307"/>
      <c r="S307"/>
    </row>
    <row r="308" spans="18:19" x14ac:dyDescent="0.2">
      <c r="R308"/>
      <c r="S308"/>
    </row>
    <row r="309" spans="18:19" x14ac:dyDescent="0.2">
      <c r="R309"/>
      <c r="S309"/>
    </row>
    <row r="310" spans="18:19" x14ac:dyDescent="0.2">
      <c r="R310"/>
    </row>
    <row r="311" spans="18:19" x14ac:dyDescent="0.2">
      <c r="R311"/>
    </row>
    <row r="312" spans="18:19" x14ac:dyDescent="0.2">
      <c r="R312"/>
    </row>
    <row r="313" spans="18:19" x14ac:dyDescent="0.2">
      <c r="R313"/>
    </row>
  </sheetData>
  <phoneticPr fontId="75" type="noConversion"/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zoomScaleNormal="100" workbookViewId="0">
      <pane ySplit="2" topLeftCell="A3" activePane="bottomLeft" state="frozen"/>
      <selection activeCell="Z23" sqref="Z23"/>
      <selection pane="bottomLeft" activeCell="I22" sqref="I22"/>
    </sheetView>
  </sheetViews>
  <sheetFormatPr defaultColWidth="0" defaultRowHeight="12" zeroHeight="1" x14ac:dyDescent="0.2"/>
  <cols>
    <col min="1" max="1" width="1.875" style="8" customWidth="1"/>
    <col min="2" max="2" width="2" style="8" customWidth="1"/>
    <col min="3" max="3" width="21.625" style="8" customWidth="1"/>
    <col min="4" max="4" width="34.625" style="8" customWidth="1"/>
    <col min="5" max="5" width="15.25" style="8" customWidth="1"/>
    <col min="6" max="9" width="13.125" style="8" customWidth="1"/>
    <col min="10" max="10" width="11.75" style="8" customWidth="1"/>
    <col min="11" max="11" width="1.75" style="8" customWidth="1"/>
    <col min="12" max="12" width="14.625" style="8" customWidth="1"/>
    <col min="13" max="13" width="2.25" style="8" customWidth="1"/>
    <col min="14" max="14" width="8.75" style="8" hidden="1" customWidth="1"/>
    <col min="15" max="16384" width="9" style="8" hidden="1"/>
  </cols>
  <sheetData>
    <row r="1" spans="1:13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75" x14ac:dyDescent="0.3">
      <c r="A2" s="49" t="str">
        <f>proj</f>
        <v>CBD security of supply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75" x14ac:dyDescent="0.3">
      <c r="A3" s="172" t="s">
        <v>3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75" x14ac:dyDescent="0.3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5" x14ac:dyDescent="0.25">
      <c r="A5" s="17" t="s">
        <v>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2.75" x14ac:dyDescent="0.2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2.75" x14ac:dyDescent="0.2">
      <c r="G7" s="126" t="s">
        <v>5</v>
      </c>
      <c r="H7" s="126" t="s">
        <v>6</v>
      </c>
      <c r="I7" s="126" t="s">
        <v>7</v>
      </c>
    </row>
    <row r="8" spans="1:13" s="2" customFormat="1" ht="12.75" x14ac:dyDescent="0.2">
      <c r="C8" s="26" t="s">
        <v>8</v>
      </c>
      <c r="D8" s="26"/>
      <c r="E8" s="26"/>
      <c r="F8" s="26"/>
      <c r="G8" s="155">
        <f>output_dollars</f>
        <v>46203</v>
      </c>
      <c r="H8" s="155">
        <f>output_dollars</f>
        <v>46203</v>
      </c>
      <c r="I8" s="155">
        <f>output_dollars</f>
        <v>46203</v>
      </c>
    </row>
    <row r="9" spans="1:13" s="2" customFormat="1" ht="12.75" x14ac:dyDescent="0.2">
      <c r="C9" s="64" t="str" cm="1">
        <f t="array" ref="C9:C13">options</f>
        <v>Option 1 (base case)</v>
      </c>
      <c r="D9" s="299" t="str">
        <f>INDEX(Assumptions!$E$14:$E$18, MATCH(C9, Assumptions!$C$14:$C$18,0))</f>
        <v>No change to existing practices</v>
      </c>
      <c r="E9" s="300"/>
      <c r="F9" s="300"/>
      <c r="G9" s="88">
        <f>IF(Data!$C9, "", INDEX(Consol!$F$15:$F$82, MATCH($C9&amp;G$7, Consol!$D$15:$D$82,0))/mill_conv)</f>
        <v>0</v>
      </c>
      <c r="H9" s="88">
        <f>IF(Data!$C9, "", INDEX(Consol!$F$15:$F$82, MATCH($C9&amp;H$7, Consol!$D$15:$D$82,0))/mill_conv)</f>
        <v>0</v>
      </c>
      <c r="I9" s="88">
        <f>IF(Data!$C9, "", INDEX(Consol!$F$15:$F$82, MATCH($C9&amp;I$7, Consol!$D$15:$D$82,0))/mill_conv)</f>
        <v>0</v>
      </c>
    </row>
    <row r="10" spans="1:13" s="2" customFormat="1" ht="12.75" customHeight="1" x14ac:dyDescent="0.2">
      <c r="C10" s="64" t="str">
        <v>Option 2</v>
      </c>
      <c r="D10" s="301" t="str">
        <f>INDEX(Assumptions!$E$14:$E$18, MATCH(C10, Assumptions!$C$14:$C$18,0))</f>
        <v>Construct new feeders from MG to JA</v>
      </c>
      <c r="E10" s="302"/>
      <c r="F10" s="302"/>
      <c r="G10" s="88">
        <f>IF(Data!$C10, "", INDEX(Consol!$F$15:$F$82, MATCH($C10&amp;G$7, Consol!$D$15:$D$82,0))/mill_conv)</f>
        <v>-10.513766551864608</v>
      </c>
      <c r="H10" s="88">
        <f>IF(Data!$C10, "", INDEX(Consol!$F$15:$F$82, MATCH($C10&amp;H$7, Consol!$D$15:$D$82,0))/mill_conv)</f>
        <v>5.8707610101600558</v>
      </c>
      <c r="I10" s="88">
        <f>IF(Data!$C10, "", INDEX(Consol!$F$15:$F$82, MATCH($C10&amp;I$7, Consol!$D$15:$D$82,0))/mill_conv)</f>
        <v>-4.643005541704551</v>
      </c>
    </row>
    <row r="11" spans="1:13" s="2" customFormat="1" ht="12.75" x14ac:dyDescent="0.2">
      <c r="C11" s="64" t="str">
        <v>Option 3</v>
      </c>
      <c r="D11" s="301" t="str">
        <f>INDEX(Assumptions!$E$14:$E$18, MATCH(C11, Assumptions!$C$14:$C$18,0))</f>
        <v>Construct new feeders from MG to JA and rebuild J</v>
      </c>
      <c r="E11" s="302"/>
      <c r="F11" s="302"/>
      <c r="G11" s="88">
        <f>IF(Data!$C11, "", INDEX(Consol!$F$15:$F$82, MATCH($C11&amp;G$7, Consol!$D$15:$D$82,0))/mill_conv)</f>
        <v>-38.580801657643754</v>
      </c>
      <c r="H11" s="88">
        <f>IF(Data!$C11, "", INDEX(Consol!$F$15:$F$82, MATCH($C11&amp;H$7, Consol!$D$15:$D$82,0))/mill_conv)</f>
        <v>6.1928263369367542</v>
      </c>
      <c r="I11" s="88">
        <f>IF(Data!$C11, "", INDEX(Consol!$F$15:$F$82, MATCH($C11&amp;I$7, Consol!$D$15:$D$82,0))/mill_conv)</f>
        <v>-32.387975320707</v>
      </c>
    </row>
    <row r="12" spans="1:13" s="2" customFormat="1" ht="12.75" x14ac:dyDescent="0.2">
      <c r="C12" s="64" t="str">
        <v>Option 4</v>
      </c>
      <c r="D12" s="301" t="str">
        <f>INDEX(Assumptions!$E$14:$E$18, MATCH(C12, Assumptions!$C$14:$C$18,0))</f>
        <v>Rebuild J zone substation</v>
      </c>
      <c r="E12" s="302"/>
      <c r="F12" s="302"/>
      <c r="G12" s="88">
        <f>IF(Data!$C12, "", INDEX(Consol!$F$15:$F$82, MATCH($C12&amp;G$7, Consol!$D$15:$D$82,0))/mill_conv)</f>
        <v>-35.310607061517267</v>
      </c>
      <c r="H12" s="88">
        <f>IF(Data!$C12, "", INDEX(Consol!$F$15:$F$82, MATCH($C12&amp;H$7, Consol!$D$15:$D$82,0))/mill_conv)</f>
        <v>6.1049761952989927</v>
      </c>
      <c r="I12" s="88">
        <f>IF(Data!$C12, "", INDEX(Consol!$F$15:$F$82, MATCH($C12&amp;I$7, Consol!$D$15:$D$82,0))/mill_conv)</f>
        <v>-29.205630866218275</v>
      </c>
    </row>
    <row r="13" spans="1:13" s="2" customFormat="1" ht="12.75" x14ac:dyDescent="0.2">
      <c r="C13" s="64" t="str">
        <v>Option 5</v>
      </c>
      <c r="D13" s="301" t="s">
        <v>9</v>
      </c>
      <c r="E13" s="302"/>
      <c r="F13" s="302"/>
      <c r="G13" s="88" t="str">
        <f>IF(Data!$C13, "", INDEX(Consol!$F$15:$F$82, MATCH($C13&amp;G$7, Consol!$D$15:$D$82,0))/mill_conv)</f>
        <v/>
      </c>
      <c r="H13" s="88" t="str">
        <f>IF(Data!$C13, "", INDEX(Consol!$F$15:$F$82, MATCH($C13&amp;H$7, Consol!$D$15:$D$82,0))/mill_conv)</f>
        <v/>
      </c>
      <c r="I13" s="88" t="str">
        <f>IF(Data!$C13, "", INDEX(Consol!$F$15:$F$82, MATCH($C13&amp;I$7, Consol!$D$15:$D$82,0))/mill_conv)</f>
        <v/>
      </c>
    </row>
    <row r="14" spans="1:13" s="2" customFormat="1" ht="12.75" x14ac:dyDescent="0.2">
      <c r="C14" s="64"/>
      <c r="D14" s="64"/>
      <c r="E14" s="64"/>
      <c r="F14" s="78"/>
      <c r="H14" s="7"/>
    </row>
    <row r="15" spans="1:13" s="2" customFormat="1" ht="12.75" x14ac:dyDescent="0.2">
      <c r="C15" s="64"/>
      <c r="D15" s="64"/>
      <c r="E15" s="64"/>
      <c r="F15" s="78"/>
      <c r="G15"/>
      <c r="I15" s="7"/>
    </row>
    <row r="16" spans="1:13" s="2" customFormat="1" ht="12.75" x14ac:dyDescent="0.2">
      <c r="G16" s="126" t="s">
        <v>7</v>
      </c>
      <c r="H16"/>
      <c r="J16" s="7"/>
    </row>
    <row r="17" spans="1:13" s="2" customFormat="1" ht="12.75" x14ac:dyDescent="0.2">
      <c r="C17" s="24" t="s">
        <v>10</v>
      </c>
      <c r="D17" s="26"/>
      <c r="E17" s="26"/>
      <c r="F17" s="26"/>
      <c r="G17" s="155">
        <f>output_dollars</f>
        <v>46203</v>
      </c>
      <c r="H17"/>
      <c r="J17" s="7"/>
    </row>
    <row r="18" spans="1:13" s="2" customFormat="1" ht="12.75" x14ac:dyDescent="0.2">
      <c r="C18" s="294" t="s">
        <v>155</v>
      </c>
      <c r="D18" s="298" t="str">
        <f>INDEX($D$9:$D$13,MATCH(preferred, $C$9:$C$13,0))</f>
        <v>Construct new feeders from MG to JA and rebuild J</v>
      </c>
      <c r="E18" s="298"/>
      <c r="F18" s="298"/>
      <c r="G18" s="295">
        <f>INDEX(I$9:I$13,MATCH(preferred, $C$9:$C$13,0))</f>
        <v>-32.387975320707</v>
      </c>
      <c r="H18"/>
    </row>
    <row r="19" spans="1:13" s="2" customFormat="1" ht="12.75" x14ac:dyDescent="0.2">
      <c r="H19"/>
    </row>
    <row r="20" spans="1:13" x14ac:dyDescent="0.2"/>
    <row r="21" spans="1:13" x14ac:dyDescent="0.2"/>
    <row r="22" spans="1:13" x14ac:dyDescent="0.2"/>
    <row r="23" spans="1:13" ht="15" x14ac:dyDescent="0.25">
      <c r="A23" s="17" t="s">
        <v>11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2"/>
    <row r="25" spans="1:13" s="6" customFormat="1" ht="12.75" x14ac:dyDescent="0.2">
      <c r="C25" s="12" t="s">
        <v>12</v>
      </c>
    </row>
    <row r="26" spans="1:13" s="6" customFormat="1" ht="12.75" x14ac:dyDescent="0.2">
      <c r="C26" s="79" t="str">
        <f>C18</f>
        <v>Option 3</v>
      </c>
    </row>
    <row r="27" spans="1:13" s="6" customFormat="1" ht="12.75" x14ac:dyDescent="0.2"/>
    <row r="28" spans="1:13" s="6" customFormat="1" ht="12.75" x14ac:dyDescent="0.2"/>
    <row r="29" spans="1:13" s="6" customFormat="1" ht="12.75" x14ac:dyDescent="0.2">
      <c r="C29" s="46" t="s">
        <v>13</v>
      </c>
      <c r="D29" s="238">
        <f>output_dollars</f>
        <v>46203</v>
      </c>
      <c r="E29" s="156"/>
      <c r="F29" s="48" t="str">
        <f>Assumptions!K89</f>
        <v>2026-27</v>
      </c>
      <c r="G29" s="48" t="str">
        <f>Assumptions!L89</f>
        <v>2027-28</v>
      </c>
      <c r="H29" s="48" t="str">
        <f>Assumptions!M89</f>
        <v>2028-29</v>
      </c>
      <c r="I29" s="48" t="str">
        <f>Assumptions!N89</f>
        <v>2029-30</v>
      </c>
      <c r="J29" s="48" t="str">
        <f>Assumptions!O89</f>
        <v>2030-31</v>
      </c>
      <c r="L29" s="48" t="s">
        <v>14</v>
      </c>
    </row>
    <row r="30" spans="1:13" s="6" customFormat="1" ht="12.75" x14ac:dyDescent="0.2">
      <c r="C30" s="4" t="s">
        <v>15</v>
      </c>
      <c r="F30" s="89">
        <f>-INDEX(Consol!$I$15:$Q$82,MATCH($C$26&amp;$C30,Consol!$D$15:$D$82,0), MATCH(F$29, Consol!$I$9:$Q$9,0))/mill_conv</f>
        <v>8.7637820159862496</v>
      </c>
      <c r="G30" s="89">
        <f>-INDEX(Consol!$I$15:$Q$82,MATCH($C$26&amp;$C30,Consol!$D$15:$D$82,0), MATCH(G$29, Consol!$I$9:$Q$9,0))/mill_conv</f>
        <v>10.258860704993678</v>
      </c>
      <c r="H30" s="89">
        <f>-INDEX(Consol!$I$15:$Q$82,MATCH($C$26&amp;$C30,Consol!$D$15:$D$82,0), MATCH(H$29, Consol!$I$9:$Q$9,0))/mill_conv</f>
        <v>0.55334820524055561</v>
      </c>
      <c r="I30" s="89">
        <f>-INDEX(Consol!$I$15:$Q$82,MATCH($C$26&amp;$C30,Consol!$D$15:$D$82,0), MATCH(I$29, Consol!$I$9:$Q$9,0))/mill_conv</f>
        <v>16.60044615721667</v>
      </c>
      <c r="J30" s="89">
        <f>-INDEX(Consol!$I$15:$Q$82,MATCH($C$26&amp;$C30,Consol!$D$15:$D$82,0), MATCH(J$29, Consol!$I$9:$Q$9,0))/mill_conv</f>
        <v>20.584553234948668</v>
      </c>
      <c r="K30" s="157"/>
      <c r="L30" s="157">
        <f>SUM(F30:J30)</f>
        <v>56.760990318385822</v>
      </c>
    </row>
    <row r="31" spans="1:13" s="6" customFormat="1" ht="12.75" x14ac:dyDescent="0.2">
      <c r="C31" s="4" t="s">
        <v>16</v>
      </c>
      <c r="D31" s="10"/>
      <c r="E31" s="10"/>
      <c r="F31" s="89">
        <f>-INDEX(Consol!$I$15:$Q$82,MATCH($C$26&amp;$C31,Consol!$D$15:$D$82,0), MATCH(F$29, Consol!$I$9:$Q$9,0))/mill_conv</f>
        <v>0</v>
      </c>
      <c r="G31" s="89">
        <f>-INDEX(Consol!$I$15:$Q$82,MATCH($C$26&amp;$C31,Consol!$D$15:$D$82,0), MATCH(G$29, Consol!$I$9:$Q$9,0))/mill_conv</f>
        <v>0</v>
      </c>
      <c r="H31" s="89">
        <f>-INDEX(Consol!$I$15:$Q$82,MATCH($C$26&amp;$C31,Consol!$D$15:$D$82,0), MATCH(H$29, Consol!$I$9:$Q$9,0))/mill_conv</f>
        <v>0</v>
      </c>
      <c r="I31" s="89">
        <f>-INDEX(Consol!$I$15:$Q$82,MATCH($C$26&amp;$C31,Consol!$D$15:$D$82,0), MATCH(I$29, Consol!$I$9:$Q$9,0))/mill_conv</f>
        <v>0</v>
      </c>
      <c r="J31" s="89">
        <f>-INDEX(Consol!$I$15:$Q$82,MATCH($C$26&amp;$C31,Consol!$D$15:$D$82,0), MATCH(J$29, Consol!$I$9:$Q$9,0))/mill_conv</f>
        <v>0</v>
      </c>
      <c r="K31" s="157"/>
      <c r="L31" s="157">
        <f>SUM(F31:J31)</f>
        <v>0</v>
      </c>
    </row>
    <row r="32" spans="1:13" s="6" customFormat="1" ht="12.75" x14ac:dyDescent="0.2"/>
    <row r="33" spans="1:12" s="6" customFormat="1" ht="12.75" x14ac:dyDescent="0.2"/>
    <row r="34" spans="1:12" s="6" customFormat="1" ht="12.75" x14ac:dyDescent="0.2"/>
    <row r="35" spans="1:12" s="6" customFormat="1" ht="15" x14ac:dyDescent="0.25">
      <c r="A35" s="17" t="s">
        <v>17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2.75" x14ac:dyDescent="0.2"/>
    <row r="37" spans="1:12" s="6" customFormat="1" ht="12.75" x14ac:dyDescent="0.2">
      <c r="C37" s="6" t="s">
        <v>18</v>
      </c>
      <c r="D37" s="10"/>
      <c r="E37" s="10"/>
      <c r="F37" s="268" t="s">
        <v>19</v>
      </c>
    </row>
    <row r="38" spans="1:12" s="6" customFormat="1" ht="12.75" x14ac:dyDescent="0.2"/>
    <row r="39" spans="1:12" s="6" customFormat="1" ht="12.75" x14ac:dyDescent="0.2"/>
    <row r="40" spans="1:12" s="6" customFormat="1" ht="12.75" x14ac:dyDescent="0.2"/>
    <row r="41" spans="1:12" s="6" customFormat="1" ht="12.75" x14ac:dyDescent="0.2"/>
    <row r="42" spans="1:12" s="6" customFormat="1" ht="12.75" x14ac:dyDescent="0.2"/>
    <row r="43" spans="1:12" s="6" customFormat="1" ht="12.75" x14ac:dyDescent="0.2"/>
    <row r="44" spans="1:12" s="6" customFormat="1" ht="12.75" x14ac:dyDescent="0.2"/>
    <row r="45" spans="1:12" s="6" customFormat="1" ht="12.75" x14ac:dyDescent="0.2"/>
    <row r="46" spans="1:12" s="6" customFormat="1" ht="12.75" x14ac:dyDescent="0.2"/>
    <row r="47" spans="1:12" s="6" customFormat="1" ht="12.75" x14ac:dyDescent="0.2"/>
    <row r="48" spans="1:12" s="6" customFormat="1" ht="12.75" x14ac:dyDescent="0.2"/>
    <row r="49" spans="1:12" s="6" customFormat="1" ht="12.75" x14ac:dyDescent="0.2"/>
    <row r="50" spans="1:12" s="6" customFormat="1" ht="12.75" x14ac:dyDescent="0.2"/>
    <row r="51" spans="1:12" s="6" customFormat="1" ht="12.75" x14ac:dyDescent="0.2"/>
    <row r="52" spans="1:12" s="6" customFormat="1" ht="12.75" x14ac:dyDescent="0.2"/>
    <row r="53" spans="1:12" s="6" customFormat="1" ht="12.75" x14ac:dyDescent="0.2"/>
    <row r="54" spans="1:12" s="6" customFormat="1" ht="12.75" x14ac:dyDescent="0.2"/>
    <row r="55" spans="1:12" s="6" customFormat="1" ht="12.75" x14ac:dyDescent="0.2"/>
    <row r="56" spans="1:12" s="6" customFormat="1" ht="12.75" x14ac:dyDescent="0.2"/>
    <row r="57" spans="1:12" s="6" customFormat="1" ht="12.75" x14ac:dyDescent="0.2"/>
    <row r="58" spans="1:12" s="6" customFormat="1" ht="12.75" x14ac:dyDescent="0.2"/>
    <row r="59" spans="1:12" s="6" customFormat="1" ht="12.75" x14ac:dyDescent="0.2"/>
    <row r="60" spans="1:12" s="6" customFormat="1" ht="12.75" x14ac:dyDescent="0.2"/>
    <row r="61" spans="1:12" s="6" customFormat="1" ht="12.75" x14ac:dyDescent="0.2"/>
    <row r="62" spans="1:12" s="6" customFormat="1" ht="12.75" x14ac:dyDescent="0.2"/>
    <row r="63" spans="1:12" s="6" customFormat="1" ht="15" x14ac:dyDescent="0.25">
      <c r="A63" s="17" t="s">
        <v>20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2.75" x14ac:dyDescent="0.2"/>
    <row r="65" spans="3:13" s="6" customFormat="1" ht="12.75" x14ac:dyDescent="0.2"/>
    <row r="66" spans="3:13" s="6" customFormat="1" ht="12.75" x14ac:dyDescent="0.2">
      <c r="C66" s="46" t="s">
        <v>21</v>
      </c>
      <c r="D66" s="156">
        <f>output_dollars</f>
        <v>46203</v>
      </c>
      <c r="E66" s="156"/>
      <c r="F66" s="48" t="str">
        <f>Sensitivity_calcs!C89</f>
        <v>Option 1 (base case)</v>
      </c>
      <c r="G66" s="48" t="str">
        <f>Sensitivity_calcs!D89</f>
        <v>Option 2</v>
      </c>
      <c r="H66" s="48" t="str">
        <f>Sensitivity_calcs!E89</f>
        <v>Option 3</v>
      </c>
      <c r="I66" s="48" t="str">
        <f>Sensitivity_calcs!F89</f>
        <v>Option 4</v>
      </c>
      <c r="J66" s="48" t="str">
        <f>Sensitivity_calcs!G89</f>
        <v>Option 5</v>
      </c>
      <c r="K66" s="221"/>
      <c r="L66" s="131" t="s">
        <v>22</v>
      </c>
      <c r="M66" s="221"/>
    </row>
    <row r="67" spans="3:13" s="6" customFormat="1" ht="12.75" x14ac:dyDescent="0.2">
      <c r="C67" s="235" t="str">
        <f>Sensitivity_calcs!B90</f>
        <v>None</v>
      </c>
      <c r="D67" s="223"/>
      <c r="E67" s="223"/>
      <c r="F67" s="236" t="str">
        <f>Sensitivity_calcs!C90</f>
        <v/>
      </c>
      <c r="G67" s="236">
        <f>Sensitivity_calcs!D90</f>
        <v>-4.643005541704551</v>
      </c>
      <c r="H67" s="236">
        <f>Sensitivity_calcs!E90</f>
        <v>-32.387975320707</v>
      </c>
      <c r="I67" s="236">
        <f>Sensitivity_calcs!F90</f>
        <v>-29.205630866218275</v>
      </c>
      <c r="J67" s="236" t="str">
        <f>Sensitivity_calcs!G90</f>
        <v/>
      </c>
      <c r="L67" s="237" t="str">
        <f>Sensitivity_calcs!K90</f>
        <v>Option 2</v>
      </c>
    </row>
    <row r="68" spans="3:13" s="6" customFormat="1" ht="12.75" x14ac:dyDescent="0.2">
      <c r="C68" s="222" t="str">
        <f>Sensitivity_calcs!B91</f>
        <v>Capex 10% higher</v>
      </c>
      <c r="D68" s="222"/>
      <c r="E68" s="222"/>
      <c r="F68" s="231" t="str">
        <f>Sensitivity_calcs!C91</f>
        <v/>
      </c>
      <c r="G68" s="226">
        <f>Sensitivity_calcs!D91</f>
        <v>-5.694382196891012</v>
      </c>
      <c r="H68" s="226">
        <f>Sensitivity_calcs!E91</f>
        <v>-36.24605548647137</v>
      </c>
      <c r="I68" s="226">
        <f>Sensitivity_calcs!F91</f>
        <v>-32.736691572369999</v>
      </c>
      <c r="J68" s="226" t="str">
        <f>Sensitivity_calcs!G91</f>
        <v/>
      </c>
      <c r="L68" s="232" t="str">
        <f>Sensitivity_calcs!K91</f>
        <v>Option 2</v>
      </c>
    </row>
    <row r="69" spans="3:13" s="6" customFormat="1" ht="12.75" x14ac:dyDescent="0.2">
      <c r="C69" s="222" t="str">
        <f>Sensitivity_calcs!B92</f>
        <v>Capex 10% lower</v>
      </c>
      <c r="D69" s="222"/>
      <c r="E69" s="222"/>
      <c r="F69" s="89" t="str">
        <f>Sensitivity_calcs!C92</f>
        <v/>
      </c>
      <c r="G69" s="227">
        <f>Sensitivity_calcs!D92</f>
        <v>-3.5916288865180905</v>
      </c>
      <c r="H69" s="227">
        <f>Sensitivity_calcs!E92</f>
        <v>-28.529895154942626</v>
      </c>
      <c r="I69" s="227">
        <f>Sensitivity_calcs!F92</f>
        <v>-25.674570160066544</v>
      </c>
      <c r="J69" s="227" t="str">
        <f>Sensitivity_calcs!G92</f>
        <v/>
      </c>
      <c r="L69" s="232" t="str">
        <f>Sensitivity_calcs!K92</f>
        <v>Option 2</v>
      </c>
    </row>
    <row r="70" spans="3:13" s="6" customFormat="1" ht="12.75" x14ac:dyDescent="0.2">
      <c r="C70" s="222" t="str">
        <f>Sensitivity_calcs!B93</f>
        <v>Total benefits 10% higher</v>
      </c>
      <c r="D70" s="222"/>
      <c r="E70" s="222"/>
      <c r="F70" s="89" t="str">
        <f>Sensitivity_calcs!C93</f>
        <v/>
      </c>
      <c r="G70" s="227">
        <f>Sensitivity_calcs!D93</f>
        <v>-4.0559294406885451</v>
      </c>
      <c r="H70" s="227">
        <f>Sensitivity_calcs!E93</f>
        <v>-31.768692687013321</v>
      </c>
      <c r="I70" s="227">
        <f>Sensitivity_calcs!F93</f>
        <v>-28.595133246688381</v>
      </c>
      <c r="J70" s="227" t="str">
        <f>Sensitivity_calcs!G93</f>
        <v/>
      </c>
      <c r="L70" s="232" t="str">
        <f>Sensitivity_calcs!K93</f>
        <v>Option 2</v>
      </c>
    </row>
    <row r="71" spans="3:13" s="6" customFormat="1" ht="12.75" x14ac:dyDescent="0.2">
      <c r="C71" s="222" t="str">
        <f>Sensitivity_calcs!B94</f>
        <v>Total benefits 10% lower</v>
      </c>
      <c r="D71" s="222"/>
      <c r="E71" s="222"/>
      <c r="F71" s="89" t="str">
        <f>Sensitivity_calcs!C94</f>
        <v/>
      </c>
      <c r="G71" s="227">
        <f>Sensitivity_calcs!D94</f>
        <v>-5.2300816427205561</v>
      </c>
      <c r="H71" s="227">
        <f>Sensitivity_calcs!E94</f>
        <v>-33.007257954400671</v>
      </c>
      <c r="I71" s="227">
        <f>Sensitivity_calcs!F94</f>
        <v>-29.816128485748173</v>
      </c>
      <c r="J71" s="227" t="str">
        <f>Sensitivity_calcs!G94</f>
        <v/>
      </c>
      <c r="L71" s="232" t="str">
        <f>Sensitivity_calcs!K94</f>
        <v>Option 2</v>
      </c>
    </row>
    <row r="72" spans="3:13" s="6" customFormat="1" ht="12.75" x14ac:dyDescent="0.2">
      <c r="C72" s="222" t="str">
        <f>Sensitivity_calcs!B95</f>
        <v>Capex 10% higher &amp; Total benefits 10% lower</v>
      </c>
      <c r="D72" s="222"/>
      <c r="E72" s="222"/>
      <c r="F72" s="89" t="str">
        <f>Sensitivity_calcs!C95</f>
        <v/>
      </c>
      <c r="G72" s="227">
        <f>Sensitivity_calcs!D95</f>
        <v>-6.2814582979070179</v>
      </c>
      <c r="H72" s="227">
        <f>Sensitivity_calcs!E95</f>
        <v>-36.865338120165056</v>
      </c>
      <c r="I72" s="227">
        <f>Sensitivity_calcs!F95</f>
        <v>-33.347189191899901</v>
      </c>
      <c r="J72" s="227" t="str">
        <f>Sensitivity_calcs!G95</f>
        <v/>
      </c>
      <c r="L72" s="232" t="str">
        <f>Sensitivity_calcs!K95</f>
        <v>Option 2</v>
      </c>
    </row>
    <row r="73" spans="3:13" s="6" customFormat="1" ht="12.75" x14ac:dyDescent="0.2">
      <c r="C73" s="222">
        <f>Sensitivity_calcs!B96</f>
        <v>0</v>
      </c>
      <c r="D73" s="222"/>
      <c r="E73" s="222"/>
      <c r="F73" s="89" t="str">
        <f>Sensitivity_calcs!C96</f>
        <v/>
      </c>
      <c r="G73" s="227" t="str">
        <f>Sensitivity_calcs!D96</f>
        <v/>
      </c>
      <c r="H73" s="227" t="str">
        <f>Sensitivity_calcs!E96</f>
        <v/>
      </c>
      <c r="I73" s="227" t="str">
        <f>Sensitivity_calcs!F96</f>
        <v/>
      </c>
      <c r="J73" s="227" t="str">
        <f>Sensitivity_calcs!G96</f>
        <v/>
      </c>
      <c r="L73" s="232" t="str">
        <f>Sensitivity_calcs!K96</f>
        <v/>
      </c>
    </row>
    <row r="74" spans="3:13" s="6" customFormat="1" ht="12.75" x14ac:dyDescent="0.2">
      <c r="C74" s="222">
        <f>Sensitivity_calcs!B97</f>
        <v>0</v>
      </c>
      <c r="D74" s="12"/>
      <c r="E74" s="12"/>
      <c r="F74" s="89" t="str">
        <f>Sensitivity_calcs!C97</f>
        <v/>
      </c>
      <c r="G74" s="227" t="str">
        <f>Sensitivity_calcs!D97</f>
        <v/>
      </c>
      <c r="H74" s="227" t="str">
        <f>Sensitivity_calcs!E97</f>
        <v/>
      </c>
      <c r="I74" s="227" t="str">
        <f>Sensitivity_calcs!F97</f>
        <v/>
      </c>
      <c r="J74" s="227" t="str">
        <f>Sensitivity_calcs!G97</f>
        <v/>
      </c>
      <c r="K74" s="224">
        <f>IF(C74=0,0, INDEX($F$66:$J$66, MATCH(MAX($F74:$I74),$F74:$I74,0)))</f>
        <v>0</v>
      </c>
      <c r="L74" s="232" t="str">
        <f>Sensitivity_calcs!K97</f>
        <v/>
      </c>
    </row>
    <row r="75" spans="3:13" s="6" customFormat="1" ht="12.75" x14ac:dyDescent="0.2">
      <c r="D75" s="222">
        <f>Sensitivity_calcs!B98</f>
        <v>0</v>
      </c>
      <c r="E75" s="222"/>
      <c r="F75" s="89" t="str">
        <f>Sensitivity_calcs!C98</f>
        <v/>
      </c>
      <c r="G75" s="227" t="str">
        <f>Sensitivity_calcs!D98</f>
        <v/>
      </c>
      <c r="H75" s="227" t="str">
        <f>Sensitivity_calcs!E98</f>
        <v/>
      </c>
      <c r="I75" s="227" t="str">
        <f>Sensitivity_calcs!F98</f>
        <v/>
      </c>
      <c r="J75" s="227" t="str">
        <f>Sensitivity_calcs!G98</f>
        <v/>
      </c>
      <c r="L75" s="232" t="str">
        <f>Sensitivity_calcs!K98</f>
        <v/>
      </c>
    </row>
    <row r="76" spans="3:13" s="6" customFormat="1" ht="12.75" x14ac:dyDescent="0.2">
      <c r="D76" s="222">
        <f>Sensitivity_calcs!B99</f>
        <v>0</v>
      </c>
      <c r="E76" s="222"/>
      <c r="F76" s="157"/>
      <c r="G76" s="89"/>
      <c r="H76" s="89"/>
      <c r="I76" s="89"/>
      <c r="J76" s="89"/>
    </row>
    <row r="77" spans="3:13" s="6" customFormat="1" ht="12.75" x14ac:dyDescent="0.2">
      <c r="G77" s="89"/>
      <c r="H77" s="89"/>
      <c r="I77" s="89"/>
      <c r="J77" s="89"/>
    </row>
    <row r="78" spans="3:13" s="6" customFormat="1" ht="12.75" x14ac:dyDescent="0.2"/>
    <row r="79" spans="3:13" s="6" customFormat="1" ht="12.75" x14ac:dyDescent="0.2"/>
    <row r="80" spans="3:13" s="6" customFormat="1" ht="12.75" x14ac:dyDescent="0.2"/>
    <row r="81" spans="4:6" s="6" customFormat="1" ht="12.75" x14ac:dyDescent="0.2">
      <c r="D81" s="210"/>
      <c r="E81" s="210"/>
      <c r="F81" s="210"/>
    </row>
    <row r="82" spans="4:6" s="6" customFormat="1" ht="12.75" x14ac:dyDescent="0.2">
      <c r="D82" s="210"/>
      <c r="E82" s="210"/>
      <c r="F82" s="210"/>
    </row>
    <row r="83" spans="4:6" s="6" customFormat="1" ht="12.75" hidden="1" x14ac:dyDescent="0.2">
      <c r="D83" s="210"/>
      <c r="E83" s="210"/>
      <c r="F83" s="210"/>
    </row>
    <row r="84" spans="4:6" s="6" customFormat="1" ht="12.75" hidden="1" x14ac:dyDescent="0.2"/>
    <row r="85" spans="4:6" s="6" customFormat="1" ht="12.75" hidden="1" x14ac:dyDescent="0.2"/>
    <row r="86" spans="4:6" s="6" customFormat="1" ht="12.75" hidden="1" x14ac:dyDescent="0.2"/>
    <row r="87" spans="4:6" s="6" customFormat="1" ht="12.75" hidden="1" x14ac:dyDescent="0.2"/>
    <row r="88" spans="4:6" s="6" customFormat="1" ht="12.75" hidden="1" x14ac:dyDescent="0.2"/>
    <row r="89" spans="4:6" s="6" customFormat="1" ht="12.75" hidden="1" x14ac:dyDescent="0.2"/>
    <row r="90" spans="4:6" s="6" customFormat="1" ht="12.75" hidden="1" x14ac:dyDescent="0.2"/>
    <row r="91" spans="4:6" s="6" customFormat="1" ht="12.75" hidden="1" x14ac:dyDescent="0.2"/>
    <row r="92" spans="4:6" s="6" customFormat="1" ht="12.75" hidden="1" x14ac:dyDescent="0.2"/>
    <row r="93" spans="4:6" s="6" customFormat="1" ht="12.75" hidden="1" x14ac:dyDescent="0.2"/>
    <row r="94" spans="4:6" s="6" customFormat="1" ht="12.75" hidden="1" x14ac:dyDescent="0.2"/>
    <row r="95" spans="4:6" s="6" customFormat="1" ht="12.75" hidden="1" x14ac:dyDescent="0.2"/>
    <row r="96" spans="4:6" s="6" customFormat="1" ht="12.75" hidden="1" x14ac:dyDescent="0.2"/>
    <row r="97" s="6" customFormat="1" ht="12.75" hidden="1" x14ac:dyDescent="0.2"/>
    <row r="98" s="6" customFormat="1" ht="12.75" hidden="1" x14ac:dyDescent="0.2"/>
    <row r="99" s="6" customFormat="1" ht="12.75" hidden="1" x14ac:dyDescent="0.2"/>
    <row r="100" s="6" customFormat="1" ht="12.75" hidden="1" x14ac:dyDescent="0.2"/>
    <row r="101" s="6" customFormat="1" ht="12.75" hidden="1" x14ac:dyDescent="0.2"/>
    <row r="102" s="6" customFormat="1" ht="12.75" hidden="1" x14ac:dyDescent="0.2"/>
    <row r="103" s="6" customFormat="1" ht="12.75" hidden="1" x14ac:dyDescent="0.2"/>
    <row r="104" s="6" customFormat="1" ht="12.75" hidden="1" x14ac:dyDescent="0.2"/>
    <row r="105" s="6" customFormat="1" ht="12.75" hidden="1" x14ac:dyDescent="0.2"/>
    <row r="106" s="6" customFormat="1" ht="12.75" hidden="1" x14ac:dyDescent="0.2"/>
    <row r="107" s="6" customFormat="1" ht="12.75" hidden="1" x14ac:dyDescent="0.2"/>
    <row r="108" s="6" customFormat="1" ht="12.75" hidden="1" x14ac:dyDescent="0.2"/>
    <row r="109" s="6" customFormat="1" ht="12.75" hidden="1" x14ac:dyDescent="0.2"/>
    <row r="110" s="6" customFormat="1" ht="12.75" hidden="1" x14ac:dyDescent="0.2"/>
    <row r="111" s="6" customFormat="1" ht="12.75" hidden="1" x14ac:dyDescent="0.2"/>
    <row r="112" s="6" customFormat="1" ht="12.75" hidden="1" x14ac:dyDescent="0.2"/>
    <row r="113" s="6" customFormat="1" ht="12.75" hidden="1" x14ac:dyDescent="0.2"/>
    <row r="114" s="6" customFormat="1" ht="12.75" hidden="1" x14ac:dyDescent="0.2"/>
    <row r="115" s="6" customFormat="1" ht="12.75" hidden="1" x14ac:dyDescent="0.2"/>
    <row r="116" s="6" customFormat="1" ht="12.75" hidden="1" x14ac:dyDescent="0.2"/>
    <row r="117" s="6" customFormat="1" ht="12.75" hidden="1" x14ac:dyDescent="0.2"/>
    <row r="118" s="6" customFormat="1" ht="12.75" hidden="1" x14ac:dyDescent="0.2"/>
    <row r="119" s="6" customFormat="1" ht="12.75" hidden="1" x14ac:dyDescent="0.2"/>
    <row r="120" s="6" customFormat="1" ht="12.75" hidden="1" x14ac:dyDescent="0.2"/>
    <row r="121" s="6" customFormat="1" ht="12.75" hidden="1" x14ac:dyDescent="0.2"/>
    <row r="122" s="6" customFormat="1" ht="12.75" hidden="1" x14ac:dyDescent="0.2"/>
    <row r="123" s="6" customFormat="1" ht="12.75" hidden="1" x14ac:dyDescent="0.2"/>
    <row r="124" s="6" customFormat="1" ht="12.75" hidden="1" x14ac:dyDescent="0.2"/>
    <row r="125" s="6" customFormat="1" ht="12.75" hidden="1" x14ac:dyDescent="0.2"/>
    <row r="126" s="6" customFormat="1" ht="12.75" hidden="1" x14ac:dyDescent="0.2"/>
    <row r="127" s="6" customFormat="1" ht="12.75" hidden="1" x14ac:dyDescent="0.2"/>
    <row r="128" s="6" customFormat="1" ht="12.75" hidden="1" x14ac:dyDescent="0.2"/>
    <row r="129" s="6" customFormat="1" ht="12.75" hidden="1" x14ac:dyDescent="0.2"/>
    <row r="130" s="6" customFormat="1" ht="12.75" hidden="1" x14ac:dyDescent="0.2"/>
    <row r="131" s="6" customFormat="1" ht="12.75" hidden="1" x14ac:dyDescent="0.2"/>
    <row r="132" s="6" customFormat="1" ht="12.75" hidden="1" x14ac:dyDescent="0.2"/>
    <row r="133" s="6" customFormat="1" ht="12.75" hidden="1" x14ac:dyDescent="0.2"/>
    <row r="134" s="6" customFormat="1" ht="12.75" hidden="1" x14ac:dyDescent="0.2"/>
    <row r="135" s="6" customFormat="1" ht="12.75" hidden="1" x14ac:dyDescent="0.2"/>
    <row r="136" s="6" customFormat="1" ht="12.75" hidden="1" x14ac:dyDescent="0.2"/>
    <row r="137" s="6" customFormat="1" ht="12.75" hidden="1" x14ac:dyDescent="0.2"/>
    <row r="138" s="6" customFormat="1" ht="12.75" hidden="1" x14ac:dyDescent="0.2"/>
    <row r="139" s="6" customFormat="1" ht="12.75" hidden="1" x14ac:dyDescent="0.2"/>
    <row r="140" s="6" customFormat="1" ht="12.75" hidden="1" x14ac:dyDescent="0.2"/>
    <row r="141" s="6" customFormat="1" ht="12.75" hidden="1" x14ac:dyDescent="0.2"/>
    <row r="142" s="6" customFormat="1" ht="12.75" hidden="1" x14ac:dyDescent="0.2"/>
    <row r="143" s="6" customFormat="1" ht="12.75" hidden="1" x14ac:dyDescent="0.2"/>
    <row r="144" s="6" customFormat="1" ht="12.75" hidden="1" x14ac:dyDescent="0.2"/>
    <row r="145" s="6" customFormat="1" ht="12.75" hidden="1" x14ac:dyDescent="0.2"/>
    <row r="146" s="6" customFormat="1" ht="12.75" hidden="1" x14ac:dyDescent="0.2"/>
    <row r="147" s="6" customFormat="1" ht="12.75" hidden="1" x14ac:dyDescent="0.2"/>
    <row r="148" s="6" customFormat="1" ht="12.75" hidden="1" x14ac:dyDescent="0.2"/>
    <row r="149" s="6" customFormat="1" ht="12.75" hidden="1" x14ac:dyDescent="0.2"/>
    <row r="150" s="6" customFormat="1" ht="12.75" hidden="1" x14ac:dyDescent="0.2"/>
    <row r="151" s="6" customFormat="1" ht="12.75" hidden="1" x14ac:dyDescent="0.2"/>
    <row r="152" s="6" customFormat="1" ht="12.75" hidden="1" x14ac:dyDescent="0.2"/>
    <row r="153" s="6" customFormat="1" ht="12.75" hidden="1" x14ac:dyDescent="0.2"/>
    <row r="154" s="6" customFormat="1" ht="12.75" hidden="1" x14ac:dyDescent="0.2"/>
    <row r="155" s="6" customFormat="1" ht="12.75" hidden="1" x14ac:dyDescent="0.2"/>
    <row r="156" s="6" customFormat="1" ht="12.75" hidden="1" x14ac:dyDescent="0.2"/>
    <row r="157" s="6" customFormat="1" ht="12.75" hidden="1" x14ac:dyDescent="0.2"/>
    <row r="158" s="6" customFormat="1" ht="12.75" hidden="1" x14ac:dyDescent="0.2"/>
    <row r="159" s="6" customFormat="1" ht="12.75" hidden="1" x14ac:dyDescent="0.2"/>
    <row r="160" s="6" customFormat="1" ht="12.75" hidden="1" x14ac:dyDescent="0.2"/>
    <row r="161" s="6" customFormat="1" ht="12.75" hidden="1" x14ac:dyDescent="0.2"/>
    <row r="162" s="6" customFormat="1" ht="12.75" hidden="1" x14ac:dyDescent="0.2"/>
    <row r="163" s="6" customFormat="1" ht="12.75" hidden="1" x14ac:dyDescent="0.2"/>
    <row r="164" s="6" customFormat="1" ht="12.75" hidden="1" x14ac:dyDescent="0.2"/>
    <row r="165" s="6" customFormat="1" ht="12.75" hidden="1" x14ac:dyDescent="0.2"/>
    <row r="166" s="6" customFormat="1" ht="12.75" hidden="1" x14ac:dyDescent="0.2"/>
    <row r="167" s="6" customFormat="1" ht="12.75" hidden="1" x14ac:dyDescent="0.2"/>
    <row r="168" s="6" customFormat="1" ht="12.75" hidden="1" x14ac:dyDescent="0.2"/>
    <row r="169" s="6" customFormat="1" ht="12.75" hidden="1" x14ac:dyDescent="0.2"/>
    <row r="170" s="6" customFormat="1" ht="12.75" hidden="1" x14ac:dyDescent="0.2"/>
    <row r="171" s="6" customFormat="1" ht="12.75" hidden="1" x14ac:dyDescent="0.2"/>
    <row r="172" s="6" customFormat="1" ht="12.75" hidden="1" x14ac:dyDescent="0.2"/>
    <row r="173" s="6" customFormat="1" ht="12.75" hidden="1" x14ac:dyDescent="0.2"/>
    <row r="174" s="6" customFormat="1" ht="12.75" hidden="1" x14ac:dyDescent="0.2"/>
    <row r="175" s="6" customFormat="1" ht="12.75" hidden="1" x14ac:dyDescent="0.2"/>
    <row r="176" s="6" customFormat="1" ht="12.75" hidden="1" x14ac:dyDescent="0.2"/>
    <row r="177" s="6" customFormat="1" ht="12.75" hidden="1" x14ac:dyDescent="0.2"/>
    <row r="178" s="6" customFormat="1" ht="12.75" hidden="1" x14ac:dyDescent="0.2"/>
    <row r="179" s="6" customFormat="1" ht="12.75" hidden="1" x14ac:dyDescent="0.2"/>
    <row r="180" s="6" customFormat="1" ht="12.75" hidden="1" x14ac:dyDescent="0.2"/>
    <row r="181" s="6" customFormat="1" ht="12.75" hidden="1" x14ac:dyDescent="0.2"/>
    <row r="182" s="6" customFormat="1" ht="12.75" hidden="1" x14ac:dyDescent="0.2"/>
    <row r="183" s="6" customFormat="1" ht="12.75" hidden="1" x14ac:dyDescent="0.2"/>
    <row r="184" s="6" customFormat="1" ht="12.75" hidden="1" x14ac:dyDescent="0.2"/>
    <row r="185" s="6" customFormat="1" ht="12.75" hidden="1" x14ac:dyDescent="0.2"/>
    <row r="186" s="6" customFormat="1" ht="12.75" hidden="1" x14ac:dyDescent="0.2"/>
    <row r="187" s="6" customFormat="1" ht="12.75" hidden="1" x14ac:dyDescent="0.2"/>
    <row r="188" s="6" customFormat="1" ht="12.75" hidden="1" x14ac:dyDescent="0.2"/>
    <row r="189" s="6" customFormat="1" ht="12.75" hidden="1" x14ac:dyDescent="0.2"/>
    <row r="190" s="6" customFormat="1" ht="12.75" hidden="1" x14ac:dyDescent="0.2"/>
    <row r="191" s="6" customFormat="1" ht="12.75" hidden="1" x14ac:dyDescent="0.2"/>
    <row r="192" s="6" customFormat="1" ht="12.75" hidden="1" x14ac:dyDescent="0.2"/>
    <row r="193" s="6" customFormat="1" ht="12.75" hidden="1" x14ac:dyDescent="0.2"/>
    <row r="194" s="6" customFormat="1" ht="12.75" hidden="1" x14ac:dyDescent="0.2"/>
    <row r="195" s="6" customFormat="1" ht="12.75" hidden="1" x14ac:dyDescent="0.2"/>
    <row r="196" s="6" customFormat="1" ht="12.75" hidden="1" x14ac:dyDescent="0.2"/>
    <row r="197" s="6" customFormat="1" ht="12.75" hidden="1" x14ac:dyDescent="0.2"/>
    <row r="198" s="6" customFormat="1" ht="12.75" hidden="1" x14ac:dyDescent="0.2"/>
    <row r="199" s="6" customFormat="1" ht="12.75" hidden="1" x14ac:dyDescent="0.2"/>
    <row r="200" s="6" customFormat="1" ht="12.75" hidden="1" x14ac:dyDescent="0.2"/>
    <row r="201" s="6" customFormat="1" ht="12.75" hidden="1" x14ac:dyDescent="0.2"/>
    <row r="202" s="6" customFormat="1" ht="12.75" hidden="1" x14ac:dyDescent="0.2"/>
    <row r="203" s="6" customFormat="1" ht="12.75" hidden="1" x14ac:dyDescent="0.2"/>
    <row r="204" s="6" customFormat="1" ht="12.75" hidden="1" x14ac:dyDescent="0.2"/>
    <row r="205" s="6" customFormat="1" ht="12.75" hidden="1" x14ac:dyDescent="0.2"/>
    <row r="206" s="6" customFormat="1" ht="12.75" hidden="1" x14ac:dyDescent="0.2"/>
    <row r="207" s="6" customFormat="1" ht="12.75" hidden="1" x14ac:dyDescent="0.2"/>
    <row r="208" s="6" customFormat="1" ht="12.75" hidden="1" x14ac:dyDescent="0.2"/>
    <row r="209" s="6" customFormat="1" ht="12.75" hidden="1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zoomScale="90" zoomScaleNormal="90" workbookViewId="0">
      <pane ySplit="2" topLeftCell="A3" activePane="bottomLeft" state="frozen"/>
      <selection activeCell="A101" sqref="A101"/>
      <selection pane="bottomLeft" activeCell="A3" sqref="A3"/>
    </sheetView>
  </sheetViews>
  <sheetFormatPr defaultColWidth="9" defaultRowHeight="12.75" x14ac:dyDescent="0.2"/>
  <cols>
    <col min="1" max="1" width="3.625" style="6" customWidth="1"/>
    <col min="2" max="2" width="2.625" style="6" customWidth="1"/>
    <col min="3" max="3" width="18.75" style="6" customWidth="1"/>
    <col min="4" max="4" width="9.25" style="6" customWidth="1"/>
    <col min="5" max="5" width="16.375" style="6" customWidth="1"/>
    <col min="6" max="6" width="1.125" style="6" customWidth="1"/>
    <col min="7" max="7" width="14.75" style="6" customWidth="1"/>
    <col min="8" max="8" width="12.875" style="6" customWidth="1"/>
    <col min="9" max="9" width="11.5" style="6" customWidth="1"/>
    <col min="10" max="10" width="6.875" style="6" customWidth="1"/>
    <col min="11" max="16" width="8.125" style="6" customWidth="1"/>
    <col min="17" max="19" width="9" style="6"/>
    <col min="20" max="20" width="17.625" style="6" customWidth="1"/>
    <col min="21" max="16384" width="9" style="6"/>
  </cols>
  <sheetData>
    <row r="1" spans="1:16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75" x14ac:dyDescent="0.25">
      <c r="A2" s="49" t="str">
        <f>proj</f>
        <v>CBD security of supply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5" x14ac:dyDescent="0.2">
      <c r="A4" s="16" t="s">
        <v>23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2">
      <c r="M5" s="10"/>
      <c r="N5" s="10"/>
      <c r="O5" s="10"/>
      <c r="P5" s="10"/>
    </row>
    <row r="6" spans="1:16" ht="12.75" customHeight="1" x14ac:dyDescent="0.2">
      <c r="C6" s="12" t="s">
        <v>24</v>
      </c>
      <c r="D6" s="57"/>
      <c r="E6" s="11" t="s">
        <v>0</v>
      </c>
    </row>
    <row r="7" spans="1:16" s="1" customFormat="1" ht="12.75" customHeight="1" x14ac:dyDescent="0.2">
      <c r="M7" s="10"/>
      <c r="N7" s="10"/>
      <c r="O7" s="10"/>
      <c r="P7" s="10"/>
    </row>
    <row r="8" spans="1:16" ht="14.1" customHeight="1" x14ac:dyDescent="0.2">
      <c r="C8" s="12" t="s">
        <v>25</v>
      </c>
      <c r="D8" s="12"/>
      <c r="E8" s="306" t="s">
        <v>1</v>
      </c>
      <c r="F8" s="306"/>
      <c r="G8" s="306"/>
      <c r="H8" s="306"/>
      <c r="I8" s="1"/>
      <c r="J8" s="1"/>
    </row>
    <row r="9" spans="1:16" x14ac:dyDescent="0.2">
      <c r="C9" s="12"/>
      <c r="D9" s="12"/>
    </row>
    <row r="10" spans="1:16" s="1" customFormat="1" x14ac:dyDescent="0.2">
      <c r="C10" s="3" t="s">
        <v>26</v>
      </c>
      <c r="D10" s="57"/>
      <c r="E10" s="53" t="s">
        <v>27</v>
      </c>
      <c r="F10" s="6"/>
      <c r="G10" s="32">
        <v>2023</v>
      </c>
      <c r="I10" s="58"/>
      <c r="J10" s="58"/>
    </row>
    <row r="11" spans="1:16" x14ac:dyDescent="0.2">
      <c r="I11" s="58"/>
      <c r="J11" s="58"/>
    </row>
    <row r="12" spans="1:16" x14ac:dyDescent="0.2">
      <c r="H12" s="36"/>
      <c r="I12" s="36"/>
      <c r="J12" s="36"/>
    </row>
    <row r="13" spans="1:16" s="64" customFormat="1" x14ac:dyDescent="0.2">
      <c r="C13" s="65" t="s">
        <v>8</v>
      </c>
      <c r="D13" s="65"/>
      <c r="E13" s="65" t="s">
        <v>28</v>
      </c>
      <c r="F13" s="65"/>
      <c r="G13" s="65"/>
      <c r="H13" s="66"/>
      <c r="I13" s="66"/>
      <c r="J13" s="66"/>
      <c r="K13" s="66"/>
      <c r="L13"/>
    </row>
    <row r="14" spans="1:16" s="1" customFormat="1" ht="12.75" customHeight="1" x14ac:dyDescent="0.2">
      <c r="C14" s="54" t="str" cm="1">
        <f t="array" ref="C14:C18">options</f>
        <v>Option 1 (base case)</v>
      </c>
      <c r="D14" s="54"/>
      <c r="E14" s="307" t="s">
        <v>29</v>
      </c>
      <c r="F14" s="307"/>
      <c r="G14" s="307"/>
      <c r="H14" s="307"/>
      <c r="I14" s="307"/>
      <c r="J14" s="307"/>
      <c r="K14" s="307"/>
      <c r="L14"/>
    </row>
    <row r="15" spans="1:16" s="1" customFormat="1" ht="12.75" customHeight="1" x14ac:dyDescent="0.2">
      <c r="C15" s="54" t="str">
        <v>Option 2</v>
      </c>
      <c r="D15" s="54"/>
      <c r="E15" s="308" t="s">
        <v>30</v>
      </c>
      <c r="F15" s="308"/>
      <c r="G15" s="308"/>
      <c r="H15" s="308"/>
      <c r="I15" s="308"/>
      <c r="J15" s="308"/>
      <c r="K15" s="308"/>
      <c r="L15"/>
    </row>
    <row r="16" spans="1:16" s="1" customFormat="1" ht="12.75" customHeight="1" x14ac:dyDescent="0.2">
      <c r="C16" s="54" t="str">
        <v>Option 3</v>
      </c>
      <c r="D16" s="54"/>
      <c r="E16" s="308" t="s">
        <v>31</v>
      </c>
      <c r="F16" s="308"/>
      <c r="G16" s="308"/>
      <c r="H16" s="308"/>
      <c r="I16" s="308"/>
      <c r="J16" s="308"/>
      <c r="K16" s="308"/>
      <c r="L16"/>
    </row>
    <row r="17" spans="1:16" s="1" customFormat="1" ht="12.75" customHeight="1" x14ac:dyDescent="0.2">
      <c r="C17" s="54" t="str">
        <v>Option 4</v>
      </c>
      <c r="D17" s="54"/>
      <c r="E17" s="308" t="s">
        <v>32</v>
      </c>
      <c r="F17" s="308"/>
      <c r="G17" s="308"/>
      <c r="H17" s="308"/>
      <c r="I17" s="308"/>
      <c r="J17" s="308"/>
      <c r="K17" s="308"/>
      <c r="L17"/>
    </row>
    <row r="18" spans="1:16" s="1" customFormat="1" ht="12.75" customHeight="1" x14ac:dyDescent="0.2">
      <c r="C18" s="54" t="str">
        <v>Option 5</v>
      </c>
      <c r="D18" s="54"/>
      <c r="E18" s="308"/>
      <c r="F18" s="308"/>
      <c r="G18" s="308"/>
      <c r="H18" s="308"/>
      <c r="I18" s="308"/>
      <c r="J18" s="308"/>
      <c r="K18" s="308"/>
      <c r="L18"/>
    </row>
    <row r="19" spans="1:16" s="1" customFormat="1" ht="12.75" customHeight="1" x14ac:dyDescent="0.2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2">
      <c r="C20" s="239" t="s">
        <v>33</v>
      </c>
      <c r="D20"/>
      <c r="E20" s="240" t="s">
        <v>188</v>
      </c>
      <c r="F20"/>
      <c r="G20"/>
      <c r="H20"/>
      <c r="I20"/>
      <c r="J20"/>
      <c r="K20"/>
      <c r="L20"/>
      <c r="M20"/>
    </row>
    <row r="21" spans="1:16" s="1" customFormat="1" ht="12.75" customHeight="1" x14ac:dyDescent="0.2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2">
      <c r="C22" s="1" t="s">
        <v>35</v>
      </c>
      <c r="E22" s="245" t="s">
        <v>36</v>
      </c>
      <c r="F22" s="60" t="s">
        <v>37</v>
      </c>
      <c r="J22" s="60"/>
    </row>
    <row r="23" spans="1:16" s="1" customFormat="1" ht="12.75" customHeight="1" x14ac:dyDescent="0.2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75" x14ac:dyDescent="0.25">
      <c r="E24" s="5"/>
      <c r="F24" s="5"/>
      <c r="L24" s="6"/>
    </row>
    <row r="25" spans="1:16" s="1" customFormat="1" ht="15" x14ac:dyDescent="0.2">
      <c r="A25" s="16" t="s">
        <v>38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2"/>
    <row r="27" spans="1:16" s="1" customFormat="1" x14ac:dyDescent="0.2">
      <c r="C27" s="1" t="s">
        <v>39</v>
      </c>
      <c r="G27" s="59">
        <f>EOMONTH(DATE(Assumptions!$G$10,INDEX(Data!$K$97:$K$98, MATCH(Assumptions!$E$10, Data!$J$97:$J$98,0)), 1),0)</f>
        <v>45291</v>
      </c>
      <c r="H27" s="60" t="s">
        <v>40</v>
      </c>
    </row>
    <row r="28" spans="1:16" s="1" customFormat="1" x14ac:dyDescent="0.2">
      <c r="C28" s="1" t="s">
        <v>41</v>
      </c>
      <c r="G28" s="249">
        <v>3.5000000000000003E-2</v>
      </c>
      <c r="H28" s="60" t="s">
        <v>42</v>
      </c>
      <c r="J28" s="60"/>
    </row>
    <row r="29" spans="1:16" s="1" customFormat="1" x14ac:dyDescent="0.2">
      <c r="C29" s="1" t="s">
        <v>43</v>
      </c>
      <c r="G29" s="250">
        <v>45657</v>
      </c>
      <c r="H29" s="60" t="s">
        <v>44</v>
      </c>
      <c r="J29" s="60"/>
    </row>
    <row r="30" spans="1:16" s="1" customFormat="1" x14ac:dyDescent="0.2">
      <c r="J30" s="60"/>
    </row>
    <row r="31" spans="1:16" x14ac:dyDescent="0.2">
      <c r="C31" s="6" t="s">
        <v>45</v>
      </c>
      <c r="G31" s="251">
        <v>20</v>
      </c>
      <c r="H31" s="60" t="s">
        <v>46</v>
      </c>
    </row>
    <row r="32" spans="1:16" s="1" customFormat="1" x14ac:dyDescent="0.2"/>
    <row r="33" spans="1:20" s="1" customFormat="1" x14ac:dyDescent="0.2">
      <c r="C33" s="1" t="s">
        <v>47</v>
      </c>
      <c r="G33" s="252">
        <v>46203</v>
      </c>
      <c r="H33" s="60" t="s">
        <v>48</v>
      </c>
      <c r="J33" s="60"/>
    </row>
    <row r="34" spans="1:20" s="1" customFormat="1" x14ac:dyDescent="0.2">
      <c r="C34" s="1" t="s">
        <v>49</v>
      </c>
      <c r="G34" s="267">
        <v>45291</v>
      </c>
      <c r="H34" s="60" t="s">
        <v>50</v>
      </c>
      <c r="J34" s="60"/>
    </row>
    <row r="35" spans="1:20" s="1" customFormat="1" ht="13.5" x14ac:dyDescent="0.25">
      <c r="C35" s="1" t="s">
        <v>51</v>
      </c>
      <c r="G35" s="250">
        <v>45107</v>
      </c>
      <c r="H35" s="60"/>
      <c r="J35" s="60"/>
    </row>
    <row r="39" spans="1:20" s="1" customFormat="1" ht="15" x14ac:dyDescent="0.2">
      <c r="A39" s="16" t="s">
        <v>52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2">
      <c r="M40" s="10"/>
      <c r="N40" s="10"/>
      <c r="O40" s="10"/>
      <c r="P40" s="10"/>
    </row>
    <row r="41" spans="1:20" s="104" customFormat="1" x14ac:dyDescent="0.2">
      <c r="A41" s="103"/>
      <c r="B41" s="103"/>
      <c r="C41" s="1" t="s">
        <v>53</v>
      </c>
      <c r="D41" s="207" t="s">
        <v>54</v>
      </c>
      <c r="E41" s="270" t="s">
        <v>55</v>
      </c>
      <c r="F41" s="271"/>
      <c r="G41" s="290" t="s">
        <v>56</v>
      </c>
      <c r="H41" s="107">
        <v>35717.979780514455</v>
      </c>
      <c r="I41" s="272" t="s">
        <v>57</v>
      </c>
      <c r="J41" s="103"/>
      <c r="M41" s="103"/>
      <c r="N41" s="103"/>
      <c r="O41" s="103"/>
      <c r="P41" s="103"/>
      <c r="Q41" s="103"/>
      <c r="R41" s="103"/>
      <c r="S41" s="103"/>
      <c r="T41" s="103"/>
    </row>
    <row r="42" spans="1:20" s="104" customFormat="1" x14ac:dyDescent="0.2">
      <c r="A42"/>
      <c r="B42"/>
      <c r="C42"/>
      <c r="D42"/>
      <c r="E42"/>
      <c r="F42"/>
      <c r="G42"/>
      <c r="H42"/>
      <c r="I42"/>
      <c r="J42"/>
      <c r="K42"/>
      <c r="L42"/>
      <c r="M42" s="103"/>
      <c r="N42" s="103"/>
      <c r="O42" s="103"/>
      <c r="P42" s="103"/>
      <c r="Q42" s="103"/>
      <c r="R42" s="103"/>
      <c r="S42" s="103"/>
      <c r="T42" s="103"/>
    </row>
    <row r="43" spans="1:20" s="104" customFormat="1" x14ac:dyDescent="0.2">
      <c r="A43"/>
      <c r="B43"/>
      <c r="C43"/>
      <c r="D43"/>
      <c r="E43"/>
      <c r="F43"/>
      <c r="G43"/>
      <c r="H43"/>
      <c r="I43"/>
      <c r="J43"/>
      <c r="K43"/>
      <c r="L43"/>
      <c r="M43" s="103"/>
      <c r="N43" s="103"/>
      <c r="O43" s="103"/>
      <c r="P43" s="103"/>
      <c r="Q43" s="103"/>
      <c r="R43" s="103"/>
      <c r="S43" s="103"/>
      <c r="T43" s="103"/>
    </row>
    <row r="45" spans="1:20" ht="15" x14ac:dyDescent="0.2">
      <c r="A45" s="16" t="s">
        <v>58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2">
      <c r="B48" s="27" t="s">
        <v>59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2">
      <c r="C50" s="6" t="s">
        <v>60</v>
      </c>
      <c r="G50" s="253">
        <v>5400000</v>
      </c>
      <c r="H50" s="61">
        <v>45107</v>
      </c>
    </row>
    <row r="52" spans="3:8" x14ac:dyDescent="0.2">
      <c r="C52" s="6" t="s">
        <v>61</v>
      </c>
      <c r="G52" s="128">
        <v>0</v>
      </c>
      <c r="H52" s="61">
        <f>input_dollars</f>
        <v>45291</v>
      </c>
    </row>
    <row r="54" spans="3:8" x14ac:dyDescent="0.2">
      <c r="C54" s="12" t="str">
        <f>Data!A73</f>
        <v>Disproportionate factors applied to various bushfire and other risk valuations</v>
      </c>
    </row>
    <row r="55" spans="3:8" x14ac:dyDescent="0.2">
      <c r="C55" s="6" t="str">
        <f>Data!B75</f>
        <v>Harm to property from network</v>
      </c>
      <c r="G55" s="251">
        <f>Data!F75</f>
        <v>1</v>
      </c>
    </row>
    <row r="56" spans="3:8" x14ac:dyDescent="0.2">
      <c r="C56" s="6" t="str">
        <f>Data!B76</f>
        <v>Harm to property from bushfire</v>
      </c>
      <c r="G56" s="251">
        <f>Data!F76</f>
        <v>1</v>
      </c>
    </row>
    <row r="57" spans="3:8" x14ac:dyDescent="0.2">
      <c r="C57" s="6" t="str">
        <f>Data!B77</f>
        <v>Harm to environment</v>
      </c>
      <c r="G57" s="251">
        <f>Data!F77</f>
        <v>1</v>
      </c>
    </row>
    <row r="58" spans="3:8" x14ac:dyDescent="0.2">
      <c r="C58" s="6" t="str">
        <f>Data!B78</f>
        <v>Safety - Public trespass</v>
      </c>
      <c r="G58" s="251">
        <f>Data!F78</f>
        <v>1</v>
      </c>
    </row>
    <row r="59" spans="3:8" x14ac:dyDescent="0.2">
      <c r="C59" s="6" t="str">
        <f>Data!B79</f>
        <v>Safety - Single fatality or serious injury ^</v>
      </c>
      <c r="G59" s="251">
        <f>Data!F79</f>
        <v>3</v>
      </c>
    </row>
    <row r="60" spans="3:8" x14ac:dyDescent="0.2">
      <c r="C60" s="6" t="str">
        <f>Data!B80</f>
        <v>Safety from bushfire in HBRA</v>
      </c>
      <c r="G60" s="251">
        <f>Data!F80</f>
        <v>3</v>
      </c>
    </row>
    <row r="61" spans="3:8" x14ac:dyDescent="0.2">
      <c r="C61" s="6" t="str">
        <f>Data!B81</f>
        <v>Safety - Multiple fatality or serious injury ^</v>
      </c>
      <c r="G61" s="251">
        <f>Data!F81</f>
        <v>6</v>
      </c>
    </row>
    <row r="62" spans="3:8" x14ac:dyDescent="0.2">
      <c r="C62" s="6" t="str">
        <f>Data!B82</f>
        <v>Safety from bushfire (REFCL declared areas)</v>
      </c>
      <c r="G62" s="251">
        <f>Data!F82</f>
        <v>6</v>
      </c>
    </row>
    <row r="63" spans="3:8" x14ac:dyDescent="0.2">
      <c r="C63" s="6" t="str">
        <f>Data!B83</f>
        <v>Safety from bushfire (electric line construction areas)</v>
      </c>
      <c r="G63" s="251">
        <f>Data!F83</f>
        <v>10</v>
      </c>
    </row>
    <row r="64" spans="3:8" x14ac:dyDescent="0.2">
      <c r="E64"/>
      <c r="F64"/>
      <c r="G64"/>
      <c r="H64"/>
    </row>
    <row r="66" spans="2:16" x14ac:dyDescent="0.2">
      <c r="C66" s="71" t="s">
        <v>62</v>
      </c>
    </row>
    <row r="69" spans="2:16" x14ac:dyDescent="0.2">
      <c r="C69" s="46" t="s">
        <v>63</v>
      </c>
      <c r="D69" s="52"/>
      <c r="E69" s="52"/>
      <c r="F69" s="52"/>
      <c r="G69" s="131" t="s">
        <v>64</v>
      </c>
      <c r="H69" s="131" t="s">
        <v>65</v>
      </c>
      <c r="I69" s="131" t="s">
        <v>66</v>
      </c>
      <c r="J69" s="130" t="s">
        <v>67</v>
      </c>
      <c r="K69" s="131"/>
      <c r="L69" s="131"/>
      <c r="M69" s="131"/>
    </row>
    <row r="70" spans="2:16" x14ac:dyDescent="0.2">
      <c r="C70" s="6" t="s">
        <v>68</v>
      </c>
      <c r="G70" s="97">
        <f>G50*INDEX(hy_escalation, MATCH(input_dollars,hy_dates,0))/INDEX(hy_escalation, MATCH(H50,hy_dates,0))</f>
        <v>5607473.5197347086</v>
      </c>
      <c r="H70" s="136">
        <v>0</v>
      </c>
      <c r="I70" s="137">
        <v>0</v>
      </c>
      <c r="J70" s="303">
        <v>0</v>
      </c>
      <c r="K70" s="304"/>
      <c r="L70" s="304"/>
      <c r="M70" s="305"/>
    </row>
    <row r="71" spans="2:16" x14ac:dyDescent="0.2">
      <c r="C71" s="6" t="s">
        <v>69</v>
      </c>
      <c r="G71" s="97">
        <f>G52*INDEX(hy_escalation, MATCH(input_dollars,hy_dates,0))/INDEX(hy_escalation, MATCH(H52,hy_dates,0))</f>
        <v>0</v>
      </c>
      <c r="H71" s="135">
        <v>0</v>
      </c>
      <c r="I71" s="137">
        <v>0</v>
      </c>
      <c r="J71" s="303">
        <v>0</v>
      </c>
      <c r="K71" s="304"/>
      <c r="L71" s="304"/>
      <c r="M71" s="305"/>
    </row>
    <row r="72" spans="2:16" x14ac:dyDescent="0.2">
      <c r="I72" s="134"/>
      <c r="M72"/>
    </row>
    <row r="73" spans="2:16" x14ac:dyDescent="0.2">
      <c r="G73" s="138"/>
    </row>
    <row r="74" spans="2:16" x14ac:dyDescent="0.2">
      <c r="C74" s="71"/>
    </row>
    <row r="77" spans="2:16" x14ac:dyDescent="0.2">
      <c r="B77" s="27" t="s">
        <v>70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2">
      <c r="C78" s="6" t="s">
        <v>71</v>
      </c>
      <c r="G78" s="128">
        <v>0</v>
      </c>
      <c r="H78" s="61">
        <f>input_dollars</f>
        <v>45291</v>
      </c>
    </row>
    <row r="79" spans="2:16" x14ac:dyDescent="0.2">
      <c r="C79" s="6" t="s">
        <v>72</v>
      </c>
      <c r="G79" s="128">
        <v>0</v>
      </c>
      <c r="H79" s="61">
        <f>input_dollars</f>
        <v>45291</v>
      </c>
    </row>
    <row r="81" spans="1:16" x14ac:dyDescent="0.2">
      <c r="C81" s="6" t="s">
        <v>73</v>
      </c>
      <c r="G81" s="132">
        <v>0.2</v>
      </c>
    </row>
    <row r="86" spans="1:16" x14ac:dyDescent="0.2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5" x14ac:dyDescent="0.2">
      <c r="A87" s="16" t="s">
        <v>74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2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2">
      <c r="A89" s="1"/>
      <c r="B89" s="27" t="s">
        <v>75</v>
      </c>
      <c r="C89" s="27"/>
      <c r="D89" s="27"/>
      <c r="E89" s="27"/>
      <c r="F89" s="27"/>
      <c r="G89" s="27"/>
      <c r="H89" s="46"/>
      <c r="I89" s="46"/>
      <c r="J89" s="46"/>
      <c r="K89" s="62" t="s">
        <v>36</v>
      </c>
      <c r="L89" s="62" t="s">
        <v>76</v>
      </c>
      <c r="M89" s="62" t="s">
        <v>77</v>
      </c>
      <c r="N89" s="62" t="s">
        <v>78</v>
      </c>
      <c r="O89" s="62" t="s">
        <v>79</v>
      </c>
      <c r="P89" s="62" t="s">
        <v>80</v>
      </c>
    </row>
    <row r="90" spans="1:16" ht="13.5" x14ac:dyDescent="0.25">
      <c r="A90" s="1"/>
      <c r="B90" s="1"/>
      <c r="C90" s="1" t="s">
        <v>81</v>
      </c>
      <c r="D90" s="1"/>
      <c r="F90" s="1"/>
      <c r="G90" s="60"/>
      <c r="H90" s="61">
        <f>G35</f>
        <v>45107</v>
      </c>
      <c r="I90" s="63" t="s">
        <v>82</v>
      </c>
      <c r="J90" s="63"/>
      <c r="K90" s="254">
        <v>2.4730486797759084E-2</v>
      </c>
      <c r="L90" s="254">
        <v>2.2340740091772258E-2</v>
      </c>
      <c r="M90" s="254">
        <v>2.0196329122153123E-2</v>
      </c>
      <c r="N90" s="254">
        <v>1.806294207659629E-2</v>
      </c>
      <c r="O90" s="254">
        <v>1.5913397615084226E-2</v>
      </c>
      <c r="P90" s="254">
        <v>1.3715069432539001E-2</v>
      </c>
    </row>
    <row r="91" spans="1:16" x14ac:dyDescent="0.2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2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2">
      <c r="A93" s="1"/>
      <c r="B93" s="27" t="s">
        <v>83</v>
      </c>
      <c r="C93" s="27"/>
      <c r="D93" s="27"/>
      <c r="E93" s="27"/>
      <c r="F93" s="27"/>
      <c r="G93" s="62" t="s">
        <v>64</v>
      </c>
      <c r="H93" s="27"/>
      <c r="I93" s="27"/>
      <c r="J93" s="3"/>
      <c r="K93" s="1"/>
      <c r="L93" s="1"/>
    </row>
    <row r="94" spans="1:16" x14ac:dyDescent="0.2">
      <c r="A94" s="1"/>
      <c r="B94" s="1"/>
      <c r="C94" s="1" t="e">
        <f>Data!#REF!</f>
        <v>#REF!</v>
      </c>
      <c r="D94" s="1"/>
      <c r="E94"/>
      <c r="F94" s="1"/>
      <c r="G94" s="253">
        <v>0</v>
      </c>
      <c r="H94" s="61">
        <f t="shared" ref="H94:H101" si="0">custval_date</f>
        <v>45291</v>
      </c>
      <c r="I94" s="63" t="s">
        <v>84</v>
      </c>
      <c r="J94" s="63"/>
      <c r="K94" s="1"/>
      <c r="P94" s="1"/>
    </row>
    <row r="95" spans="1:16" x14ac:dyDescent="0.2">
      <c r="A95" s="1"/>
      <c r="B95" s="1"/>
      <c r="C95" s="1" t="e">
        <f>Data!#REF!</f>
        <v>#REF!</v>
      </c>
      <c r="D95" s="1"/>
      <c r="E95"/>
      <c r="F95" s="1"/>
      <c r="G95" s="253">
        <v>0</v>
      </c>
      <c r="H95" s="61">
        <f t="shared" si="0"/>
        <v>45291</v>
      </c>
      <c r="I95" s="63" t="s">
        <v>84</v>
      </c>
      <c r="J95" s="63"/>
      <c r="P95" s="1"/>
    </row>
    <row r="96" spans="1:16" x14ac:dyDescent="0.2">
      <c r="A96" s="1"/>
      <c r="B96" s="1"/>
      <c r="C96" s="1" t="e">
        <f>Data!#REF!</f>
        <v>#REF!</v>
      </c>
      <c r="D96" s="1"/>
      <c r="E96"/>
      <c r="G96" s="253">
        <v>0</v>
      </c>
      <c r="H96" s="61">
        <f t="shared" si="0"/>
        <v>45291</v>
      </c>
      <c r="I96" s="63" t="s">
        <v>84</v>
      </c>
      <c r="J96" s="63"/>
      <c r="P96" s="1"/>
    </row>
    <row r="97" spans="1:16" x14ac:dyDescent="0.2">
      <c r="A97" s="1"/>
      <c r="B97" s="1"/>
      <c r="C97" s="1" t="e">
        <f>Data!#REF!</f>
        <v>#REF!</v>
      </c>
      <c r="D97" s="1"/>
      <c r="E97"/>
      <c r="G97" s="254">
        <v>0</v>
      </c>
      <c r="H97" s="61">
        <f t="shared" si="0"/>
        <v>45291</v>
      </c>
      <c r="I97" s="63" t="s">
        <v>85</v>
      </c>
      <c r="J97" s="63"/>
      <c r="P97" s="1"/>
    </row>
    <row r="98" spans="1:16" x14ac:dyDescent="0.2">
      <c r="A98" s="1"/>
      <c r="B98" s="1"/>
      <c r="C98" s="1" t="e">
        <f>Data!#REF!</f>
        <v>#REF!</v>
      </c>
      <c r="D98" s="1"/>
      <c r="E98"/>
      <c r="G98" s="254">
        <v>0</v>
      </c>
      <c r="H98" s="61">
        <f t="shared" si="0"/>
        <v>45291</v>
      </c>
      <c r="I98" s="63" t="s">
        <v>86</v>
      </c>
      <c r="J98" s="63"/>
      <c r="P98" s="1"/>
    </row>
    <row r="99" spans="1:16" x14ac:dyDescent="0.2">
      <c r="A99" s="1"/>
      <c r="B99" s="1"/>
      <c r="C99" s="1" t="e">
        <f>Data!#REF!</f>
        <v>#REF!</v>
      </c>
      <c r="D99" s="1"/>
      <c r="E99"/>
      <c r="G99" s="254">
        <v>0</v>
      </c>
      <c r="H99" s="61">
        <f t="shared" si="0"/>
        <v>45291</v>
      </c>
      <c r="I99" s="63" t="s">
        <v>86</v>
      </c>
      <c r="J99" s="63"/>
      <c r="P99" s="1"/>
    </row>
    <row r="100" spans="1:16" x14ac:dyDescent="0.2">
      <c r="A100" s="1"/>
      <c r="B100" s="1"/>
      <c r="C100" s="1" t="e">
        <f>Data!#REF!</f>
        <v>#REF!</v>
      </c>
      <c r="D100" s="1"/>
      <c r="E100"/>
      <c r="G100" s="254">
        <v>0</v>
      </c>
      <c r="H100" s="61">
        <f t="shared" si="0"/>
        <v>45291</v>
      </c>
      <c r="I100" s="63" t="s">
        <v>85</v>
      </c>
      <c r="J100" s="63"/>
      <c r="P100" s="1"/>
    </row>
    <row r="101" spans="1:16" x14ac:dyDescent="0.2">
      <c r="A101" s="1"/>
      <c r="B101" s="1"/>
      <c r="C101" s="1" t="e">
        <f>Data!#REF!</f>
        <v>#REF!</v>
      </c>
      <c r="D101" s="1"/>
      <c r="E101"/>
      <c r="G101" s="254">
        <v>0</v>
      </c>
      <c r="H101" s="61">
        <f t="shared" si="0"/>
        <v>45291</v>
      </c>
      <c r="I101" s="63" t="s">
        <v>85</v>
      </c>
      <c r="J101" s="63"/>
      <c r="P101" s="1"/>
    </row>
    <row r="102" spans="1:16" x14ac:dyDescent="0.2">
      <c r="A102" s="1"/>
      <c r="B102" s="1"/>
      <c r="C102" s="1"/>
      <c r="D102" s="1"/>
      <c r="E102"/>
      <c r="L102" s="1"/>
      <c r="N102" s="1"/>
      <c r="O102" s="1"/>
      <c r="P102" s="1"/>
    </row>
    <row r="103" spans="1:16" x14ac:dyDescent="0.2">
      <c r="A103" s="1"/>
      <c r="B103" s="1"/>
      <c r="C103" s="1"/>
      <c r="D103" s="1"/>
      <c r="E103"/>
      <c r="F103" s="1"/>
      <c r="L103" s="1"/>
      <c r="N103" s="1"/>
      <c r="O103" s="1"/>
    </row>
    <row r="106" spans="1:16" ht="15" x14ac:dyDescent="0.2">
      <c r="A106" s="16" t="s">
        <v>87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2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2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2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x14ac:dyDescent="0.2">
      <c r="A110" s="1"/>
      <c r="B110" s="143"/>
      <c r="C110" s="143"/>
      <c r="D110" s="52"/>
      <c r="E110" s="246"/>
      <c r="F110" s="143"/>
      <c r="G110" s="143" t="s">
        <v>88</v>
      </c>
      <c r="H110" s="143" t="s">
        <v>89</v>
      </c>
      <c r="I110"/>
      <c r="J110"/>
      <c r="K110"/>
      <c r="L110"/>
      <c r="M110"/>
      <c r="N110"/>
      <c r="O110"/>
      <c r="P110"/>
    </row>
    <row r="111" spans="1:16" x14ac:dyDescent="0.2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25"/>
      <c r="G111" s="255">
        <v>0.1</v>
      </c>
      <c r="H111" s="255">
        <v>0</v>
      </c>
      <c r="I111" s="220"/>
      <c r="J111"/>
      <c r="K111"/>
      <c r="L111"/>
      <c r="M111"/>
      <c r="N111"/>
      <c r="O111"/>
      <c r="P111"/>
    </row>
    <row r="112" spans="1:16" x14ac:dyDescent="0.2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25"/>
      <c r="G112" s="255">
        <v>-0.1</v>
      </c>
      <c r="H112" s="255">
        <v>0</v>
      </c>
      <c r="I112" s="220"/>
      <c r="J112"/>
      <c r="K112"/>
      <c r="L112"/>
      <c r="M112"/>
      <c r="N112"/>
      <c r="O112"/>
      <c r="P112"/>
    </row>
    <row r="113" spans="2:16" x14ac:dyDescent="0.2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25"/>
      <c r="G113" s="256">
        <v>0</v>
      </c>
      <c r="H113" s="255">
        <v>0.1</v>
      </c>
      <c r="I113" s="220"/>
      <c r="J113"/>
      <c r="K113"/>
      <c r="L113"/>
      <c r="M113"/>
      <c r="N113"/>
      <c r="O113"/>
      <c r="P113"/>
    </row>
    <row r="114" spans="2:16" x14ac:dyDescent="0.2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25"/>
      <c r="G114" s="256">
        <v>0</v>
      </c>
      <c r="H114" s="255">
        <v>-0.1</v>
      </c>
      <c r="I114" s="220"/>
      <c r="J114"/>
      <c r="K114"/>
      <c r="L114"/>
      <c r="M114"/>
      <c r="N114"/>
      <c r="O114"/>
      <c r="P114"/>
    </row>
    <row r="115" spans="2:16" x14ac:dyDescent="0.2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25"/>
      <c r="G115" s="255">
        <v>0.1</v>
      </c>
      <c r="H115" s="255">
        <v>-0.1</v>
      </c>
      <c r="I115" s="220"/>
      <c r="J115"/>
      <c r="K115"/>
      <c r="L115"/>
      <c r="M115"/>
      <c r="N115"/>
      <c r="O115"/>
      <c r="P115"/>
    </row>
    <row r="116" spans="2:16" x14ac:dyDescent="0.2">
      <c r="E116" s="225"/>
      <c r="H116"/>
      <c r="I116"/>
      <c r="J116"/>
      <c r="K116"/>
      <c r="L116"/>
      <c r="M116"/>
      <c r="N116"/>
      <c r="O116"/>
      <c r="P116"/>
    </row>
    <row r="117" spans="2:16" x14ac:dyDescent="0.2">
      <c r="E117" s="219"/>
      <c r="H117"/>
      <c r="I117"/>
      <c r="J117"/>
      <c r="K117"/>
      <c r="L117"/>
      <c r="M117"/>
      <c r="N117"/>
      <c r="O117"/>
      <c r="P117"/>
    </row>
    <row r="118" spans="2:16" x14ac:dyDescent="0.2">
      <c r="H118"/>
      <c r="I118"/>
      <c r="J118"/>
      <c r="K118"/>
      <c r="L118"/>
      <c r="M118"/>
      <c r="N118"/>
      <c r="O118"/>
      <c r="P118"/>
    </row>
    <row r="119" spans="2:16" x14ac:dyDescent="0.2">
      <c r="H119"/>
      <c r="I119"/>
      <c r="J119"/>
      <c r="K119"/>
      <c r="L119"/>
      <c r="M119"/>
      <c r="N119"/>
      <c r="O119"/>
      <c r="P119"/>
    </row>
    <row r="120" spans="2:16" x14ac:dyDescent="0.2">
      <c r="H120"/>
      <c r="I120"/>
      <c r="J120"/>
      <c r="K120"/>
      <c r="L120"/>
      <c r="M120"/>
      <c r="N120"/>
      <c r="O120"/>
      <c r="P120"/>
    </row>
    <row r="121" spans="2:16" x14ac:dyDescent="0.2">
      <c r="H121"/>
      <c r="I121"/>
      <c r="J121"/>
      <c r="K121"/>
      <c r="L121"/>
      <c r="M121"/>
      <c r="N121"/>
      <c r="O121"/>
      <c r="P121"/>
    </row>
    <row r="122" spans="2:16" x14ac:dyDescent="0.2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5" type="noConversion"/>
  <conditionalFormatting sqref="G41">
    <cfRule type="expression" dxfId="18" priority="1">
      <formula>E41=#REF!</formula>
    </cfRule>
  </conditionalFormatting>
  <dataValidations count="1">
    <dataValidation type="list" allowBlank="1" showInputMessage="1" showErrorMessage="1" sqref="E41" xr:uid="{A12A2732-2E7B-4520-9CDE-5C76E7853985}">
      <formula1>list</formula1>
    </dataValidation>
  </dataValidations>
  <pageMargins left="0.25" right="0.25" top="0.75" bottom="0.75" header="0.3" footer="0.3"/>
  <pageSetup paperSize="9" scale="5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Data!$J$97:$J$98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Data!$R$97:$R$99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Data!$P$97:$P$103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Data!$T$97:$T$100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21"/>
  <sheetViews>
    <sheetView showGridLines="0" zoomScale="90" zoomScaleNormal="90" workbookViewId="0">
      <pane xSplit="7" ySplit="10" topLeftCell="H11" activePane="bottomRight" state="frozen"/>
      <selection activeCell="C3" sqref="C3"/>
      <selection pane="topRight" activeCell="C3" sqref="C3"/>
      <selection pane="bottomLeft" activeCell="C3" sqref="C3"/>
      <selection pane="bottomRight" activeCell="H11" sqref="H11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6.8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49" t="str">
        <f>proj</f>
        <v>CBD security of supply</v>
      </c>
      <c r="B2" s="4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2" t="s">
        <v>90</v>
      </c>
      <c r="B3" s="5"/>
      <c r="C3" s="296"/>
      <c r="D3" s="80"/>
    </row>
    <row r="4" spans="1:43" x14ac:dyDescent="0.2">
      <c r="A4" s="139"/>
      <c r="B4" s="158"/>
      <c r="C4" s="206"/>
    </row>
    <row r="5" spans="1:43" hidden="1" outlineLevel="1" x14ac:dyDescent="0.2">
      <c r="C5" s="84"/>
      <c r="D5" s="83"/>
      <c r="E5" s="85"/>
      <c r="F5" s="85"/>
      <c r="G5" s="85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</row>
    <row r="6" spans="1:43" hidden="1" outlineLevel="1" x14ac:dyDescent="0.2">
      <c r="A6" s="83" t="s">
        <v>91</v>
      </c>
      <c r="B6" s="83"/>
      <c r="C6" s="84"/>
      <c r="D6" s="83"/>
      <c r="E6" s="85"/>
      <c r="F6" s="85"/>
      <c r="G6" s="85"/>
      <c r="H6" s="125">
        <v>0</v>
      </c>
      <c r="I6" s="86">
        <f t="shared" ref="I6:AG6" si="0">H6+1</f>
        <v>1</v>
      </c>
      <c r="J6" s="86">
        <f t="shared" si="0"/>
        <v>2</v>
      </c>
      <c r="K6" s="86">
        <f t="shared" si="0"/>
        <v>3</v>
      </c>
      <c r="L6" s="86">
        <f t="shared" si="0"/>
        <v>4</v>
      </c>
      <c r="M6" s="86">
        <f t="shared" si="0"/>
        <v>5</v>
      </c>
      <c r="N6" s="86">
        <f t="shared" si="0"/>
        <v>6</v>
      </c>
      <c r="O6" s="86">
        <f t="shared" si="0"/>
        <v>7</v>
      </c>
      <c r="P6" s="86">
        <f t="shared" si="0"/>
        <v>8</v>
      </c>
      <c r="Q6" s="86">
        <f t="shared" si="0"/>
        <v>9</v>
      </c>
      <c r="R6" s="86">
        <f t="shared" si="0"/>
        <v>10</v>
      </c>
      <c r="S6" s="86">
        <f t="shared" si="0"/>
        <v>11</v>
      </c>
      <c r="T6" s="86">
        <f t="shared" si="0"/>
        <v>12</v>
      </c>
      <c r="U6" s="86">
        <f t="shared" si="0"/>
        <v>13</v>
      </c>
      <c r="V6" s="86">
        <f t="shared" si="0"/>
        <v>14</v>
      </c>
      <c r="W6" s="86">
        <f t="shared" si="0"/>
        <v>15</v>
      </c>
      <c r="X6" s="86">
        <f t="shared" si="0"/>
        <v>16</v>
      </c>
      <c r="Y6" s="86">
        <f t="shared" si="0"/>
        <v>17</v>
      </c>
      <c r="Z6" s="86">
        <f t="shared" si="0"/>
        <v>18</v>
      </c>
      <c r="AA6" s="86">
        <f t="shared" si="0"/>
        <v>19</v>
      </c>
      <c r="AB6" s="86">
        <f t="shared" si="0"/>
        <v>20</v>
      </c>
      <c r="AC6" s="86">
        <f t="shared" si="0"/>
        <v>21</v>
      </c>
      <c r="AD6" s="86">
        <f t="shared" si="0"/>
        <v>22</v>
      </c>
      <c r="AE6" s="86">
        <f t="shared" si="0"/>
        <v>23</v>
      </c>
      <c r="AF6" s="86">
        <f t="shared" si="0"/>
        <v>24</v>
      </c>
      <c r="AG6" s="86">
        <f t="shared" si="0"/>
        <v>25</v>
      </c>
    </row>
    <row r="7" spans="1:43" hidden="1" outlineLevel="1" x14ac:dyDescent="0.2">
      <c r="A7" s="83" t="s">
        <v>92</v>
      </c>
      <c r="B7" s="83"/>
      <c r="G7" s="133" t="s">
        <v>93</v>
      </c>
      <c r="I7" s="84">
        <f>IF(ISBLANK(Assumptions!K90), H7,Assumptions!K90*thous_conv)</f>
        <v>24.730486797759085</v>
      </c>
      <c r="J7" s="84">
        <f>IF(ISBLANK(Assumptions!L90), I7,Assumptions!L90*thous_conv)</f>
        <v>22.340740091772258</v>
      </c>
      <c r="K7" s="84">
        <f>IF(ISBLANK(Assumptions!M90), J7,Assumptions!M90*thous_conv)</f>
        <v>20.196329122153124</v>
      </c>
      <c r="L7" s="84">
        <f>IF(ISBLANK(Assumptions!N90), K7,Assumptions!N90*thous_conv)</f>
        <v>18.06294207659629</v>
      </c>
      <c r="M7" s="84">
        <f>IF(ISBLANK(Assumptions!O90), L7,Assumptions!O90*thous_conv)</f>
        <v>15.913397615084225</v>
      </c>
      <c r="N7" s="84">
        <f>IF(ISBLANK(Assumptions!P90), M7,Assumptions!P90*thous_conv)</f>
        <v>13.715069432539002</v>
      </c>
      <c r="O7" s="84">
        <f>IF(ISBLANK(Assumptions!Q90), N7,Assumptions!Q90*thous_conv)</f>
        <v>13.715069432539002</v>
      </c>
      <c r="P7" s="84">
        <f>IF(ISBLANK(Assumptions!R90), O7,Assumptions!R90*thous_conv)</f>
        <v>13.715069432539002</v>
      </c>
      <c r="Q7" s="84">
        <f>IF(ISBLANK(Assumptions!S90), P7,Assumptions!S90*thous_conv)</f>
        <v>13.715069432539002</v>
      </c>
      <c r="R7" s="84">
        <f>IF(ISBLANK(Assumptions!T90), Q7,Assumptions!T90*thous_conv)</f>
        <v>13.715069432539002</v>
      </c>
      <c r="S7" s="84">
        <f>IF(ISBLANK(Assumptions!U90), R7,Assumptions!U90*thous_conv)</f>
        <v>13.715069432539002</v>
      </c>
      <c r="T7" s="84">
        <f>IF(ISBLANK(Assumptions!V90), S7,Assumptions!V90*thous_conv)</f>
        <v>13.715069432539002</v>
      </c>
      <c r="U7" s="84">
        <f>IF(ISBLANK(Assumptions!W90), T7,Assumptions!W90*thous_conv)</f>
        <v>13.715069432539002</v>
      </c>
      <c r="V7" s="84">
        <f>IF(ISBLANK(Assumptions!X90), U7,Assumptions!X90*thous_conv)</f>
        <v>13.715069432539002</v>
      </c>
      <c r="W7" s="84">
        <f>IF(ISBLANK(Assumptions!Y90), V7,Assumptions!Y90*thous_conv)</f>
        <v>13.715069432539002</v>
      </c>
      <c r="X7" s="84">
        <f>IF(ISBLANK(Assumptions!Z90), W7,Assumptions!Z90*thous_conv)</f>
        <v>13.715069432539002</v>
      </c>
      <c r="Y7" s="84">
        <f>IF(ISBLANK(Assumptions!AA90), X7,Assumptions!AA90*thous_conv)</f>
        <v>13.715069432539002</v>
      </c>
      <c r="Z7" s="84">
        <f>IF(ISBLANK(Assumptions!AB90), Y7,Assumptions!AB90*thous_conv)</f>
        <v>13.715069432539002</v>
      </c>
      <c r="AA7" s="84">
        <f>IF(ISBLANK(Assumptions!AC90), Z7,Assumptions!AC90*thous_conv)</f>
        <v>13.715069432539002</v>
      </c>
      <c r="AB7" s="84">
        <f>IF(ISBLANK(Assumptions!AD90), AA7,Assumptions!AD90*thous_conv)</f>
        <v>13.715069432539002</v>
      </c>
      <c r="AC7" s="84">
        <f>IF(ISBLANK(Assumptions!AE90), AB7,Assumptions!AE90*thous_conv)</f>
        <v>13.715069432539002</v>
      </c>
      <c r="AD7" s="84">
        <f>IF(ISBLANK(Assumptions!AF90), AC7,Assumptions!AF90*thous_conv)</f>
        <v>13.715069432539002</v>
      </c>
      <c r="AE7" s="84">
        <f>IF(ISBLANK(Assumptions!AG90), AD7,Assumptions!AG90*thous_conv)</f>
        <v>13.715069432539002</v>
      </c>
      <c r="AF7" s="84">
        <f>IF(ISBLANK(Assumptions!AH90), AE7,Assumptions!AH90*thous_conv)</f>
        <v>13.715069432539002</v>
      </c>
      <c r="AG7" s="84">
        <f>IF(ISBLANK(Assumptions!AI90), AF7,Assumptions!AI90*thous_conv)</f>
        <v>13.715069432539002</v>
      </c>
    </row>
    <row r="8" spans="1:43" ht="6.75" customHeight="1" collapsed="1" x14ac:dyDescent="0.2">
      <c r="C8" s="84"/>
      <c r="D8" s="83"/>
      <c r="E8" s="85"/>
      <c r="F8" s="85"/>
      <c r="G8" s="83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</row>
    <row r="9" spans="1:43" ht="15" x14ac:dyDescent="0.2">
      <c r="A9" s="152"/>
      <c r="B9" s="152"/>
      <c r="C9" s="152"/>
      <c r="D9" s="152"/>
      <c r="E9" s="152"/>
      <c r="F9" s="153"/>
      <c r="G9" s="152" t="s">
        <v>94</v>
      </c>
      <c r="H9" s="266">
        <f>DATE(LEFT(I9,4), 6,30)</f>
        <v>46203</v>
      </c>
      <c r="I9" s="154" t="str">
        <f>start</f>
        <v>2026-27</v>
      </c>
      <c r="J9" s="154" t="str">
        <f t="shared" ref="J9:AG9" si="1">LEFT(I9,4)+1&amp;"-"&amp;RIGHT(I9,2)+1</f>
        <v>2027-28</v>
      </c>
      <c r="K9" s="154" t="str">
        <f t="shared" si="1"/>
        <v>2028-29</v>
      </c>
      <c r="L9" s="154" t="str">
        <f t="shared" si="1"/>
        <v>2029-30</v>
      </c>
      <c r="M9" s="154" t="str">
        <f t="shared" si="1"/>
        <v>2030-31</v>
      </c>
      <c r="N9" s="154" t="str">
        <f t="shared" si="1"/>
        <v>2031-32</v>
      </c>
      <c r="O9" s="154" t="str">
        <f t="shared" si="1"/>
        <v>2032-33</v>
      </c>
      <c r="P9" s="154" t="str">
        <f t="shared" si="1"/>
        <v>2033-34</v>
      </c>
      <c r="Q9" s="154" t="str">
        <f t="shared" si="1"/>
        <v>2034-35</v>
      </c>
      <c r="R9" s="154" t="str">
        <f t="shared" si="1"/>
        <v>2035-36</v>
      </c>
      <c r="S9" s="154" t="str">
        <f t="shared" si="1"/>
        <v>2036-37</v>
      </c>
      <c r="T9" s="154" t="str">
        <f t="shared" si="1"/>
        <v>2037-38</v>
      </c>
      <c r="U9" s="154" t="str">
        <f t="shared" si="1"/>
        <v>2038-39</v>
      </c>
      <c r="V9" s="154" t="str">
        <f t="shared" si="1"/>
        <v>2039-40</v>
      </c>
      <c r="W9" s="154" t="str">
        <f t="shared" si="1"/>
        <v>2040-41</v>
      </c>
      <c r="X9" s="154" t="str">
        <f t="shared" si="1"/>
        <v>2041-42</v>
      </c>
      <c r="Y9" s="154" t="str">
        <f t="shared" si="1"/>
        <v>2042-43</v>
      </c>
      <c r="Z9" s="154" t="str">
        <f t="shared" si="1"/>
        <v>2043-44</v>
      </c>
      <c r="AA9" s="154" t="str">
        <f t="shared" si="1"/>
        <v>2044-45</v>
      </c>
      <c r="AB9" s="154" t="str">
        <f t="shared" si="1"/>
        <v>2045-46</v>
      </c>
      <c r="AC9" s="154" t="str">
        <f t="shared" si="1"/>
        <v>2046-47</v>
      </c>
      <c r="AD9" s="154" t="str">
        <f t="shared" si="1"/>
        <v>2047-48</v>
      </c>
      <c r="AE9" s="154" t="str">
        <f t="shared" si="1"/>
        <v>2048-49</v>
      </c>
      <c r="AF9" s="154" t="str">
        <f t="shared" si="1"/>
        <v>2049-50</v>
      </c>
      <c r="AG9" s="154" t="str">
        <f t="shared" si="1"/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6" t="s">
        <v>95</v>
      </c>
      <c r="B11" s="76"/>
      <c r="C11" s="77"/>
      <c r="D11" s="77"/>
      <c r="E11" s="77"/>
      <c r="F11" s="77"/>
      <c r="G11" s="17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</row>
    <row r="12" spans="1:43" x14ac:dyDescent="0.2">
      <c r="A12" s="3"/>
      <c r="B12" s="3"/>
      <c r="C12" s="3"/>
      <c r="D12" s="3"/>
      <c r="G12" s="174"/>
    </row>
    <row r="13" spans="1:43" x14ac:dyDescent="0.2">
      <c r="C13" s="3" t="s">
        <v>88</v>
      </c>
      <c r="D13"/>
      <c r="E13" s="102" t="s">
        <v>96</v>
      </c>
      <c r="G13" s="175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0" t="s">
        <v>97</v>
      </c>
      <c r="D14"/>
      <c r="E14" s="122">
        <v>0</v>
      </c>
      <c r="G14" s="176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0" t="s">
        <v>97</v>
      </c>
      <c r="D15"/>
      <c r="E15" s="122">
        <v>0</v>
      </c>
      <c r="G15" s="176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0" t="s">
        <v>97</v>
      </c>
      <c r="D16"/>
      <c r="E16" s="122">
        <v>0</v>
      </c>
      <c r="G16" s="176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15</v>
      </c>
      <c r="G17" s="176">
        <f>input_dollars</f>
        <v>45291</v>
      </c>
      <c r="H17" s="91"/>
      <c r="I17" s="90">
        <f t="shared" ref="I17:AB17" si="2">SUM(I14:I16)</f>
        <v>0</v>
      </c>
      <c r="J17" s="90">
        <f t="shared" si="2"/>
        <v>0</v>
      </c>
      <c r="K17" s="90">
        <f t="shared" si="2"/>
        <v>0</v>
      </c>
      <c r="L17" s="90">
        <f t="shared" si="2"/>
        <v>0</v>
      </c>
      <c r="M17" s="90">
        <f t="shared" si="2"/>
        <v>0</v>
      </c>
      <c r="N17" s="90">
        <f t="shared" si="2"/>
        <v>0</v>
      </c>
      <c r="O17" s="90">
        <f t="shared" si="2"/>
        <v>0</v>
      </c>
      <c r="P17" s="90">
        <f t="shared" si="2"/>
        <v>0</v>
      </c>
      <c r="Q17" s="90">
        <f t="shared" si="2"/>
        <v>0</v>
      </c>
      <c r="R17" s="90">
        <f t="shared" si="2"/>
        <v>0</v>
      </c>
      <c r="S17" s="90">
        <f t="shared" si="2"/>
        <v>0</v>
      </c>
      <c r="T17" s="90">
        <f t="shared" si="2"/>
        <v>0</v>
      </c>
      <c r="U17" s="90">
        <f t="shared" si="2"/>
        <v>0</v>
      </c>
      <c r="V17" s="90">
        <f t="shared" si="2"/>
        <v>0</v>
      </c>
      <c r="W17" s="90">
        <f t="shared" si="2"/>
        <v>0</v>
      </c>
      <c r="X17" s="90">
        <f t="shared" si="2"/>
        <v>0</v>
      </c>
      <c r="Y17" s="90">
        <f t="shared" si="2"/>
        <v>0</v>
      </c>
      <c r="Z17" s="90">
        <f t="shared" si="2"/>
        <v>0</v>
      </c>
      <c r="AA17" s="90">
        <f t="shared" si="2"/>
        <v>0</v>
      </c>
      <c r="AB17" s="90">
        <f t="shared" si="2"/>
        <v>0</v>
      </c>
      <c r="AC17" s="90">
        <f>SUM(AC14:AC16)</f>
        <v>0</v>
      </c>
      <c r="AD17" s="90">
        <f>SUM(AD14:AD16)</f>
        <v>0</v>
      </c>
      <c r="AE17" s="90">
        <f>SUM(AE14:AE16)</f>
        <v>0</v>
      </c>
      <c r="AF17" s="90">
        <f>SUM(AF14:AF16)</f>
        <v>0</v>
      </c>
      <c r="AG17" s="90">
        <f>SUM(AG14:AG16)</f>
        <v>0</v>
      </c>
    </row>
    <row r="18" spans="1:43" x14ac:dyDescent="0.2">
      <c r="C18"/>
      <c r="D18"/>
      <c r="E18"/>
      <c r="G18" s="175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16</v>
      </c>
      <c r="D19"/>
      <c r="E19"/>
      <c r="F19" s="91"/>
      <c r="G19" s="176">
        <f>input_dollars</f>
        <v>45291</v>
      </c>
      <c r="H19" s="91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74"/>
    </row>
    <row r="21" spans="1:43" x14ac:dyDescent="0.2">
      <c r="C21"/>
      <c r="D21"/>
      <c r="E21"/>
      <c r="G21" s="175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6" t="s">
        <v>98</v>
      </c>
      <c r="B22" s="76"/>
      <c r="C22" s="76"/>
      <c r="D22" s="76"/>
      <c r="E22" s="76"/>
      <c r="F22" s="76"/>
      <c r="G22" s="173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5"/>
      <c r="B23" s="95"/>
      <c r="C23" s="95"/>
      <c r="D23" s="95"/>
      <c r="E23" s="95"/>
      <c r="F23" s="95"/>
      <c r="G23" s="177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5"/>
      <c r="B24" s="95"/>
      <c r="C24" s="1" t="s">
        <v>99</v>
      </c>
      <c r="D24" s="95"/>
      <c r="E24" s="95"/>
      <c r="F24" s="95"/>
      <c r="G24" s="177"/>
      <c r="H24" s="95"/>
      <c r="I24" s="111">
        <v>0</v>
      </c>
      <c r="J24" s="111">
        <v>0</v>
      </c>
      <c r="K24" s="111">
        <v>0</v>
      </c>
      <c r="L24" s="111">
        <v>0</v>
      </c>
      <c r="M24" s="111">
        <v>0</v>
      </c>
      <c r="N24" s="111">
        <v>0</v>
      </c>
      <c r="O24" s="111">
        <v>0</v>
      </c>
      <c r="P24" s="111">
        <v>0</v>
      </c>
      <c r="Q24" s="111">
        <v>0</v>
      </c>
      <c r="R24" s="111">
        <v>0</v>
      </c>
      <c r="S24" s="111">
        <v>0</v>
      </c>
      <c r="T24" s="111">
        <v>0</v>
      </c>
      <c r="U24" s="111">
        <v>0</v>
      </c>
      <c r="V24" s="111">
        <v>0</v>
      </c>
      <c r="W24" s="111">
        <v>0</v>
      </c>
      <c r="X24" s="111">
        <v>0</v>
      </c>
      <c r="Y24" s="111">
        <v>0</v>
      </c>
      <c r="Z24" s="111">
        <v>0</v>
      </c>
      <c r="AA24" s="111">
        <v>0</v>
      </c>
      <c r="AB24" s="111">
        <v>0</v>
      </c>
      <c r="AC24" s="111">
        <v>0</v>
      </c>
      <c r="AD24" s="111">
        <v>0</v>
      </c>
      <c r="AE24" s="111">
        <v>0</v>
      </c>
      <c r="AF24" s="111">
        <v>0</v>
      </c>
      <c r="AG24" s="111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5"/>
      <c r="B25" s="95"/>
      <c r="C25" s="1" t="s">
        <v>100</v>
      </c>
      <c r="D25" s="177"/>
      <c r="E25" s="95"/>
      <c r="F25" s="95"/>
      <c r="G25" s="177"/>
      <c r="H25" s="95"/>
      <c r="I25" s="111">
        <v>0</v>
      </c>
      <c r="J25" s="111">
        <v>0</v>
      </c>
      <c r="K25" s="111">
        <v>0</v>
      </c>
      <c r="L25" s="111">
        <v>0</v>
      </c>
      <c r="M25" s="111">
        <v>0</v>
      </c>
      <c r="N25" s="111">
        <v>0</v>
      </c>
      <c r="O25" s="111">
        <v>0</v>
      </c>
      <c r="P25" s="111">
        <v>0</v>
      </c>
      <c r="Q25" s="111">
        <v>0</v>
      </c>
      <c r="R25" s="111">
        <v>0</v>
      </c>
      <c r="S25" s="111">
        <v>0</v>
      </c>
      <c r="T25" s="111">
        <v>0</v>
      </c>
      <c r="U25" s="111">
        <v>0</v>
      </c>
      <c r="V25" s="111">
        <v>0</v>
      </c>
      <c r="W25" s="111">
        <v>0</v>
      </c>
      <c r="X25" s="111">
        <v>0</v>
      </c>
      <c r="Y25" s="111">
        <v>0</v>
      </c>
      <c r="Z25" s="111">
        <v>0</v>
      </c>
      <c r="AA25" s="111">
        <v>0</v>
      </c>
      <c r="AB25" s="111">
        <v>0</v>
      </c>
      <c r="AC25" s="111">
        <v>0</v>
      </c>
      <c r="AD25" s="111">
        <v>0</v>
      </c>
      <c r="AE25" s="111">
        <v>0</v>
      </c>
      <c r="AF25" s="111">
        <v>0</v>
      </c>
      <c r="AG25" s="111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5"/>
      <c r="B26" s="95"/>
      <c r="C26" s="95"/>
      <c r="D26" s="177"/>
      <c r="E26" s="95"/>
      <c r="F26" s="95"/>
      <c r="G26" s="177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/>
      <c r="AI26"/>
      <c r="AJ26"/>
      <c r="AK26"/>
      <c r="AL26"/>
      <c r="AM26"/>
      <c r="AN26"/>
      <c r="AO26"/>
      <c r="AP26"/>
      <c r="AQ26"/>
    </row>
    <row r="27" spans="1:43" ht="12.75" customHeight="1" x14ac:dyDescent="0.2">
      <c r="A27" s="95"/>
      <c r="B27" s="95"/>
      <c r="C27" s="95"/>
      <c r="D27" s="177"/>
      <c r="E27" s="95"/>
      <c r="F27" s="95"/>
      <c r="G27" s="177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/>
      <c r="AI27"/>
      <c r="AJ27"/>
      <c r="AK27"/>
      <c r="AL27"/>
      <c r="AM27"/>
      <c r="AN27"/>
      <c r="AO27"/>
      <c r="AP27"/>
      <c r="AQ27"/>
    </row>
    <row r="28" spans="1:43" ht="12.75" customHeight="1" x14ac:dyDescent="0.2">
      <c r="A28" s="95"/>
      <c r="B28" s="95"/>
      <c r="C28" s="1" t="s">
        <v>101</v>
      </c>
      <c r="D28" s="174"/>
      <c r="E28" s="275">
        <v>0.3</v>
      </c>
      <c r="G28" s="176" t="s">
        <v>102</v>
      </c>
      <c r="H28" s="95"/>
      <c r="I28" s="140">
        <v>0.1190198522061041</v>
      </c>
      <c r="J28" s="140">
        <v>1.1632422151797219</v>
      </c>
      <c r="K28" s="140">
        <v>2.4742390238537668</v>
      </c>
      <c r="L28" s="140">
        <v>4.3101283976687697</v>
      </c>
      <c r="M28" s="140">
        <v>6.6084856488677417</v>
      </c>
      <c r="N28" s="140">
        <v>9.8496446140357321</v>
      </c>
      <c r="O28" s="140">
        <v>15.299174714352167</v>
      </c>
      <c r="P28" s="140">
        <v>23.523100860580939</v>
      </c>
      <c r="Q28" s="140">
        <v>32.444222101213768</v>
      </c>
      <c r="R28" s="140">
        <v>40.81919460565895</v>
      </c>
      <c r="S28" s="140">
        <v>36.483593599053634</v>
      </c>
      <c r="T28" s="140">
        <v>36.483593599053634</v>
      </c>
      <c r="U28" s="140">
        <v>36.483593599053634</v>
      </c>
      <c r="V28" s="140">
        <v>36.483593599053634</v>
      </c>
      <c r="W28" s="140">
        <v>36.483593599053634</v>
      </c>
      <c r="X28" s="140">
        <v>36.483593599053634</v>
      </c>
      <c r="Y28" s="140">
        <v>36.483593599053634</v>
      </c>
      <c r="Z28" s="140">
        <v>36.483593599053634</v>
      </c>
      <c r="AA28" s="140">
        <v>36.483593599053634</v>
      </c>
      <c r="AB28" s="140">
        <v>36.483593599053634</v>
      </c>
      <c r="AC28" s="140">
        <v>36.483593599053634</v>
      </c>
      <c r="AD28" s="140">
        <v>36.483593599053634</v>
      </c>
      <c r="AE28" s="140">
        <v>36.483593599053634</v>
      </c>
      <c r="AF28" s="140">
        <v>36.483593599053634</v>
      </c>
      <c r="AG28" s="140">
        <v>36.483593599053634</v>
      </c>
      <c r="AH28"/>
      <c r="AI28"/>
      <c r="AJ28"/>
      <c r="AK28"/>
      <c r="AL28"/>
      <c r="AM28"/>
      <c r="AN28"/>
      <c r="AO28"/>
      <c r="AP28"/>
      <c r="AQ28"/>
    </row>
    <row r="29" spans="1:43" ht="12.75" customHeight="1" x14ac:dyDescent="0.2">
      <c r="A29" s="95"/>
      <c r="B29" s="95"/>
      <c r="C29" s="1" t="s">
        <v>103</v>
      </c>
      <c r="D29" s="174"/>
      <c r="E29" s="275">
        <v>0.7</v>
      </c>
      <c r="G29" s="176" t="s">
        <v>102</v>
      </c>
      <c r="H29" s="95"/>
      <c r="I29" s="140">
        <v>0</v>
      </c>
      <c r="J29" s="140">
        <v>6.5696234462542052E-2</v>
      </c>
      <c r="K29" s="140">
        <v>0.28731035208258204</v>
      </c>
      <c r="L29" s="140">
        <v>0.73935830204745756</v>
      </c>
      <c r="M29" s="140">
        <v>1.3598547020632505</v>
      </c>
      <c r="N29" s="140">
        <v>2.3265427577431006</v>
      </c>
      <c r="O29" s="140">
        <v>4.0736526941033162</v>
      </c>
      <c r="P29" s="140">
        <v>6.8816930963350416</v>
      </c>
      <c r="Q29" s="140">
        <v>10.048053819624476</v>
      </c>
      <c r="R29" s="140">
        <v>13.214497297441026</v>
      </c>
      <c r="S29" s="140">
        <v>11.549955026549998</v>
      </c>
      <c r="T29" s="140">
        <v>11.549955026549998</v>
      </c>
      <c r="U29" s="140">
        <v>11.549955026549998</v>
      </c>
      <c r="V29" s="140">
        <v>11.549955026549998</v>
      </c>
      <c r="W29" s="140">
        <v>11.549955026549998</v>
      </c>
      <c r="X29" s="140">
        <v>11.549955026549998</v>
      </c>
      <c r="Y29" s="140">
        <v>11.549955026549998</v>
      </c>
      <c r="Z29" s="140">
        <v>11.549955026549998</v>
      </c>
      <c r="AA29" s="140">
        <v>11.549955026549998</v>
      </c>
      <c r="AB29" s="140">
        <v>11.549955026549998</v>
      </c>
      <c r="AC29" s="140">
        <v>11.549955026549998</v>
      </c>
      <c r="AD29" s="140">
        <v>11.549955026549998</v>
      </c>
      <c r="AE29" s="140">
        <v>11.549955026549998</v>
      </c>
      <c r="AF29" s="140">
        <v>11.549955026549998</v>
      </c>
      <c r="AG29" s="140">
        <v>11.549955026549998</v>
      </c>
      <c r="AH29"/>
      <c r="AI29"/>
      <c r="AJ29"/>
      <c r="AK29"/>
      <c r="AL29"/>
      <c r="AM29"/>
      <c r="AN29"/>
      <c r="AO29"/>
      <c r="AP29"/>
      <c r="AQ29"/>
    </row>
    <row r="30" spans="1:43" s="277" customFormat="1" ht="12.75" customHeight="1" x14ac:dyDescent="0.2">
      <c r="A30" s="276"/>
      <c r="B30" s="276"/>
      <c r="D30" s="278"/>
      <c r="E30" s="279"/>
      <c r="G30" s="280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81"/>
      <c r="AK30" s="281"/>
      <c r="AL30" s="281"/>
      <c r="AM30" s="281"/>
      <c r="AN30" s="281"/>
      <c r="AO30" s="281"/>
      <c r="AP30" s="281"/>
      <c r="AQ30" s="281"/>
    </row>
    <row r="31" spans="1:43" x14ac:dyDescent="0.2">
      <c r="C31" s="1" t="s">
        <v>104</v>
      </c>
      <c r="D31" s="174"/>
      <c r="E31"/>
      <c r="G31" s="176" t="s">
        <v>102</v>
      </c>
      <c r="H31"/>
      <c r="I31" s="140">
        <f>SUMPRODUCT(I$28:I$29, $E$28:$E$29)</f>
        <v>3.5705955661831226E-2</v>
      </c>
      <c r="J31" s="140">
        <f t="shared" ref="J31:AG31" si="3">SUMPRODUCT(J$28:J$29, $E$28:$E$29)</f>
        <v>0.39496002867769597</v>
      </c>
      <c r="K31" s="140">
        <f t="shared" si="3"/>
        <v>0.94338895361393749</v>
      </c>
      <c r="L31" s="140">
        <f t="shared" si="3"/>
        <v>1.8105893307338512</v>
      </c>
      <c r="M31" s="140">
        <f t="shared" si="3"/>
        <v>2.9344439861045979</v>
      </c>
      <c r="N31" s="140">
        <f t="shared" si="3"/>
        <v>4.5834733146308899</v>
      </c>
      <c r="O31" s="140">
        <f t="shared" si="3"/>
        <v>7.4413093001779718</v>
      </c>
      <c r="P31" s="140">
        <f t="shared" si="3"/>
        <v>11.87411542560881</v>
      </c>
      <c r="Q31" s="140">
        <f t="shared" si="3"/>
        <v>16.76690430410126</v>
      </c>
      <c r="R31" s="140">
        <f t="shared" si="3"/>
        <v>21.495906489906403</v>
      </c>
      <c r="S31" s="140">
        <f t="shared" si="3"/>
        <v>19.030046598301091</v>
      </c>
      <c r="T31" s="140">
        <f t="shared" si="3"/>
        <v>19.030046598301091</v>
      </c>
      <c r="U31" s="140">
        <f t="shared" si="3"/>
        <v>19.030046598301091</v>
      </c>
      <c r="V31" s="140">
        <f t="shared" si="3"/>
        <v>19.030046598301091</v>
      </c>
      <c r="W31" s="140">
        <f t="shared" si="3"/>
        <v>19.030046598301091</v>
      </c>
      <c r="X31" s="140">
        <f t="shared" si="3"/>
        <v>19.030046598301091</v>
      </c>
      <c r="Y31" s="140">
        <f t="shared" si="3"/>
        <v>19.030046598301091</v>
      </c>
      <c r="Z31" s="140">
        <f t="shared" si="3"/>
        <v>19.030046598301091</v>
      </c>
      <c r="AA31" s="140">
        <f t="shared" si="3"/>
        <v>19.030046598301091</v>
      </c>
      <c r="AB31" s="140">
        <f t="shared" si="3"/>
        <v>19.030046598301091</v>
      </c>
      <c r="AC31" s="140">
        <f t="shared" si="3"/>
        <v>19.030046598301091</v>
      </c>
      <c r="AD31" s="140">
        <f t="shared" si="3"/>
        <v>19.030046598301091</v>
      </c>
      <c r="AE31" s="140">
        <f t="shared" si="3"/>
        <v>19.030046598301091</v>
      </c>
      <c r="AF31" s="140">
        <f t="shared" si="3"/>
        <v>19.030046598301091</v>
      </c>
      <c r="AG31" s="140">
        <f t="shared" si="3"/>
        <v>19.030046598301091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105</v>
      </c>
      <c r="D32" s="174" t="s">
        <v>93</v>
      </c>
      <c r="E32" s="97">
        <f>Assumptions!H41*vcr_esc</f>
        <v>33720.051164239951</v>
      </c>
      <c r="F32" s="206" t="str">
        <f>IF(AND(SUM(I31:AG31)&lt;&gt;0, E32=0), "!", "")</f>
        <v/>
      </c>
      <c r="G32" s="176">
        <f>input_dollars</f>
        <v>45291</v>
      </c>
      <c r="H32"/>
      <c r="I32" s="28">
        <f>I31*$E$32</f>
        <v>1204.0066517850321</v>
      </c>
      <c r="J32" s="28">
        <f t="shared" ref="J32:AG32" si="4">J31*$E$32</f>
        <v>13318.072374841586</v>
      </c>
      <c r="K32" s="28">
        <f t="shared" si="4"/>
        <v>31811.12378364076</v>
      </c>
      <c r="L32" s="28">
        <f t="shared" si="4"/>
        <v>61053.16486977243</v>
      </c>
      <c r="M32" s="28">
        <f t="shared" si="4"/>
        <v>98949.601350043275</v>
      </c>
      <c r="N32" s="28">
        <f t="shared" si="4"/>
        <v>154554.95467928209</v>
      </c>
      <c r="O32" s="28">
        <f t="shared" si="4"/>
        <v>250921.3303309358</v>
      </c>
      <c r="P32" s="28">
        <f t="shared" si="4"/>
        <v>400395.7796816199</v>
      </c>
      <c r="Q32" s="28">
        <f t="shared" si="4"/>
        <v>565380.87100020947</v>
      </c>
      <c r="R32" s="28">
        <f t="shared" si="4"/>
        <v>724843.06666136149</v>
      </c>
      <c r="S32" s="28">
        <f t="shared" si="4"/>
        <v>641694.14495258324</v>
      </c>
      <c r="T32" s="28">
        <f t="shared" si="4"/>
        <v>641694.14495258324</v>
      </c>
      <c r="U32" s="28">
        <f t="shared" si="4"/>
        <v>641694.14495258324</v>
      </c>
      <c r="V32" s="28">
        <f t="shared" si="4"/>
        <v>641694.14495258324</v>
      </c>
      <c r="W32" s="28">
        <f t="shared" si="4"/>
        <v>641694.14495258324</v>
      </c>
      <c r="X32" s="28">
        <f t="shared" si="4"/>
        <v>641694.14495258324</v>
      </c>
      <c r="Y32" s="28">
        <f t="shared" si="4"/>
        <v>641694.14495258324</v>
      </c>
      <c r="Z32" s="28">
        <f t="shared" si="4"/>
        <v>641694.14495258324</v>
      </c>
      <c r="AA32" s="28">
        <f t="shared" si="4"/>
        <v>641694.14495258324</v>
      </c>
      <c r="AB32" s="28">
        <f t="shared" si="4"/>
        <v>641694.14495258324</v>
      </c>
      <c r="AC32" s="28">
        <f t="shared" si="4"/>
        <v>641694.14495258324</v>
      </c>
      <c r="AD32" s="28">
        <f t="shared" si="4"/>
        <v>641694.14495258324</v>
      </c>
      <c r="AE32" s="28">
        <f t="shared" si="4"/>
        <v>641694.14495258324</v>
      </c>
      <c r="AF32" s="28">
        <f t="shared" si="4"/>
        <v>641694.14495258324</v>
      </c>
      <c r="AG32" s="28">
        <f t="shared" si="4"/>
        <v>641694.14495258324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D33" s="175"/>
      <c r="E33"/>
      <c r="G33" s="176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1" t="s">
        <v>106</v>
      </c>
      <c r="D34" s="174" t="s">
        <v>107</v>
      </c>
      <c r="G34" s="176">
        <f>input_dollars</f>
        <v>45291</v>
      </c>
      <c r="H34" s="123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C35" s="1" t="s">
        <v>108</v>
      </c>
      <c r="D35" s="175"/>
      <c r="E35"/>
      <c r="G35" s="176">
        <f>input_dollars</f>
        <v>45291</v>
      </c>
      <c r="H35" s="123"/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  <c r="AE35" s="29">
        <v>0</v>
      </c>
      <c r="AF35" s="29">
        <v>0</v>
      </c>
      <c r="AG35" s="29">
        <v>0</v>
      </c>
      <c r="AH35"/>
      <c r="AI35"/>
      <c r="AJ35"/>
      <c r="AK35"/>
      <c r="AL35"/>
      <c r="AM35"/>
      <c r="AN35"/>
      <c r="AO35"/>
      <c r="AP35"/>
      <c r="AQ35"/>
    </row>
    <row r="36" spans="1:16372" x14ac:dyDescent="0.2">
      <c r="C36" s="1" t="s">
        <v>109</v>
      </c>
      <c r="D36" s="174" t="s">
        <v>107</v>
      </c>
      <c r="E36"/>
      <c r="G36" s="176">
        <f>input_dollars</f>
        <v>45291</v>
      </c>
      <c r="H36"/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  <c r="AF36" s="29">
        <v>0</v>
      </c>
      <c r="AG36" s="29">
        <v>0</v>
      </c>
      <c r="AH36"/>
      <c r="AI36"/>
      <c r="AJ36"/>
      <c r="AK36"/>
      <c r="AL36"/>
      <c r="AM36"/>
      <c r="AN36"/>
      <c r="AO36"/>
      <c r="AP36"/>
      <c r="AQ36"/>
    </row>
    <row r="37" spans="1:16372" x14ac:dyDescent="0.2">
      <c r="C37" s="234" t="s">
        <v>110</v>
      </c>
      <c r="D37" s="187"/>
      <c r="E37"/>
      <c r="G37" s="176">
        <f>input_dollars</f>
        <v>45291</v>
      </c>
      <c r="H37"/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  <c r="AF37" s="29">
        <v>0</v>
      </c>
      <c r="AG37" s="29">
        <v>0</v>
      </c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C38" s="234" t="s">
        <v>110</v>
      </c>
      <c r="D38" s="175"/>
      <c r="E38"/>
      <c r="G38" s="176">
        <f>input_dollars</f>
        <v>45291</v>
      </c>
      <c r="H38"/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29">
        <v>0</v>
      </c>
      <c r="AG38" s="29">
        <v>0</v>
      </c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 s="175"/>
      <c r="E39"/>
      <c r="G39" s="176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</row>
    <row r="40" spans="1:16372" x14ac:dyDescent="0.2">
      <c r="C40" s="3" t="s">
        <v>111</v>
      </c>
      <c r="D40" s="186"/>
      <c r="E40" s="91"/>
      <c r="F40" s="3"/>
      <c r="G40" s="178"/>
      <c r="H40" s="91"/>
      <c r="I40" s="90">
        <f>SUM(I32:I38)</f>
        <v>1204.0066517850321</v>
      </c>
      <c r="J40" s="90">
        <f t="shared" ref="J40:AB40" si="5">SUM(J32:J38)</f>
        <v>13318.072374841586</v>
      </c>
      <c r="K40" s="90">
        <f t="shared" si="5"/>
        <v>31811.12378364076</v>
      </c>
      <c r="L40" s="90">
        <f t="shared" si="5"/>
        <v>61053.16486977243</v>
      </c>
      <c r="M40" s="90">
        <f t="shared" si="5"/>
        <v>98949.601350043275</v>
      </c>
      <c r="N40" s="90">
        <f t="shared" si="5"/>
        <v>154554.95467928209</v>
      </c>
      <c r="O40" s="90">
        <f t="shared" si="5"/>
        <v>250921.3303309358</v>
      </c>
      <c r="P40" s="90">
        <f t="shared" si="5"/>
        <v>400395.7796816199</v>
      </c>
      <c r="Q40" s="90">
        <f t="shared" si="5"/>
        <v>565380.87100020947</v>
      </c>
      <c r="R40" s="90">
        <f t="shared" si="5"/>
        <v>724843.06666136149</v>
      </c>
      <c r="S40" s="90">
        <f t="shared" si="5"/>
        <v>641694.14495258324</v>
      </c>
      <c r="T40" s="90">
        <f t="shared" si="5"/>
        <v>641694.14495258324</v>
      </c>
      <c r="U40" s="90">
        <f t="shared" si="5"/>
        <v>641694.14495258324</v>
      </c>
      <c r="V40" s="90">
        <f t="shared" si="5"/>
        <v>641694.14495258324</v>
      </c>
      <c r="W40" s="90">
        <f t="shared" si="5"/>
        <v>641694.14495258324</v>
      </c>
      <c r="X40" s="90">
        <f t="shared" si="5"/>
        <v>641694.14495258324</v>
      </c>
      <c r="Y40" s="90">
        <f t="shared" si="5"/>
        <v>641694.14495258324</v>
      </c>
      <c r="Z40" s="90">
        <f t="shared" si="5"/>
        <v>641694.14495258324</v>
      </c>
      <c r="AA40" s="90">
        <f t="shared" si="5"/>
        <v>641694.14495258324</v>
      </c>
      <c r="AB40" s="90">
        <f t="shared" si="5"/>
        <v>641694.14495258324</v>
      </c>
      <c r="AC40" s="90">
        <f>SUM(AC32:AC38)</f>
        <v>641694.14495258324</v>
      </c>
      <c r="AD40" s="90">
        <f>SUM(AD32:AD38)</f>
        <v>641694.14495258324</v>
      </c>
      <c r="AE40" s="90">
        <f>SUM(AE32:AE38)</f>
        <v>641694.14495258324</v>
      </c>
      <c r="AF40" s="90">
        <f>SUM(AF32:AF38)</f>
        <v>641694.14495258324</v>
      </c>
      <c r="AG40" s="90">
        <f>SUM(AG32:AG38)</f>
        <v>641694.14495258324</v>
      </c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</row>
    <row r="41" spans="1:16372" x14ac:dyDescent="0.2">
      <c r="D41"/>
      <c r="E41"/>
      <c r="G41" s="176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</row>
    <row r="42" spans="1:16372" ht="15" x14ac:dyDescent="0.2">
      <c r="A42" s="76" t="s">
        <v>112</v>
      </c>
      <c r="B42" s="76"/>
      <c r="C42" s="76"/>
      <c r="D42" s="76"/>
      <c r="E42" s="76"/>
      <c r="F42" s="76"/>
      <c r="G42" s="173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/>
      <c r="E43"/>
      <c r="G43" s="176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/>
      <c r="E44"/>
      <c r="G44" s="176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25">
      <c r="C45" s="1" t="s">
        <v>113</v>
      </c>
      <c r="G45" s="174" t="s">
        <v>102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ht="13.5" x14ac:dyDescent="0.25">
      <c r="C46" s="1" t="s">
        <v>114</v>
      </c>
      <c r="G46" s="174" t="s">
        <v>115</v>
      </c>
      <c r="I46" s="28">
        <f t="shared" ref="I46:AG46" si="6">I45*I7</f>
        <v>0</v>
      </c>
      <c r="J46" s="28">
        <f t="shared" si="6"/>
        <v>0</v>
      </c>
      <c r="K46" s="28">
        <f t="shared" si="6"/>
        <v>0</v>
      </c>
      <c r="L46" s="28">
        <f t="shared" si="6"/>
        <v>0</v>
      </c>
      <c r="M46" s="28">
        <f t="shared" si="6"/>
        <v>0</v>
      </c>
      <c r="N46" s="28">
        <f t="shared" si="6"/>
        <v>0</v>
      </c>
      <c r="O46" s="28">
        <f t="shared" si="6"/>
        <v>0</v>
      </c>
      <c r="P46" s="28">
        <f t="shared" si="6"/>
        <v>0</v>
      </c>
      <c r="Q46" s="28">
        <f t="shared" si="6"/>
        <v>0</v>
      </c>
      <c r="R46" s="28">
        <f t="shared" si="6"/>
        <v>0</v>
      </c>
      <c r="S46" s="28">
        <f t="shared" si="6"/>
        <v>0</v>
      </c>
      <c r="T46" s="28">
        <f t="shared" si="6"/>
        <v>0</v>
      </c>
      <c r="U46" s="28">
        <f t="shared" si="6"/>
        <v>0</v>
      </c>
      <c r="V46" s="28">
        <f t="shared" si="6"/>
        <v>0</v>
      </c>
      <c r="W46" s="28">
        <f t="shared" si="6"/>
        <v>0</v>
      </c>
      <c r="X46" s="28">
        <f t="shared" si="6"/>
        <v>0</v>
      </c>
      <c r="Y46" s="28">
        <f t="shared" si="6"/>
        <v>0</v>
      </c>
      <c r="Z46" s="28">
        <f t="shared" si="6"/>
        <v>0</v>
      </c>
      <c r="AA46" s="28">
        <f t="shared" si="6"/>
        <v>0</v>
      </c>
      <c r="AB46" s="28">
        <f t="shared" si="6"/>
        <v>0</v>
      </c>
      <c r="AC46" s="28">
        <f t="shared" si="6"/>
        <v>0</v>
      </c>
      <c r="AD46" s="28">
        <f t="shared" si="6"/>
        <v>0</v>
      </c>
      <c r="AE46" s="28">
        <f t="shared" si="6"/>
        <v>0</v>
      </c>
      <c r="AF46" s="28">
        <f t="shared" si="6"/>
        <v>0</v>
      </c>
      <c r="AG46" s="28">
        <f t="shared" si="6"/>
        <v>0</v>
      </c>
    </row>
    <row r="47" spans="1:16372" x14ac:dyDescent="0.2">
      <c r="D47"/>
      <c r="E47"/>
      <c r="G47" s="176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16372" x14ac:dyDescent="0.2">
      <c r="D48" s="175"/>
      <c r="E48"/>
      <c r="G48" s="176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x14ac:dyDescent="0.2">
      <c r="C49" s="1" t="s">
        <v>116</v>
      </c>
      <c r="D49" s="174" t="s">
        <v>93</v>
      </c>
      <c r="E49" s="97"/>
      <c r="G49" s="176" t="s">
        <v>102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117</v>
      </c>
      <c r="D50" s="174" t="s">
        <v>93</v>
      </c>
      <c r="E50" s="97"/>
      <c r="G50" s="176" t="s">
        <v>102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118</v>
      </c>
      <c r="D51" s="174" t="s">
        <v>93</v>
      </c>
      <c r="E51" s="96"/>
      <c r="G51" s="176" t="s">
        <v>102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119</v>
      </c>
      <c r="D52" s="174" t="s">
        <v>120</v>
      </c>
      <c r="E52" s="96"/>
      <c r="G52" s="176" t="s">
        <v>121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C53" s="1" t="s">
        <v>122</v>
      </c>
      <c r="D53" s="174" t="s">
        <v>123</v>
      </c>
      <c r="E53" s="96"/>
      <c r="G53" s="176" t="s">
        <v>124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</row>
    <row r="54" spans="1:43" x14ac:dyDescent="0.2">
      <c r="C54" s="1" t="s">
        <v>125</v>
      </c>
      <c r="D54" s="174" t="s">
        <v>123</v>
      </c>
      <c r="E54" s="96"/>
      <c r="G54" s="176" t="s">
        <v>124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126</v>
      </c>
      <c r="D55" s="174" t="s">
        <v>120</v>
      </c>
      <c r="E55" s="96"/>
      <c r="G55" s="176" t="s">
        <v>121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C56" s="1" t="s">
        <v>127</v>
      </c>
      <c r="D56" s="174" t="s">
        <v>120</v>
      </c>
      <c r="E56" s="96"/>
      <c r="G56" s="176" t="s">
        <v>121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29">
        <v>0</v>
      </c>
      <c r="AG56" s="29">
        <v>0</v>
      </c>
    </row>
    <row r="57" spans="1:43" x14ac:dyDescent="0.2">
      <c r="D57" s="174"/>
      <c r="G57" s="176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</row>
    <row r="58" spans="1:43" x14ac:dyDescent="0.2">
      <c r="C58" s="1" t="s">
        <v>128</v>
      </c>
      <c r="D58" s="174"/>
      <c r="G58" s="176">
        <f>input_dollars</f>
        <v>45291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29">
        <v>0</v>
      </c>
      <c r="AG58" s="29">
        <v>0</v>
      </c>
    </row>
    <row r="59" spans="1:43" x14ac:dyDescent="0.2">
      <c r="C59" s="1" t="s">
        <v>129</v>
      </c>
      <c r="D59" s="174"/>
      <c r="G59" s="176">
        <f>input_dollars</f>
        <v>45291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29">
        <v>0</v>
      </c>
      <c r="AG59" s="29">
        <v>0</v>
      </c>
    </row>
    <row r="60" spans="1:43" x14ac:dyDescent="0.2">
      <c r="D60" s="174"/>
      <c r="G60" s="174"/>
    </row>
    <row r="61" spans="1:43" x14ac:dyDescent="0.2">
      <c r="C61" s="3" t="s">
        <v>130</v>
      </c>
      <c r="D61" s="186"/>
      <c r="E61" s="91"/>
      <c r="F61" s="3"/>
      <c r="G61" s="179">
        <f>input_dollars</f>
        <v>45291</v>
      </c>
      <c r="H61" s="91"/>
      <c r="I61" s="90" cm="1">
        <f t="array" ref="I61">SUMPRODUCT((I$49:I$56)*($E$49:$E$56))+SUM(I58:I59)+I46</f>
        <v>0</v>
      </c>
      <c r="J61" s="90" cm="1">
        <f t="array" ref="J61">SUMPRODUCT((J$49:J$56)*($E$49:$E$56))+SUM(J58:J59)+J46</f>
        <v>0</v>
      </c>
      <c r="K61" s="90" cm="1">
        <f t="array" ref="K61">SUMPRODUCT((K$49:K$56)*($E$49:$E$56))+SUM(K58:K59)+K46</f>
        <v>0</v>
      </c>
      <c r="L61" s="90" cm="1">
        <f t="array" ref="L61">SUMPRODUCT((L$49:L$56)*($E$49:$E$56))+SUM(L58:L59)+L46</f>
        <v>0</v>
      </c>
      <c r="M61" s="90" cm="1">
        <f t="array" ref="M61">SUMPRODUCT((M$49:M$56)*($E$49:$E$56))+SUM(M58:M59)+M46</f>
        <v>0</v>
      </c>
      <c r="N61" s="90" cm="1">
        <f t="array" ref="N61">SUMPRODUCT((N$49:N$56)*($E$49:$E$56))+SUM(N58:N59)+N46</f>
        <v>0</v>
      </c>
      <c r="O61" s="90" cm="1">
        <f t="array" ref="O61">SUMPRODUCT((O$49:O$56)*($E$49:$E$56))+SUM(O58:O59)+O46</f>
        <v>0</v>
      </c>
      <c r="P61" s="90" cm="1">
        <f t="array" ref="P61">SUMPRODUCT((P$49:P$56)*($E$49:$E$56))+SUM(P58:P59)+P46</f>
        <v>0</v>
      </c>
      <c r="Q61" s="90" cm="1">
        <f t="array" ref="Q61">SUMPRODUCT((Q$49:Q$56)*($E$49:$E$56))+SUM(Q58:Q59)+Q46</f>
        <v>0</v>
      </c>
      <c r="R61" s="90" cm="1">
        <f t="array" ref="R61">SUMPRODUCT((R$49:R$56)*($E$49:$E$56))+SUM(R58:R59)+R46</f>
        <v>0</v>
      </c>
      <c r="S61" s="90" cm="1">
        <f t="array" ref="S61">SUMPRODUCT((S$49:S$56)*($E$49:$E$56))+SUM(S58:S59)+S46</f>
        <v>0</v>
      </c>
      <c r="T61" s="90" cm="1">
        <f t="array" ref="T61">SUMPRODUCT((T$49:T$56)*($E$49:$E$56))+SUM(T58:T59)+T46</f>
        <v>0</v>
      </c>
      <c r="U61" s="90" cm="1">
        <f t="array" ref="U61">SUMPRODUCT((U$49:U$56)*($E$49:$E$56))+SUM(U58:U59)+U46</f>
        <v>0</v>
      </c>
      <c r="V61" s="90" cm="1">
        <f t="array" ref="V61">SUMPRODUCT((V$49:V$56)*($E$49:$E$56))+SUM(V58:V59)+V46</f>
        <v>0</v>
      </c>
      <c r="W61" s="90" cm="1">
        <f t="array" ref="W61">SUMPRODUCT((W$49:W$56)*($E$49:$E$56))+SUM(W58:W59)+W46</f>
        <v>0</v>
      </c>
      <c r="X61" s="90" cm="1">
        <f t="array" ref="X61">SUMPRODUCT((X$49:X$56)*($E$49:$E$56))+SUM(X58:X59)+X46</f>
        <v>0</v>
      </c>
      <c r="Y61" s="90" cm="1">
        <f t="array" ref="Y61">SUMPRODUCT((Y$49:Y$56)*($E$49:$E$56))+SUM(Y58:Y59)+Y46</f>
        <v>0</v>
      </c>
      <c r="Z61" s="90" cm="1">
        <f t="array" ref="Z61">SUMPRODUCT((Z$49:Z$56)*($E$49:$E$56))+SUM(Z58:Z59)+Z46</f>
        <v>0</v>
      </c>
      <c r="AA61" s="90" cm="1">
        <f t="array" ref="AA61">SUMPRODUCT((AA$49:AA$56)*($E$49:$E$56))+SUM(AA58:AA59)+AA46</f>
        <v>0</v>
      </c>
      <c r="AB61" s="90" cm="1">
        <f t="array" ref="AB61">SUMPRODUCT((AB$49:AB$56)*($E$49:$E$56))+SUM(AB58:AB59)+AB46</f>
        <v>0</v>
      </c>
      <c r="AC61" s="90" cm="1">
        <f t="array" ref="AC61">SUMPRODUCT((AC$49:AC$56)*($E$49:$E$56))+SUM(AC58:AC59)+AC46</f>
        <v>0</v>
      </c>
      <c r="AD61" s="90" cm="1">
        <f t="array" ref="AD61">SUMPRODUCT((AD$49:AD$56)*($E$49:$E$56))+SUM(AD58:AD59)+AD46</f>
        <v>0</v>
      </c>
      <c r="AE61" s="90" cm="1">
        <f t="array" ref="AE61">SUMPRODUCT((AE$49:AE$56)*($E$49:$E$56))+SUM(AE58:AE59)+AE46</f>
        <v>0</v>
      </c>
      <c r="AF61" s="90" cm="1">
        <f t="array" ref="AF61">SUMPRODUCT((AF$49:AF$56)*($E$49:$E$56))+SUM(AF58:AF59)+AF46</f>
        <v>0</v>
      </c>
      <c r="AG61" s="90" cm="1">
        <f t="array" ref="AG61">SUMPRODUCT((AG$49:AG$56)*($E$49:$E$56))+SUM(AG58:AG59)+AG46</f>
        <v>0</v>
      </c>
    </row>
    <row r="62" spans="1:43" x14ac:dyDescent="0.2">
      <c r="D62" s="174"/>
      <c r="G62" s="174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</row>
    <row r="63" spans="1:43" x14ac:dyDescent="0.2">
      <c r="G63" s="174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</row>
    <row r="64" spans="1:43" ht="15" x14ac:dyDescent="0.2">
      <c r="A64" s="76" t="s">
        <v>3</v>
      </c>
      <c r="B64" s="76"/>
      <c r="C64" s="76"/>
      <c r="D64" s="76"/>
      <c r="E64" s="76"/>
      <c r="F64" s="76"/>
      <c r="G64" s="173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/>
      <c r="AI64"/>
      <c r="AJ64"/>
      <c r="AK64"/>
      <c r="AL64"/>
      <c r="AM64"/>
      <c r="AN64"/>
      <c r="AO64"/>
      <c r="AP64"/>
      <c r="AQ64"/>
    </row>
    <row r="65" spans="1:43" ht="15" x14ac:dyDescent="0.2">
      <c r="A65" s="95"/>
      <c r="B65" s="95"/>
      <c r="C65" s="95"/>
      <c r="D65" s="95"/>
      <c r="E65" s="95"/>
      <c r="F65" s="95"/>
      <c r="G65" s="177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/>
      <c r="AI65"/>
      <c r="AJ65"/>
      <c r="AK65"/>
      <c r="AL65"/>
      <c r="AM65"/>
      <c r="AN65"/>
      <c r="AO65"/>
      <c r="AP65"/>
      <c r="AQ65"/>
    </row>
    <row r="66" spans="1:43" ht="12.75" customHeight="1" x14ac:dyDescent="0.2">
      <c r="A66" s="95"/>
      <c r="B66" s="95"/>
      <c r="C66" s="95"/>
      <c r="D66" s="95"/>
      <c r="E66" s="95"/>
      <c r="F66"/>
      <c r="G66" s="180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3" x14ac:dyDescent="0.2">
      <c r="C67" s="4"/>
      <c r="F67" s="2"/>
      <c r="G67" s="181"/>
    </row>
    <row r="68" spans="1:43" x14ac:dyDescent="0.2">
      <c r="C68" s="4" t="s">
        <v>131</v>
      </c>
      <c r="G68" s="179">
        <f>input_dollars</f>
        <v>45291</v>
      </c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</row>
    <row r="69" spans="1:43" x14ac:dyDescent="0.2">
      <c r="G69" s="181"/>
    </row>
    <row r="70" spans="1:43" x14ac:dyDescent="0.2">
      <c r="A70" s="6"/>
      <c r="B70" s="6"/>
      <c r="C70" s="121" t="s">
        <v>15</v>
      </c>
      <c r="D70" s="33"/>
      <c r="F70" s="82"/>
      <c r="G70" s="182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43" x14ac:dyDescent="0.2">
      <c r="A71" s="6"/>
      <c r="B71" s="6"/>
      <c r="C71" s="4" t="str">
        <f>C14</f>
        <v>&lt; Enter description &gt;</v>
      </c>
      <c r="D71" s="33"/>
      <c r="F71" s="82"/>
      <c r="G71" s="179">
        <f>input_dollars</f>
        <v>45291</v>
      </c>
      <c r="H71" s="28"/>
      <c r="I71" s="28">
        <f t="shared" ref="I71:AG71" si="7">-I14</f>
        <v>0</v>
      </c>
      <c r="J71" s="28">
        <f t="shared" si="7"/>
        <v>0</v>
      </c>
      <c r="K71" s="28">
        <f t="shared" si="7"/>
        <v>0</v>
      </c>
      <c r="L71" s="28">
        <f t="shared" si="7"/>
        <v>0</v>
      </c>
      <c r="M71" s="28">
        <f t="shared" si="7"/>
        <v>0</v>
      </c>
      <c r="N71" s="28">
        <f t="shared" si="7"/>
        <v>0</v>
      </c>
      <c r="O71" s="28">
        <f t="shared" si="7"/>
        <v>0</v>
      </c>
      <c r="P71" s="28">
        <f t="shared" si="7"/>
        <v>0</v>
      </c>
      <c r="Q71" s="28">
        <f t="shared" si="7"/>
        <v>0</v>
      </c>
      <c r="R71" s="28">
        <f t="shared" si="7"/>
        <v>0</v>
      </c>
      <c r="S71" s="28">
        <f t="shared" si="7"/>
        <v>0</v>
      </c>
      <c r="T71" s="28">
        <f t="shared" si="7"/>
        <v>0</v>
      </c>
      <c r="U71" s="28">
        <f t="shared" si="7"/>
        <v>0</v>
      </c>
      <c r="V71" s="28">
        <f t="shared" si="7"/>
        <v>0</v>
      </c>
      <c r="W71" s="28">
        <f t="shared" si="7"/>
        <v>0</v>
      </c>
      <c r="X71" s="28">
        <f t="shared" si="7"/>
        <v>0</v>
      </c>
      <c r="Y71" s="28">
        <f t="shared" si="7"/>
        <v>0</v>
      </c>
      <c r="Z71" s="28">
        <f t="shared" si="7"/>
        <v>0</v>
      </c>
      <c r="AA71" s="28">
        <f t="shared" si="7"/>
        <v>0</v>
      </c>
      <c r="AB71" s="28">
        <f t="shared" si="7"/>
        <v>0</v>
      </c>
      <c r="AC71" s="28">
        <f t="shared" si="7"/>
        <v>0</v>
      </c>
      <c r="AD71" s="28">
        <f t="shared" si="7"/>
        <v>0</v>
      </c>
      <c r="AE71" s="28">
        <f t="shared" si="7"/>
        <v>0</v>
      </c>
      <c r="AF71" s="28">
        <f t="shared" si="7"/>
        <v>0</v>
      </c>
      <c r="AG71" s="28">
        <f t="shared" si="7"/>
        <v>0</v>
      </c>
    </row>
    <row r="72" spans="1:43" x14ac:dyDescent="0.2">
      <c r="A72" s="6"/>
      <c r="B72" s="6"/>
      <c r="C72" s="4" t="str">
        <f>C15</f>
        <v>&lt; Enter description &gt;</v>
      </c>
      <c r="D72" s="33"/>
      <c r="F72" s="82"/>
      <c r="G72" s="179">
        <f>input_dollars</f>
        <v>45291</v>
      </c>
      <c r="H72" s="28"/>
      <c r="I72" s="28">
        <f t="shared" ref="I72:AG72" si="8">-I15</f>
        <v>0</v>
      </c>
      <c r="J72" s="28">
        <f t="shared" si="8"/>
        <v>0</v>
      </c>
      <c r="K72" s="28">
        <f t="shared" si="8"/>
        <v>0</v>
      </c>
      <c r="L72" s="28">
        <f t="shared" si="8"/>
        <v>0</v>
      </c>
      <c r="M72" s="28">
        <f t="shared" si="8"/>
        <v>0</v>
      </c>
      <c r="N72" s="28">
        <f t="shared" si="8"/>
        <v>0</v>
      </c>
      <c r="O72" s="28">
        <f t="shared" si="8"/>
        <v>0</v>
      </c>
      <c r="P72" s="28">
        <f t="shared" si="8"/>
        <v>0</v>
      </c>
      <c r="Q72" s="28">
        <f t="shared" si="8"/>
        <v>0</v>
      </c>
      <c r="R72" s="28">
        <f t="shared" si="8"/>
        <v>0</v>
      </c>
      <c r="S72" s="28">
        <f t="shared" si="8"/>
        <v>0</v>
      </c>
      <c r="T72" s="28">
        <f t="shared" si="8"/>
        <v>0</v>
      </c>
      <c r="U72" s="28">
        <f t="shared" si="8"/>
        <v>0</v>
      </c>
      <c r="V72" s="28">
        <f t="shared" si="8"/>
        <v>0</v>
      </c>
      <c r="W72" s="28">
        <f t="shared" si="8"/>
        <v>0</v>
      </c>
      <c r="X72" s="28">
        <f t="shared" si="8"/>
        <v>0</v>
      </c>
      <c r="Y72" s="28">
        <f t="shared" si="8"/>
        <v>0</v>
      </c>
      <c r="Z72" s="28">
        <f t="shared" si="8"/>
        <v>0</v>
      </c>
      <c r="AA72" s="28">
        <f t="shared" si="8"/>
        <v>0</v>
      </c>
      <c r="AB72" s="28">
        <f t="shared" si="8"/>
        <v>0</v>
      </c>
      <c r="AC72" s="28">
        <f t="shared" si="8"/>
        <v>0</v>
      </c>
      <c r="AD72" s="28">
        <f t="shared" si="8"/>
        <v>0</v>
      </c>
      <c r="AE72" s="28">
        <f t="shared" si="8"/>
        <v>0</v>
      </c>
      <c r="AF72" s="28">
        <f t="shared" si="8"/>
        <v>0</v>
      </c>
      <c r="AG72" s="28">
        <f t="shared" si="8"/>
        <v>0</v>
      </c>
    </row>
    <row r="73" spans="1:43" x14ac:dyDescent="0.2">
      <c r="A73" s="6"/>
      <c r="B73" s="6"/>
      <c r="C73" s="4" t="str">
        <f>C16</f>
        <v>&lt; Enter description &gt;</v>
      </c>
      <c r="D73" s="33"/>
      <c r="F73" s="82"/>
      <c r="G73" s="179">
        <f>input_dollars</f>
        <v>45291</v>
      </c>
      <c r="H73" s="28"/>
      <c r="I73" s="28">
        <f t="shared" ref="I73:AG73" si="9">-I16</f>
        <v>0</v>
      </c>
      <c r="J73" s="28">
        <f t="shared" si="9"/>
        <v>0</v>
      </c>
      <c r="K73" s="28">
        <f t="shared" si="9"/>
        <v>0</v>
      </c>
      <c r="L73" s="28">
        <f t="shared" si="9"/>
        <v>0</v>
      </c>
      <c r="M73" s="28">
        <f t="shared" si="9"/>
        <v>0</v>
      </c>
      <c r="N73" s="28">
        <f t="shared" si="9"/>
        <v>0</v>
      </c>
      <c r="O73" s="28">
        <f t="shared" si="9"/>
        <v>0</v>
      </c>
      <c r="P73" s="28">
        <f t="shared" si="9"/>
        <v>0</v>
      </c>
      <c r="Q73" s="28">
        <f t="shared" si="9"/>
        <v>0</v>
      </c>
      <c r="R73" s="28">
        <f t="shared" si="9"/>
        <v>0</v>
      </c>
      <c r="S73" s="28">
        <f t="shared" si="9"/>
        <v>0</v>
      </c>
      <c r="T73" s="28">
        <f t="shared" si="9"/>
        <v>0</v>
      </c>
      <c r="U73" s="28">
        <f t="shared" si="9"/>
        <v>0</v>
      </c>
      <c r="V73" s="28">
        <f t="shared" si="9"/>
        <v>0</v>
      </c>
      <c r="W73" s="28">
        <f t="shared" si="9"/>
        <v>0</v>
      </c>
      <c r="X73" s="28">
        <f t="shared" si="9"/>
        <v>0</v>
      </c>
      <c r="Y73" s="28">
        <f t="shared" si="9"/>
        <v>0</v>
      </c>
      <c r="Z73" s="28">
        <f t="shared" si="9"/>
        <v>0</v>
      </c>
      <c r="AA73" s="28">
        <f t="shared" si="9"/>
        <v>0</v>
      </c>
      <c r="AB73" s="28">
        <f t="shared" si="9"/>
        <v>0</v>
      </c>
      <c r="AC73" s="28">
        <f t="shared" si="9"/>
        <v>0</v>
      </c>
      <c r="AD73" s="28">
        <f t="shared" si="9"/>
        <v>0</v>
      </c>
      <c r="AE73" s="28">
        <f t="shared" si="9"/>
        <v>0</v>
      </c>
      <c r="AF73" s="28">
        <f t="shared" si="9"/>
        <v>0</v>
      </c>
      <c r="AG73" s="28">
        <f t="shared" si="9"/>
        <v>0</v>
      </c>
    </row>
    <row r="74" spans="1:43" x14ac:dyDescent="0.2">
      <c r="A74" s="6"/>
      <c r="B74" s="6"/>
      <c r="C74" s="4"/>
      <c r="D74" s="33"/>
      <c r="F74" s="82"/>
      <c r="G74" s="183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43" x14ac:dyDescent="0.2">
      <c r="A75" s="6"/>
      <c r="B75" s="6"/>
      <c r="C75" s="121" t="s">
        <v>132</v>
      </c>
      <c r="D75" s="33"/>
      <c r="F75" s="82"/>
      <c r="G75" s="182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43" x14ac:dyDescent="0.2">
      <c r="A76" s="6"/>
      <c r="B76" s="6"/>
      <c r="C76" s="4" t="str">
        <f>C14</f>
        <v>&lt; Enter description &gt;</v>
      </c>
      <c r="D76" s="33"/>
      <c r="F76" s="82"/>
      <c r="G76" s="179">
        <f>input_dollars</f>
        <v>45291</v>
      </c>
      <c r="H76" s="28"/>
      <c r="I76" s="28" cm="1">
        <f t="array" ref="I76">SUMPRODUCT(($I71:I71))-SUMPRODUCT(($I71:I71)*($I$6:I$6&lt;=(I$6-$E14)))</f>
        <v>0</v>
      </c>
      <c r="J76" s="28" cm="1">
        <f t="array" ref="J76">SUMPRODUCT(($I71:J71))-SUMPRODUCT(($I71:J71)*($I$6:J$6&lt;=(J$6-$E14)))</f>
        <v>0</v>
      </c>
      <c r="K76" s="28" cm="1">
        <f t="array" ref="K76">SUMPRODUCT(($I71:K71))-SUMPRODUCT(($I71:K71)*($I$6:K$6&lt;=(K$6-$E14)))</f>
        <v>0</v>
      </c>
      <c r="L76" s="28" cm="1">
        <f t="array" ref="L76">SUMPRODUCT(($I71:L71))-SUMPRODUCT(($I71:L71)*($I$6:L$6&lt;=(L$6-$E14)))</f>
        <v>0</v>
      </c>
      <c r="M76" s="28" cm="1">
        <f t="array" ref="M76">SUMPRODUCT(($I71:M71))-SUMPRODUCT(($I71:M71)*($I$6:M$6&lt;=(M$6-$E14)))</f>
        <v>0</v>
      </c>
      <c r="N76" s="28" cm="1">
        <f t="array" ref="N76">SUMPRODUCT(($I71:N71))-SUMPRODUCT(($I71:N71)*($I$6:N$6&lt;=(N$6-$E14)))</f>
        <v>0</v>
      </c>
      <c r="O76" s="28" cm="1">
        <f t="array" ref="O76">SUMPRODUCT(($I71:O71))-SUMPRODUCT(($I71:O71)*($I$6:O$6&lt;=(O$6-$E14)))</f>
        <v>0</v>
      </c>
      <c r="P76" s="28" cm="1">
        <f t="array" ref="P76">SUMPRODUCT(($I71:P71))-SUMPRODUCT(($I71:P71)*($I$6:P$6&lt;=(P$6-$E14)))</f>
        <v>0</v>
      </c>
      <c r="Q76" s="28" cm="1">
        <f t="array" ref="Q76">SUMPRODUCT(($I71:Q71))-SUMPRODUCT(($I71:Q71)*($I$6:Q$6&lt;=(Q$6-$E14)))</f>
        <v>0</v>
      </c>
      <c r="R76" s="28" cm="1">
        <f t="array" ref="R76">SUMPRODUCT(($I71:R71))-SUMPRODUCT(($I71:R71)*($I$6:R$6&lt;=(R$6-$E14)))</f>
        <v>0</v>
      </c>
      <c r="S76" s="28" cm="1">
        <f t="array" ref="S76">SUMPRODUCT(($I71:S71))-SUMPRODUCT(($I71:S71)*($I$6:S$6&lt;=(S$6-$E14)))</f>
        <v>0</v>
      </c>
      <c r="T76" s="28" cm="1">
        <f t="array" ref="T76">SUMPRODUCT(($I71:T71))-SUMPRODUCT(($I71:T71)*($I$6:T$6&lt;=(T$6-$E14)))</f>
        <v>0</v>
      </c>
      <c r="U76" s="28" cm="1">
        <f t="array" ref="U76">SUMPRODUCT(($I71:U71))-SUMPRODUCT(($I71:U71)*($I$6:U$6&lt;=(U$6-$E14)))</f>
        <v>0</v>
      </c>
      <c r="V76" s="28" cm="1">
        <f t="array" ref="V76">SUMPRODUCT(($I71:V71))-SUMPRODUCT(($I71:V71)*($I$6:V$6&lt;=(V$6-$E14)))</f>
        <v>0</v>
      </c>
      <c r="W76" s="28" cm="1">
        <f t="array" ref="W76">SUMPRODUCT(($I71:W71))-SUMPRODUCT(($I71:W71)*($I$6:W$6&lt;=(W$6-$E14)))</f>
        <v>0</v>
      </c>
      <c r="X76" s="28" cm="1">
        <f t="array" ref="X76">SUMPRODUCT(($I71:X71))-SUMPRODUCT(($I71:X71)*($I$6:X$6&lt;=(X$6-$E14)))</f>
        <v>0</v>
      </c>
      <c r="Y76" s="28" cm="1">
        <f t="array" ref="Y76">SUMPRODUCT(($I71:Y71))-SUMPRODUCT(($I71:Y71)*($I$6:Y$6&lt;=(Y$6-$E14)))</f>
        <v>0</v>
      </c>
      <c r="Z76" s="28" cm="1">
        <f t="array" ref="Z76">SUMPRODUCT(($I71:Z71))-SUMPRODUCT(($I71:Z71)*($I$6:Z$6&lt;=(Z$6-$E14)))</f>
        <v>0</v>
      </c>
      <c r="AA76" s="28" cm="1">
        <f t="array" ref="AA76">SUMPRODUCT(($I71:AA71))-SUMPRODUCT(($I71:AA71)*($I$6:AA$6&lt;=(AA$6-$E14)))</f>
        <v>0</v>
      </c>
      <c r="AB76" s="28" cm="1">
        <f t="array" ref="AB76">SUMPRODUCT(($I71:AB71))-SUMPRODUCT(($I71:AB71)*($I$6:AB$6&lt;=(AB$6-$E14)))</f>
        <v>0</v>
      </c>
      <c r="AC76" s="28" cm="1">
        <f t="array" ref="AC76">SUMPRODUCT(($I71:AC71))-SUMPRODUCT(($I71:AC71)*($I$6:AC$6&lt;=(AC$6-$E14)))</f>
        <v>0</v>
      </c>
      <c r="AD76" s="28" cm="1">
        <f t="array" ref="AD76">SUMPRODUCT(($I71:AD71))-SUMPRODUCT(($I71:AD71)*($I$6:AD$6&lt;=(AD$6-$E14)))</f>
        <v>0</v>
      </c>
      <c r="AE76" s="28" cm="1">
        <f t="array" ref="AE76">SUMPRODUCT(($I71:AE71))-SUMPRODUCT(($I71:AE71)*($I$6:AE$6&lt;=(AE$6-$E14)))</f>
        <v>0</v>
      </c>
      <c r="AF76" s="28" cm="1">
        <f t="array" ref="AF76">SUMPRODUCT(($I71:AF71))-SUMPRODUCT(($I71:AF71)*($I$6:AF$6&lt;=(AF$6-$E14)))</f>
        <v>0</v>
      </c>
      <c r="AG76" s="28" cm="1">
        <f t="array" ref="AG76">SUMPRODUCT(($I71:AG71))-SUMPRODUCT(($I71:AG71)*($I$6:AG$6&lt;=(AG$6-$E14)))</f>
        <v>0</v>
      </c>
    </row>
    <row r="77" spans="1:43" x14ac:dyDescent="0.2">
      <c r="A77" s="6"/>
      <c r="B77" s="6"/>
      <c r="C77" s="4" t="str">
        <f>C15</f>
        <v>&lt; Enter description &gt;</v>
      </c>
      <c r="D77" s="33"/>
      <c r="F77" s="82"/>
      <c r="G77" s="179">
        <f>input_dollars</f>
        <v>45291</v>
      </c>
      <c r="H77" s="28"/>
      <c r="I77" s="28" cm="1">
        <f t="array" ref="I77">SUMPRODUCT(($I72:I72))-SUMPRODUCT(($I72:I72)*($I$6:I$6&lt;=(I$6-$E15)))</f>
        <v>0</v>
      </c>
      <c r="J77" s="28" cm="1">
        <f t="array" ref="J77">SUMPRODUCT(($I72:J72))-SUMPRODUCT(($I72:J72)*($I$6:J$6&lt;=(J$6-$E15)))</f>
        <v>0</v>
      </c>
      <c r="K77" s="28" cm="1">
        <f t="array" ref="K77">SUMPRODUCT(($I72:K72))-SUMPRODUCT(($I72:K72)*($I$6:K$6&lt;=(K$6-$E15)))</f>
        <v>0</v>
      </c>
      <c r="L77" s="28" cm="1">
        <f t="array" ref="L77">SUMPRODUCT(($I72:L72))-SUMPRODUCT(($I72:L72)*($I$6:L$6&lt;=(L$6-$E15)))</f>
        <v>0</v>
      </c>
      <c r="M77" s="28" cm="1">
        <f t="array" ref="M77">SUMPRODUCT(($I72:M72))-SUMPRODUCT(($I72:M72)*($I$6:M$6&lt;=(M$6-$E15)))</f>
        <v>0</v>
      </c>
      <c r="N77" s="28" cm="1">
        <f t="array" ref="N77">SUMPRODUCT(($I72:N72))-SUMPRODUCT(($I72:N72)*($I$6:N$6&lt;=(N$6-$E15)))</f>
        <v>0</v>
      </c>
      <c r="O77" s="28" cm="1">
        <f t="array" ref="O77">SUMPRODUCT(($I72:O72))-SUMPRODUCT(($I72:O72)*($I$6:O$6&lt;=(O$6-$E15)))</f>
        <v>0</v>
      </c>
      <c r="P77" s="28" cm="1">
        <f t="array" ref="P77">SUMPRODUCT(($I72:P72))-SUMPRODUCT(($I72:P72)*($I$6:P$6&lt;=(P$6-$E15)))</f>
        <v>0</v>
      </c>
      <c r="Q77" s="28" cm="1">
        <f t="array" ref="Q77">SUMPRODUCT(($I72:Q72))-SUMPRODUCT(($I72:Q72)*($I$6:Q$6&lt;=(Q$6-$E15)))</f>
        <v>0</v>
      </c>
      <c r="R77" s="28" cm="1">
        <f t="array" ref="R77">SUMPRODUCT(($I72:R72))-SUMPRODUCT(($I72:R72)*($I$6:R$6&lt;=(R$6-$E15)))</f>
        <v>0</v>
      </c>
      <c r="S77" s="28" cm="1">
        <f t="array" ref="S77">SUMPRODUCT(($I72:S72))-SUMPRODUCT(($I72:S72)*($I$6:S$6&lt;=(S$6-$E15)))</f>
        <v>0</v>
      </c>
      <c r="T77" s="28" cm="1">
        <f t="array" ref="T77">SUMPRODUCT(($I72:T72))-SUMPRODUCT(($I72:T72)*($I$6:T$6&lt;=(T$6-$E15)))</f>
        <v>0</v>
      </c>
      <c r="U77" s="28" cm="1">
        <f t="array" ref="U77">SUMPRODUCT(($I72:U72))-SUMPRODUCT(($I72:U72)*($I$6:U$6&lt;=(U$6-$E15)))</f>
        <v>0</v>
      </c>
      <c r="V77" s="28" cm="1">
        <f t="array" ref="V77">SUMPRODUCT(($I72:V72))-SUMPRODUCT(($I72:V72)*($I$6:V$6&lt;=(V$6-$E15)))</f>
        <v>0</v>
      </c>
      <c r="W77" s="28" cm="1">
        <f t="array" ref="W77">SUMPRODUCT(($I72:W72))-SUMPRODUCT(($I72:W72)*($I$6:W$6&lt;=(W$6-$E15)))</f>
        <v>0</v>
      </c>
      <c r="X77" s="28" cm="1">
        <f t="array" ref="X77">SUMPRODUCT(($I72:X72))-SUMPRODUCT(($I72:X72)*($I$6:X$6&lt;=(X$6-$E15)))</f>
        <v>0</v>
      </c>
      <c r="Y77" s="28" cm="1">
        <f t="array" ref="Y77">SUMPRODUCT(($I72:Y72))-SUMPRODUCT(($I72:Y72)*($I$6:Y$6&lt;=(Y$6-$E15)))</f>
        <v>0</v>
      </c>
      <c r="Z77" s="28" cm="1">
        <f t="array" ref="Z77">SUMPRODUCT(($I72:Z72))-SUMPRODUCT(($I72:Z72)*($I$6:Z$6&lt;=(Z$6-$E15)))</f>
        <v>0</v>
      </c>
      <c r="AA77" s="28" cm="1">
        <f t="array" ref="AA77">SUMPRODUCT(($I72:AA72))-SUMPRODUCT(($I72:AA72)*($I$6:AA$6&lt;=(AA$6-$E15)))</f>
        <v>0</v>
      </c>
      <c r="AB77" s="28" cm="1">
        <f t="array" ref="AB77">SUMPRODUCT(($I72:AB72))-SUMPRODUCT(($I72:AB72)*($I$6:AB$6&lt;=(AB$6-$E15)))</f>
        <v>0</v>
      </c>
      <c r="AC77" s="28" cm="1">
        <f t="array" ref="AC77">SUMPRODUCT(($I72:AC72))-SUMPRODUCT(($I72:AC72)*($I$6:AC$6&lt;=(AC$6-$E15)))</f>
        <v>0</v>
      </c>
      <c r="AD77" s="28" cm="1">
        <f t="array" ref="AD77">SUMPRODUCT(($I72:AD72))-SUMPRODUCT(($I72:AD72)*($I$6:AD$6&lt;=(AD$6-$E15)))</f>
        <v>0</v>
      </c>
      <c r="AE77" s="28" cm="1">
        <f t="array" ref="AE77">SUMPRODUCT(($I72:AE72))-SUMPRODUCT(($I72:AE72)*($I$6:AE$6&lt;=(AE$6-$E15)))</f>
        <v>0</v>
      </c>
      <c r="AF77" s="28" cm="1">
        <f t="array" ref="AF77">SUMPRODUCT(($I72:AF72))-SUMPRODUCT(($I72:AF72)*($I$6:AF$6&lt;=(AF$6-$E15)))</f>
        <v>0</v>
      </c>
      <c r="AG77" s="28" cm="1">
        <f t="array" ref="AG77">SUMPRODUCT(($I72:AG72))-SUMPRODUCT(($I72:AG72)*($I$6:AG$6&lt;=(AG$6-$E15)))</f>
        <v>0</v>
      </c>
    </row>
    <row r="78" spans="1:43" x14ac:dyDescent="0.2">
      <c r="A78" s="6"/>
      <c r="B78" s="6"/>
      <c r="C78" s="4" t="str">
        <f>C16</f>
        <v>&lt; Enter description &gt;</v>
      </c>
      <c r="D78" s="33"/>
      <c r="F78" s="82"/>
      <c r="G78" s="179">
        <f>input_dollars</f>
        <v>45291</v>
      </c>
      <c r="H78" s="28"/>
      <c r="I78" s="28" cm="1">
        <f t="array" ref="I78">SUMPRODUCT(($I73:I73))-SUMPRODUCT(($I73:I73)*($I$6:I$6&lt;=(I$6-$E16)))</f>
        <v>0</v>
      </c>
      <c r="J78" s="28" cm="1">
        <f t="array" ref="J78">SUMPRODUCT(($I73:J73))-SUMPRODUCT(($I73:J73)*($I$6:J$6&lt;=(J$6-$E16)))</f>
        <v>0</v>
      </c>
      <c r="K78" s="28" cm="1">
        <f t="array" ref="K78">SUMPRODUCT(($I73:K73))-SUMPRODUCT(($I73:K73)*($I$6:K$6&lt;=(K$6-$E16)))</f>
        <v>0</v>
      </c>
      <c r="L78" s="28" cm="1">
        <f t="array" ref="L78">SUMPRODUCT(($I73:L73))-SUMPRODUCT(($I73:L73)*($I$6:L$6&lt;=(L$6-$E16)))</f>
        <v>0</v>
      </c>
      <c r="M78" s="28" cm="1">
        <f t="array" ref="M78">SUMPRODUCT(($I73:M73))-SUMPRODUCT(($I73:M73)*($I$6:M$6&lt;=(M$6-$E16)))</f>
        <v>0</v>
      </c>
      <c r="N78" s="28" cm="1">
        <f t="array" ref="N78">SUMPRODUCT(($I73:N73))-SUMPRODUCT(($I73:N73)*($I$6:N$6&lt;=(N$6-$E16)))</f>
        <v>0</v>
      </c>
      <c r="O78" s="28" cm="1">
        <f t="array" ref="O78">SUMPRODUCT(($I73:O73))-SUMPRODUCT(($I73:O73)*($I$6:O$6&lt;=(O$6-$E16)))</f>
        <v>0</v>
      </c>
      <c r="P78" s="28" cm="1">
        <f t="array" ref="P78">SUMPRODUCT(($I73:P73))-SUMPRODUCT(($I73:P73)*($I$6:P$6&lt;=(P$6-$E16)))</f>
        <v>0</v>
      </c>
      <c r="Q78" s="28" cm="1">
        <f t="array" ref="Q78">SUMPRODUCT(($I73:Q73))-SUMPRODUCT(($I73:Q73)*($I$6:Q$6&lt;=(Q$6-$E16)))</f>
        <v>0</v>
      </c>
      <c r="R78" s="28" cm="1">
        <f t="array" ref="R78">SUMPRODUCT(($I73:R73))-SUMPRODUCT(($I73:R73)*($I$6:R$6&lt;=(R$6-$E16)))</f>
        <v>0</v>
      </c>
      <c r="S78" s="28" cm="1">
        <f t="array" ref="S78">SUMPRODUCT(($I73:S73))-SUMPRODUCT(($I73:S73)*($I$6:S$6&lt;=(S$6-$E16)))</f>
        <v>0</v>
      </c>
      <c r="T78" s="28" cm="1">
        <f t="array" ref="T78">SUMPRODUCT(($I73:T73))-SUMPRODUCT(($I73:T73)*($I$6:T$6&lt;=(T$6-$E16)))</f>
        <v>0</v>
      </c>
      <c r="U78" s="28" cm="1">
        <f t="array" ref="U78">SUMPRODUCT(($I73:U73))-SUMPRODUCT(($I73:U73)*($I$6:U$6&lt;=(U$6-$E16)))</f>
        <v>0</v>
      </c>
      <c r="V78" s="28" cm="1">
        <f t="array" ref="V78">SUMPRODUCT(($I73:V73))-SUMPRODUCT(($I73:V73)*($I$6:V$6&lt;=(V$6-$E16)))</f>
        <v>0</v>
      </c>
      <c r="W78" s="28" cm="1">
        <f t="array" ref="W78">SUMPRODUCT(($I73:W73))-SUMPRODUCT(($I73:W73)*($I$6:W$6&lt;=(W$6-$E16)))</f>
        <v>0</v>
      </c>
      <c r="X78" s="28" cm="1">
        <f t="array" ref="X78">SUMPRODUCT(($I73:X73))-SUMPRODUCT(($I73:X73)*($I$6:X$6&lt;=(X$6-$E16)))</f>
        <v>0</v>
      </c>
      <c r="Y78" s="28" cm="1">
        <f t="array" ref="Y78">SUMPRODUCT(($I73:Y73))-SUMPRODUCT(($I73:Y73)*($I$6:Y$6&lt;=(Y$6-$E16)))</f>
        <v>0</v>
      </c>
      <c r="Z78" s="28" cm="1">
        <f t="array" ref="Z78">SUMPRODUCT(($I73:Z73))-SUMPRODUCT(($I73:Z73)*($I$6:Z$6&lt;=(Z$6-$E16)))</f>
        <v>0</v>
      </c>
      <c r="AA78" s="28" cm="1">
        <f t="array" ref="AA78">SUMPRODUCT(($I73:AA73))-SUMPRODUCT(($I73:AA73)*($I$6:AA$6&lt;=(AA$6-$E16)))</f>
        <v>0</v>
      </c>
      <c r="AB78" s="28" cm="1">
        <f t="array" ref="AB78">SUMPRODUCT(($I73:AB73))-SUMPRODUCT(($I73:AB73)*($I$6:AB$6&lt;=(AB$6-$E16)))</f>
        <v>0</v>
      </c>
      <c r="AC78" s="28" cm="1">
        <f t="array" ref="AC78">SUMPRODUCT(($I73:AC73))-SUMPRODUCT(($I73:AC73)*($I$6:AC$6&lt;=(AC$6-$E16)))</f>
        <v>0</v>
      </c>
      <c r="AD78" s="28" cm="1">
        <f t="array" ref="AD78">SUMPRODUCT(($I73:AD73))-SUMPRODUCT(($I73:AD73)*($I$6:AD$6&lt;=(AD$6-$E16)))</f>
        <v>0</v>
      </c>
      <c r="AE78" s="28" cm="1">
        <f t="array" ref="AE78">SUMPRODUCT(($I73:AE73))-SUMPRODUCT(($I73:AE73)*($I$6:AE$6&lt;=(AE$6-$E16)))</f>
        <v>0</v>
      </c>
      <c r="AF78" s="28" cm="1">
        <f t="array" ref="AF78">SUMPRODUCT(($I73:AF73))-SUMPRODUCT(($I73:AF73)*($I$6:AF$6&lt;=(AF$6-$E16)))</f>
        <v>0</v>
      </c>
      <c r="AG78" s="28" cm="1">
        <f t="array" ref="AG78">SUMPRODUCT(($I73:AG73))-SUMPRODUCT(($I73:AG73)*($I$6:AG$6&lt;=(AG$6-$E16)))</f>
        <v>0</v>
      </c>
    </row>
    <row r="79" spans="1:43" x14ac:dyDescent="0.2">
      <c r="A79" s="6"/>
      <c r="B79" s="6"/>
      <c r="C79" s="4"/>
      <c r="D79" s="33"/>
      <c r="F79" s="82"/>
      <c r="G79" s="183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</row>
    <row r="80" spans="1:43" x14ac:dyDescent="0.2">
      <c r="A80" s="6"/>
      <c r="B80" s="6"/>
      <c r="C80" s="121" t="s">
        <v>133</v>
      </c>
      <c r="D80" s="33"/>
      <c r="F80" s="82"/>
      <c r="G80" s="182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</row>
    <row r="81" spans="1:33" x14ac:dyDescent="0.2">
      <c r="A81" s="6"/>
      <c r="B81" s="6"/>
      <c r="C81" s="4" t="str">
        <f>$C$80&amp;" - "&amp;C14</f>
        <v>Annualised capex - &lt; Enter description &gt;</v>
      </c>
      <c r="D81" s="33"/>
      <c r="F81" s="82"/>
      <c r="G81" s="179">
        <f>input_dollars</f>
        <v>45291</v>
      </c>
      <c r="H81" s="28"/>
      <c r="I81" s="28">
        <f t="shared" ref="I81:AG81" si="10">IF($E14=0,0,-PMT(real_disc, $E14,H76,))</f>
        <v>0</v>
      </c>
      <c r="J81" s="28">
        <f t="shared" si="10"/>
        <v>0</v>
      </c>
      <c r="K81" s="28">
        <f t="shared" si="10"/>
        <v>0</v>
      </c>
      <c r="L81" s="28">
        <f t="shared" si="10"/>
        <v>0</v>
      </c>
      <c r="M81" s="28">
        <f t="shared" si="10"/>
        <v>0</v>
      </c>
      <c r="N81" s="28">
        <f t="shared" si="10"/>
        <v>0</v>
      </c>
      <c r="O81" s="28">
        <f t="shared" si="10"/>
        <v>0</v>
      </c>
      <c r="P81" s="28">
        <f t="shared" si="10"/>
        <v>0</v>
      </c>
      <c r="Q81" s="28">
        <f t="shared" si="10"/>
        <v>0</v>
      </c>
      <c r="R81" s="28">
        <f t="shared" si="10"/>
        <v>0</v>
      </c>
      <c r="S81" s="28">
        <f t="shared" si="10"/>
        <v>0</v>
      </c>
      <c r="T81" s="28">
        <f t="shared" si="10"/>
        <v>0</v>
      </c>
      <c r="U81" s="28">
        <f t="shared" si="10"/>
        <v>0</v>
      </c>
      <c r="V81" s="28">
        <f t="shared" si="10"/>
        <v>0</v>
      </c>
      <c r="W81" s="28">
        <f t="shared" si="10"/>
        <v>0</v>
      </c>
      <c r="X81" s="28">
        <f t="shared" si="10"/>
        <v>0</v>
      </c>
      <c r="Y81" s="28">
        <f t="shared" si="10"/>
        <v>0</v>
      </c>
      <c r="Z81" s="28">
        <f t="shared" si="10"/>
        <v>0</v>
      </c>
      <c r="AA81" s="28">
        <f t="shared" si="10"/>
        <v>0</v>
      </c>
      <c r="AB81" s="28">
        <f t="shared" si="10"/>
        <v>0</v>
      </c>
      <c r="AC81" s="28">
        <f t="shared" si="10"/>
        <v>0</v>
      </c>
      <c r="AD81" s="28">
        <f t="shared" si="10"/>
        <v>0</v>
      </c>
      <c r="AE81" s="28">
        <f t="shared" si="10"/>
        <v>0</v>
      </c>
      <c r="AF81" s="28">
        <f t="shared" si="10"/>
        <v>0</v>
      </c>
      <c r="AG81" s="28">
        <f t="shared" si="10"/>
        <v>0</v>
      </c>
    </row>
    <row r="82" spans="1:33" x14ac:dyDescent="0.2">
      <c r="A82" s="6"/>
      <c r="B82" s="6"/>
      <c r="C82" s="4" t="str">
        <f>$C$80&amp;" - "&amp;C15</f>
        <v>Annualised capex - &lt; Enter description &gt;</v>
      </c>
      <c r="D82" s="33"/>
      <c r="F82" s="82"/>
      <c r="G82" s="179">
        <f>input_dollars</f>
        <v>45291</v>
      </c>
      <c r="H82" s="28"/>
      <c r="I82" s="28">
        <f t="shared" ref="I82:AG82" si="11">IF($E15=0,0,-PMT(real_disc, $E15,H77,))</f>
        <v>0</v>
      </c>
      <c r="J82" s="28">
        <f t="shared" si="11"/>
        <v>0</v>
      </c>
      <c r="K82" s="28">
        <f t="shared" si="11"/>
        <v>0</v>
      </c>
      <c r="L82" s="28">
        <f t="shared" si="11"/>
        <v>0</v>
      </c>
      <c r="M82" s="28">
        <f t="shared" si="11"/>
        <v>0</v>
      </c>
      <c r="N82" s="28">
        <f t="shared" si="11"/>
        <v>0</v>
      </c>
      <c r="O82" s="28">
        <f t="shared" si="11"/>
        <v>0</v>
      </c>
      <c r="P82" s="28">
        <f t="shared" si="11"/>
        <v>0</v>
      </c>
      <c r="Q82" s="28">
        <f t="shared" si="11"/>
        <v>0</v>
      </c>
      <c r="R82" s="28">
        <f t="shared" si="11"/>
        <v>0</v>
      </c>
      <c r="S82" s="28">
        <f t="shared" si="11"/>
        <v>0</v>
      </c>
      <c r="T82" s="28">
        <f t="shared" si="11"/>
        <v>0</v>
      </c>
      <c r="U82" s="28">
        <f t="shared" si="11"/>
        <v>0</v>
      </c>
      <c r="V82" s="28">
        <f t="shared" si="11"/>
        <v>0</v>
      </c>
      <c r="W82" s="28">
        <f t="shared" si="11"/>
        <v>0</v>
      </c>
      <c r="X82" s="28">
        <f t="shared" si="11"/>
        <v>0</v>
      </c>
      <c r="Y82" s="28">
        <f t="shared" si="11"/>
        <v>0</v>
      </c>
      <c r="Z82" s="28">
        <f t="shared" si="11"/>
        <v>0</v>
      </c>
      <c r="AA82" s="28">
        <f t="shared" si="11"/>
        <v>0</v>
      </c>
      <c r="AB82" s="28">
        <f t="shared" si="11"/>
        <v>0</v>
      </c>
      <c r="AC82" s="28">
        <f t="shared" si="11"/>
        <v>0</v>
      </c>
      <c r="AD82" s="28">
        <f t="shared" si="11"/>
        <v>0</v>
      </c>
      <c r="AE82" s="28">
        <f t="shared" si="11"/>
        <v>0</v>
      </c>
      <c r="AF82" s="28">
        <f t="shared" si="11"/>
        <v>0</v>
      </c>
      <c r="AG82" s="28">
        <f t="shared" si="11"/>
        <v>0</v>
      </c>
    </row>
    <row r="83" spans="1:33" x14ac:dyDescent="0.2">
      <c r="A83" s="6"/>
      <c r="B83" s="6"/>
      <c r="C83" s="4" t="str">
        <f>$C$80&amp;" - "&amp;C16</f>
        <v>Annualised capex - &lt; Enter description &gt;</v>
      </c>
      <c r="D83" s="33"/>
      <c r="F83" s="82"/>
      <c r="G83" s="179">
        <f>input_dollars</f>
        <v>45291</v>
      </c>
      <c r="H83" s="28"/>
      <c r="I83" s="28">
        <f t="shared" ref="I83:AG83" si="12">IF($E16=0,0,-PMT(real_disc, $E16,H78,))</f>
        <v>0</v>
      </c>
      <c r="J83" s="28">
        <f t="shared" si="12"/>
        <v>0</v>
      </c>
      <c r="K83" s="28">
        <f t="shared" si="12"/>
        <v>0</v>
      </c>
      <c r="L83" s="28">
        <f t="shared" si="12"/>
        <v>0</v>
      </c>
      <c r="M83" s="28">
        <f t="shared" si="12"/>
        <v>0</v>
      </c>
      <c r="N83" s="28">
        <f t="shared" si="12"/>
        <v>0</v>
      </c>
      <c r="O83" s="28">
        <f t="shared" si="12"/>
        <v>0</v>
      </c>
      <c r="P83" s="28">
        <f t="shared" si="12"/>
        <v>0</v>
      </c>
      <c r="Q83" s="28">
        <f t="shared" si="12"/>
        <v>0</v>
      </c>
      <c r="R83" s="28">
        <f t="shared" si="12"/>
        <v>0</v>
      </c>
      <c r="S83" s="28">
        <f t="shared" si="12"/>
        <v>0</v>
      </c>
      <c r="T83" s="28">
        <f t="shared" si="12"/>
        <v>0</v>
      </c>
      <c r="U83" s="28">
        <f t="shared" si="12"/>
        <v>0</v>
      </c>
      <c r="V83" s="28">
        <f t="shared" si="12"/>
        <v>0</v>
      </c>
      <c r="W83" s="28">
        <f t="shared" si="12"/>
        <v>0</v>
      </c>
      <c r="X83" s="28">
        <f t="shared" si="12"/>
        <v>0</v>
      </c>
      <c r="Y83" s="28">
        <f t="shared" si="12"/>
        <v>0</v>
      </c>
      <c r="Z83" s="28">
        <f t="shared" si="12"/>
        <v>0</v>
      </c>
      <c r="AA83" s="28">
        <f t="shared" si="12"/>
        <v>0</v>
      </c>
      <c r="AB83" s="28">
        <f t="shared" si="12"/>
        <v>0</v>
      </c>
      <c r="AC83" s="28">
        <f t="shared" si="12"/>
        <v>0</v>
      </c>
      <c r="AD83" s="28">
        <f t="shared" si="12"/>
        <v>0</v>
      </c>
      <c r="AE83" s="28">
        <f t="shared" si="12"/>
        <v>0</v>
      </c>
      <c r="AF83" s="28">
        <f t="shared" si="12"/>
        <v>0</v>
      </c>
      <c r="AG83" s="28">
        <f t="shared" si="12"/>
        <v>0</v>
      </c>
    </row>
    <row r="84" spans="1:33" x14ac:dyDescent="0.2">
      <c r="A84" s="6"/>
      <c r="B84" s="6"/>
      <c r="C84" s="144" t="s">
        <v>134</v>
      </c>
      <c r="D84" s="144"/>
      <c r="E84" s="145"/>
      <c r="F84" s="146"/>
      <c r="G84" s="184">
        <f>input_dollars</f>
        <v>45291</v>
      </c>
      <c r="H84" s="147"/>
      <c r="I84" s="147">
        <f>SUM(I81:I83)</f>
        <v>0</v>
      </c>
      <c r="J84" s="147">
        <f t="shared" ref="J84:AB84" si="13">SUM(J81:J83)</f>
        <v>0</v>
      </c>
      <c r="K84" s="147">
        <f t="shared" si="13"/>
        <v>0</v>
      </c>
      <c r="L84" s="147">
        <f t="shared" si="13"/>
        <v>0</v>
      </c>
      <c r="M84" s="147">
        <f t="shared" si="13"/>
        <v>0</v>
      </c>
      <c r="N84" s="147">
        <f t="shared" si="13"/>
        <v>0</v>
      </c>
      <c r="O84" s="147">
        <f t="shared" si="13"/>
        <v>0</v>
      </c>
      <c r="P84" s="147">
        <f t="shared" si="13"/>
        <v>0</v>
      </c>
      <c r="Q84" s="147">
        <f t="shared" si="13"/>
        <v>0</v>
      </c>
      <c r="R84" s="147">
        <f t="shared" si="13"/>
        <v>0</v>
      </c>
      <c r="S84" s="147">
        <f t="shared" si="13"/>
        <v>0</v>
      </c>
      <c r="T84" s="147">
        <f t="shared" si="13"/>
        <v>0</v>
      </c>
      <c r="U84" s="147">
        <f t="shared" si="13"/>
        <v>0</v>
      </c>
      <c r="V84" s="147">
        <f t="shared" si="13"/>
        <v>0</v>
      </c>
      <c r="W84" s="147">
        <f t="shared" si="13"/>
        <v>0</v>
      </c>
      <c r="X84" s="147">
        <f t="shared" si="13"/>
        <v>0</v>
      </c>
      <c r="Y84" s="147">
        <f t="shared" si="13"/>
        <v>0</v>
      </c>
      <c r="Z84" s="147">
        <f t="shared" si="13"/>
        <v>0</v>
      </c>
      <c r="AA84" s="147">
        <f t="shared" si="13"/>
        <v>0</v>
      </c>
      <c r="AB84" s="147">
        <f t="shared" si="13"/>
        <v>0</v>
      </c>
      <c r="AC84" s="147">
        <f>SUM(AC81:AC83)</f>
        <v>0</v>
      </c>
      <c r="AD84" s="147">
        <f>SUM(AD81:AD83)</f>
        <v>0</v>
      </c>
      <c r="AE84" s="147">
        <f>SUM(AE81:AE83)</f>
        <v>0</v>
      </c>
      <c r="AF84" s="147">
        <f>SUM(AF81:AF83)</f>
        <v>0</v>
      </c>
      <c r="AG84" s="147">
        <f>SUM(AG81:AG83)</f>
        <v>0</v>
      </c>
    </row>
    <row r="85" spans="1:33" x14ac:dyDescent="0.2">
      <c r="A85" s="6"/>
      <c r="B85" s="6"/>
      <c r="C85" s="12"/>
      <c r="D85" s="33"/>
      <c r="F85"/>
      <c r="G85" s="1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x14ac:dyDescent="0.2">
      <c r="A86" s="6"/>
      <c r="B86" s="6"/>
      <c r="C86" s="4" t="s">
        <v>133</v>
      </c>
      <c r="D86" s="33"/>
      <c r="F86" s="82"/>
      <c r="G86" s="179">
        <f t="shared" ref="G86:G91" si="14">input_dollars</f>
        <v>45291</v>
      </c>
      <c r="H86" s="28"/>
      <c r="I86" s="28">
        <f>I84</f>
        <v>0</v>
      </c>
      <c r="J86" s="28">
        <f t="shared" ref="J86:AB86" si="15">J84</f>
        <v>0</v>
      </c>
      <c r="K86" s="28">
        <f t="shared" si="15"/>
        <v>0</v>
      </c>
      <c r="L86" s="28">
        <f t="shared" si="15"/>
        <v>0</v>
      </c>
      <c r="M86" s="28">
        <f t="shared" si="15"/>
        <v>0</v>
      </c>
      <c r="N86" s="28">
        <f t="shared" si="15"/>
        <v>0</v>
      </c>
      <c r="O86" s="28">
        <f t="shared" si="15"/>
        <v>0</v>
      </c>
      <c r="P86" s="28">
        <f t="shared" si="15"/>
        <v>0</v>
      </c>
      <c r="Q86" s="28">
        <f t="shared" si="15"/>
        <v>0</v>
      </c>
      <c r="R86" s="28">
        <f t="shared" si="15"/>
        <v>0</v>
      </c>
      <c r="S86" s="28">
        <f t="shared" si="15"/>
        <v>0</v>
      </c>
      <c r="T86" s="28">
        <f t="shared" si="15"/>
        <v>0</v>
      </c>
      <c r="U86" s="28">
        <f t="shared" si="15"/>
        <v>0</v>
      </c>
      <c r="V86" s="28">
        <f t="shared" si="15"/>
        <v>0</v>
      </c>
      <c r="W86" s="28">
        <f t="shared" si="15"/>
        <v>0</v>
      </c>
      <c r="X86" s="28">
        <f t="shared" si="15"/>
        <v>0</v>
      </c>
      <c r="Y86" s="28">
        <f t="shared" si="15"/>
        <v>0</v>
      </c>
      <c r="Z86" s="28">
        <f t="shared" si="15"/>
        <v>0</v>
      </c>
      <c r="AA86" s="28">
        <f t="shared" si="15"/>
        <v>0</v>
      </c>
      <c r="AB86" s="28">
        <f t="shared" si="15"/>
        <v>0</v>
      </c>
      <c r="AC86" s="28">
        <f>AC84</f>
        <v>0</v>
      </c>
      <c r="AD86" s="28">
        <f>AD84</f>
        <v>0</v>
      </c>
      <c r="AE86" s="28">
        <f>AE84</f>
        <v>0</v>
      </c>
      <c r="AF86" s="28">
        <f>AF84</f>
        <v>0</v>
      </c>
      <c r="AG86" s="28">
        <f>AG84</f>
        <v>0</v>
      </c>
    </row>
    <row r="87" spans="1:33" x14ac:dyDescent="0.2">
      <c r="A87" s="6"/>
      <c r="B87" s="6"/>
      <c r="C87" s="4" t="s">
        <v>16</v>
      </c>
      <c r="D87" s="33"/>
      <c r="F87" s="82"/>
      <c r="G87" s="179">
        <f t="shared" si="14"/>
        <v>45291</v>
      </c>
      <c r="H87" s="28"/>
      <c r="I87" s="28">
        <f t="shared" ref="I87:AG87" si="16">-I19</f>
        <v>0</v>
      </c>
      <c r="J87" s="28">
        <f t="shared" si="16"/>
        <v>0</v>
      </c>
      <c r="K87" s="28">
        <f t="shared" si="16"/>
        <v>0</v>
      </c>
      <c r="L87" s="28">
        <f t="shared" si="16"/>
        <v>0</v>
      </c>
      <c r="M87" s="28">
        <f t="shared" si="16"/>
        <v>0</v>
      </c>
      <c r="N87" s="28">
        <f t="shared" si="16"/>
        <v>0</v>
      </c>
      <c r="O87" s="28">
        <f t="shared" si="16"/>
        <v>0</v>
      </c>
      <c r="P87" s="28">
        <f t="shared" si="16"/>
        <v>0</v>
      </c>
      <c r="Q87" s="28">
        <f t="shared" si="16"/>
        <v>0</v>
      </c>
      <c r="R87" s="28">
        <f t="shared" si="16"/>
        <v>0</v>
      </c>
      <c r="S87" s="28">
        <f t="shared" si="16"/>
        <v>0</v>
      </c>
      <c r="T87" s="28">
        <f t="shared" si="16"/>
        <v>0</v>
      </c>
      <c r="U87" s="28">
        <f t="shared" si="16"/>
        <v>0</v>
      </c>
      <c r="V87" s="28">
        <f t="shared" si="16"/>
        <v>0</v>
      </c>
      <c r="W87" s="28">
        <f t="shared" si="16"/>
        <v>0</v>
      </c>
      <c r="X87" s="28">
        <f t="shared" si="16"/>
        <v>0</v>
      </c>
      <c r="Y87" s="28">
        <f t="shared" si="16"/>
        <v>0</v>
      </c>
      <c r="Z87" s="28">
        <f t="shared" si="16"/>
        <v>0</v>
      </c>
      <c r="AA87" s="28">
        <f t="shared" si="16"/>
        <v>0</v>
      </c>
      <c r="AB87" s="28">
        <f t="shared" si="16"/>
        <v>0</v>
      </c>
      <c r="AC87" s="28">
        <f t="shared" si="16"/>
        <v>0</v>
      </c>
      <c r="AD87" s="28">
        <f t="shared" si="16"/>
        <v>0</v>
      </c>
      <c r="AE87" s="28">
        <f t="shared" si="16"/>
        <v>0</v>
      </c>
      <c r="AF87" s="28">
        <f t="shared" si="16"/>
        <v>0</v>
      </c>
      <c r="AG87" s="28">
        <f t="shared" si="16"/>
        <v>0</v>
      </c>
    </row>
    <row r="88" spans="1:33" x14ac:dyDescent="0.2">
      <c r="A88" s="6"/>
      <c r="B88" s="6"/>
      <c r="C88" s="4" t="s">
        <v>135</v>
      </c>
      <c r="D88" s="33"/>
      <c r="F88" s="82"/>
      <c r="G88" s="179">
        <f t="shared" si="14"/>
        <v>45291</v>
      </c>
      <c r="H88" s="28"/>
      <c r="I88" s="28">
        <f>I68</f>
        <v>0</v>
      </c>
      <c r="J88" s="28">
        <f t="shared" ref="J88:AB88" si="17">J68</f>
        <v>0</v>
      </c>
      <c r="K88" s="28">
        <f t="shared" si="17"/>
        <v>0</v>
      </c>
      <c r="L88" s="28">
        <f t="shared" si="17"/>
        <v>0</v>
      </c>
      <c r="M88" s="28">
        <f t="shared" si="17"/>
        <v>0</v>
      </c>
      <c r="N88" s="28">
        <f t="shared" si="17"/>
        <v>0</v>
      </c>
      <c r="O88" s="28">
        <f t="shared" si="17"/>
        <v>0</v>
      </c>
      <c r="P88" s="28">
        <f t="shared" si="17"/>
        <v>0</v>
      </c>
      <c r="Q88" s="28">
        <f t="shared" si="17"/>
        <v>0</v>
      </c>
      <c r="R88" s="28">
        <f t="shared" si="17"/>
        <v>0</v>
      </c>
      <c r="S88" s="28">
        <f t="shared" si="17"/>
        <v>0</v>
      </c>
      <c r="T88" s="28">
        <f t="shared" si="17"/>
        <v>0</v>
      </c>
      <c r="U88" s="28">
        <f t="shared" si="17"/>
        <v>0</v>
      </c>
      <c r="V88" s="28">
        <f t="shared" si="17"/>
        <v>0</v>
      </c>
      <c r="W88" s="28">
        <f t="shared" si="17"/>
        <v>0</v>
      </c>
      <c r="X88" s="28">
        <f t="shared" si="17"/>
        <v>0</v>
      </c>
      <c r="Y88" s="28">
        <f t="shared" si="17"/>
        <v>0</v>
      </c>
      <c r="Z88" s="28">
        <f t="shared" si="17"/>
        <v>0</v>
      </c>
      <c r="AA88" s="28">
        <f t="shared" si="17"/>
        <v>0</v>
      </c>
      <c r="AB88" s="28">
        <f t="shared" si="17"/>
        <v>0</v>
      </c>
      <c r="AC88" s="28">
        <f>AC68</f>
        <v>0</v>
      </c>
      <c r="AD88" s="28">
        <f>AD68</f>
        <v>0</v>
      </c>
      <c r="AE88" s="28">
        <f>AE68</f>
        <v>0</v>
      </c>
      <c r="AF88" s="28">
        <f>AF68</f>
        <v>0</v>
      </c>
      <c r="AG88" s="28">
        <f>AG68</f>
        <v>0</v>
      </c>
    </row>
    <row r="89" spans="1:33" x14ac:dyDescent="0.2">
      <c r="A89" s="6"/>
      <c r="B89" s="6"/>
      <c r="C89" s="4" t="s">
        <v>136</v>
      </c>
      <c r="D89" s="33"/>
      <c r="F89" s="82"/>
      <c r="G89" s="179">
        <f t="shared" si="14"/>
        <v>45291</v>
      </c>
      <c r="H89" s="28"/>
      <c r="I89" s="28">
        <f t="shared" ref="I89:AG89" si="18">I61</f>
        <v>0</v>
      </c>
      <c r="J89" s="28">
        <f t="shared" si="18"/>
        <v>0</v>
      </c>
      <c r="K89" s="28">
        <f t="shared" si="18"/>
        <v>0</v>
      </c>
      <c r="L89" s="28">
        <f t="shared" si="18"/>
        <v>0</v>
      </c>
      <c r="M89" s="28">
        <f t="shared" si="18"/>
        <v>0</v>
      </c>
      <c r="N89" s="28">
        <f t="shared" si="18"/>
        <v>0</v>
      </c>
      <c r="O89" s="28">
        <f t="shared" si="18"/>
        <v>0</v>
      </c>
      <c r="P89" s="28">
        <f t="shared" si="18"/>
        <v>0</v>
      </c>
      <c r="Q89" s="28">
        <f t="shared" si="18"/>
        <v>0</v>
      </c>
      <c r="R89" s="28">
        <f t="shared" si="18"/>
        <v>0</v>
      </c>
      <c r="S89" s="28">
        <f t="shared" si="18"/>
        <v>0</v>
      </c>
      <c r="T89" s="28">
        <f t="shared" si="18"/>
        <v>0</v>
      </c>
      <c r="U89" s="28">
        <f t="shared" si="18"/>
        <v>0</v>
      </c>
      <c r="V89" s="28">
        <f t="shared" si="18"/>
        <v>0</v>
      </c>
      <c r="W89" s="28">
        <f t="shared" si="18"/>
        <v>0</v>
      </c>
      <c r="X89" s="28">
        <f t="shared" si="18"/>
        <v>0</v>
      </c>
      <c r="Y89" s="28">
        <f t="shared" si="18"/>
        <v>0</v>
      </c>
      <c r="Z89" s="28">
        <f t="shared" si="18"/>
        <v>0</v>
      </c>
      <c r="AA89" s="28">
        <f t="shared" si="18"/>
        <v>0</v>
      </c>
      <c r="AB89" s="28">
        <f t="shared" si="18"/>
        <v>0</v>
      </c>
      <c r="AC89" s="28">
        <f t="shared" si="18"/>
        <v>0</v>
      </c>
      <c r="AD89" s="28">
        <f t="shared" si="18"/>
        <v>0</v>
      </c>
      <c r="AE89" s="28">
        <f t="shared" si="18"/>
        <v>0</v>
      </c>
      <c r="AF89" s="28">
        <f t="shared" si="18"/>
        <v>0</v>
      </c>
      <c r="AG89" s="28">
        <f t="shared" si="18"/>
        <v>0</v>
      </c>
    </row>
    <row r="90" spans="1:33" x14ac:dyDescent="0.2">
      <c r="A90" s="6"/>
      <c r="B90" s="6"/>
      <c r="C90" s="4"/>
      <c r="D90" s="33"/>
      <c r="F90" s="28"/>
      <c r="G90" s="179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</row>
    <row r="91" spans="1:33" x14ac:dyDescent="0.2">
      <c r="A91" s="6"/>
      <c r="B91" s="6"/>
      <c r="C91" s="151" t="s">
        <v>137</v>
      </c>
      <c r="D91" s="149"/>
      <c r="E91" s="145"/>
      <c r="F91" s="150"/>
      <c r="G91" s="184">
        <f t="shared" si="14"/>
        <v>45291</v>
      </c>
      <c r="H91" s="150"/>
      <c r="I91" s="150">
        <f t="shared" ref="I91:AB91" si="19">SUM(I86:I90)</f>
        <v>0</v>
      </c>
      <c r="J91" s="150">
        <f t="shared" si="19"/>
        <v>0</v>
      </c>
      <c r="K91" s="150">
        <f t="shared" si="19"/>
        <v>0</v>
      </c>
      <c r="L91" s="150">
        <f t="shared" si="19"/>
        <v>0</v>
      </c>
      <c r="M91" s="150">
        <f t="shared" si="19"/>
        <v>0</v>
      </c>
      <c r="N91" s="150">
        <f t="shared" si="19"/>
        <v>0</v>
      </c>
      <c r="O91" s="150">
        <f t="shared" si="19"/>
        <v>0</v>
      </c>
      <c r="P91" s="150">
        <f t="shared" si="19"/>
        <v>0</v>
      </c>
      <c r="Q91" s="150">
        <f t="shared" si="19"/>
        <v>0</v>
      </c>
      <c r="R91" s="150">
        <f t="shared" si="19"/>
        <v>0</v>
      </c>
      <c r="S91" s="150">
        <f t="shared" si="19"/>
        <v>0</v>
      </c>
      <c r="T91" s="150">
        <f t="shared" si="19"/>
        <v>0</v>
      </c>
      <c r="U91" s="150">
        <f t="shared" si="19"/>
        <v>0</v>
      </c>
      <c r="V91" s="150">
        <f t="shared" si="19"/>
        <v>0</v>
      </c>
      <c r="W91" s="150">
        <f t="shared" si="19"/>
        <v>0</v>
      </c>
      <c r="X91" s="150">
        <f t="shared" si="19"/>
        <v>0</v>
      </c>
      <c r="Y91" s="150">
        <f t="shared" si="19"/>
        <v>0</v>
      </c>
      <c r="Z91" s="150">
        <f t="shared" si="19"/>
        <v>0</v>
      </c>
      <c r="AA91" s="150">
        <f t="shared" si="19"/>
        <v>0</v>
      </c>
      <c r="AB91" s="150">
        <f t="shared" si="19"/>
        <v>0</v>
      </c>
      <c r="AC91" s="150">
        <f>SUM(AC86:AC90)</f>
        <v>0</v>
      </c>
      <c r="AD91" s="150">
        <f>SUM(AD86:AD90)</f>
        <v>0</v>
      </c>
      <c r="AE91" s="150">
        <f>SUM(AE86:AE90)</f>
        <v>0</v>
      </c>
      <c r="AF91" s="150">
        <f>SUM(AF86:AF90)</f>
        <v>0</v>
      </c>
      <c r="AG91" s="150">
        <f>SUM(AG86:AG90)</f>
        <v>0</v>
      </c>
    </row>
    <row r="92" spans="1:33" x14ac:dyDescent="0.2">
      <c r="A92" s="6"/>
      <c r="B92" s="6"/>
      <c r="C92" s="12"/>
      <c r="D92" s="33"/>
      <c r="F92" s="114"/>
      <c r="G92" s="17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</row>
    <row r="93" spans="1:33" x14ac:dyDescent="0.2">
      <c r="A93" s="6"/>
      <c r="B93" s="6"/>
      <c r="C93" s="12"/>
      <c r="D93" s="33"/>
      <c r="F93" s="114"/>
      <c r="G93" s="17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</row>
    <row r="94" spans="1:33" x14ac:dyDescent="0.2">
      <c r="A94" s="6"/>
      <c r="B94" s="6"/>
      <c r="C94" s="198"/>
      <c r="D94" s="71"/>
      <c r="E94" s="199"/>
      <c r="F94" s="200"/>
      <c r="G94" s="199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x14ac:dyDescent="0.2">
      <c r="C95" s="199"/>
      <c r="D95" s="199"/>
      <c r="E95" s="199"/>
      <c r="F95" s="199"/>
      <c r="G95" s="199"/>
    </row>
    <row r="96" spans="1:33" x14ac:dyDescent="0.2">
      <c r="C96" s="199"/>
      <c r="D96" s="199"/>
      <c r="E96" s="199"/>
      <c r="F96" s="199"/>
      <c r="G96" s="199"/>
    </row>
    <row r="98" spans="1:43" x14ac:dyDescent="0.2">
      <c r="G98" s="10"/>
    </row>
    <row r="106" spans="1:43" ht="15" x14ac:dyDescent="0.2">
      <c r="A106" s="76" t="s">
        <v>20</v>
      </c>
      <c r="B106" s="76"/>
      <c r="C106" s="76"/>
      <c r="D106" s="76"/>
      <c r="E106" s="76"/>
      <c r="F106" s="76"/>
      <c r="G106" s="173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/>
      <c r="AI106"/>
      <c r="AJ106"/>
      <c r="AK106"/>
      <c r="AL106"/>
      <c r="AM106"/>
      <c r="AN106"/>
      <c r="AO106"/>
      <c r="AP106"/>
      <c r="AQ106"/>
    </row>
    <row r="108" spans="1:43" x14ac:dyDescent="0.2">
      <c r="I108" s="208"/>
      <c r="J108" s="208"/>
      <c r="K108" s="208"/>
      <c r="L108" s="208"/>
      <c r="M108" s="208"/>
      <c r="N108" s="208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spans="1:43" x14ac:dyDescent="0.2">
      <c r="E109"/>
      <c r="F109"/>
      <c r="G109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spans="1:43" x14ac:dyDescent="0.2">
      <c r="A110" s="1" t="s">
        <v>7</v>
      </c>
      <c r="C110" s="1" t="s">
        <v>137</v>
      </c>
      <c r="D110"/>
      <c r="E110"/>
      <c r="F110"/>
      <c r="G110" s="33" t="str">
        <f>PROPER($A$3)&amp;A110</f>
        <v>Option 1 (Base Case)NPV</v>
      </c>
      <c r="I110" s="28">
        <f>I91</f>
        <v>0</v>
      </c>
      <c r="J110" s="28">
        <f t="shared" ref="J110:AG110" si="20">J91</f>
        <v>0</v>
      </c>
      <c r="K110" s="28">
        <f t="shared" si="20"/>
        <v>0</v>
      </c>
      <c r="L110" s="28">
        <f t="shared" si="20"/>
        <v>0</v>
      </c>
      <c r="M110" s="28">
        <f t="shared" si="20"/>
        <v>0</v>
      </c>
      <c r="N110" s="28">
        <f t="shared" si="20"/>
        <v>0</v>
      </c>
      <c r="O110" s="28">
        <f t="shared" si="20"/>
        <v>0</v>
      </c>
      <c r="P110" s="28">
        <f t="shared" si="20"/>
        <v>0</v>
      </c>
      <c r="Q110" s="28">
        <f t="shared" si="20"/>
        <v>0</v>
      </c>
      <c r="R110" s="28">
        <f t="shared" si="20"/>
        <v>0</v>
      </c>
      <c r="S110" s="28">
        <f t="shared" si="20"/>
        <v>0</v>
      </c>
      <c r="T110" s="28">
        <f t="shared" si="20"/>
        <v>0</v>
      </c>
      <c r="U110" s="28">
        <f t="shared" si="20"/>
        <v>0</v>
      </c>
      <c r="V110" s="28">
        <f t="shared" si="20"/>
        <v>0</v>
      </c>
      <c r="W110" s="28">
        <f t="shared" si="20"/>
        <v>0</v>
      </c>
      <c r="X110" s="28">
        <f t="shared" si="20"/>
        <v>0</v>
      </c>
      <c r="Y110" s="28">
        <f t="shared" si="20"/>
        <v>0</v>
      </c>
      <c r="Z110" s="28">
        <f t="shared" si="20"/>
        <v>0</v>
      </c>
      <c r="AA110" s="28">
        <f t="shared" si="20"/>
        <v>0</v>
      </c>
      <c r="AB110" s="28">
        <f t="shared" si="20"/>
        <v>0</v>
      </c>
      <c r="AC110" s="28">
        <f t="shared" si="20"/>
        <v>0</v>
      </c>
      <c r="AD110" s="28">
        <f t="shared" si="20"/>
        <v>0</v>
      </c>
      <c r="AE110" s="28">
        <f t="shared" si="20"/>
        <v>0</v>
      </c>
      <c r="AF110" s="28">
        <f t="shared" si="20"/>
        <v>0</v>
      </c>
      <c r="AG110" s="28">
        <f t="shared" si="20"/>
        <v>0</v>
      </c>
    </row>
    <row r="111" spans="1:43" x14ac:dyDescent="0.2">
      <c r="C111" s="1" t="s">
        <v>134</v>
      </c>
      <c r="D111"/>
      <c r="E111"/>
      <c r="F111"/>
      <c r="G111"/>
      <c r="I111" s="28">
        <f>I86</f>
        <v>0</v>
      </c>
      <c r="J111" s="28">
        <f t="shared" ref="J111:AG111" si="21">J86</f>
        <v>0</v>
      </c>
      <c r="K111" s="28">
        <f t="shared" si="21"/>
        <v>0</v>
      </c>
      <c r="L111" s="28">
        <f t="shared" si="21"/>
        <v>0</v>
      </c>
      <c r="M111" s="28">
        <f t="shared" si="21"/>
        <v>0</v>
      </c>
      <c r="N111" s="28">
        <f t="shared" si="21"/>
        <v>0</v>
      </c>
      <c r="O111" s="28">
        <f t="shared" si="21"/>
        <v>0</v>
      </c>
      <c r="P111" s="28">
        <f t="shared" si="21"/>
        <v>0</v>
      </c>
      <c r="Q111" s="28">
        <f t="shared" si="21"/>
        <v>0</v>
      </c>
      <c r="R111" s="28">
        <f t="shared" si="21"/>
        <v>0</v>
      </c>
      <c r="S111" s="28">
        <f t="shared" si="21"/>
        <v>0</v>
      </c>
      <c r="T111" s="28">
        <f t="shared" si="21"/>
        <v>0</v>
      </c>
      <c r="U111" s="28">
        <f t="shared" si="21"/>
        <v>0</v>
      </c>
      <c r="V111" s="28">
        <f t="shared" si="21"/>
        <v>0</v>
      </c>
      <c r="W111" s="28">
        <f t="shared" si="21"/>
        <v>0</v>
      </c>
      <c r="X111" s="28">
        <f t="shared" si="21"/>
        <v>0</v>
      </c>
      <c r="Y111" s="28">
        <f t="shared" si="21"/>
        <v>0</v>
      </c>
      <c r="Z111" s="28">
        <f t="shared" si="21"/>
        <v>0</v>
      </c>
      <c r="AA111" s="28">
        <f t="shared" si="21"/>
        <v>0</v>
      </c>
      <c r="AB111" s="28">
        <f t="shared" si="21"/>
        <v>0</v>
      </c>
      <c r="AC111" s="28">
        <f t="shared" si="21"/>
        <v>0</v>
      </c>
      <c r="AD111" s="28">
        <f t="shared" si="21"/>
        <v>0</v>
      </c>
      <c r="AE111" s="28">
        <f t="shared" si="21"/>
        <v>0</v>
      </c>
      <c r="AF111" s="28">
        <f t="shared" si="21"/>
        <v>0</v>
      </c>
      <c r="AG111" s="28">
        <f t="shared" si="21"/>
        <v>0</v>
      </c>
    </row>
    <row r="112" spans="1:43" x14ac:dyDescent="0.2">
      <c r="C112" s="1" t="s">
        <v>89</v>
      </c>
      <c r="D112" s="216"/>
      <c r="E112" s="33"/>
      <c r="I112" s="28">
        <f>SUM(I88:I89)</f>
        <v>0</v>
      </c>
      <c r="J112" s="28">
        <f t="shared" ref="J112:AG112" si="22">SUM(J88:J89)</f>
        <v>0</v>
      </c>
      <c r="K112" s="28">
        <f t="shared" si="22"/>
        <v>0</v>
      </c>
      <c r="L112" s="28">
        <f t="shared" si="22"/>
        <v>0</v>
      </c>
      <c r="M112" s="28">
        <f t="shared" si="22"/>
        <v>0</v>
      </c>
      <c r="N112" s="28">
        <f t="shared" si="22"/>
        <v>0</v>
      </c>
      <c r="O112" s="28">
        <f t="shared" si="22"/>
        <v>0</v>
      </c>
      <c r="P112" s="28">
        <f t="shared" si="22"/>
        <v>0</v>
      </c>
      <c r="Q112" s="28">
        <f t="shared" si="22"/>
        <v>0</v>
      </c>
      <c r="R112" s="28">
        <f t="shared" si="22"/>
        <v>0</v>
      </c>
      <c r="S112" s="28">
        <f t="shared" si="22"/>
        <v>0</v>
      </c>
      <c r="T112" s="28">
        <f t="shared" si="22"/>
        <v>0</v>
      </c>
      <c r="U112" s="28">
        <f t="shared" si="22"/>
        <v>0</v>
      </c>
      <c r="V112" s="28">
        <f t="shared" si="22"/>
        <v>0</v>
      </c>
      <c r="W112" s="28">
        <f t="shared" si="22"/>
        <v>0</v>
      </c>
      <c r="X112" s="28">
        <f t="shared" si="22"/>
        <v>0</v>
      </c>
      <c r="Y112" s="28">
        <f t="shared" si="22"/>
        <v>0</v>
      </c>
      <c r="Z112" s="28">
        <f t="shared" si="22"/>
        <v>0</v>
      </c>
      <c r="AA112" s="28">
        <f t="shared" si="22"/>
        <v>0</v>
      </c>
      <c r="AB112" s="28">
        <f t="shared" si="22"/>
        <v>0</v>
      </c>
      <c r="AC112" s="28">
        <f t="shared" si="22"/>
        <v>0</v>
      </c>
      <c r="AD112" s="28">
        <f t="shared" si="22"/>
        <v>0</v>
      </c>
      <c r="AE112" s="28">
        <f t="shared" si="22"/>
        <v>0</v>
      </c>
      <c r="AF112" s="28">
        <f t="shared" si="22"/>
        <v>0</v>
      </c>
      <c r="AG112" s="28">
        <f t="shared" si="22"/>
        <v>0</v>
      </c>
    </row>
    <row r="113" spans="1:33" x14ac:dyDescent="0.2">
      <c r="D113" s="248" t="str">
        <f>Assumptions!G110</f>
        <v>Capex</v>
      </c>
      <c r="E113" s="248" t="str">
        <f>Assumptions!H110</f>
        <v>Total benefits</v>
      </c>
      <c r="I113" s="208"/>
      <c r="J113" s="208"/>
      <c r="K113" s="208"/>
      <c r="L113" s="208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spans="1:33" x14ac:dyDescent="0.2">
      <c r="A114" s="1" t="str">
        <f>"sens"&amp;Assumptions!B111</f>
        <v>sens1</v>
      </c>
      <c r="C114" s="247" t="str">
        <f>Assumptions!C111</f>
        <v>Capex 10% higher</v>
      </c>
      <c r="D114" s="248">
        <f>Assumptions!G111</f>
        <v>0.1</v>
      </c>
      <c r="E114" s="248">
        <f>Assumptions!H111</f>
        <v>0</v>
      </c>
      <c r="G114" s="33" t="str">
        <f>PROPER($A$3)&amp;A114</f>
        <v>Option 1 (Base Case)sens1</v>
      </c>
      <c r="I114" s="28" cm="1">
        <f t="array" ref="I114">I$110+IF($C114&lt;&gt;0,SUMPRODUCT((I$111:I$112)*TRANSPOSE(($D114:$E114))),0)</f>
        <v>0</v>
      </c>
      <c r="J114" s="28" cm="1">
        <f t="array" ref="J114">J$110+IF($C114&lt;&gt;0,SUMPRODUCT((J$111:J$112)*TRANSPOSE(($D114:$E114))),0)</f>
        <v>0</v>
      </c>
      <c r="K114" s="28" cm="1">
        <f t="array" ref="K114">K$110+IF($C114&lt;&gt;0,SUMPRODUCT((K$111:K$112)*TRANSPOSE(($D114:$E114))),0)</f>
        <v>0</v>
      </c>
      <c r="L114" s="28" cm="1">
        <f t="array" ref="L114">L$110+IF($C114&lt;&gt;0,SUMPRODUCT((L$111:L$112)*TRANSPOSE(($D114:$E114))),0)</f>
        <v>0</v>
      </c>
      <c r="M114" s="28" cm="1">
        <f t="array" ref="M114">M$110+IF($C114&lt;&gt;0,SUMPRODUCT((M$111:M$112)*TRANSPOSE(($D114:$E114))),0)</f>
        <v>0</v>
      </c>
      <c r="N114" s="28" cm="1">
        <f t="array" ref="N114">N$110+IF($C114&lt;&gt;0,SUMPRODUCT((N$111:N$112)*TRANSPOSE(($D114:$E114))),0)</f>
        <v>0</v>
      </c>
      <c r="O114" s="28" cm="1">
        <f t="array" ref="O114">O$110+IF($C114&lt;&gt;0,SUMPRODUCT((O$111:O$112)*TRANSPOSE(($D114:$E114))),0)</f>
        <v>0</v>
      </c>
      <c r="P114" s="28" cm="1">
        <f t="array" ref="P114">P$110+IF($C114&lt;&gt;0,SUMPRODUCT((P$111:P$112)*TRANSPOSE(($D114:$E114))),0)</f>
        <v>0</v>
      </c>
      <c r="Q114" s="28" cm="1">
        <f t="array" ref="Q114">Q$110+IF($C114&lt;&gt;0,SUMPRODUCT((Q$111:Q$112)*TRANSPOSE(($D114:$E114))),0)</f>
        <v>0</v>
      </c>
      <c r="R114" s="28" cm="1">
        <f t="array" ref="R114">R$110+IF($C114&lt;&gt;0,SUMPRODUCT((R$111:R$112)*TRANSPOSE(($D114:$E114))),0)</f>
        <v>0</v>
      </c>
      <c r="S114" s="28" cm="1">
        <f t="array" ref="S114">S$110+IF($C114&lt;&gt;0,SUMPRODUCT((S$111:S$112)*TRANSPOSE(($D114:$E114))),0)</f>
        <v>0</v>
      </c>
      <c r="T114" s="28" cm="1">
        <f t="array" ref="T114">T$110+IF($C114&lt;&gt;0,SUMPRODUCT((T$111:T$112)*TRANSPOSE(($D114:$E114))),0)</f>
        <v>0</v>
      </c>
      <c r="U114" s="28" cm="1">
        <f t="array" ref="U114">U$110+IF($C114&lt;&gt;0,SUMPRODUCT((U$111:U$112)*TRANSPOSE(($D114:$E114))),0)</f>
        <v>0</v>
      </c>
      <c r="V114" s="28" cm="1">
        <f t="array" ref="V114">V$110+IF($C114&lt;&gt;0,SUMPRODUCT((V$111:V$112)*TRANSPOSE(($D114:$E114))),0)</f>
        <v>0</v>
      </c>
      <c r="W114" s="28" cm="1">
        <f t="array" ref="W114">W$110+IF($C114&lt;&gt;0,SUMPRODUCT((W$111:W$112)*TRANSPOSE(($D114:$E114))),0)</f>
        <v>0</v>
      </c>
      <c r="X114" s="28" cm="1">
        <f t="array" ref="X114">X$110+IF($C114&lt;&gt;0,SUMPRODUCT((X$111:X$112)*TRANSPOSE(($D114:$E114))),0)</f>
        <v>0</v>
      </c>
      <c r="Y114" s="28" cm="1">
        <f t="array" ref="Y114">Y$110+IF($C114&lt;&gt;0,SUMPRODUCT((Y$111:Y$112)*TRANSPOSE(($D114:$E114))),0)</f>
        <v>0</v>
      </c>
      <c r="Z114" s="28" cm="1">
        <f t="array" ref="Z114">Z$110+IF($C114&lt;&gt;0,SUMPRODUCT((Z$111:Z$112)*TRANSPOSE(($D114:$E114))),0)</f>
        <v>0</v>
      </c>
      <c r="AA114" s="28" cm="1">
        <f t="array" ref="AA114">AA$110+IF($C114&lt;&gt;0,SUMPRODUCT((AA$111:AA$112)*TRANSPOSE(($D114:$E114))),0)</f>
        <v>0</v>
      </c>
      <c r="AB114" s="28" cm="1">
        <f t="array" ref="AB114">AB$110+IF($C114&lt;&gt;0,SUMPRODUCT((AB$111:AB$112)*TRANSPOSE(($D114:$E114))),0)</f>
        <v>0</v>
      </c>
      <c r="AC114" s="28" cm="1">
        <f t="array" ref="AC114">AC$110+IF($C114&lt;&gt;0,SUMPRODUCT((AC$111:AC$112)*TRANSPOSE(($D114:$E114))),0)</f>
        <v>0</v>
      </c>
      <c r="AD114" s="28" cm="1">
        <f t="array" ref="AD114">AD$110+IF($C114&lt;&gt;0,SUMPRODUCT((AD$111:AD$112)*TRANSPOSE(($D114:$E114))),0)</f>
        <v>0</v>
      </c>
      <c r="AE114" s="28" cm="1">
        <f t="array" ref="AE114">AE$110+IF($C114&lt;&gt;0,SUMPRODUCT((AE$111:AE$112)*TRANSPOSE(($D114:$E114))),0)</f>
        <v>0</v>
      </c>
      <c r="AF114" s="28" cm="1">
        <f t="array" ref="AF114">AF$110+IF($C114&lt;&gt;0,SUMPRODUCT((AF$111:AF$112)*TRANSPOSE(($D114:$E114))),0)</f>
        <v>0</v>
      </c>
      <c r="AG114" s="28" cm="1">
        <f t="array" ref="AG114">AG$110+IF($C114&lt;&gt;0,SUMPRODUCT((AG$111:AG$112)*TRANSPOSE(($D114:$E114))),0)</f>
        <v>0</v>
      </c>
    </row>
    <row r="115" spans="1:33" x14ac:dyDescent="0.2">
      <c r="A115" s="1" t="str">
        <f>"sens"&amp;Assumptions!B112</f>
        <v>sens2</v>
      </c>
      <c r="C115" s="247" t="str">
        <f>Assumptions!C112</f>
        <v>Capex 10% lower</v>
      </c>
      <c r="D115" s="248">
        <f>Assumptions!G112</f>
        <v>-0.1</v>
      </c>
      <c r="E115" s="248">
        <f>Assumptions!H112</f>
        <v>0</v>
      </c>
      <c r="G115" s="33" t="str">
        <f t="shared" ref="G115:G121" si="23">PROPER($A$3)&amp;A115</f>
        <v>Option 1 (Base Case)sens2</v>
      </c>
      <c r="I115" s="28" cm="1">
        <f t="array" ref="I115">I$110+IF($C115&lt;&gt;0,SUMPRODUCT((I$111:I$112)*TRANSPOSE(($D115:$E115))),0)</f>
        <v>0</v>
      </c>
      <c r="J115" s="28" cm="1">
        <f t="array" ref="J115">J$110+IF($C115&lt;&gt;0,SUMPRODUCT((J$111:J$112)*TRANSPOSE(($D115:$E115))),0)</f>
        <v>0</v>
      </c>
      <c r="K115" s="28" cm="1">
        <f t="array" ref="K115">K$110+IF($C115&lt;&gt;0,SUMPRODUCT((K$111:K$112)*TRANSPOSE(($D115:$E115))),0)</f>
        <v>0</v>
      </c>
      <c r="L115" s="28" cm="1">
        <f t="array" ref="L115">L$110+IF($C115&lt;&gt;0,SUMPRODUCT((L$111:L$112)*TRANSPOSE(($D115:$E115))),0)</f>
        <v>0</v>
      </c>
      <c r="M115" s="28" cm="1">
        <f t="array" ref="M115">M$110+IF($C115&lt;&gt;0,SUMPRODUCT((M$111:M$112)*TRANSPOSE(($D115:$E115))),0)</f>
        <v>0</v>
      </c>
      <c r="N115" s="28" cm="1">
        <f t="array" ref="N115">N$110+IF($C115&lt;&gt;0,SUMPRODUCT((N$111:N$112)*TRANSPOSE(($D115:$E115))),0)</f>
        <v>0</v>
      </c>
      <c r="O115" s="28" cm="1">
        <f t="array" ref="O115">O$110+IF($C115&lt;&gt;0,SUMPRODUCT((O$111:O$112)*TRANSPOSE(($D115:$E115))),0)</f>
        <v>0</v>
      </c>
      <c r="P115" s="28" cm="1">
        <f t="array" ref="P115">P$110+IF($C115&lt;&gt;0,SUMPRODUCT((P$111:P$112)*TRANSPOSE(($D115:$E115))),0)</f>
        <v>0</v>
      </c>
      <c r="Q115" s="28" cm="1">
        <f t="array" ref="Q115">Q$110+IF($C115&lt;&gt;0,SUMPRODUCT((Q$111:Q$112)*TRANSPOSE(($D115:$E115))),0)</f>
        <v>0</v>
      </c>
      <c r="R115" s="28" cm="1">
        <f t="array" ref="R115">R$110+IF($C115&lt;&gt;0,SUMPRODUCT((R$111:R$112)*TRANSPOSE(($D115:$E115))),0)</f>
        <v>0</v>
      </c>
      <c r="S115" s="28" cm="1">
        <f t="array" ref="S115">S$110+IF($C115&lt;&gt;0,SUMPRODUCT((S$111:S$112)*TRANSPOSE(($D115:$E115))),0)</f>
        <v>0</v>
      </c>
      <c r="T115" s="28" cm="1">
        <f t="array" ref="T115">T$110+IF($C115&lt;&gt;0,SUMPRODUCT((T$111:T$112)*TRANSPOSE(($D115:$E115))),0)</f>
        <v>0</v>
      </c>
      <c r="U115" s="28" cm="1">
        <f t="array" ref="U115">U$110+IF($C115&lt;&gt;0,SUMPRODUCT((U$111:U$112)*TRANSPOSE(($D115:$E115))),0)</f>
        <v>0</v>
      </c>
      <c r="V115" s="28" cm="1">
        <f t="array" ref="V115">V$110+IF($C115&lt;&gt;0,SUMPRODUCT((V$111:V$112)*TRANSPOSE(($D115:$E115))),0)</f>
        <v>0</v>
      </c>
      <c r="W115" s="28" cm="1">
        <f t="array" ref="W115">W$110+IF($C115&lt;&gt;0,SUMPRODUCT((W$111:W$112)*TRANSPOSE(($D115:$E115))),0)</f>
        <v>0</v>
      </c>
      <c r="X115" s="28" cm="1">
        <f t="array" ref="X115">X$110+IF($C115&lt;&gt;0,SUMPRODUCT((X$111:X$112)*TRANSPOSE(($D115:$E115))),0)</f>
        <v>0</v>
      </c>
      <c r="Y115" s="28" cm="1">
        <f t="array" ref="Y115">Y$110+IF($C115&lt;&gt;0,SUMPRODUCT((Y$111:Y$112)*TRANSPOSE(($D115:$E115))),0)</f>
        <v>0</v>
      </c>
      <c r="Z115" s="28" cm="1">
        <f t="array" ref="Z115">Z$110+IF($C115&lt;&gt;0,SUMPRODUCT((Z$111:Z$112)*TRANSPOSE(($D115:$E115))),0)</f>
        <v>0</v>
      </c>
      <c r="AA115" s="28" cm="1">
        <f t="array" ref="AA115">AA$110+IF($C115&lt;&gt;0,SUMPRODUCT((AA$111:AA$112)*TRANSPOSE(($D115:$E115))),0)</f>
        <v>0</v>
      </c>
      <c r="AB115" s="28" cm="1">
        <f t="array" ref="AB115">AB$110+IF($C115&lt;&gt;0,SUMPRODUCT((AB$111:AB$112)*TRANSPOSE(($D115:$E115))),0)</f>
        <v>0</v>
      </c>
      <c r="AC115" s="28" cm="1">
        <f t="array" ref="AC115">AC$110+IF($C115&lt;&gt;0,SUMPRODUCT((AC$111:AC$112)*TRANSPOSE(($D115:$E115))),0)</f>
        <v>0</v>
      </c>
      <c r="AD115" s="28" cm="1">
        <f t="array" ref="AD115">AD$110+IF($C115&lt;&gt;0,SUMPRODUCT((AD$111:AD$112)*TRANSPOSE(($D115:$E115))),0)</f>
        <v>0</v>
      </c>
      <c r="AE115" s="28" cm="1">
        <f t="array" ref="AE115">AE$110+IF($C115&lt;&gt;0,SUMPRODUCT((AE$111:AE$112)*TRANSPOSE(($D115:$E115))),0)</f>
        <v>0</v>
      </c>
      <c r="AF115" s="28" cm="1">
        <f t="array" ref="AF115">AF$110+IF($C115&lt;&gt;0,SUMPRODUCT((AF$111:AF$112)*TRANSPOSE(($D115:$E115))),0)</f>
        <v>0</v>
      </c>
      <c r="AG115" s="28" cm="1">
        <f t="array" ref="AG115">AG$110+IF($C115&lt;&gt;0,SUMPRODUCT((AG$111:AG$112)*TRANSPOSE(($D115:$E115))),0)</f>
        <v>0</v>
      </c>
    </row>
    <row r="116" spans="1:33" x14ac:dyDescent="0.2">
      <c r="A116" s="1" t="str">
        <f>"sens"&amp;Assumptions!B113</f>
        <v>sens3</v>
      </c>
      <c r="C116" s="247" t="str">
        <f>Assumptions!C113</f>
        <v>Total benefits 10% higher</v>
      </c>
      <c r="D116" s="248">
        <f>Assumptions!G113</f>
        <v>0</v>
      </c>
      <c r="E116" s="248">
        <f>Assumptions!H113</f>
        <v>0.1</v>
      </c>
      <c r="G116" s="33" t="str">
        <f t="shared" si="23"/>
        <v>Option 1 (Base Case)sens3</v>
      </c>
      <c r="I116" s="28" cm="1">
        <f t="array" ref="I116">I$110+IF($C116&lt;&gt;0,SUMPRODUCT((I$111:I$112)*TRANSPOSE(($D116:$E116))),0)</f>
        <v>0</v>
      </c>
      <c r="J116" s="28" cm="1">
        <f t="array" ref="J116">J$110+IF($C116&lt;&gt;0,SUMPRODUCT((J$111:J$112)*TRANSPOSE(($D116:$E116))),0)</f>
        <v>0</v>
      </c>
      <c r="K116" s="28" cm="1">
        <f t="array" ref="K116">K$110+IF($C116&lt;&gt;0,SUMPRODUCT((K$111:K$112)*TRANSPOSE(($D116:$E116))),0)</f>
        <v>0</v>
      </c>
      <c r="L116" s="28" cm="1">
        <f t="array" ref="L116">L$110+IF($C116&lt;&gt;0,SUMPRODUCT((L$111:L$112)*TRANSPOSE(($D116:$E116))),0)</f>
        <v>0</v>
      </c>
      <c r="M116" s="28" cm="1">
        <f t="array" ref="M116">M$110+IF($C116&lt;&gt;0,SUMPRODUCT((M$111:M$112)*TRANSPOSE(($D116:$E116))),0)</f>
        <v>0</v>
      </c>
      <c r="N116" s="28" cm="1">
        <f t="array" ref="N116">N$110+IF($C116&lt;&gt;0,SUMPRODUCT((N$111:N$112)*TRANSPOSE(($D116:$E116))),0)</f>
        <v>0</v>
      </c>
      <c r="O116" s="28" cm="1">
        <f t="array" ref="O116">O$110+IF($C116&lt;&gt;0,SUMPRODUCT((O$111:O$112)*TRANSPOSE(($D116:$E116))),0)</f>
        <v>0</v>
      </c>
      <c r="P116" s="28" cm="1">
        <f t="array" ref="P116">P$110+IF($C116&lt;&gt;0,SUMPRODUCT((P$111:P$112)*TRANSPOSE(($D116:$E116))),0)</f>
        <v>0</v>
      </c>
      <c r="Q116" s="28" cm="1">
        <f t="array" ref="Q116">Q$110+IF($C116&lt;&gt;0,SUMPRODUCT((Q$111:Q$112)*TRANSPOSE(($D116:$E116))),0)</f>
        <v>0</v>
      </c>
      <c r="R116" s="28" cm="1">
        <f t="array" ref="R116">R$110+IF($C116&lt;&gt;0,SUMPRODUCT((R$111:R$112)*TRANSPOSE(($D116:$E116))),0)</f>
        <v>0</v>
      </c>
      <c r="S116" s="28" cm="1">
        <f t="array" ref="S116">S$110+IF($C116&lt;&gt;0,SUMPRODUCT((S$111:S$112)*TRANSPOSE(($D116:$E116))),0)</f>
        <v>0</v>
      </c>
      <c r="T116" s="28" cm="1">
        <f t="array" ref="T116">T$110+IF($C116&lt;&gt;0,SUMPRODUCT((T$111:T$112)*TRANSPOSE(($D116:$E116))),0)</f>
        <v>0</v>
      </c>
      <c r="U116" s="28" cm="1">
        <f t="array" ref="U116">U$110+IF($C116&lt;&gt;0,SUMPRODUCT((U$111:U$112)*TRANSPOSE(($D116:$E116))),0)</f>
        <v>0</v>
      </c>
      <c r="V116" s="28" cm="1">
        <f t="array" ref="V116">V$110+IF($C116&lt;&gt;0,SUMPRODUCT((V$111:V$112)*TRANSPOSE(($D116:$E116))),0)</f>
        <v>0</v>
      </c>
      <c r="W116" s="28" cm="1">
        <f t="array" ref="W116">W$110+IF($C116&lt;&gt;0,SUMPRODUCT((W$111:W$112)*TRANSPOSE(($D116:$E116))),0)</f>
        <v>0</v>
      </c>
      <c r="X116" s="28" cm="1">
        <f t="array" ref="X116">X$110+IF($C116&lt;&gt;0,SUMPRODUCT((X$111:X$112)*TRANSPOSE(($D116:$E116))),0)</f>
        <v>0</v>
      </c>
      <c r="Y116" s="28" cm="1">
        <f t="array" ref="Y116">Y$110+IF($C116&lt;&gt;0,SUMPRODUCT((Y$111:Y$112)*TRANSPOSE(($D116:$E116))),0)</f>
        <v>0</v>
      </c>
      <c r="Z116" s="28" cm="1">
        <f t="array" ref="Z116">Z$110+IF($C116&lt;&gt;0,SUMPRODUCT((Z$111:Z$112)*TRANSPOSE(($D116:$E116))),0)</f>
        <v>0</v>
      </c>
      <c r="AA116" s="28" cm="1">
        <f t="array" ref="AA116">AA$110+IF($C116&lt;&gt;0,SUMPRODUCT((AA$111:AA$112)*TRANSPOSE(($D116:$E116))),0)</f>
        <v>0</v>
      </c>
      <c r="AB116" s="28" cm="1">
        <f t="array" ref="AB116">AB$110+IF($C116&lt;&gt;0,SUMPRODUCT((AB$111:AB$112)*TRANSPOSE(($D116:$E116))),0)</f>
        <v>0</v>
      </c>
      <c r="AC116" s="28" cm="1">
        <f t="array" ref="AC116">AC$110+IF($C116&lt;&gt;0,SUMPRODUCT((AC$111:AC$112)*TRANSPOSE(($D116:$E116))),0)</f>
        <v>0</v>
      </c>
      <c r="AD116" s="28" cm="1">
        <f t="array" ref="AD116">AD$110+IF($C116&lt;&gt;0,SUMPRODUCT((AD$111:AD$112)*TRANSPOSE(($D116:$E116))),0)</f>
        <v>0</v>
      </c>
      <c r="AE116" s="28" cm="1">
        <f t="array" ref="AE116">AE$110+IF($C116&lt;&gt;0,SUMPRODUCT((AE$111:AE$112)*TRANSPOSE(($D116:$E116))),0)</f>
        <v>0</v>
      </c>
      <c r="AF116" s="28" cm="1">
        <f t="array" ref="AF116">AF$110+IF($C116&lt;&gt;0,SUMPRODUCT((AF$111:AF$112)*TRANSPOSE(($D116:$E116))),0)</f>
        <v>0</v>
      </c>
      <c r="AG116" s="28" cm="1">
        <f t="array" ref="AG116">AG$110+IF($C116&lt;&gt;0,SUMPRODUCT((AG$111:AG$112)*TRANSPOSE(($D116:$E116))),0)</f>
        <v>0</v>
      </c>
    </row>
    <row r="117" spans="1:33" x14ac:dyDescent="0.2">
      <c r="A117" s="1" t="str">
        <f>"sens"&amp;Assumptions!B114</f>
        <v>sens4</v>
      </c>
      <c r="C117" s="247" t="str">
        <f>Assumptions!C114</f>
        <v>Total benefits 10% lower</v>
      </c>
      <c r="D117" s="248">
        <f>Assumptions!G114</f>
        <v>0</v>
      </c>
      <c r="E117" s="248">
        <f>Assumptions!H114</f>
        <v>-0.1</v>
      </c>
      <c r="G117" s="33" t="str">
        <f t="shared" si="23"/>
        <v>Option 1 (Base Case)sens4</v>
      </c>
      <c r="I117" s="28" cm="1">
        <f t="array" ref="I117">I$110+IF($C117&lt;&gt;0,SUMPRODUCT((I$111:I$112)*TRANSPOSE(($D117:$E117))),0)</f>
        <v>0</v>
      </c>
      <c r="J117" s="28" cm="1">
        <f t="array" ref="J117">J$110+IF($C117&lt;&gt;0,SUMPRODUCT((J$111:J$112)*TRANSPOSE(($D117:$E117))),0)</f>
        <v>0</v>
      </c>
      <c r="K117" s="28" cm="1">
        <f t="array" ref="K117">K$110+IF($C117&lt;&gt;0,SUMPRODUCT((K$111:K$112)*TRANSPOSE(($D117:$E117))),0)</f>
        <v>0</v>
      </c>
      <c r="L117" s="28" cm="1">
        <f t="array" ref="L117">L$110+IF($C117&lt;&gt;0,SUMPRODUCT((L$111:L$112)*TRANSPOSE(($D117:$E117))),0)</f>
        <v>0</v>
      </c>
      <c r="M117" s="28" cm="1">
        <f t="array" ref="M117">M$110+IF($C117&lt;&gt;0,SUMPRODUCT((M$111:M$112)*TRANSPOSE(($D117:$E117))),0)</f>
        <v>0</v>
      </c>
      <c r="N117" s="28" cm="1">
        <f t="array" ref="N117">N$110+IF($C117&lt;&gt;0,SUMPRODUCT((N$111:N$112)*TRANSPOSE(($D117:$E117))),0)</f>
        <v>0</v>
      </c>
      <c r="O117" s="28" cm="1">
        <f t="array" ref="O117">O$110+IF($C117&lt;&gt;0,SUMPRODUCT((O$111:O$112)*TRANSPOSE(($D117:$E117))),0)</f>
        <v>0</v>
      </c>
      <c r="P117" s="28" cm="1">
        <f t="array" ref="P117">P$110+IF($C117&lt;&gt;0,SUMPRODUCT((P$111:P$112)*TRANSPOSE(($D117:$E117))),0)</f>
        <v>0</v>
      </c>
      <c r="Q117" s="28" cm="1">
        <f t="array" ref="Q117">Q$110+IF($C117&lt;&gt;0,SUMPRODUCT((Q$111:Q$112)*TRANSPOSE(($D117:$E117))),0)</f>
        <v>0</v>
      </c>
      <c r="R117" s="28" cm="1">
        <f t="array" ref="R117">R$110+IF($C117&lt;&gt;0,SUMPRODUCT((R$111:R$112)*TRANSPOSE(($D117:$E117))),0)</f>
        <v>0</v>
      </c>
      <c r="S117" s="28" cm="1">
        <f t="array" ref="S117">S$110+IF($C117&lt;&gt;0,SUMPRODUCT((S$111:S$112)*TRANSPOSE(($D117:$E117))),0)</f>
        <v>0</v>
      </c>
      <c r="T117" s="28" cm="1">
        <f t="array" ref="T117">T$110+IF($C117&lt;&gt;0,SUMPRODUCT((T$111:T$112)*TRANSPOSE(($D117:$E117))),0)</f>
        <v>0</v>
      </c>
      <c r="U117" s="28" cm="1">
        <f t="array" ref="U117">U$110+IF($C117&lt;&gt;0,SUMPRODUCT((U$111:U$112)*TRANSPOSE(($D117:$E117))),0)</f>
        <v>0</v>
      </c>
      <c r="V117" s="28" cm="1">
        <f t="array" ref="V117">V$110+IF($C117&lt;&gt;0,SUMPRODUCT((V$111:V$112)*TRANSPOSE(($D117:$E117))),0)</f>
        <v>0</v>
      </c>
      <c r="W117" s="28" cm="1">
        <f t="array" ref="W117">W$110+IF($C117&lt;&gt;0,SUMPRODUCT((W$111:W$112)*TRANSPOSE(($D117:$E117))),0)</f>
        <v>0</v>
      </c>
      <c r="X117" s="28" cm="1">
        <f t="array" ref="X117">X$110+IF($C117&lt;&gt;0,SUMPRODUCT((X$111:X$112)*TRANSPOSE(($D117:$E117))),0)</f>
        <v>0</v>
      </c>
      <c r="Y117" s="28" cm="1">
        <f t="array" ref="Y117">Y$110+IF($C117&lt;&gt;0,SUMPRODUCT((Y$111:Y$112)*TRANSPOSE(($D117:$E117))),0)</f>
        <v>0</v>
      </c>
      <c r="Z117" s="28" cm="1">
        <f t="array" ref="Z117">Z$110+IF($C117&lt;&gt;0,SUMPRODUCT((Z$111:Z$112)*TRANSPOSE(($D117:$E117))),0)</f>
        <v>0</v>
      </c>
      <c r="AA117" s="28" cm="1">
        <f t="array" ref="AA117">AA$110+IF($C117&lt;&gt;0,SUMPRODUCT((AA$111:AA$112)*TRANSPOSE(($D117:$E117))),0)</f>
        <v>0</v>
      </c>
      <c r="AB117" s="28" cm="1">
        <f t="array" ref="AB117">AB$110+IF($C117&lt;&gt;0,SUMPRODUCT((AB$111:AB$112)*TRANSPOSE(($D117:$E117))),0)</f>
        <v>0</v>
      </c>
      <c r="AC117" s="28" cm="1">
        <f t="array" ref="AC117">AC$110+IF($C117&lt;&gt;0,SUMPRODUCT((AC$111:AC$112)*TRANSPOSE(($D117:$E117))),0)</f>
        <v>0</v>
      </c>
      <c r="AD117" s="28" cm="1">
        <f t="array" ref="AD117">AD$110+IF($C117&lt;&gt;0,SUMPRODUCT((AD$111:AD$112)*TRANSPOSE(($D117:$E117))),0)</f>
        <v>0</v>
      </c>
      <c r="AE117" s="28" cm="1">
        <f t="array" ref="AE117">AE$110+IF($C117&lt;&gt;0,SUMPRODUCT((AE$111:AE$112)*TRANSPOSE(($D117:$E117))),0)</f>
        <v>0</v>
      </c>
      <c r="AF117" s="28" cm="1">
        <f t="array" ref="AF117">AF$110+IF($C117&lt;&gt;0,SUMPRODUCT((AF$111:AF$112)*TRANSPOSE(($D117:$E117))),0)</f>
        <v>0</v>
      </c>
      <c r="AG117" s="28" cm="1">
        <f t="array" ref="AG117">AG$110+IF($C117&lt;&gt;0,SUMPRODUCT((AG$111:AG$112)*TRANSPOSE(($D117:$E117))),0)</f>
        <v>0</v>
      </c>
    </row>
    <row r="118" spans="1:33" x14ac:dyDescent="0.2">
      <c r="A118" s="1" t="str">
        <f>"sens"&amp;Assumptions!B115</f>
        <v>sens5</v>
      </c>
      <c r="C118" s="247" t="str">
        <f>Assumptions!C115</f>
        <v>Capex 10% higher &amp; Total benefits 10% lower</v>
      </c>
      <c r="D118" s="248">
        <f>Assumptions!G115</f>
        <v>0.1</v>
      </c>
      <c r="E118" s="248">
        <f>Assumptions!H115</f>
        <v>-0.1</v>
      </c>
      <c r="G118" s="33" t="str">
        <f t="shared" si="23"/>
        <v>Option 1 (Base Case)sens5</v>
      </c>
      <c r="I118" s="28" cm="1">
        <f t="array" ref="I118">I$110+IF($C118&lt;&gt;0,SUMPRODUCT((I$111:I$112)*TRANSPOSE(($D118:$E118))),0)</f>
        <v>0</v>
      </c>
      <c r="J118" s="28" cm="1">
        <f t="array" ref="J118">J$110+IF($C118&lt;&gt;0,SUMPRODUCT((J$111:J$112)*TRANSPOSE(($D118:$E118))),0)</f>
        <v>0</v>
      </c>
      <c r="K118" s="28" cm="1">
        <f t="array" ref="K118">K$110+IF($C118&lt;&gt;0,SUMPRODUCT((K$111:K$112)*TRANSPOSE(($D118:$E118))),0)</f>
        <v>0</v>
      </c>
      <c r="L118" s="28" cm="1">
        <f t="array" ref="L118">L$110+IF($C118&lt;&gt;0,SUMPRODUCT((L$111:L$112)*TRANSPOSE(($D118:$E118))),0)</f>
        <v>0</v>
      </c>
      <c r="M118" s="28" cm="1">
        <f t="array" ref="M118">M$110+IF($C118&lt;&gt;0,SUMPRODUCT((M$111:M$112)*TRANSPOSE(($D118:$E118))),0)</f>
        <v>0</v>
      </c>
      <c r="N118" s="28" cm="1">
        <f t="array" ref="N118">N$110+IF($C118&lt;&gt;0,SUMPRODUCT((N$111:N$112)*TRANSPOSE(($D118:$E118))),0)</f>
        <v>0</v>
      </c>
      <c r="O118" s="28" cm="1">
        <f t="array" ref="O118">O$110+IF($C118&lt;&gt;0,SUMPRODUCT((O$111:O$112)*TRANSPOSE(($D118:$E118))),0)</f>
        <v>0</v>
      </c>
      <c r="P118" s="28" cm="1">
        <f t="array" ref="P118">P$110+IF($C118&lt;&gt;0,SUMPRODUCT((P$111:P$112)*TRANSPOSE(($D118:$E118))),0)</f>
        <v>0</v>
      </c>
      <c r="Q118" s="28" cm="1">
        <f t="array" ref="Q118">Q$110+IF($C118&lt;&gt;0,SUMPRODUCT((Q$111:Q$112)*TRANSPOSE(($D118:$E118))),0)</f>
        <v>0</v>
      </c>
      <c r="R118" s="28" cm="1">
        <f t="array" ref="R118">R$110+IF($C118&lt;&gt;0,SUMPRODUCT((R$111:R$112)*TRANSPOSE(($D118:$E118))),0)</f>
        <v>0</v>
      </c>
      <c r="S118" s="28" cm="1">
        <f t="array" ref="S118">S$110+IF($C118&lt;&gt;0,SUMPRODUCT((S$111:S$112)*TRANSPOSE(($D118:$E118))),0)</f>
        <v>0</v>
      </c>
      <c r="T118" s="28" cm="1">
        <f t="array" ref="T118">T$110+IF($C118&lt;&gt;0,SUMPRODUCT((T$111:T$112)*TRANSPOSE(($D118:$E118))),0)</f>
        <v>0</v>
      </c>
      <c r="U118" s="28" cm="1">
        <f t="array" ref="U118">U$110+IF($C118&lt;&gt;0,SUMPRODUCT((U$111:U$112)*TRANSPOSE(($D118:$E118))),0)</f>
        <v>0</v>
      </c>
      <c r="V118" s="28" cm="1">
        <f t="array" ref="V118">V$110+IF($C118&lt;&gt;0,SUMPRODUCT((V$111:V$112)*TRANSPOSE(($D118:$E118))),0)</f>
        <v>0</v>
      </c>
      <c r="W118" s="28" cm="1">
        <f t="array" ref="W118">W$110+IF($C118&lt;&gt;0,SUMPRODUCT((W$111:W$112)*TRANSPOSE(($D118:$E118))),0)</f>
        <v>0</v>
      </c>
      <c r="X118" s="28" cm="1">
        <f t="array" ref="X118">X$110+IF($C118&lt;&gt;0,SUMPRODUCT((X$111:X$112)*TRANSPOSE(($D118:$E118))),0)</f>
        <v>0</v>
      </c>
      <c r="Y118" s="28" cm="1">
        <f t="array" ref="Y118">Y$110+IF($C118&lt;&gt;0,SUMPRODUCT((Y$111:Y$112)*TRANSPOSE(($D118:$E118))),0)</f>
        <v>0</v>
      </c>
      <c r="Z118" s="28" cm="1">
        <f t="array" ref="Z118">Z$110+IF($C118&lt;&gt;0,SUMPRODUCT((Z$111:Z$112)*TRANSPOSE(($D118:$E118))),0)</f>
        <v>0</v>
      </c>
      <c r="AA118" s="28" cm="1">
        <f t="array" ref="AA118">AA$110+IF($C118&lt;&gt;0,SUMPRODUCT((AA$111:AA$112)*TRANSPOSE(($D118:$E118))),0)</f>
        <v>0</v>
      </c>
      <c r="AB118" s="28" cm="1">
        <f t="array" ref="AB118">AB$110+IF($C118&lt;&gt;0,SUMPRODUCT((AB$111:AB$112)*TRANSPOSE(($D118:$E118))),0)</f>
        <v>0</v>
      </c>
      <c r="AC118" s="28" cm="1">
        <f t="array" ref="AC118">AC$110+IF($C118&lt;&gt;0,SUMPRODUCT((AC$111:AC$112)*TRANSPOSE(($D118:$E118))),0)</f>
        <v>0</v>
      </c>
      <c r="AD118" s="28" cm="1">
        <f t="array" ref="AD118">AD$110+IF($C118&lt;&gt;0,SUMPRODUCT((AD$111:AD$112)*TRANSPOSE(($D118:$E118))),0)</f>
        <v>0</v>
      </c>
      <c r="AE118" s="28" cm="1">
        <f t="array" ref="AE118">AE$110+IF($C118&lt;&gt;0,SUMPRODUCT((AE$111:AE$112)*TRANSPOSE(($D118:$E118))),0)</f>
        <v>0</v>
      </c>
      <c r="AF118" s="28" cm="1">
        <f t="array" ref="AF118">AF$110+IF($C118&lt;&gt;0,SUMPRODUCT((AF$111:AF$112)*TRANSPOSE(($D118:$E118))),0)</f>
        <v>0</v>
      </c>
      <c r="AG118" s="28" cm="1">
        <f t="array" ref="AG118">AG$110+IF($C118&lt;&gt;0,SUMPRODUCT((AG$111:AG$112)*TRANSPOSE(($D118:$E118))),0)</f>
        <v>0</v>
      </c>
    </row>
    <row r="119" spans="1:33" x14ac:dyDescent="0.2">
      <c r="A119" s="1" t="str">
        <f>"sens"&amp;Assumptions!B116</f>
        <v>sens</v>
      </c>
      <c r="C119" s="247">
        <f>Assumptions!C116</f>
        <v>0</v>
      </c>
      <c r="D119" s="248">
        <f>Assumptions!G116</f>
        <v>0</v>
      </c>
      <c r="E119" s="248">
        <f>Assumptions!H116</f>
        <v>0</v>
      </c>
      <c r="G119" s="33" t="str">
        <f t="shared" si="23"/>
        <v>Option 1 (Base Case)sens</v>
      </c>
      <c r="I119" s="28" cm="1">
        <f t="array" ref="I119">I$110+IF($C119&lt;&gt;0,SUMPRODUCT((I$111:I$112)*TRANSPOSE(($D119:$E119))),0)</f>
        <v>0</v>
      </c>
      <c r="J119" s="28" cm="1">
        <f t="array" ref="J119">J$110+IF($C119&lt;&gt;0,SUMPRODUCT((J$111:J$112)*TRANSPOSE(($D119:$E119))),0)</f>
        <v>0</v>
      </c>
      <c r="K119" s="28" cm="1">
        <f t="array" ref="K119">K$110+IF($C119&lt;&gt;0,SUMPRODUCT((K$111:K$112)*TRANSPOSE(($D119:$E119))),0)</f>
        <v>0</v>
      </c>
      <c r="L119" s="28" cm="1">
        <f t="array" ref="L119">L$110+IF($C119&lt;&gt;0,SUMPRODUCT((L$111:L$112)*TRANSPOSE(($D119:$E119))),0)</f>
        <v>0</v>
      </c>
      <c r="M119" s="28" cm="1">
        <f t="array" ref="M119">M$110+IF($C119&lt;&gt;0,SUMPRODUCT((M$111:M$112)*TRANSPOSE(($D119:$E119))),0)</f>
        <v>0</v>
      </c>
      <c r="N119" s="28" cm="1">
        <f t="array" ref="N119">N$110+IF($C119&lt;&gt;0,SUMPRODUCT((N$111:N$112)*TRANSPOSE(($D119:$E119))),0)</f>
        <v>0</v>
      </c>
      <c r="O119" s="28" cm="1">
        <f t="array" ref="O119">O$110+IF($C119&lt;&gt;0,SUMPRODUCT((O$111:O$112)*TRANSPOSE(($D119:$E119))),0)</f>
        <v>0</v>
      </c>
      <c r="P119" s="28" cm="1">
        <f t="array" ref="P119">P$110+IF($C119&lt;&gt;0,SUMPRODUCT((P$111:P$112)*TRANSPOSE(($D119:$E119))),0)</f>
        <v>0</v>
      </c>
      <c r="Q119" s="28" cm="1">
        <f t="array" ref="Q119">Q$110+IF($C119&lt;&gt;0,SUMPRODUCT((Q$111:Q$112)*TRANSPOSE(($D119:$E119))),0)</f>
        <v>0</v>
      </c>
      <c r="R119" s="28" cm="1">
        <f t="array" ref="R119">R$110+IF($C119&lt;&gt;0,SUMPRODUCT((R$111:R$112)*TRANSPOSE(($D119:$E119))),0)</f>
        <v>0</v>
      </c>
      <c r="S119" s="28" cm="1">
        <f t="array" ref="S119">S$110+IF($C119&lt;&gt;0,SUMPRODUCT((S$111:S$112)*TRANSPOSE(($D119:$E119))),0)</f>
        <v>0</v>
      </c>
      <c r="T119" s="28" cm="1">
        <f t="array" ref="T119">T$110+IF($C119&lt;&gt;0,SUMPRODUCT((T$111:T$112)*TRANSPOSE(($D119:$E119))),0)</f>
        <v>0</v>
      </c>
      <c r="U119" s="28" cm="1">
        <f t="array" ref="U119">U$110+IF($C119&lt;&gt;0,SUMPRODUCT((U$111:U$112)*TRANSPOSE(($D119:$E119))),0)</f>
        <v>0</v>
      </c>
      <c r="V119" s="28" cm="1">
        <f t="array" ref="V119">V$110+IF($C119&lt;&gt;0,SUMPRODUCT((V$111:V$112)*TRANSPOSE(($D119:$E119))),0)</f>
        <v>0</v>
      </c>
      <c r="W119" s="28" cm="1">
        <f t="array" ref="W119">W$110+IF($C119&lt;&gt;0,SUMPRODUCT((W$111:W$112)*TRANSPOSE(($D119:$E119))),0)</f>
        <v>0</v>
      </c>
      <c r="X119" s="28" cm="1">
        <f t="array" ref="X119">X$110+IF($C119&lt;&gt;0,SUMPRODUCT((X$111:X$112)*TRANSPOSE(($D119:$E119))),0)</f>
        <v>0</v>
      </c>
      <c r="Y119" s="28" cm="1">
        <f t="array" ref="Y119">Y$110+IF($C119&lt;&gt;0,SUMPRODUCT((Y$111:Y$112)*TRANSPOSE(($D119:$E119))),0)</f>
        <v>0</v>
      </c>
      <c r="Z119" s="28" cm="1">
        <f t="array" ref="Z119">Z$110+IF($C119&lt;&gt;0,SUMPRODUCT((Z$111:Z$112)*TRANSPOSE(($D119:$E119))),0)</f>
        <v>0</v>
      </c>
      <c r="AA119" s="28" cm="1">
        <f t="array" ref="AA119">AA$110+IF($C119&lt;&gt;0,SUMPRODUCT((AA$111:AA$112)*TRANSPOSE(($D119:$E119))),0)</f>
        <v>0</v>
      </c>
      <c r="AB119" s="28" cm="1">
        <f t="array" ref="AB119">AB$110+IF($C119&lt;&gt;0,SUMPRODUCT((AB$111:AB$112)*TRANSPOSE(($D119:$E119))),0)</f>
        <v>0</v>
      </c>
      <c r="AC119" s="28" cm="1">
        <f t="array" ref="AC119">AC$110+IF($C119&lt;&gt;0,SUMPRODUCT((AC$111:AC$112)*TRANSPOSE(($D119:$E119))),0)</f>
        <v>0</v>
      </c>
      <c r="AD119" s="28" cm="1">
        <f t="array" ref="AD119">AD$110+IF($C119&lt;&gt;0,SUMPRODUCT((AD$111:AD$112)*TRANSPOSE(($D119:$E119))),0)</f>
        <v>0</v>
      </c>
      <c r="AE119" s="28" cm="1">
        <f t="array" ref="AE119">AE$110+IF($C119&lt;&gt;0,SUMPRODUCT((AE$111:AE$112)*TRANSPOSE(($D119:$E119))),0)</f>
        <v>0</v>
      </c>
      <c r="AF119" s="28" cm="1">
        <f t="array" ref="AF119">AF$110+IF($C119&lt;&gt;0,SUMPRODUCT((AF$111:AF$112)*TRANSPOSE(($D119:$E119))),0)</f>
        <v>0</v>
      </c>
      <c r="AG119" s="28" cm="1">
        <f t="array" ref="AG119">AG$110+IF($C119&lt;&gt;0,SUMPRODUCT((AG$111:AG$112)*TRANSPOSE(($D119:$E119))),0)</f>
        <v>0</v>
      </c>
    </row>
    <row r="120" spans="1:33" x14ac:dyDescent="0.2">
      <c r="A120" s="1" t="str">
        <f>"sens"&amp;Assumptions!B117</f>
        <v>sens</v>
      </c>
      <c r="C120" s="247">
        <f>Assumptions!C117</f>
        <v>0</v>
      </c>
      <c r="D120" s="248">
        <f>Assumptions!G117</f>
        <v>0</v>
      </c>
      <c r="E120" s="248">
        <f>Assumptions!H117</f>
        <v>0</v>
      </c>
      <c r="G120" s="33" t="str">
        <f t="shared" si="23"/>
        <v>Option 1 (Base Case)sens</v>
      </c>
      <c r="I120" s="28" cm="1">
        <f t="array" ref="I120">I$110+IF($C120&lt;&gt;0,SUMPRODUCT((I$111:I$112)*TRANSPOSE(($D120:$E120))),0)</f>
        <v>0</v>
      </c>
      <c r="J120" s="28" cm="1">
        <f t="array" ref="J120">J$110+IF($C120&lt;&gt;0,SUMPRODUCT((J$111:J$112)*TRANSPOSE(($D120:$E120))),0)</f>
        <v>0</v>
      </c>
      <c r="K120" s="28" cm="1">
        <f t="array" ref="K120">K$110+IF($C120&lt;&gt;0,SUMPRODUCT((K$111:K$112)*TRANSPOSE(($D120:$E120))),0)</f>
        <v>0</v>
      </c>
      <c r="L120" s="28" cm="1">
        <f t="array" ref="L120">L$110+IF($C120&lt;&gt;0,SUMPRODUCT((L$111:L$112)*TRANSPOSE(($D120:$E120))),0)</f>
        <v>0</v>
      </c>
      <c r="M120" s="28" cm="1">
        <f t="array" ref="M120">M$110+IF($C120&lt;&gt;0,SUMPRODUCT((M$111:M$112)*TRANSPOSE(($D120:$E120))),0)</f>
        <v>0</v>
      </c>
      <c r="N120" s="28" cm="1">
        <f t="array" ref="N120">N$110+IF($C120&lt;&gt;0,SUMPRODUCT((N$111:N$112)*TRANSPOSE(($D120:$E120))),0)</f>
        <v>0</v>
      </c>
      <c r="O120" s="28" cm="1">
        <f t="array" ref="O120">O$110+IF($C120&lt;&gt;0,SUMPRODUCT((O$111:O$112)*TRANSPOSE(($D120:$E120))),0)</f>
        <v>0</v>
      </c>
      <c r="P120" s="28" cm="1">
        <f t="array" ref="P120">P$110+IF($C120&lt;&gt;0,SUMPRODUCT((P$111:P$112)*TRANSPOSE(($D120:$E120))),0)</f>
        <v>0</v>
      </c>
      <c r="Q120" s="28" cm="1">
        <f t="array" ref="Q120">Q$110+IF($C120&lt;&gt;0,SUMPRODUCT((Q$111:Q$112)*TRANSPOSE(($D120:$E120))),0)</f>
        <v>0</v>
      </c>
      <c r="R120" s="28" cm="1">
        <f t="array" ref="R120">R$110+IF($C120&lt;&gt;0,SUMPRODUCT((R$111:R$112)*TRANSPOSE(($D120:$E120))),0)</f>
        <v>0</v>
      </c>
      <c r="S120" s="28" cm="1">
        <f t="array" ref="S120">S$110+IF($C120&lt;&gt;0,SUMPRODUCT((S$111:S$112)*TRANSPOSE(($D120:$E120))),0)</f>
        <v>0</v>
      </c>
      <c r="T120" s="28" cm="1">
        <f t="array" ref="T120">T$110+IF($C120&lt;&gt;0,SUMPRODUCT((T$111:T$112)*TRANSPOSE(($D120:$E120))),0)</f>
        <v>0</v>
      </c>
      <c r="U120" s="28" cm="1">
        <f t="array" ref="U120">U$110+IF($C120&lt;&gt;0,SUMPRODUCT((U$111:U$112)*TRANSPOSE(($D120:$E120))),0)</f>
        <v>0</v>
      </c>
      <c r="V120" s="28" cm="1">
        <f t="array" ref="V120">V$110+IF($C120&lt;&gt;0,SUMPRODUCT((V$111:V$112)*TRANSPOSE(($D120:$E120))),0)</f>
        <v>0</v>
      </c>
      <c r="W120" s="28" cm="1">
        <f t="array" ref="W120">W$110+IF($C120&lt;&gt;0,SUMPRODUCT((W$111:W$112)*TRANSPOSE(($D120:$E120))),0)</f>
        <v>0</v>
      </c>
      <c r="X120" s="28" cm="1">
        <f t="array" ref="X120">X$110+IF($C120&lt;&gt;0,SUMPRODUCT((X$111:X$112)*TRANSPOSE(($D120:$E120))),0)</f>
        <v>0</v>
      </c>
      <c r="Y120" s="28" cm="1">
        <f t="array" ref="Y120">Y$110+IF($C120&lt;&gt;0,SUMPRODUCT((Y$111:Y$112)*TRANSPOSE(($D120:$E120))),0)</f>
        <v>0</v>
      </c>
      <c r="Z120" s="28" cm="1">
        <f t="array" ref="Z120">Z$110+IF($C120&lt;&gt;0,SUMPRODUCT((Z$111:Z$112)*TRANSPOSE(($D120:$E120))),0)</f>
        <v>0</v>
      </c>
      <c r="AA120" s="28" cm="1">
        <f t="array" ref="AA120">AA$110+IF($C120&lt;&gt;0,SUMPRODUCT((AA$111:AA$112)*TRANSPOSE(($D120:$E120))),0)</f>
        <v>0</v>
      </c>
      <c r="AB120" s="28" cm="1">
        <f t="array" ref="AB120">AB$110+IF($C120&lt;&gt;0,SUMPRODUCT((AB$111:AB$112)*TRANSPOSE(($D120:$E120))),0)</f>
        <v>0</v>
      </c>
      <c r="AC120" s="28" cm="1">
        <f t="array" ref="AC120">AC$110+IF($C120&lt;&gt;0,SUMPRODUCT((AC$111:AC$112)*TRANSPOSE(($D120:$E120))),0)</f>
        <v>0</v>
      </c>
      <c r="AD120" s="28" cm="1">
        <f t="array" ref="AD120">AD$110+IF($C120&lt;&gt;0,SUMPRODUCT((AD$111:AD$112)*TRANSPOSE(($D120:$E120))),0)</f>
        <v>0</v>
      </c>
      <c r="AE120" s="28" cm="1">
        <f t="array" ref="AE120">AE$110+IF($C120&lt;&gt;0,SUMPRODUCT((AE$111:AE$112)*TRANSPOSE(($D120:$E120))),0)</f>
        <v>0</v>
      </c>
      <c r="AF120" s="28" cm="1">
        <f t="array" ref="AF120">AF$110+IF($C120&lt;&gt;0,SUMPRODUCT((AF$111:AF$112)*TRANSPOSE(($D120:$E120))),0)</f>
        <v>0</v>
      </c>
      <c r="AG120" s="28" cm="1">
        <f t="array" ref="AG120">AG$110+IF($C120&lt;&gt;0,SUMPRODUCT((AG$111:AG$112)*TRANSPOSE(($D120:$E120))),0)</f>
        <v>0</v>
      </c>
    </row>
    <row r="121" spans="1:33" x14ac:dyDescent="0.2">
      <c r="A121" s="1" t="str">
        <f>"sens"&amp;Assumptions!B118</f>
        <v>sens</v>
      </c>
      <c r="C121" s="247">
        <f>Assumptions!C118</f>
        <v>0</v>
      </c>
      <c r="D121" s="248">
        <f>Assumptions!G118</f>
        <v>0</v>
      </c>
      <c r="E121" s="248">
        <f>Assumptions!H118</f>
        <v>0</v>
      </c>
      <c r="G121" s="33" t="str">
        <f t="shared" si="23"/>
        <v>Option 1 (Base Case)sens</v>
      </c>
      <c r="I121" s="28" cm="1">
        <f t="array" ref="I121">I$110+IF($C121&lt;&gt;0,SUMPRODUCT((I$111:I$112)*TRANSPOSE(($D121:$E121))),0)</f>
        <v>0</v>
      </c>
      <c r="J121" s="28" cm="1">
        <f t="array" ref="J121">J$110+IF($C121&lt;&gt;0,SUMPRODUCT((J$111:J$112)*TRANSPOSE(($D121:$E121))),0)</f>
        <v>0</v>
      </c>
      <c r="K121" s="28" cm="1">
        <f t="array" ref="K121">K$110+IF($C121&lt;&gt;0,SUMPRODUCT((K$111:K$112)*TRANSPOSE(($D121:$E121))),0)</f>
        <v>0</v>
      </c>
      <c r="L121" s="28" cm="1">
        <f t="array" ref="L121">L$110+IF($C121&lt;&gt;0,SUMPRODUCT((L$111:L$112)*TRANSPOSE(($D121:$E121))),0)</f>
        <v>0</v>
      </c>
      <c r="M121" s="28" cm="1">
        <f t="array" ref="M121">M$110+IF($C121&lt;&gt;0,SUMPRODUCT((M$111:M$112)*TRANSPOSE(($D121:$E121))),0)</f>
        <v>0</v>
      </c>
      <c r="N121" s="28" cm="1">
        <f t="array" ref="N121">N$110+IF($C121&lt;&gt;0,SUMPRODUCT((N$111:N$112)*TRANSPOSE(($D121:$E121))),0)</f>
        <v>0</v>
      </c>
      <c r="O121" s="28" cm="1">
        <f t="array" ref="O121">O$110+IF($C121&lt;&gt;0,SUMPRODUCT((O$111:O$112)*TRANSPOSE(($D121:$E121))),0)</f>
        <v>0</v>
      </c>
      <c r="P121" s="28" cm="1">
        <f t="array" ref="P121">P$110+IF($C121&lt;&gt;0,SUMPRODUCT((P$111:P$112)*TRANSPOSE(($D121:$E121))),0)</f>
        <v>0</v>
      </c>
      <c r="Q121" s="28" cm="1">
        <f t="array" ref="Q121">Q$110+IF($C121&lt;&gt;0,SUMPRODUCT((Q$111:Q$112)*TRANSPOSE(($D121:$E121))),0)</f>
        <v>0</v>
      </c>
      <c r="R121" s="28" cm="1">
        <f t="array" ref="R121">R$110+IF($C121&lt;&gt;0,SUMPRODUCT((R$111:R$112)*TRANSPOSE(($D121:$E121))),0)</f>
        <v>0</v>
      </c>
      <c r="S121" s="28" cm="1">
        <f t="array" ref="S121">S$110+IF($C121&lt;&gt;0,SUMPRODUCT((S$111:S$112)*TRANSPOSE(($D121:$E121))),0)</f>
        <v>0</v>
      </c>
      <c r="T121" s="28" cm="1">
        <f t="array" ref="T121">T$110+IF($C121&lt;&gt;0,SUMPRODUCT((T$111:T$112)*TRANSPOSE(($D121:$E121))),0)</f>
        <v>0</v>
      </c>
      <c r="U121" s="28" cm="1">
        <f t="array" ref="U121">U$110+IF($C121&lt;&gt;0,SUMPRODUCT((U$111:U$112)*TRANSPOSE(($D121:$E121))),0)</f>
        <v>0</v>
      </c>
      <c r="V121" s="28" cm="1">
        <f t="array" ref="V121">V$110+IF($C121&lt;&gt;0,SUMPRODUCT((V$111:V$112)*TRANSPOSE(($D121:$E121))),0)</f>
        <v>0</v>
      </c>
      <c r="W121" s="28" cm="1">
        <f t="array" ref="W121">W$110+IF($C121&lt;&gt;0,SUMPRODUCT((W$111:W$112)*TRANSPOSE(($D121:$E121))),0)</f>
        <v>0</v>
      </c>
      <c r="X121" s="28" cm="1">
        <f t="array" ref="X121">X$110+IF($C121&lt;&gt;0,SUMPRODUCT((X$111:X$112)*TRANSPOSE(($D121:$E121))),0)</f>
        <v>0</v>
      </c>
      <c r="Y121" s="28" cm="1">
        <f t="array" ref="Y121">Y$110+IF($C121&lt;&gt;0,SUMPRODUCT((Y$111:Y$112)*TRANSPOSE(($D121:$E121))),0)</f>
        <v>0</v>
      </c>
      <c r="Z121" s="28" cm="1">
        <f t="array" ref="Z121">Z$110+IF($C121&lt;&gt;0,SUMPRODUCT((Z$111:Z$112)*TRANSPOSE(($D121:$E121))),0)</f>
        <v>0</v>
      </c>
      <c r="AA121" s="28" cm="1">
        <f t="array" ref="AA121">AA$110+IF($C121&lt;&gt;0,SUMPRODUCT((AA$111:AA$112)*TRANSPOSE(($D121:$E121))),0)</f>
        <v>0</v>
      </c>
      <c r="AB121" s="28" cm="1">
        <f t="array" ref="AB121">AB$110+IF($C121&lt;&gt;0,SUMPRODUCT((AB$111:AB$112)*TRANSPOSE(($D121:$E121))),0)</f>
        <v>0</v>
      </c>
      <c r="AC121" s="28" cm="1">
        <f t="array" ref="AC121">AC$110+IF($C121&lt;&gt;0,SUMPRODUCT((AC$111:AC$112)*TRANSPOSE(($D121:$E121))),0)</f>
        <v>0</v>
      </c>
      <c r="AD121" s="28" cm="1">
        <f t="array" ref="AD121">AD$110+IF($C121&lt;&gt;0,SUMPRODUCT((AD$111:AD$112)*TRANSPOSE(($D121:$E121))),0)</f>
        <v>0</v>
      </c>
      <c r="AE121" s="28" cm="1">
        <f t="array" ref="AE121">AE$110+IF($C121&lt;&gt;0,SUMPRODUCT((AE$111:AE$112)*TRANSPOSE(($D121:$E121))),0)</f>
        <v>0</v>
      </c>
      <c r="AF121" s="28" cm="1">
        <f t="array" ref="AF121">AF$110+IF($C121&lt;&gt;0,SUMPRODUCT((AF$111:AF$112)*TRANSPOSE(($D121:$E121))),0)</f>
        <v>0</v>
      </c>
      <c r="AG121" s="28" cm="1">
        <f t="array" ref="AG121">AG$110+IF($C121&lt;&gt;0,SUMPRODUCT((AG$111:AG$112)*TRANSPOSE(($D121:$E121))),0)</f>
        <v>0</v>
      </c>
    </row>
  </sheetData>
  <conditionalFormatting sqref="E14:E16">
    <cfRule type="expression" dxfId="17" priority="12">
      <formula>AND(SUM($I14:$AB14)&lt;&gt;0, E14=0)</formula>
    </cfRule>
  </conditionalFormatting>
  <conditionalFormatting sqref="E32">
    <cfRule type="expression" dxfId="16" priority="239">
      <formula>AND(SUM($I$31:$AG$31)&gt;0, $E$32=0)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40"/>
  <sheetViews>
    <sheetView showGridLines="0" zoomScale="85" zoomScaleNormal="85" workbookViewId="0">
      <pane xSplit="7" ySplit="10" topLeftCell="H11" activePane="bottomRight" state="frozen"/>
      <selection activeCell="J25" sqref="J25"/>
      <selection pane="topRight" activeCell="J25" sqref="J25"/>
      <selection pane="bottomLeft" activeCell="J25" sqref="J25"/>
      <selection pane="bottomRight" activeCell="H11" sqref="H11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33.8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1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49" t="str">
        <f>proj</f>
        <v>CBD security of supply</v>
      </c>
      <c r="B2" s="4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2" t="s">
        <v>138</v>
      </c>
      <c r="B3" s="5"/>
      <c r="C3" s="297" t="str">
        <f>INDEX(Assumptions!$E$14:$E$18, MATCH(A3,_xlfn.ANCHORARRAY( Assumptions!$C$14),0))</f>
        <v>Construct new feeders from MG to JA</v>
      </c>
    </row>
    <row r="4" spans="1:43" x14ac:dyDescent="0.2">
      <c r="A4" s="1" t="str">
        <f>(INDEX(Data!$D$9:$D$13, MATCH(A3, options,0)))</f>
        <v/>
      </c>
      <c r="B4" s="158"/>
      <c r="C4" s="206"/>
    </row>
    <row r="5" spans="1:43" hidden="1" outlineLevel="1" x14ac:dyDescent="0.2">
      <c r="C5" s="84"/>
      <c r="D5" s="83"/>
      <c r="E5" s="85"/>
      <c r="F5" s="85"/>
      <c r="G5" s="83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</row>
    <row r="6" spans="1:43" hidden="1" outlineLevel="1" x14ac:dyDescent="0.2">
      <c r="A6" s="83" t="str">
        <f>'Option1 (base case)'!A6</f>
        <v>Count</v>
      </c>
      <c r="B6" s="83"/>
      <c r="C6" s="84"/>
      <c r="D6" s="83"/>
      <c r="E6" s="85"/>
      <c r="F6" s="85"/>
      <c r="G6" s="83"/>
      <c r="H6" s="86"/>
      <c r="I6" s="86">
        <f>'Option1 (base case)'!I6</f>
        <v>1</v>
      </c>
      <c r="J6" s="86">
        <f>'Option1 (base case)'!J6</f>
        <v>2</v>
      </c>
      <c r="K6" s="86">
        <f>'Option1 (base case)'!K6</f>
        <v>3</v>
      </c>
      <c r="L6" s="86">
        <f>'Option1 (base case)'!L6</f>
        <v>4</v>
      </c>
      <c r="M6" s="86">
        <f>'Option1 (base case)'!M6</f>
        <v>5</v>
      </c>
      <c r="N6" s="86">
        <f>'Option1 (base case)'!N6</f>
        <v>6</v>
      </c>
      <c r="O6" s="86">
        <f>'Option1 (base case)'!O6</f>
        <v>7</v>
      </c>
      <c r="P6" s="86">
        <f>'Option1 (base case)'!P6</f>
        <v>8</v>
      </c>
      <c r="Q6" s="86">
        <f>'Option1 (base case)'!Q6</f>
        <v>9</v>
      </c>
      <c r="R6" s="86">
        <f>'Option1 (base case)'!R6</f>
        <v>10</v>
      </c>
      <c r="S6" s="86">
        <f>'Option1 (base case)'!S6</f>
        <v>11</v>
      </c>
      <c r="T6" s="86">
        <f>'Option1 (base case)'!T6</f>
        <v>12</v>
      </c>
      <c r="U6" s="86">
        <f>'Option1 (base case)'!U6</f>
        <v>13</v>
      </c>
      <c r="V6" s="86">
        <f>'Option1 (base case)'!V6</f>
        <v>14</v>
      </c>
      <c r="W6" s="86">
        <f>'Option1 (base case)'!W6</f>
        <v>15</v>
      </c>
      <c r="X6" s="86">
        <f>'Option1 (base case)'!X6</f>
        <v>16</v>
      </c>
      <c r="Y6" s="86">
        <f>'Option1 (base case)'!Y6</f>
        <v>17</v>
      </c>
      <c r="Z6" s="86">
        <f>'Option1 (base case)'!Z6</f>
        <v>18</v>
      </c>
      <c r="AA6" s="86">
        <f>'Option1 (base case)'!AA6</f>
        <v>19</v>
      </c>
      <c r="AB6" s="86">
        <f>'Option1 (base case)'!AB6</f>
        <v>20</v>
      </c>
      <c r="AC6" s="86">
        <f>'Option1 (base case)'!AC6</f>
        <v>21</v>
      </c>
      <c r="AD6" s="86">
        <f>'Option1 (base case)'!AD6</f>
        <v>22</v>
      </c>
      <c r="AE6" s="86">
        <f>'Option1 (base case)'!AE6</f>
        <v>23</v>
      </c>
      <c r="AF6" s="86">
        <f>'Option1 (base case)'!AF6</f>
        <v>24</v>
      </c>
      <c r="AG6" s="86">
        <f>'Option1 (base case)'!AG6</f>
        <v>25</v>
      </c>
    </row>
    <row r="7" spans="1:43" hidden="1" outlineLevel="1" x14ac:dyDescent="0.2">
      <c r="A7" s="83" t="str">
        <f>'Option1 (base case)'!A7</f>
        <v>Value of CO2 reductions</v>
      </c>
      <c r="B7" s="83"/>
      <c r="G7" s="133" t="s">
        <v>93</v>
      </c>
      <c r="I7" s="84">
        <f>'Option1 (base case)'!I7</f>
        <v>24.730486797759085</v>
      </c>
      <c r="J7" s="84">
        <f>'Option1 (base case)'!J7</f>
        <v>22.340740091772258</v>
      </c>
      <c r="K7" s="84">
        <f>'Option1 (base case)'!K7</f>
        <v>20.196329122153124</v>
      </c>
      <c r="L7" s="84">
        <f>'Option1 (base case)'!L7</f>
        <v>18.06294207659629</v>
      </c>
      <c r="M7" s="84">
        <f>'Option1 (base case)'!M7</f>
        <v>15.913397615084225</v>
      </c>
      <c r="N7" s="84">
        <f>'Option1 (base case)'!N7</f>
        <v>13.715069432539002</v>
      </c>
      <c r="O7" s="84">
        <f>'Option1 (base case)'!O7</f>
        <v>13.715069432539002</v>
      </c>
      <c r="P7" s="84">
        <f>'Option1 (base case)'!P7</f>
        <v>13.715069432539002</v>
      </c>
      <c r="Q7" s="84">
        <f>'Option1 (base case)'!Q7</f>
        <v>13.715069432539002</v>
      </c>
      <c r="R7" s="84">
        <f>'Option1 (base case)'!R7</f>
        <v>13.715069432539002</v>
      </c>
      <c r="S7" s="84">
        <f>'Option1 (base case)'!S7</f>
        <v>13.715069432539002</v>
      </c>
      <c r="T7" s="84">
        <f>'Option1 (base case)'!T7</f>
        <v>13.715069432539002</v>
      </c>
      <c r="U7" s="84">
        <f>'Option1 (base case)'!U7</f>
        <v>13.715069432539002</v>
      </c>
      <c r="V7" s="84">
        <f>'Option1 (base case)'!V7</f>
        <v>13.715069432539002</v>
      </c>
      <c r="W7" s="84">
        <f>'Option1 (base case)'!W7</f>
        <v>13.715069432539002</v>
      </c>
      <c r="X7" s="84">
        <f>'Option1 (base case)'!X7</f>
        <v>13.715069432539002</v>
      </c>
      <c r="Y7" s="84">
        <f>'Option1 (base case)'!Y7</f>
        <v>13.715069432539002</v>
      </c>
      <c r="Z7" s="84">
        <f>'Option1 (base case)'!Z7</f>
        <v>13.715069432539002</v>
      </c>
      <c r="AA7" s="84">
        <f>'Option1 (base case)'!AA7</f>
        <v>13.715069432539002</v>
      </c>
      <c r="AB7" s="84">
        <f>'Option1 (base case)'!AB7</f>
        <v>13.715069432539002</v>
      </c>
      <c r="AC7" s="84">
        <f>'Option1 (base case)'!AC7</f>
        <v>13.715069432539002</v>
      </c>
      <c r="AD7" s="84">
        <f>'Option1 (base case)'!AD7</f>
        <v>13.715069432539002</v>
      </c>
      <c r="AE7" s="84">
        <f>'Option1 (base case)'!AE7</f>
        <v>13.715069432539002</v>
      </c>
      <c r="AF7" s="84">
        <f>'Option1 (base case)'!AF7</f>
        <v>13.715069432539002</v>
      </c>
      <c r="AG7" s="84">
        <f>'Option1 (base case)'!AG7</f>
        <v>13.715069432539002</v>
      </c>
    </row>
    <row r="8" spans="1:43" ht="15" customHeight="1" collapsed="1" x14ac:dyDescent="0.2">
      <c r="C8" s="84"/>
      <c r="D8" s="83"/>
      <c r="E8" s="85"/>
      <c r="F8" s="85"/>
      <c r="G8" s="83"/>
      <c r="H8" s="86"/>
      <c r="I8" s="86">
        <f>_xlfn.NUMBERVALUE(LEFT(I$9,4))+1</f>
        <v>2027</v>
      </c>
      <c r="J8" s="86">
        <f t="shared" ref="J8:AG8" si="0">_xlfn.NUMBERVALUE(LEFT(J$9,4))+1</f>
        <v>2028</v>
      </c>
      <c r="K8" s="86">
        <f t="shared" si="0"/>
        <v>2029</v>
      </c>
      <c r="L8" s="86">
        <f t="shared" si="0"/>
        <v>2030</v>
      </c>
      <c r="M8" s="86">
        <f t="shared" si="0"/>
        <v>2031</v>
      </c>
      <c r="N8" s="86">
        <f t="shared" si="0"/>
        <v>2032</v>
      </c>
      <c r="O8" s="86">
        <f t="shared" si="0"/>
        <v>2033</v>
      </c>
      <c r="P8" s="86">
        <f t="shared" si="0"/>
        <v>2034</v>
      </c>
      <c r="Q8" s="86">
        <f t="shared" si="0"/>
        <v>2035</v>
      </c>
      <c r="R8" s="86">
        <f t="shared" si="0"/>
        <v>2036</v>
      </c>
      <c r="S8" s="86">
        <f t="shared" si="0"/>
        <v>2037</v>
      </c>
      <c r="T8" s="86">
        <f t="shared" si="0"/>
        <v>2038</v>
      </c>
      <c r="U8" s="86">
        <f t="shared" si="0"/>
        <v>2039</v>
      </c>
      <c r="V8" s="86">
        <f t="shared" si="0"/>
        <v>2040</v>
      </c>
      <c r="W8" s="86">
        <f t="shared" si="0"/>
        <v>2041</v>
      </c>
      <c r="X8" s="86">
        <f t="shared" si="0"/>
        <v>2042</v>
      </c>
      <c r="Y8" s="86">
        <f t="shared" si="0"/>
        <v>2043</v>
      </c>
      <c r="Z8" s="86">
        <f t="shared" si="0"/>
        <v>2044</v>
      </c>
      <c r="AA8" s="86">
        <f t="shared" si="0"/>
        <v>2045</v>
      </c>
      <c r="AB8" s="86">
        <f t="shared" si="0"/>
        <v>2046</v>
      </c>
      <c r="AC8" s="86">
        <f t="shared" si="0"/>
        <v>2047</v>
      </c>
      <c r="AD8" s="86">
        <f t="shared" si="0"/>
        <v>2048</v>
      </c>
      <c r="AE8" s="86">
        <f t="shared" si="0"/>
        <v>2049</v>
      </c>
      <c r="AF8" s="86">
        <f t="shared" si="0"/>
        <v>2050</v>
      </c>
      <c r="AG8" s="86">
        <f t="shared" si="0"/>
        <v>2051</v>
      </c>
    </row>
    <row r="9" spans="1:43" ht="15" x14ac:dyDescent="0.2">
      <c r="A9" s="16"/>
      <c r="B9" s="16"/>
      <c r="C9" s="16"/>
      <c r="D9" s="16"/>
      <c r="E9" s="16"/>
      <c r="F9" s="116"/>
      <c r="G9" s="16" t="s">
        <v>94</v>
      </c>
      <c r="H9" s="188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6" t="s">
        <v>95</v>
      </c>
      <c r="B11" s="76"/>
      <c r="C11" s="77"/>
      <c r="D11" s="77"/>
      <c r="E11" s="77"/>
      <c r="F11" s="77"/>
      <c r="G11" s="17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</row>
    <row r="12" spans="1:43" x14ac:dyDescent="0.2">
      <c r="A12" s="3"/>
      <c r="B12" s="3"/>
      <c r="C12" s="3"/>
      <c r="D12" s="3"/>
      <c r="G12" s="174"/>
    </row>
    <row r="13" spans="1:43" x14ac:dyDescent="0.2">
      <c r="C13" s="3" t="s">
        <v>88</v>
      </c>
      <c r="D13"/>
      <c r="E13" s="102" t="s">
        <v>96</v>
      </c>
      <c r="G13" s="175"/>
      <c r="H13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0" t="s">
        <v>30</v>
      </c>
      <c r="D14"/>
      <c r="E14" s="122">
        <v>50</v>
      </c>
      <c r="G14" s="176">
        <f>input_dollars</f>
        <v>45291</v>
      </c>
      <c r="H14" s="123"/>
      <c r="I14" s="29">
        <v>7918867.3000000007</v>
      </c>
      <c r="J14" s="29">
        <v>9269805.709891038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0"/>
      <c r="D15"/>
      <c r="E15" s="122">
        <v>0</v>
      </c>
      <c r="G15" s="176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0"/>
      <c r="D16"/>
      <c r="E16" s="122">
        <v>0</v>
      </c>
      <c r="G16" s="176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15</v>
      </c>
      <c r="G17" s="176">
        <f>input_dollars</f>
        <v>45291</v>
      </c>
      <c r="H17" s="91"/>
      <c r="I17" s="90">
        <f t="shared" ref="I17:Q17" si="1">SUM(I14:I16)</f>
        <v>7918867.3000000007</v>
      </c>
      <c r="J17" s="90">
        <f t="shared" si="1"/>
        <v>9269805.709891038</v>
      </c>
      <c r="K17" s="90">
        <f t="shared" si="1"/>
        <v>0</v>
      </c>
      <c r="L17" s="90">
        <f t="shared" si="1"/>
        <v>0</v>
      </c>
      <c r="M17" s="90">
        <f t="shared" si="1"/>
        <v>0</v>
      </c>
      <c r="N17" s="90">
        <f t="shared" si="1"/>
        <v>0</v>
      </c>
      <c r="O17" s="90">
        <f t="shared" si="1"/>
        <v>0</v>
      </c>
      <c r="P17" s="90">
        <f t="shared" si="1"/>
        <v>0</v>
      </c>
      <c r="Q17" s="90">
        <f t="shared" si="1"/>
        <v>0</v>
      </c>
      <c r="R17" s="90">
        <f t="shared" ref="R17:AG17" si="2">SUM(R14:R16)</f>
        <v>0</v>
      </c>
      <c r="S17" s="90">
        <f t="shared" si="2"/>
        <v>0</v>
      </c>
      <c r="T17" s="90">
        <f t="shared" si="2"/>
        <v>0</v>
      </c>
      <c r="U17" s="90">
        <f t="shared" si="2"/>
        <v>0</v>
      </c>
      <c r="V17" s="90">
        <f t="shared" si="2"/>
        <v>0</v>
      </c>
      <c r="W17" s="90">
        <f t="shared" si="2"/>
        <v>0</v>
      </c>
      <c r="X17" s="90">
        <f t="shared" si="2"/>
        <v>0</v>
      </c>
      <c r="Y17" s="90">
        <f t="shared" si="2"/>
        <v>0</v>
      </c>
      <c r="Z17" s="90">
        <f t="shared" si="2"/>
        <v>0</v>
      </c>
      <c r="AA17" s="90">
        <f t="shared" si="2"/>
        <v>0</v>
      </c>
      <c r="AB17" s="90">
        <f t="shared" si="2"/>
        <v>0</v>
      </c>
      <c r="AC17" s="90">
        <f t="shared" si="2"/>
        <v>0</v>
      </c>
      <c r="AD17" s="90">
        <f t="shared" si="2"/>
        <v>0</v>
      </c>
      <c r="AE17" s="90">
        <f t="shared" si="2"/>
        <v>0</v>
      </c>
      <c r="AF17" s="90">
        <f t="shared" si="2"/>
        <v>0</v>
      </c>
      <c r="AG17" s="90">
        <f t="shared" si="2"/>
        <v>0</v>
      </c>
    </row>
    <row r="18" spans="1:43" x14ac:dyDescent="0.2">
      <c r="C18"/>
      <c r="D18"/>
      <c r="E18"/>
      <c r="G18" s="175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16</v>
      </c>
      <c r="D19"/>
      <c r="E19"/>
      <c r="F19" s="91"/>
      <c r="G19" s="176">
        <f>input_dollars</f>
        <v>45291</v>
      </c>
      <c r="H19" s="91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2">
      <c r="G20" s="174"/>
    </row>
    <row r="21" spans="1:43" x14ac:dyDescent="0.2">
      <c r="C21"/>
      <c r="D21"/>
      <c r="E21"/>
      <c r="G21" s="175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6" t="s">
        <v>98</v>
      </c>
      <c r="B22" s="76"/>
      <c r="C22" s="76"/>
      <c r="D22" s="76"/>
      <c r="E22" s="76"/>
      <c r="F22" s="76"/>
      <c r="G22" s="173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5"/>
      <c r="B23" s="95"/>
      <c r="C23" s="95"/>
      <c r="D23" s="95"/>
      <c r="E23" s="95"/>
      <c r="F23" s="95"/>
      <c r="G23" s="177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5"/>
      <c r="B24" s="95"/>
      <c r="C24" s="1" t="s">
        <v>99</v>
      </c>
      <c r="D24" s="95"/>
      <c r="E24" s="95"/>
      <c r="F24" s="95"/>
      <c r="G24" s="177"/>
      <c r="H24" s="95"/>
      <c r="I24" s="141">
        <v>0</v>
      </c>
      <c r="J24" s="141">
        <v>0</v>
      </c>
      <c r="K24" s="141">
        <v>0</v>
      </c>
      <c r="L24" s="141">
        <v>0</v>
      </c>
      <c r="M24" s="141">
        <v>0</v>
      </c>
      <c r="N24" s="141">
        <v>0</v>
      </c>
      <c r="O24" s="141">
        <v>0</v>
      </c>
      <c r="P24" s="141">
        <v>0</v>
      </c>
      <c r="Q24" s="141">
        <v>0</v>
      </c>
      <c r="R24" s="141">
        <v>0</v>
      </c>
      <c r="S24" s="141">
        <v>0</v>
      </c>
      <c r="T24" s="141">
        <v>0</v>
      </c>
      <c r="U24" s="141">
        <v>0</v>
      </c>
      <c r="V24" s="141">
        <v>0</v>
      </c>
      <c r="W24" s="141">
        <v>0</v>
      </c>
      <c r="X24" s="141">
        <v>0</v>
      </c>
      <c r="Y24" s="141">
        <v>0</v>
      </c>
      <c r="Z24" s="141">
        <v>0</v>
      </c>
      <c r="AA24" s="141">
        <v>0</v>
      </c>
      <c r="AB24" s="141">
        <v>0</v>
      </c>
      <c r="AC24" s="141">
        <v>0</v>
      </c>
      <c r="AD24" s="141">
        <v>0</v>
      </c>
      <c r="AE24" s="141">
        <v>0</v>
      </c>
      <c r="AF24" s="141">
        <v>0</v>
      </c>
      <c r="AG24" s="141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5"/>
      <c r="B25" s="95"/>
      <c r="C25" s="1" t="s">
        <v>100</v>
      </c>
      <c r="D25" s="177"/>
      <c r="E25" s="95"/>
      <c r="F25" s="95"/>
      <c r="G25" s="177"/>
      <c r="H25" s="95"/>
      <c r="I25" s="141">
        <v>0</v>
      </c>
      <c r="J25" s="141">
        <v>0</v>
      </c>
      <c r="K25" s="141">
        <v>0</v>
      </c>
      <c r="L25" s="141">
        <v>0</v>
      </c>
      <c r="M25" s="141">
        <v>0</v>
      </c>
      <c r="N25" s="141">
        <v>0</v>
      </c>
      <c r="O25" s="141">
        <v>0</v>
      </c>
      <c r="P25" s="141">
        <v>0</v>
      </c>
      <c r="Q25" s="141">
        <v>0</v>
      </c>
      <c r="R25" s="141">
        <v>0</v>
      </c>
      <c r="S25" s="141">
        <v>0</v>
      </c>
      <c r="T25" s="141">
        <v>0</v>
      </c>
      <c r="U25" s="141">
        <v>0</v>
      </c>
      <c r="V25" s="141">
        <v>0</v>
      </c>
      <c r="W25" s="141">
        <v>0</v>
      </c>
      <c r="X25" s="141">
        <v>0</v>
      </c>
      <c r="Y25" s="141">
        <v>0</v>
      </c>
      <c r="Z25" s="141">
        <v>0</v>
      </c>
      <c r="AA25" s="141">
        <v>0</v>
      </c>
      <c r="AB25" s="141">
        <v>0</v>
      </c>
      <c r="AC25" s="141">
        <v>0</v>
      </c>
      <c r="AD25" s="141">
        <v>0</v>
      </c>
      <c r="AE25" s="141">
        <v>0</v>
      </c>
      <c r="AF25" s="141">
        <v>0</v>
      </c>
      <c r="AG25" s="141">
        <v>0</v>
      </c>
      <c r="AH25"/>
      <c r="AI25"/>
      <c r="AJ25"/>
      <c r="AK25"/>
      <c r="AL25"/>
      <c r="AM25"/>
      <c r="AN25"/>
      <c r="AO25"/>
      <c r="AP25"/>
      <c r="AQ25"/>
    </row>
    <row r="26" spans="1:43" s="277" customFormat="1" ht="12.75" customHeight="1" x14ac:dyDescent="0.2">
      <c r="A26" s="276"/>
      <c r="B26" s="276"/>
      <c r="D26" s="282"/>
      <c r="E26" s="276"/>
      <c r="F26" s="276"/>
      <c r="G26" s="282"/>
      <c r="H26" s="276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1"/>
      <c r="AI26" s="281"/>
      <c r="AJ26" s="281"/>
      <c r="AK26" s="281"/>
      <c r="AL26" s="281"/>
      <c r="AM26" s="281"/>
      <c r="AN26" s="281"/>
      <c r="AO26" s="281"/>
      <c r="AP26" s="281"/>
      <c r="AQ26" s="281"/>
    </row>
    <row r="27" spans="1:43" s="277" customFormat="1" ht="12.75" customHeight="1" x14ac:dyDescent="0.2">
      <c r="A27" s="276"/>
      <c r="B27" s="276"/>
      <c r="C27" s="277" t="s">
        <v>250</v>
      </c>
      <c r="D27" s="282"/>
      <c r="E27" s="293">
        <v>2028</v>
      </c>
      <c r="F27" s="276"/>
      <c r="G27" s="282"/>
      <c r="H27" s="276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  <c r="AA27" s="283"/>
      <c r="AB27" s="283"/>
      <c r="AC27" s="283"/>
      <c r="AD27" s="283"/>
      <c r="AE27" s="283"/>
      <c r="AF27" s="283"/>
      <c r="AG27" s="283"/>
      <c r="AH27" s="281"/>
      <c r="AI27" s="281"/>
      <c r="AJ27" s="281"/>
      <c r="AK27" s="281"/>
      <c r="AL27" s="281"/>
      <c r="AM27" s="281"/>
      <c r="AN27" s="281"/>
      <c r="AO27" s="281"/>
      <c r="AP27" s="281"/>
      <c r="AQ27" s="281"/>
    </row>
    <row r="28" spans="1:43" ht="12.75" customHeight="1" x14ac:dyDescent="0.2">
      <c r="A28" s="95"/>
      <c r="B28" s="95"/>
      <c r="C28" s="284" t="s">
        <v>101</v>
      </c>
      <c r="D28" s="285"/>
      <c r="E28" s="286">
        <v>0.3</v>
      </c>
      <c r="F28" s="284"/>
      <c r="G28" s="287" t="s">
        <v>102</v>
      </c>
      <c r="H28" s="288"/>
      <c r="I28" s="140">
        <v>0.1190198522061041</v>
      </c>
      <c r="J28" s="140">
        <v>1.1632422151797219</v>
      </c>
      <c r="K28" s="140">
        <v>0</v>
      </c>
      <c r="L28" s="140">
        <v>0.2153592324479652</v>
      </c>
      <c r="M28" s="140">
        <v>1.4262514816796156E-3</v>
      </c>
      <c r="N28" s="140">
        <v>2.4699826782069716E-2</v>
      </c>
      <c r="O28" s="140">
        <v>0.22077477805577853</v>
      </c>
      <c r="P28" s="140">
        <v>1.176173239263802</v>
      </c>
      <c r="Q28" s="140">
        <v>2.599288668047639</v>
      </c>
      <c r="R28" s="140">
        <v>3.9718410490276845</v>
      </c>
      <c r="S28" s="140">
        <v>3.2344581696063166</v>
      </c>
      <c r="T28" s="140">
        <v>3.2344581696063166</v>
      </c>
      <c r="U28" s="140">
        <v>3.2344581696063166</v>
      </c>
      <c r="V28" s="140">
        <v>3.2344581696063166</v>
      </c>
      <c r="W28" s="140">
        <v>3.2344581696063166</v>
      </c>
      <c r="X28" s="140">
        <v>3.2344581696063166</v>
      </c>
      <c r="Y28" s="140">
        <v>3.2344581696063166</v>
      </c>
      <c r="Z28" s="140">
        <v>3.2344581696063166</v>
      </c>
      <c r="AA28" s="140">
        <v>3.2344581696063166</v>
      </c>
      <c r="AB28" s="140">
        <v>3.2344581696063166</v>
      </c>
      <c r="AC28" s="140">
        <v>3.2344581696063166</v>
      </c>
      <c r="AD28" s="140">
        <v>3.2344581696063166</v>
      </c>
      <c r="AE28" s="140">
        <v>3.2344581696063166</v>
      </c>
      <c r="AF28" s="140">
        <v>3.2344581696063166</v>
      </c>
      <c r="AG28" s="140">
        <v>3.2344581696063166</v>
      </c>
      <c r="AH28"/>
      <c r="AI28"/>
      <c r="AJ28"/>
      <c r="AK28"/>
      <c r="AL28"/>
      <c r="AM28"/>
      <c r="AN28"/>
      <c r="AO28"/>
      <c r="AP28"/>
      <c r="AQ28"/>
    </row>
    <row r="29" spans="1:43" ht="12.75" customHeight="1" x14ac:dyDescent="0.2">
      <c r="A29" s="95"/>
      <c r="B29" s="95"/>
      <c r="C29" s="284" t="s">
        <v>103</v>
      </c>
      <c r="D29" s="285"/>
      <c r="E29" s="286">
        <v>0.7</v>
      </c>
      <c r="F29" s="284"/>
      <c r="G29" s="287" t="s">
        <v>102</v>
      </c>
      <c r="H29" s="284"/>
      <c r="I29" s="140">
        <v>0</v>
      </c>
      <c r="J29" s="140">
        <v>6.5696234462542052E-2</v>
      </c>
      <c r="K29" s="140">
        <v>0</v>
      </c>
      <c r="L29" s="140">
        <v>0</v>
      </c>
      <c r="M29" s="140">
        <v>0</v>
      </c>
      <c r="N29" s="140">
        <v>0</v>
      </c>
      <c r="O29" s="140">
        <v>0</v>
      </c>
      <c r="P29" s="140">
        <v>1.9701160136767506E-2</v>
      </c>
      <c r="Q29" s="140">
        <v>0.12891373342208839</v>
      </c>
      <c r="R29" s="140">
        <v>0.31239820032057475</v>
      </c>
      <c r="S29" s="140">
        <v>0.20491535214497958</v>
      </c>
      <c r="T29" s="140">
        <v>0.20491535214497958</v>
      </c>
      <c r="U29" s="140">
        <v>0.20491535214497958</v>
      </c>
      <c r="V29" s="140">
        <v>0.20491535214497958</v>
      </c>
      <c r="W29" s="140">
        <v>0.20491535214497958</v>
      </c>
      <c r="X29" s="140">
        <v>0.20491535214497958</v>
      </c>
      <c r="Y29" s="140">
        <v>0.20491535214497958</v>
      </c>
      <c r="Z29" s="140">
        <v>0.20491535214497958</v>
      </c>
      <c r="AA29" s="140">
        <v>0.20491535214497958</v>
      </c>
      <c r="AB29" s="140">
        <v>0.20491535214497958</v>
      </c>
      <c r="AC29" s="140">
        <v>0.20491535214497958</v>
      </c>
      <c r="AD29" s="140">
        <v>0.20491535214497958</v>
      </c>
      <c r="AE29" s="140">
        <v>0.20491535214497958</v>
      </c>
      <c r="AF29" s="140">
        <v>0.20491535214497958</v>
      </c>
      <c r="AG29" s="140">
        <v>0.20491535214497958</v>
      </c>
      <c r="AH29"/>
      <c r="AI29"/>
      <c r="AJ29"/>
      <c r="AK29"/>
      <c r="AL29"/>
      <c r="AM29"/>
      <c r="AN29"/>
      <c r="AO29"/>
      <c r="AP29"/>
      <c r="AQ29"/>
    </row>
    <row r="30" spans="1:43" ht="12.75" customHeight="1" x14ac:dyDescent="0.2">
      <c r="A30" s="95"/>
      <c r="B30" s="95"/>
      <c r="C30" s="95"/>
      <c r="D30" s="177"/>
      <c r="E30" s="95"/>
      <c r="F30" s="95"/>
      <c r="G30" s="177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104</v>
      </c>
      <c r="D31" s="174"/>
      <c r="E31"/>
      <c r="G31" s="176" t="s">
        <v>102</v>
      </c>
      <c r="H31"/>
      <c r="I31" s="140">
        <f>SUMPRODUCT(I$28:I$29, $E$28:$E$29)</f>
        <v>3.5705955661831226E-2</v>
      </c>
      <c r="J31" s="140">
        <f t="shared" ref="J31:AG31" si="3">SUMPRODUCT(J$28:J$29, $E$28:$E$29)</f>
        <v>0.39496002867769597</v>
      </c>
      <c r="K31" s="140">
        <f t="shared" si="3"/>
        <v>0</v>
      </c>
      <c r="L31" s="140">
        <f t="shared" si="3"/>
        <v>6.4607769734389559E-2</v>
      </c>
      <c r="M31" s="140">
        <f t="shared" si="3"/>
        <v>4.2787544450388469E-4</v>
      </c>
      <c r="N31" s="140">
        <f t="shared" si="3"/>
        <v>7.4099480346209142E-3</v>
      </c>
      <c r="O31" s="140">
        <f t="shared" si="3"/>
        <v>6.6232433416733558E-2</v>
      </c>
      <c r="P31" s="140">
        <f t="shared" si="3"/>
        <v>0.36664278387487781</v>
      </c>
      <c r="Q31" s="140">
        <f t="shared" si="3"/>
        <v>0.87002621380975353</v>
      </c>
      <c r="R31" s="140">
        <f t="shared" si="3"/>
        <v>1.4102310549327077</v>
      </c>
      <c r="S31" s="140">
        <f t="shared" si="3"/>
        <v>1.1137781973833807</v>
      </c>
      <c r="T31" s="140">
        <f t="shared" si="3"/>
        <v>1.1137781973833807</v>
      </c>
      <c r="U31" s="140">
        <f t="shared" si="3"/>
        <v>1.1137781973833807</v>
      </c>
      <c r="V31" s="140">
        <f t="shared" si="3"/>
        <v>1.1137781973833807</v>
      </c>
      <c r="W31" s="140">
        <f t="shared" si="3"/>
        <v>1.1137781973833807</v>
      </c>
      <c r="X31" s="140">
        <f t="shared" si="3"/>
        <v>1.1137781973833807</v>
      </c>
      <c r="Y31" s="140">
        <f t="shared" si="3"/>
        <v>1.1137781973833807</v>
      </c>
      <c r="Z31" s="140">
        <f t="shared" si="3"/>
        <v>1.1137781973833807</v>
      </c>
      <c r="AA31" s="140">
        <f t="shared" si="3"/>
        <v>1.1137781973833807</v>
      </c>
      <c r="AB31" s="140">
        <f t="shared" si="3"/>
        <v>1.1137781973833807</v>
      </c>
      <c r="AC31" s="140">
        <f t="shared" si="3"/>
        <v>1.1137781973833807</v>
      </c>
      <c r="AD31" s="140">
        <f t="shared" si="3"/>
        <v>1.1137781973833807</v>
      </c>
      <c r="AE31" s="140">
        <f t="shared" si="3"/>
        <v>1.1137781973833807</v>
      </c>
      <c r="AF31" s="140">
        <f t="shared" si="3"/>
        <v>1.1137781973833807</v>
      </c>
      <c r="AG31" s="140">
        <f t="shared" si="3"/>
        <v>1.1137781973833807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105</v>
      </c>
      <c r="D32" s="174" t="s">
        <v>93</v>
      </c>
      <c r="E32" s="97">
        <f>Assumptions!H41*vcr_esc</f>
        <v>33720.051164239951</v>
      </c>
      <c r="F32" s="206" t="str">
        <f>IF(AND(SUM(I31:AG31)&lt;&gt;0, E32=0), "!", "")</f>
        <v/>
      </c>
      <c r="G32" s="176">
        <f>input_dollars</f>
        <v>45291</v>
      </c>
      <c r="H32"/>
      <c r="I32" s="28">
        <f>I31*$E$32</f>
        <v>1204.0066517850321</v>
      </c>
      <c r="J32" s="28">
        <f t="shared" ref="J32:AG32" si="4">J31*$E$32</f>
        <v>13318.072374841586</v>
      </c>
      <c r="K32" s="28">
        <f t="shared" si="4"/>
        <v>0</v>
      </c>
      <c r="L32" s="28">
        <f t="shared" si="4"/>
        <v>2178.5773010510493</v>
      </c>
      <c r="M32" s="28">
        <f t="shared" si="4"/>
        <v>14.427981880592903</v>
      </c>
      <c r="N32" s="28">
        <f t="shared" si="4"/>
        <v>249.86382685177648</v>
      </c>
      <c r="O32" s="28">
        <f t="shared" si="4"/>
        <v>2233.3610435443716</v>
      </c>
      <c r="P32" s="28">
        <f t="shared" si="4"/>
        <v>12363.21343126025</v>
      </c>
      <c r="Q32" s="28">
        <f t="shared" si="4"/>
        <v>29337.328443894858</v>
      </c>
      <c r="R32" s="28">
        <f t="shared" si="4"/>
        <v>47553.063325730982</v>
      </c>
      <c r="S32" s="28">
        <f t="shared" si="4"/>
        <v>37556.657801382542</v>
      </c>
      <c r="T32" s="28">
        <f t="shared" si="4"/>
        <v>37556.657801382542</v>
      </c>
      <c r="U32" s="28">
        <f t="shared" si="4"/>
        <v>37556.657801382542</v>
      </c>
      <c r="V32" s="28">
        <f t="shared" si="4"/>
        <v>37556.657801382542</v>
      </c>
      <c r="W32" s="28">
        <f t="shared" si="4"/>
        <v>37556.657801382542</v>
      </c>
      <c r="X32" s="28">
        <f t="shared" si="4"/>
        <v>37556.657801382542</v>
      </c>
      <c r="Y32" s="28">
        <f t="shared" si="4"/>
        <v>37556.657801382542</v>
      </c>
      <c r="Z32" s="28">
        <f t="shared" si="4"/>
        <v>37556.657801382542</v>
      </c>
      <c r="AA32" s="28">
        <f t="shared" si="4"/>
        <v>37556.657801382542</v>
      </c>
      <c r="AB32" s="28">
        <f t="shared" si="4"/>
        <v>37556.657801382542</v>
      </c>
      <c r="AC32" s="28">
        <f t="shared" si="4"/>
        <v>37556.657801382542</v>
      </c>
      <c r="AD32" s="28">
        <f t="shared" si="4"/>
        <v>37556.657801382542</v>
      </c>
      <c r="AE32" s="28">
        <f t="shared" si="4"/>
        <v>37556.657801382542</v>
      </c>
      <c r="AF32" s="28">
        <f t="shared" si="4"/>
        <v>37556.657801382542</v>
      </c>
      <c r="AG32" s="28">
        <f t="shared" si="4"/>
        <v>37556.657801382542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D33" s="175"/>
      <c r="E33"/>
      <c r="G33" s="176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1" t="s">
        <v>106</v>
      </c>
      <c r="D34" s="174" t="s">
        <v>107</v>
      </c>
      <c r="G34" s="176">
        <f>input_dollars</f>
        <v>45291</v>
      </c>
      <c r="H34" s="123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C35" s="1" t="s">
        <v>108</v>
      </c>
      <c r="D35" s="175"/>
      <c r="E35"/>
      <c r="G35" s="176">
        <f>input_dollars</f>
        <v>45291</v>
      </c>
      <c r="H35" s="123"/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  <c r="AE35" s="29">
        <v>0</v>
      </c>
      <c r="AF35" s="29">
        <v>0</v>
      </c>
      <c r="AG35" s="29">
        <v>0</v>
      </c>
      <c r="AH35"/>
      <c r="AI35"/>
      <c r="AJ35"/>
      <c r="AK35"/>
      <c r="AL35"/>
      <c r="AM35"/>
      <c r="AN35"/>
      <c r="AO35"/>
      <c r="AP35"/>
      <c r="AQ35"/>
    </row>
    <row r="36" spans="1:16372" x14ac:dyDescent="0.2">
      <c r="C36" s="1" t="s">
        <v>109</v>
      </c>
      <c r="D36" s="174" t="s">
        <v>107</v>
      </c>
      <c r="E36"/>
      <c r="G36" s="176">
        <f>input_dollars</f>
        <v>45291</v>
      </c>
      <c r="H36"/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  <c r="AF36" s="29">
        <v>0</v>
      </c>
      <c r="AG36" s="29">
        <v>0</v>
      </c>
      <c r="AH36"/>
      <c r="AI36"/>
      <c r="AJ36"/>
      <c r="AK36"/>
      <c r="AL36"/>
      <c r="AM36"/>
      <c r="AN36"/>
      <c r="AO36"/>
      <c r="AP36"/>
      <c r="AQ36"/>
    </row>
    <row r="37" spans="1:16372" x14ac:dyDescent="0.2">
      <c r="C37" s="50" t="s">
        <v>110</v>
      </c>
      <c r="D37" s="187"/>
      <c r="E37"/>
      <c r="G37" s="176">
        <f>input_dollars</f>
        <v>45291</v>
      </c>
      <c r="H37"/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  <c r="AF37" s="29">
        <v>0</v>
      </c>
      <c r="AG37" s="29">
        <v>0</v>
      </c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C38" s="50" t="s">
        <v>110</v>
      </c>
      <c r="D38" s="175"/>
      <c r="E38"/>
      <c r="G38" s="176">
        <f>input_dollars</f>
        <v>45291</v>
      </c>
      <c r="H38"/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29">
        <v>0</v>
      </c>
      <c r="AG38" s="29">
        <v>0</v>
      </c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 s="175"/>
      <c r="E39"/>
      <c r="G39" s="176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</row>
    <row r="40" spans="1:16372" x14ac:dyDescent="0.2">
      <c r="C40" s="3" t="s">
        <v>111</v>
      </c>
      <c r="D40" s="186"/>
      <c r="E40" s="91"/>
      <c r="F40" s="3"/>
      <c r="G40" s="178"/>
      <c r="H40" s="91"/>
      <c r="I40" s="92">
        <f>SUM(I32:I38)</f>
        <v>1204.0066517850321</v>
      </c>
      <c r="J40" s="92">
        <f t="shared" ref="J40:AG40" si="5">SUM(J32:J38)</f>
        <v>13318.072374841586</v>
      </c>
      <c r="K40" s="92">
        <f t="shared" si="5"/>
        <v>0</v>
      </c>
      <c r="L40" s="92">
        <f t="shared" si="5"/>
        <v>2178.5773010510493</v>
      </c>
      <c r="M40" s="92">
        <f t="shared" si="5"/>
        <v>14.427981880592903</v>
      </c>
      <c r="N40" s="92">
        <f t="shared" si="5"/>
        <v>249.86382685177648</v>
      </c>
      <c r="O40" s="92">
        <f t="shared" si="5"/>
        <v>2233.3610435443716</v>
      </c>
      <c r="P40" s="92">
        <f t="shared" si="5"/>
        <v>12363.21343126025</v>
      </c>
      <c r="Q40" s="92">
        <f t="shared" si="5"/>
        <v>29337.328443894858</v>
      </c>
      <c r="R40" s="92">
        <f t="shared" si="5"/>
        <v>47553.063325730982</v>
      </c>
      <c r="S40" s="92">
        <f t="shared" si="5"/>
        <v>37556.657801382542</v>
      </c>
      <c r="T40" s="92">
        <f t="shared" si="5"/>
        <v>37556.657801382542</v>
      </c>
      <c r="U40" s="92">
        <f t="shared" si="5"/>
        <v>37556.657801382542</v>
      </c>
      <c r="V40" s="92">
        <f t="shared" si="5"/>
        <v>37556.657801382542</v>
      </c>
      <c r="W40" s="92">
        <f t="shared" si="5"/>
        <v>37556.657801382542</v>
      </c>
      <c r="X40" s="92">
        <f t="shared" si="5"/>
        <v>37556.657801382542</v>
      </c>
      <c r="Y40" s="92">
        <f t="shared" si="5"/>
        <v>37556.657801382542</v>
      </c>
      <c r="Z40" s="92">
        <f t="shared" si="5"/>
        <v>37556.657801382542</v>
      </c>
      <c r="AA40" s="92">
        <f t="shared" si="5"/>
        <v>37556.657801382542</v>
      </c>
      <c r="AB40" s="92">
        <f t="shared" si="5"/>
        <v>37556.657801382542</v>
      </c>
      <c r="AC40" s="92">
        <f t="shared" si="5"/>
        <v>37556.657801382542</v>
      </c>
      <c r="AD40" s="92">
        <f t="shared" si="5"/>
        <v>37556.657801382542</v>
      </c>
      <c r="AE40" s="92">
        <f t="shared" si="5"/>
        <v>37556.657801382542</v>
      </c>
      <c r="AF40" s="92">
        <f t="shared" si="5"/>
        <v>37556.657801382542</v>
      </c>
      <c r="AG40" s="92">
        <f t="shared" si="5"/>
        <v>37556.657801382542</v>
      </c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</row>
    <row r="41" spans="1:16372" x14ac:dyDescent="0.2">
      <c r="D41"/>
      <c r="E41"/>
      <c r="G41" s="176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</row>
    <row r="42" spans="1:16372" ht="15" x14ac:dyDescent="0.2">
      <c r="A42" s="76" t="s">
        <v>112</v>
      </c>
      <c r="B42" s="76"/>
      <c r="C42" s="76"/>
      <c r="D42" s="76"/>
      <c r="E42" s="76"/>
      <c r="F42" s="76"/>
      <c r="G42" s="173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/>
      <c r="E43"/>
      <c r="G43" s="176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/>
      <c r="E44"/>
      <c r="G44" s="176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25">
      <c r="C45" s="1" t="s">
        <v>113</v>
      </c>
      <c r="G45" s="174" t="s">
        <v>102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ht="13.5" x14ac:dyDescent="0.25">
      <c r="C46" s="1" t="s">
        <v>114</v>
      </c>
      <c r="G46" s="174" t="s">
        <v>115</v>
      </c>
      <c r="I46" s="74">
        <f t="shared" ref="I46:AG46" si="6">I45*I7</f>
        <v>0</v>
      </c>
      <c r="J46" s="74">
        <f t="shared" si="6"/>
        <v>0</v>
      </c>
      <c r="K46" s="74">
        <f t="shared" si="6"/>
        <v>0</v>
      </c>
      <c r="L46" s="74">
        <f t="shared" si="6"/>
        <v>0</v>
      </c>
      <c r="M46" s="74">
        <f t="shared" si="6"/>
        <v>0</v>
      </c>
      <c r="N46" s="74">
        <f t="shared" si="6"/>
        <v>0</v>
      </c>
      <c r="O46" s="74">
        <f t="shared" si="6"/>
        <v>0</v>
      </c>
      <c r="P46" s="74">
        <f t="shared" si="6"/>
        <v>0</v>
      </c>
      <c r="Q46" s="74">
        <f t="shared" si="6"/>
        <v>0</v>
      </c>
      <c r="R46" s="74">
        <f t="shared" si="6"/>
        <v>0</v>
      </c>
      <c r="S46" s="74">
        <f t="shared" si="6"/>
        <v>0</v>
      </c>
      <c r="T46" s="74">
        <f t="shared" si="6"/>
        <v>0</v>
      </c>
      <c r="U46" s="74">
        <f t="shared" si="6"/>
        <v>0</v>
      </c>
      <c r="V46" s="74">
        <f t="shared" si="6"/>
        <v>0</v>
      </c>
      <c r="W46" s="74">
        <f t="shared" si="6"/>
        <v>0</v>
      </c>
      <c r="X46" s="74">
        <f t="shared" si="6"/>
        <v>0</v>
      </c>
      <c r="Y46" s="74">
        <f t="shared" si="6"/>
        <v>0</v>
      </c>
      <c r="Z46" s="74">
        <f t="shared" si="6"/>
        <v>0</v>
      </c>
      <c r="AA46" s="74">
        <f t="shared" si="6"/>
        <v>0</v>
      </c>
      <c r="AB46" s="74">
        <f t="shared" si="6"/>
        <v>0</v>
      </c>
      <c r="AC46" s="74">
        <f t="shared" si="6"/>
        <v>0</v>
      </c>
      <c r="AD46" s="74">
        <f t="shared" si="6"/>
        <v>0</v>
      </c>
      <c r="AE46" s="74">
        <f t="shared" si="6"/>
        <v>0</v>
      </c>
      <c r="AF46" s="74">
        <f t="shared" si="6"/>
        <v>0</v>
      </c>
      <c r="AG46" s="74">
        <f t="shared" si="6"/>
        <v>0</v>
      </c>
    </row>
    <row r="47" spans="1:16372" x14ac:dyDescent="0.2">
      <c r="D47"/>
      <c r="E47"/>
      <c r="G47" s="176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16372" x14ac:dyDescent="0.2">
      <c r="D48" s="175"/>
      <c r="E48"/>
      <c r="G48" s="176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x14ac:dyDescent="0.2">
      <c r="C49" s="1" t="s">
        <v>116</v>
      </c>
      <c r="D49" s="174" t="s">
        <v>93</v>
      </c>
      <c r="E49" s="97"/>
      <c r="G49" s="176" t="s">
        <v>102</v>
      </c>
      <c r="I49" s="269">
        <v>0</v>
      </c>
      <c r="J49" s="269">
        <v>0</v>
      </c>
      <c r="K49" s="269">
        <v>0</v>
      </c>
      <c r="L49" s="269">
        <v>0</v>
      </c>
      <c r="M49" s="269">
        <v>0</v>
      </c>
      <c r="N49" s="269">
        <v>0</v>
      </c>
      <c r="O49" s="269">
        <v>0</v>
      </c>
      <c r="P49" s="269">
        <v>0</v>
      </c>
      <c r="Q49" s="269">
        <v>0</v>
      </c>
      <c r="R49" s="269">
        <v>0</v>
      </c>
      <c r="S49" s="269">
        <v>0</v>
      </c>
      <c r="T49" s="269">
        <v>0</v>
      </c>
      <c r="U49" s="269">
        <v>0</v>
      </c>
      <c r="V49" s="269">
        <v>0</v>
      </c>
      <c r="W49" s="269">
        <v>0</v>
      </c>
      <c r="X49" s="269">
        <v>0</v>
      </c>
      <c r="Y49" s="269">
        <v>0</v>
      </c>
      <c r="Z49" s="269">
        <v>0</v>
      </c>
      <c r="AA49" s="269">
        <v>0</v>
      </c>
      <c r="AB49" s="269">
        <v>0</v>
      </c>
      <c r="AC49" s="269">
        <v>0</v>
      </c>
      <c r="AD49" s="269">
        <v>0</v>
      </c>
      <c r="AE49" s="269">
        <v>0</v>
      </c>
      <c r="AF49" s="269">
        <v>0</v>
      </c>
      <c r="AG49" s="269">
        <v>0</v>
      </c>
    </row>
    <row r="50" spans="1:43" x14ac:dyDescent="0.2">
      <c r="C50" s="1" t="s">
        <v>117</v>
      </c>
      <c r="D50" s="174" t="s">
        <v>93</v>
      </c>
      <c r="E50" s="97"/>
      <c r="G50" s="176" t="s">
        <v>102</v>
      </c>
      <c r="I50" s="269">
        <v>0</v>
      </c>
      <c r="J50" s="269">
        <v>0</v>
      </c>
      <c r="K50" s="269">
        <v>0</v>
      </c>
      <c r="L50" s="269">
        <v>0</v>
      </c>
      <c r="M50" s="269">
        <v>0</v>
      </c>
      <c r="N50" s="269">
        <v>0</v>
      </c>
      <c r="O50" s="269">
        <v>0</v>
      </c>
      <c r="P50" s="269">
        <v>0</v>
      </c>
      <c r="Q50" s="269">
        <v>0</v>
      </c>
      <c r="R50" s="269">
        <v>0</v>
      </c>
      <c r="S50" s="269">
        <v>0</v>
      </c>
      <c r="T50" s="269">
        <v>0</v>
      </c>
      <c r="U50" s="269">
        <v>0</v>
      </c>
      <c r="V50" s="269">
        <v>0</v>
      </c>
      <c r="W50" s="269">
        <v>0</v>
      </c>
      <c r="X50" s="269">
        <v>0</v>
      </c>
      <c r="Y50" s="269">
        <v>0</v>
      </c>
      <c r="Z50" s="269">
        <v>0</v>
      </c>
      <c r="AA50" s="269">
        <v>0</v>
      </c>
      <c r="AB50" s="269">
        <v>0</v>
      </c>
      <c r="AC50" s="269">
        <v>0</v>
      </c>
      <c r="AD50" s="269">
        <v>0</v>
      </c>
      <c r="AE50" s="269">
        <v>0</v>
      </c>
      <c r="AF50" s="269">
        <v>0</v>
      </c>
      <c r="AG50" s="269">
        <v>0</v>
      </c>
    </row>
    <row r="51" spans="1:43" x14ac:dyDescent="0.2">
      <c r="C51" s="1" t="s">
        <v>118</v>
      </c>
      <c r="D51" s="174" t="s">
        <v>93</v>
      </c>
      <c r="E51" s="97"/>
      <c r="G51" s="176" t="s">
        <v>102</v>
      </c>
      <c r="I51" s="269">
        <v>0</v>
      </c>
      <c r="J51" s="269">
        <v>0</v>
      </c>
      <c r="K51" s="269">
        <v>0</v>
      </c>
      <c r="L51" s="269">
        <v>0</v>
      </c>
      <c r="M51" s="269">
        <v>0</v>
      </c>
      <c r="N51" s="269">
        <v>0</v>
      </c>
      <c r="O51" s="269">
        <v>0</v>
      </c>
      <c r="P51" s="269">
        <v>0</v>
      </c>
      <c r="Q51" s="269">
        <v>0</v>
      </c>
      <c r="R51" s="269">
        <v>0</v>
      </c>
      <c r="S51" s="269">
        <v>0</v>
      </c>
      <c r="T51" s="269">
        <v>0</v>
      </c>
      <c r="U51" s="269">
        <v>0</v>
      </c>
      <c r="V51" s="269">
        <v>0</v>
      </c>
      <c r="W51" s="269">
        <v>0</v>
      </c>
      <c r="X51" s="269">
        <v>0</v>
      </c>
      <c r="Y51" s="269">
        <v>0</v>
      </c>
      <c r="Z51" s="269">
        <v>0</v>
      </c>
      <c r="AA51" s="269">
        <v>0</v>
      </c>
      <c r="AB51" s="269">
        <v>0</v>
      </c>
      <c r="AC51" s="269">
        <v>0</v>
      </c>
      <c r="AD51" s="269">
        <v>0</v>
      </c>
      <c r="AE51" s="269">
        <v>0</v>
      </c>
      <c r="AF51" s="269">
        <v>0</v>
      </c>
      <c r="AG51" s="269">
        <v>0</v>
      </c>
    </row>
    <row r="52" spans="1:43" x14ac:dyDescent="0.2">
      <c r="C52" s="1" t="s">
        <v>119</v>
      </c>
      <c r="D52" s="174" t="s">
        <v>120</v>
      </c>
      <c r="E52" s="96"/>
      <c r="G52" s="176" t="s">
        <v>121</v>
      </c>
      <c r="I52" s="269">
        <v>0</v>
      </c>
      <c r="J52" s="269">
        <v>0</v>
      </c>
      <c r="K52" s="269">
        <v>0</v>
      </c>
      <c r="L52" s="269">
        <v>0</v>
      </c>
      <c r="M52" s="269">
        <v>0</v>
      </c>
      <c r="N52" s="269">
        <v>0</v>
      </c>
      <c r="O52" s="269">
        <v>0</v>
      </c>
      <c r="P52" s="269">
        <v>0</v>
      </c>
      <c r="Q52" s="269">
        <v>0</v>
      </c>
      <c r="R52" s="269">
        <v>0</v>
      </c>
      <c r="S52" s="269">
        <v>0</v>
      </c>
      <c r="T52" s="269">
        <v>0</v>
      </c>
      <c r="U52" s="269">
        <v>0</v>
      </c>
      <c r="V52" s="269">
        <v>0</v>
      </c>
      <c r="W52" s="269">
        <v>0</v>
      </c>
      <c r="X52" s="269">
        <v>0</v>
      </c>
      <c r="Y52" s="269">
        <v>0</v>
      </c>
      <c r="Z52" s="269">
        <v>0</v>
      </c>
      <c r="AA52" s="269">
        <v>0</v>
      </c>
      <c r="AB52" s="269">
        <v>0</v>
      </c>
      <c r="AC52" s="269">
        <v>0</v>
      </c>
      <c r="AD52" s="269">
        <v>0</v>
      </c>
      <c r="AE52" s="269">
        <v>0</v>
      </c>
      <c r="AF52" s="269">
        <v>0</v>
      </c>
      <c r="AG52" s="269">
        <v>0</v>
      </c>
    </row>
    <row r="53" spans="1:43" x14ac:dyDescent="0.2">
      <c r="C53" s="1" t="s">
        <v>139</v>
      </c>
      <c r="D53" s="174" t="s">
        <v>123</v>
      </c>
      <c r="E53" s="96"/>
      <c r="G53" s="176" t="s">
        <v>124</v>
      </c>
      <c r="I53" s="269">
        <v>0</v>
      </c>
      <c r="J53" s="269">
        <v>0</v>
      </c>
      <c r="K53" s="269">
        <v>0</v>
      </c>
      <c r="L53" s="269">
        <v>0</v>
      </c>
      <c r="M53" s="269">
        <v>0</v>
      </c>
      <c r="N53" s="269">
        <v>0</v>
      </c>
      <c r="O53" s="269">
        <v>0</v>
      </c>
      <c r="P53" s="269">
        <v>0</v>
      </c>
      <c r="Q53" s="269">
        <v>0</v>
      </c>
      <c r="R53" s="269">
        <v>0</v>
      </c>
      <c r="S53" s="269">
        <v>0</v>
      </c>
      <c r="T53" s="269">
        <v>0</v>
      </c>
      <c r="U53" s="269">
        <v>0</v>
      </c>
      <c r="V53" s="269">
        <v>0</v>
      </c>
      <c r="W53" s="269">
        <v>0</v>
      </c>
      <c r="X53" s="269">
        <v>0</v>
      </c>
      <c r="Y53" s="269">
        <v>0</v>
      </c>
      <c r="Z53" s="269">
        <v>0</v>
      </c>
      <c r="AA53" s="269">
        <v>0</v>
      </c>
      <c r="AB53" s="269">
        <v>0</v>
      </c>
      <c r="AC53" s="269">
        <v>0</v>
      </c>
      <c r="AD53" s="269">
        <v>0</v>
      </c>
      <c r="AE53" s="269">
        <v>0</v>
      </c>
      <c r="AF53" s="269">
        <v>0</v>
      </c>
      <c r="AG53" s="269">
        <v>0</v>
      </c>
    </row>
    <row r="54" spans="1:43" x14ac:dyDescent="0.2">
      <c r="C54" s="1" t="s">
        <v>140</v>
      </c>
      <c r="D54" s="174" t="s">
        <v>123</v>
      </c>
      <c r="E54" s="96"/>
      <c r="G54" s="176" t="s">
        <v>124</v>
      </c>
      <c r="I54" s="269">
        <v>0</v>
      </c>
      <c r="J54" s="269">
        <v>0</v>
      </c>
      <c r="K54" s="269">
        <v>0</v>
      </c>
      <c r="L54" s="269">
        <v>0</v>
      </c>
      <c r="M54" s="269">
        <v>0</v>
      </c>
      <c r="N54" s="269">
        <v>0</v>
      </c>
      <c r="O54" s="269">
        <v>0</v>
      </c>
      <c r="P54" s="269">
        <v>0</v>
      </c>
      <c r="Q54" s="269">
        <v>0</v>
      </c>
      <c r="R54" s="269">
        <v>0</v>
      </c>
      <c r="S54" s="269">
        <v>0</v>
      </c>
      <c r="T54" s="269">
        <v>0</v>
      </c>
      <c r="U54" s="269">
        <v>0</v>
      </c>
      <c r="V54" s="269">
        <v>0</v>
      </c>
      <c r="W54" s="269">
        <v>0</v>
      </c>
      <c r="X54" s="269">
        <v>0</v>
      </c>
      <c r="Y54" s="269">
        <v>0</v>
      </c>
      <c r="Z54" s="269">
        <v>0</v>
      </c>
      <c r="AA54" s="269">
        <v>0</v>
      </c>
      <c r="AB54" s="269">
        <v>0</v>
      </c>
      <c r="AC54" s="269">
        <v>0</v>
      </c>
      <c r="AD54" s="269">
        <v>0</v>
      </c>
      <c r="AE54" s="269">
        <v>0</v>
      </c>
      <c r="AF54" s="269">
        <v>0</v>
      </c>
      <c r="AG54" s="269">
        <v>0</v>
      </c>
    </row>
    <row r="55" spans="1:43" x14ac:dyDescent="0.2">
      <c r="C55" s="1" t="s">
        <v>126</v>
      </c>
      <c r="D55" s="174" t="s">
        <v>120</v>
      </c>
      <c r="E55" s="96"/>
      <c r="G55" s="176" t="s">
        <v>121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C56" s="1" t="s">
        <v>127</v>
      </c>
      <c r="D56" s="174" t="s">
        <v>120</v>
      </c>
      <c r="E56" s="96"/>
      <c r="G56" s="176" t="s">
        <v>121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29">
        <v>0</v>
      </c>
      <c r="AG56" s="29">
        <v>0</v>
      </c>
    </row>
    <row r="57" spans="1:43" x14ac:dyDescent="0.2">
      <c r="D57" s="174"/>
      <c r="G57" s="176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</row>
    <row r="58" spans="1:43" x14ac:dyDescent="0.2">
      <c r="C58" s="1" t="s">
        <v>128</v>
      </c>
      <c r="D58" s="174"/>
      <c r="G58" s="176">
        <f>input_dollars</f>
        <v>45291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29">
        <v>0</v>
      </c>
      <c r="AG58" s="29">
        <v>0</v>
      </c>
    </row>
    <row r="59" spans="1:43" x14ac:dyDescent="0.2">
      <c r="C59" s="1" t="s">
        <v>129</v>
      </c>
      <c r="D59" s="174"/>
      <c r="G59" s="176">
        <f>input_dollars</f>
        <v>45291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29">
        <v>0</v>
      </c>
      <c r="AG59" s="29">
        <v>0</v>
      </c>
    </row>
    <row r="60" spans="1:43" x14ac:dyDescent="0.2">
      <c r="D60" s="174"/>
      <c r="G60" s="174"/>
    </row>
    <row r="61" spans="1:43" x14ac:dyDescent="0.2">
      <c r="C61" s="3" t="s">
        <v>130</v>
      </c>
      <c r="D61" s="186"/>
      <c r="E61" s="91"/>
      <c r="F61" s="3"/>
      <c r="G61" s="179">
        <f>input_dollars</f>
        <v>45291</v>
      </c>
      <c r="H61" s="91"/>
      <c r="I61" s="142" cm="1">
        <f t="array" ref="I61">SUMPRODUCT((I$49:I$56)*($E$49:$E$56))+SUM(I58:I59)+I46</f>
        <v>0</v>
      </c>
      <c r="J61" s="142" cm="1">
        <f t="array" ref="J61">SUMPRODUCT((J$49:J$56)*($E$49:$E$56))+SUM(J58:J59)+J46</f>
        <v>0</v>
      </c>
      <c r="K61" s="142" cm="1">
        <f t="array" ref="K61">SUMPRODUCT((K$49:K$56)*($E$49:$E$56))+SUM(K58:K59)+K46</f>
        <v>0</v>
      </c>
      <c r="L61" s="142" cm="1">
        <f t="array" ref="L61">SUMPRODUCT((L$49:L$56)*($E$49:$E$56))+SUM(L58:L59)+L46</f>
        <v>0</v>
      </c>
      <c r="M61" s="142" cm="1">
        <f t="array" ref="M61">SUMPRODUCT((M$49:M$56)*($E$49:$E$56))+SUM(M58:M59)+M46</f>
        <v>0</v>
      </c>
      <c r="N61" s="142" cm="1">
        <f t="array" ref="N61">SUMPRODUCT((N$49:N$56)*($E$49:$E$56))+SUM(N58:N59)+N46</f>
        <v>0</v>
      </c>
      <c r="O61" s="142" cm="1">
        <f t="array" ref="O61">SUMPRODUCT((O$49:O$56)*($E$49:$E$56))+SUM(O58:O59)+O46</f>
        <v>0</v>
      </c>
      <c r="P61" s="142" cm="1">
        <f t="array" ref="P61">SUMPRODUCT((P$49:P$56)*($E$49:$E$56))+SUM(P58:P59)+P46</f>
        <v>0</v>
      </c>
      <c r="Q61" s="142" cm="1">
        <f t="array" ref="Q61">SUMPRODUCT((Q$49:Q$56)*($E$49:$E$56))+SUM(Q58:Q59)+Q46</f>
        <v>0</v>
      </c>
      <c r="R61" s="142" cm="1">
        <f t="array" ref="R61">SUMPRODUCT((R$49:R$56)*($E$49:$E$56))+SUM(R58:R59)+R46</f>
        <v>0</v>
      </c>
      <c r="S61" s="142" cm="1">
        <f t="array" ref="S61">SUMPRODUCT((S$49:S$56)*($E$49:$E$56))+SUM(S58:S59)+S46</f>
        <v>0</v>
      </c>
      <c r="T61" s="142" cm="1">
        <f t="array" ref="T61">SUMPRODUCT((T$49:T$56)*($E$49:$E$56))+SUM(T58:T59)+T46</f>
        <v>0</v>
      </c>
      <c r="U61" s="142" cm="1">
        <f t="array" ref="U61">SUMPRODUCT((U$49:U$56)*($E$49:$E$56))+SUM(U58:U59)+U46</f>
        <v>0</v>
      </c>
      <c r="V61" s="142" cm="1">
        <f t="array" ref="V61">SUMPRODUCT((V$49:V$56)*($E$49:$E$56))+SUM(V58:V59)+V46</f>
        <v>0</v>
      </c>
      <c r="W61" s="142" cm="1">
        <f t="array" ref="W61">SUMPRODUCT((W$49:W$56)*($E$49:$E$56))+SUM(W58:W59)+W46</f>
        <v>0</v>
      </c>
      <c r="X61" s="142" cm="1">
        <f t="array" ref="X61">SUMPRODUCT((X$49:X$56)*($E$49:$E$56))+SUM(X58:X59)+X46</f>
        <v>0</v>
      </c>
      <c r="Y61" s="142" cm="1">
        <f t="array" ref="Y61">SUMPRODUCT((Y$49:Y$56)*($E$49:$E$56))+SUM(Y58:Y59)+Y46</f>
        <v>0</v>
      </c>
      <c r="Z61" s="142" cm="1">
        <f t="array" ref="Z61">SUMPRODUCT((Z$49:Z$56)*($E$49:$E$56))+SUM(Z58:Z59)+Z46</f>
        <v>0</v>
      </c>
      <c r="AA61" s="142" cm="1">
        <f t="array" ref="AA61">SUMPRODUCT((AA$49:AA$56)*($E$49:$E$56))+SUM(AA58:AA59)+AA46</f>
        <v>0</v>
      </c>
      <c r="AB61" s="142" cm="1">
        <f t="array" ref="AB61">SUMPRODUCT((AB$49:AB$56)*($E$49:$E$56))+SUM(AB58:AB59)+AB46</f>
        <v>0</v>
      </c>
      <c r="AC61" s="142" cm="1">
        <f t="array" ref="AC61">SUMPRODUCT((AC$49:AC$56)*($E$49:$E$56))+SUM(AC58:AC59)+AC46</f>
        <v>0</v>
      </c>
      <c r="AD61" s="142" cm="1">
        <f t="array" ref="AD61">SUMPRODUCT((AD$49:AD$56)*($E$49:$E$56))+SUM(AD58:AD59)+AD46</f>
        <v>0</v>
      </c>
      <c r="AE61" s="142" cm="1">
        <f t="array" ref="AE61">SUMPRODUCT((AE$49:AE$56)*($E$49:$E$56))+SUM(AE58:AE59)+AE46</f>
        <v>0</v>
      </c>
      <c r="AF61" s="142" cm="1">
        <f t="array" ref="AF61">SUMPRODUCT((AF$49:AF$56)*($E$49:$E$56))+SUM(AF58:AF59)+AF46</f>
        <v>0</v>
      </c>
      <c r="AG61" s="142" cm="1">
        <f t="array" ref="AG61">SUMPRODUCT((AG$49:AG$56)*($E$49:$E$56))+SUM(AG58:AG59)+AG46</f>
        <v>0</v>
      </c>
    </row>
    <row r="62" spans="1:43" x14ac:dyDescent="0.2">
      <c r="D62" s="174"/>
      <c r="G62" s="174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</row>
    <row r="63" spans="1:43" x14ac:dyDescent="0.2">
      <c r="G63" s="174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</row>
    <row r="64" spans="1:43" ht="15" x14ac:dyDescent="0.2">
      <c r="A64" s="76" t="s">
        <v>3</v>
      </c>
      <c r="B64" s="76"/>
      <c r="C64" s="76"/>
      <c r="D64" s="76"/>
      <c r="E64" s="76"/>
      <c r="F64" s="76"/>
      <c r="G64" s="173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/>
      <c r="AI64"/>
      <c r="AJ64"/>
      <c r="AK64"/>
      <c r="AL64"/>
      <c r="AM64"/>
      <c r="AN64"/>
      <c r="AO64"/>
      <c r="AP64"/>
      <c r="AQ64"/>
    </row>
    <row r="65" spans="1:43" ht="15" x14ac:dyDescent="0.2">
      <c r="A65" s="95"/>
      <c r="B65" s="95"/>
      <c r="C65" s="95"/>
      <c r="D65" s="95"/>
      <c r="E65" s="95"/>
      <c r="F65" s="95"/>
      <c r="G65" s="177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/>
      <c r="AI65"/>
      <c r="AJ65"/>
      <c r="AK65"/>
      <c r="AL65"/>
      <c r="AM65"/>
      <c r="AN65"/>
      <c r="AO65"/>
      <c r="AP65"/>
      <c r="AQ65"/>
    </row>
    <row r="66" spans="1:43" ht="12.75" customHeight="1" x14ac:dyDescent="0.2">
      <c r="A66" s="95"/>
      <c r="B66" s="95"/>
      <c r="C66" s="95"/>
      <c r="D66" s="95"/>
      <c r="E66" s="95"/>
      <c r="F66"/>
      <c r="G66" s="180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3" x14ac:dyDescent="0.2">
      <c r="C67" s="4"/>
      <c r="F67" s="2"/>
      <c r="G67" s="181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</row>
    <row r="68" spans="1:43" x14ac:dyDescent="0.2">
      <c r="C68" s="4" t="str">
        <f>'Option1 (base case)'!C68</f>
        <v>Risks mitigated vs base case</v>
      </c>
      <c r="G68" s="179">
        <f>input_dollars</f>
        <v>45291</v>
      </c>
      <c r="I68" s="108">
        <f>(1-INDEX(Data!$C$9:$C$13, MATCH($A$3, options,0)))*('Option1 (base case)'!I40-I40)</f>
        <v>0</v>
      </c>
      <c r="J68" s="108">
        <f>(1-INDEX(Data!$C$9:$C$13, MATCH($A$3, options,0)))*('Option1 (base case)'!J40-J40)</f>
        <v>0</v>
      </c>
      <c r="K68" s="108">
        <f>(1-INDEX(Data!$C$9:$C$13, MATCH($A$3, options,0)))*('Option1 (base case)'!K40-K40)</f>
        <v>31811.12378364076</v>
      </c>
      <c r="L68" s="108">
        <f>(1-INDEX(Data!$C$9:$C$13, MATCH($A$3, options,0)))*('Option1 (base case)'!L40-L40)</f>
        <v>58874.587568721385</v>
      </c>
      <c r="M68" s="108">
        <f>(1-INDEX(Data!$C$9:$C$13, MATCH($A$3, options,0)))*('Option1 (base case)'!M40-M40)</f>
        <v>98935.173368162679</v>
      </c>
      <c r="N68" s="108">
        <f>(1-INDEX(Data!$C$9:$C$13, MATCH($A$3, options,0)))*('Option1 (base case)'!N40-N40)</f>
        <v>154305.09085243032</v>
      </c>
      <c r="O68" s="108">
        <f>(1-INDEX(Data!$C$9:$C$13, MATCH($A$3, options,0)))*('Option1 (base case)'!O40-O40)</f>
        <v>248687.96928739143</v>
      </c>
      <c r="P68" s="108">
        <f>(1-INDEX(Data!$C$9:$C$13, MATCH($A$3, options,0)))*('Option1 (base case)'!P40-P40)</f>
        <v>388032.56625035964</v>
      </c>
      <c r="Q68" s="108">
        <f>(1-INDEX(Data!$C$9:$C$13, MATCH($A$3, options,0)))*('Option1 (base case)'!Q40-Q40)</f>
        <v>536043.54255631461</v>
      </c>
      <c r="R68" s="108">
        <f>(1-INDEX(Data!$C$9:$C$13, MATCH($A$3, options,0)))*('Option1 (base case)'!R40-R40)</f>
        <v>677290.00333563052</v>
      </c>
      <c r="S68" s="108">
        <f>(1-INDEX(Data!$C$9:$C$13, MATCH($A$3, options,0)))*('Option1 (base case)'!S40-S40)</f>
        <v>604137.48715120065</v>
      </c>
      <c r="T68" s="108">
        <f>(1-INDEX(Data!$C$9:$C$13, MATCH($A$3, options,0)))*('Option1 (base case)'!T40-T40)</f>
        <v>604137.48715120065</v>
      </c>
      <c r="U68" s="108">
        <f>(1-INDEX(Data!$C$9:$C$13, MATCH($A$3, options,0)))*('Option1 (base case)'!U40-U40)</f>
        <v>604137.48715120065</v>
      </c>
      <c r="V68" s="108">
        <f>(1-INDEX(Data!$C$9:$C$13, MATCH($A$3, options,0)))*('Option1 (base case)'!V40-V40)</f>
        <v>604137.48715120065</v>
      </c>
      <c r="W68" s="108">
        <f>(1-INDEX(Data!$C$9:$C$13, MATCH($A$3, options,0)))*('Option1 (base case)'!W40-W40)</f>
        <v>604137.48715120065</v>
      </c>
      <c r="X68" s="108">
        <f>(1-INDEX(Data!$C$9:$C$13, MATCH($A$3, options,0)))*('Option1 (base case)'!X40-X40)</f>
        <v>604137.48715120065</v>
      </c>
      <c r="Y68" s="108">
        <f>(1-INDEX(Data!$C$9:$C$13, MATCH($A$3, options,0)))*('Option1 (base case)'!Y40-Y40)</f>
        <v>604137.48715120065</v>
      </c>
      <c r="Z68" s="108">
        <f>(1-INDEX(Data!$C$9:$C$13, MATCH($A$3, options,0)))*('Option1 (base case)'!Z40-Z40)</f>
        <v>604137.48715120065</v>
      </c>
      <c r="AA68" s="108">
        <f>(1-INDEX(Data!$C$9:$C$13, MATCH($A$3, options,0)))*('Option1 (base case)'!AA40-AA40)</f>
        <v>604137.48715120065</v>
      </c>
      <c r="AB68" s="108">
        <f>(1-INDEX(Data!$C$9:$C$13, MATCH($A$3, options,0)))*('Option1 (base case)'!AB40-AB40)</f>
        <v>604137.48715120065</v>
      </c>
      <c r="AC68" s="108">
        <f>(1-INDEX(Data!$C$9:$C$13, MATCH($A$3, options,0)))*('Option1 (base case)'!AC40-AC40)</f>
        <v>604137.48715120065</v>
      </c>
      <c r="AD68" s="108">
        <f>(1-INDEX(Data!$C$9:$C$13, MATCH($A$3, options,0)))*('Option1 (base case)'!AD40-AD40)</f>
        <v>604137.48715120065</v>
      </c>
      <c r="AE68" s="108">
        <f>(1-INDEX(Data!$C$9:$C$13, MATCH($A$3, options,0)))*('Option1 (base case)'!AE40-AE40)</f>
        <v>604137.48715120065</v>
      </c>
      <c r="AF68" s="108">
        <f>(1-INDEX(Data!$C$9:$C$13, MATCH($A$3, options,0)))*('Option1 (base case)'!AF40-AF40)</f>
        <v>604137.48715120065</v>
      </c>
      <c r="AG68" s="108">
        <f>(1-INDEX(Data!$C$9:$C$13, MATCH($A$3, options,0)))*('Option1 (base case)'!AG40-AG40)</f>
        <v>604137.48715120065</v>
      </c>
    </row>
    <row r="69" spans="1:43" x14ac:dyDescent="0.2">
      <c r="G69" s="181"/>
    </row>
    <row r="70" spans="1:43" x14ac:dyDescent="0.2">
      <c r="A70" s="6"/>
      <c r="B70" s="6"/>
      <c r="C70" s="121" t="s">
        <v>15</v>
      </c>
      <c r="D70" s="33"/>
      <c r="F70" s="82"/>
      <c r="G70" s="182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43" x14ac:dyDescent="0.2">
      <c r="A71" s="6"/>
      <c r="B71" s="6"/>
      <c r="C71" s="4" t="str">
        <f>C14</f>
        <v>Construct new feeders from MG to JA</v>
      </c>
      <c r="D71" s="33"/>
      <c r="F71" s="82"/>
      <c r="G71" s="179">
        <f>input_dollars</f>
        <v>45291</v>
      </c>
      <c r="H71" s="28"/>
      <c r="I71" s="28">
        <f t="shared" ref="I71:AG71" si="7">-I14</f>
        <v>-7918867.3000000007</v>
      </c>
      <c r="J71" s="28">
        <f t="shared" si="7"/>
        <v>-9269805.709891038</v>
      </c>
      <c r="K71" s="28">
        <f t="shared" si="7"/>
        <v>0</v>
      </c>
      <c r="L71" s="28">
        <f t="shared" si="7"/>
        <v>0</v>
      </c>
      <c r="M71" s="28">
        <f t="shared" si="7"/>
        <v>0</v>
      </c>
      <c r="N71" s="28">
        <f t="shared" si="7"/>
        <v>0</v>
      </c>
      <c r="O71" s="28">
        <f t="shared" si="7"/>
        <v>0</v>
      </c>
      <c r="P71" s="28">
        <f t="shared" si="7"/>
        <v>0</v>
      </c>
      <c r="Q71" s="28">
        <f t="shared" si="7"/>
        <v>0</v>
      </c>
      <c r="R71" s="28">
        <f t="shared" si="7"/>
        <v>0</v>
      </c>
      <c r="S71" s="28">
        <f t="shared" si="7"/>
        <v>0</v>
      </c>
      <c r="T71" s="28">
        <f t="shared" si="7"/>
        <v>0</v>
      </c>
      <c r="U71" s="28">
        <f t="shared" si="7"/>
        <v>0</v>
      </c>
      <c r="V71" s="28">
        <f t="shared" si="7"/>
        <v>0</v>
      </c>
      <c r="W71" s="28">
        <f t="shared" si="7"/>
        <v>0</v>
      </c>
      <c r="X71" s="28">
        <f t="shared" si="7"/>
        <v>0</v>
      </c>
      <c r="Y71" s="28">
        <f t="shared" si="7"/>
        <v>0</v>
      </c>
      <c r="Z71" s="28">
        <f t="shared" si="7"/>
        <v>0</v>
      </c>
      <c r="AA71" s="28">
        <f t="shared" si="7"/>
        <v>0</v>
      </c>
      <c r="AB71" s="28">
        <f t="shared" si="7"/>
        <v>0</v>
      </c>
      <c r="AC71" s="28">
        <f t="shared" si="7"/>
        <v>0</v>
      </c>
      <c r="AD71" s="28">
        <f t="shared" si="7"/>
        <v>0</v>
      </c>
      <c r="AE71" s="28">
        <f t="shared" si="7"/>
        <v>0</v>
      </c>
      <c r="AF71" s="28">
        <f t="shared" si="7"/>
        <v>0</v>
      </c>
      <c r="AG71" s="28">
        <f t="shared" si="7"/>
        <v>0</v>
      </c>
    </row>
    <row r="72" spans="1:43" x14ac:dyDescent="0.2">
      <c r="A72" s="6"/>
      <c r="B72" s="6"/>
      <c r="C72" s="4">
        <f>C15</f>
        <v>0</v>
      </c>
      <c r="D72" s="33"/>
      <c r="F72" s="82"/>
      <c r="G72" s="179">
        <f>input_dollars</f>
        <v>45291</v>
      </c>
      <c r="H72" s="28"/>
      <c r="I72" s="28">
        <f t="shared" ref="I72:AG72" si="8">-I15</f>
        <v>0</v>
      </c>
      <c r="J72" s="28">
        <f t="shared" si="8"/>
        <v>0</v>
      </c>
      <c r="K72" s="28">
        <f t="shared" si="8"/>
        <v>0</v>
      </c>
      <c r="L72" s="28">
        <f t="shared" si="8"/>
        <v>0</v>
      </c>
      <c r="M72" s="28">
        <f t="shared" si="8"/>
        <v>0</v>
      </c>
      <c r="N72" s="28">
        <f t="shared" si="8"/>
        <v>0</v>
      </c>
      <c r="O72" s="28">
        <f t="shared" si="8"/>
        <v>0</v>
      </c>
      <c r="P72" s="28">
        <f t="shared" si="8"/>
        <v>0</v>
      </c>
      <c r="Q72" s="28">
        <f t="shared" si="8"/>
        <v>0</v>
      </c>
      <c r="R72" s="28">
        <f t="shared" si="8"/>
        <v>0</v>
      </c>
      <c r="S72" s="28">
        <f t="shared" si="8"/>
        <v>0</v>
      </c>
      <c r="T72" s="28">
        <f t="shared" si="8"/>
        <v>0</v>
      </c>
      <c r="U72" s="28">
        <f t="shared" si="8"/>
        <v>0</v>
      </c>
      <c r="V72" s="28">
        <f t="shared" si="8"/>
        <v>0</v>
      </c>
      <c r="W72" s="28">
        <f t="shared" si="8"/>
        <v>0</v>
      </c>
      <c r="X72" s="28">
        <f t="shared" si="8"/>
        <v>0</v>
      </c>
      <c r="Y72" s="28">
        <f t="shared" si="8"/>
        <v>0</v>
      </c>
      <c r="Z72" s="28">
        <f t="shared" si="8"/>
        <v>0</v>
      </c>
      <c r="AA72" s="28">
        <f t="shared" si="8"/>
        <v>0</v>
      </c>
      <c r="AB72" s="28">
        <f t="shared" si="8"/>
        <v>0</v>
      </c>
      <c r="AC72" s="28">
        <f t="shared" si="8"/>
        <v>0</v>
      </c>
      <c r="AD72" s="28">
        <f t="shared" si="8"/>
        <v>0</v>
      </c>
      <c r="AE72" s="28">
        <f t="shared" si="8"/>
        <v>0</v>
      </c>
      <c r="AF72" s="28">
        <f t="shared" si="8"/>
        <v>0</v>
      </c>
      <c r="AG72" s="28">
        <f t="shared" si="8"/>
        <v>0</v>
      </c>
    </row>
    <row r="73" spans="1:43" x14ac:dyDescent="0.2">
      <c r="A73" s="6"/>
      <c r="B73" s="6"/>
      <c r="C73" s="4">
        <f>C16</f>
        <v>0</v>
      </c>
      <c r="D73" s="33"/>
      <c r="F73" s="82"/>
      <c r="G73" s="179">
        <f>input_dollars</f>
        <v>45291</v>
      </c>
      <c r="H73" s="28"/>
      <c r="I73" s="28">
        <f t="shared" ref="I73:AG73" si="9">-I16</f>
        <v>0</v>
      </c>
      <c r="J73" s="28">
        <f t="shared" si="9"/>
        <v>0</v>
      </c>
      <c r="K73" s="28">
        <f t="shared" si="9"/>
        <v>0</v>
      </c>
      <c r="L73" s="28">
        <f t="shared" si="9"/>
        <v>0</v>
      </c>
      <c r="M73" s="28">
        <f t="shared" si="9"/>
        <v>0</v>
      </c>
      <c r="N73" s="28">
        <f t="shared" si="9"/>
        <v>0</v>
      </c>
      <c r="O73" s="28">
        <f t="shared" si="9"/>
        <v>0</v>
      </c>
      <c r="P73" s="28">
        <f t="shared" si="9"/>
        <v>0</v>
      </c>
      <c r="Q73" s="28">
        <f t="shared" si="9"/>
        <v>0</v>
      </c>
      <c r="R73" s="28">
        <f t="shared" si="9"/>
        <v>0</v>
      </c>
      <c r="S73" s="28">
        <f t="shared" si="9"/>
        <v>0</v>
      </c>
      <c r="T73" s="28">
        <f t="shared" si="9"/>
        <v>0</v>
      </c>
      <c r="U73" s="28">
        <f t="shared" si="9"/>
        <v>0</v>
      </c>
      <c r="V73" s="28">
        <f t="shared" si="9"/>
        <v>0</v>
      </c>
      <c r="W73" s="28">
        <f t="shared" si="9"/>
        <v>0</v>
      </c>
      <c r="X73" s="28">
        <f t="shared" si="9"/>
        <v>0</v>
      </c>
      <c r="Y73" s="28">
        <f t="shared" si="9"/>
        <v>0</v>
      </c>
      <c r="Z73" s="28">
        <f t="shared" si="9"/>
        <v>0</v>
      </c>
      <c r="AA73" s="28">
        <f t="shared" si="9"/>
        <v>0</v>
      </c>
      <c r="AB73" s="28">
        <f t="shared" si="9"/>
        <v>0</v>
      </c>
      <c r="AC73" s="28">
        <f t="shared" si="9"/>
        <v>0</v>
      </c>
      <c r="AD73" s="28">
        <f t="shared" si="9"/>
        <v>0</v>
      </c>
      <c r="AE73" s="28">
        <f t="shared" si="9"/>
        <v>0</v>
      </c>
      <c r="AF73" s="28">
        <f t="shared" si="9"/>
        <v>0</v>
      </c>
      <c r="AG73" s="28">
        <f t="shared" si="9"/>
        <v>0</v>
      </c>
    </row>
    <row r="74" spans="1:43" x14ac:dyDescent="0.2">
      <c r="A74" s="6"/>
      <c r="B74" s="6"/>
      <c r="C74" s="4"/>
      <c r="D74" s="33"/>
      <c r="F74" s="82"/>
      <c r="G74" s="183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43" x14ac:dyDescent="0.2">
      <c r="A75" s="6"/>
      <c r="B75" s="6"/>
      <c r="C75" s="121" t="s">
        <v>132</v>
      </c>
      <c r="D75" s="33"/>
      <c r="F75" s="82"/>
      <c r="G75" s="182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43" x14ac:dyDescent="0.2">
      <c r="A76" s="6"/>
      <c r="B76" s="6"/>
      <c r="C76" s="4" t="str">
        <f>C14</f>
        <v>Construct new feeders from MG to JA</v>
      </c>
      <c r="D76" s="33"/>
      <c r="F76" s="82"/>
      <c r="G76" s="179">
        <f>input_dollars</f>
        <v>45291</v>
      </c>
      <c r="H76" s="28"/>
      <c r="I76" s="28" cm="1">
        <f t="array" ref="I76">SUMPRODUCT(($I71:I71))-SUMPRODUCT(($I71:I71)*($I$6:I$6&lt;=(I$6-$E14)))</f>
        <v>-7918867.3000000007</v>
      </c>
      <c r="J76" s="28" cm="1">
        <f t="array" ref="J76">SUMPRODUCT(($I71:J71))-SUMPRODUCT(($I71:J71)*($I$6:J$6&lt;=(J$6-$E14)))</f>
        <v>-17188673.009891041</v>
      </c>
      <c r="K76" s="28" cm="1">
        <f t="array" ref="K76">SUMPRODUCT(($I71:K71))-SUMPRODUCT(($I71:K71)*($I$6:K$6&lt;=(K$6-$E14)))</f>
        <v>-17188673.009891041</v>
      </c>
      <c r="L76" s="28" cm="1">
        <f t="array" ref="L76">SUMPRODUCT(($I71:L71))-SUMPRODUCT(($I71:L71)*($I$6:L$6&lt;=(L$6-$E14)))</f>
        <v>-17188673.009891041</v>
      </c>
      <c r="M76" s="28" cm="1">
        <f t="array" ref="M76">SUMPRODUCT(($I71:M71))-SUMPRODUCT(($I71:M71)*($I$6:M$6&lt;=(M$6-$E14)))</f>
        <v>-17188673.009891041</v>
      </c>
      <c r="N76" s="28" cm="1">
        <f t="array" ref="N76">SUMPRODUCT(($I71:N71))-SUMPRODUCT(($I71:N71)*($I$6:N$6&lt;=(N$6-$E14)))</f>
        <v>-17188673.009891041</v>
      </c>
      <c r="O76" s="28" cm="1">
        <f t="array" ref="O76">SUMPRODUCT(($I71:O71))-SUMPRODUCT(($I71:O71)*($I$6:O$6&lt;=(O$6-$E14)))</f>
        <v>-17188673.009891041</v>
      </c>
      <c r="P76" s="28" cm="1">
        <f t="array" ref="P76">SUMPRODUCT(($I71:P71))-SUMPRODUCT(($I71:P71)*($I$6:P$6&lt;=(P$6-$E14)))</f>
        <v>-17188673.009891041</v>
      </c>
      <c r="Q76" s="28" cm="1">
        <f t="array" ref="Q76">SUMPRODUCT(($I71:Q71))-SUMPRODUCT(($I71:Q71)*($I$6:Q$6&lt;=(Q$6-$E14)))</f>
        <v>-17188673.009891041</v>
      </c>
      <c r="R76" s="28" cm="1">
        <f t="array" ref="R76">SUMPRODUCT(($I71:R71))-SUMPRODUCT(($I71:R71)*($I$6:R$6&lt;=(R$6-$E14)))</f>
        <v>-17188673.009891041</v>
      </c>
      <c r="S76" s="28" cm="1">
        <f t="array" ref="S76">SUMPRODUCT(($I71:S71))-SUMPRODUCT(($I71:S71)*($I$6:S$6&lt;=(S$6-$E14)))</f>
        <v>-17188673.009891041</v>
      </c>
      <c r="T76" s="28" cm="1">
        <f t="array" ref="T76">SUMPRODUCT(($I71:T71))-SUMPRODUCT(($I71:T71)*($I$6:T$6&lt;=(T$6-$E14)))</f>
        <v>-17188673.009891041</v>
      </c>
      <c r="U76" s="28" cm="1">
        <f t="array" ref="U76">SUMPRODUCT(($I71:U71))-SUMPRODUCT(($I71:U71)*($I$6:U$6&lt;=(U$6-$E14)))</f>
        <v>-17188673.009891041</v>
      </c>
      <c r="V76" s="28" cm="1">
        <f t="array" ref="V76">SUMPRODUCT(($I71:V71))-SUMPRODUCT(($I71:V71)*($I$6:V$6&lt;=(V$6-$E14)))</f>
        <v>-17188673.009891041</v>
      </c>
      <c r="W76" s="28" cm="1">
        <f t="array" ref="W76">SUMPRODUCT(($I71:W71))-SUMPRODUCT(($I71:W71)*($I$6:W$6&lt;=(W$6-$E14)))</f>
        <v>-17188673.009891041</v>
      </c>
      <c r="X76" s="28" cm="1">
        <f t="array" ref="X76">SUMPRODUCT(($I71:X71))-SUMPRODUCT(($I71:X71)*($I$6:X$6&lt;=(X$6-$E14)))</f>
        <v>-17188673.009891041</v>
      </c>
      <c r="Y76" s="28" cm="1">
        <f t="array" ref="Y76">SUMPRODUCT(($I71:Y71))-SUMPRODUCT(($I71:Y71)*($I$6:Y$6&lt;=(Y$6-$E14)))</f>
        <v>-17188673.009891041</v>
      </c>
      <c r="Z76" s="28" cm="1">
        <f t="array" ref="Z76">SUMPRODUCT(($I71:Z71))-SUMPRODUCT(($I71:Z71)*($I$6:Z$6&lt;=(Z$6-$E14)))</f>
        <v>-17188673.009891041</v>
      </c>
      <c r="AA76" s="28" cm="1">
        <f t="array" ref="AA76">SUMPRODUCT(($I71:AA71))-SUMPRODUCT(($I71:AA71)*($I$6:AA$6&lt;=(AA$6-$E14)))</f>
        <v>-17188673.009891041</v>
      </c>
      <c r="AB76" s="28" cm="1">
        <f t="array" ref="AB76">SUMPRODUCT(($I71:AB71))-SUMPRODUCT(($I71:AB71)*($I$6:AB$6&lt;=(AB$6-$E14)))</f>
        <v>-17188673.009891041</v>
      </c>
      <c r="AC76" s="28" cm="1">
        <f t="array" ref="AC76">SUMPRODUCT(($I71:AC71))-SUMPRODUCT(($I71:AC71)*($I$6:AC$6&lt;=(AC$6-$E14)))</f>
        <v>-17188673.009891041</v>
      </c>
      <c r="AD76" s="28" cm="1">
        <f t="array" ref="AD76">SUMPRODUCT(($I71:AD71))-SUMPRODUCT(($I71:AD71)*($I$6:AD$6&lt;=(AD$6-$E14)))</f>
        <v>-17188673.009891041</v>
      </c>
      <c r="AE76" s="28" cm="1">
        <f t="array" ref="AE76">SUMPRODUCT(($I71:AE71))-SUMPRODUCT(($I71:AE71)*($I$6:AE$6&lt;=(AE$6-$E14)))</f>
        <v>-17188673.009891041</v>
      </c>
      <c r="AF76" s="28" cm="1">
        <f t="array" ref="AF76">SUMPRODUCT(($I71:AF71))-SUMPRODUCT(($I71:AF71)*($I$6:AF$6&lt;=(AF$6-$E14)))</f>
        <v>-17188673.009891041</v>
      </c>
      <c r="AG76" s="28" cm="1">
        <f t="array" ref="AG76">SUMPRODUCT(($I71:AG71))-SUMPRODUCT(($I71:AG71)*($I$6:AG$6&lt;=(AG$6-$E14)))</f>
        <v>-17188673.009891041</v>
      </c>
    </row>
    <row r="77" spans="1:43" x14ac:dyDescent="0.2">
      <c r="A77" s="6"/>
      <c r="B77" s="6"/>
      <c r="C77" s="4">
        <f>C15</f>
        <v>0</v>
      </c>
      <c r="D77" s="33"/>
      <c r="F77" s="82"/>
      <c r="G77" s="179">
        <f>input_dollars</f>
        <v>45291</v>
      </c>
      <c r="H77" s="28"/>
      <c r="I77" s="28" cm="1">
        <f t="array" ref="I77">SUMPRODUCT(($I72:I72))-SUMPRODUCT(($I72:I72)*($I$6:I$6&lt;=(I$6-$E15)))</f>
        <v>0</v>
      </c>
      <c r="J77" s="28" cm="1">
        <f t="array" ref="J77">SUMPRODUCT(($I72:J72))-SUMPRODUCT(($I72:J72)*($I$6:J$6&lt;=(J$6-$E15)))</f>
        <v>0</v>
      </c>
      <c r="K77" s="28" cm="1">
        <f t="array" ref="K77">SUMPRODUCT(($I72:K72))-SUMPRODUCT(($I72:K72)*($I$6:K$6&lt;=(K$6-$E15)))</f>
        <v>0</v>
      </c>
      <c r="L77" s="28" cm="1">
        <f t="array" ref="L77">SUMPRODUCT(($I72:L72))-SUMPRODUCT(($I72:L72)*($I$6:L$6&lt;=(L$6-$E15)))</f>
        <v>0</v>
      </c>
      <c r="M77" s="28" cm="1">
        <f t="array" ref="M77">SUMPRODUCT(($I72:M72))-SUMPRODUCT(($I72:M72)*($I$6:M$6&lt;=(M$6-$E15)))</f>
        <v>0</v>
      </c>
      <c r="N77" s="28" cm="1">
        <f t="array" ref="N77">SUMPRODUCT(($I72:N72))-SUMPRODUCT(($I72:N72)*($I$6:N$6&lt;=(N$6-$E15)))</f>
        <v>0</v>
      </c>
      <c r="O77" s="28" cm="1">
        <f t="array" ref="O77">SUMPRODUCT(($I72:O72))-SUMPRODUCT(($I72:O72)*($I$6:O$6&lt;=(O$6-$E15)))</f>
        <v>0</v>
      </c>
      <c r="P77" s="28" cm="1">
        <f t="array" ref="P77">SUMPRODUCT(($I72:P72))-SUMPRODUCT(($I72:P72)*($I$6:P$6&lt;=(P$6-$E15)))</f>
        <v>0</v>
      </c>
      <c r="Q77" s="28" cm="1">
        <f t="array" ref="Q77">SUMPRODUCT(($I72:Q72))-SUMPRODUCT(($I72:Q72)*($I$6:Q$6&lt;=(Q$6-$E15)))</f>
        <v>0</v>
      </c>
      <c r="R77" s="28" cm="1">
        <f t="array" ref="R77">SUMPRODUCT(($I72:R72))-SUMPRODUCT(($I72:R72)*($I$6:R$6&lt;=(R$6-$E15)))</f>
        <v>0</v>
      </c>
      <c r="S77" s="28" cm="1">
        <f t="array" ref="S77">SUMPRODUCT(($I72:S72))-SUMPRODUCT(($I72:S72)*($I$6:S$6&lt;=(S$6-$E15)))</f>
        <v>0</v>
      </c>
      <c r="T77" s="28" cm="1">
        <f t="array" ref="T77">SUMPRODUCT(($I72:T72))-SUMPRODUCT(($I72:T72)*($I$6:T$6&lt;=(T$6-$E15)))</f>
        <v>0</v>
      </c>
      <c r="U77" s="28" cm="1">
        <f t="array" ref="U77">SUMPRODUCT(($I72:U72))-SUMPRODUCT(($I72:U72)*($I$6:U$6&lt;=(U$6-$E15)))</f>
        <v>0</v>
      </c>
      <c r="V77" s="28" cm="1">
        <f t="array" ref="V77">SUMPRODUCT(($I72:V72))-SUMPRODUCT(($I72:V72)*($I$6:V$6&lt;=(V$6-$E15)))</f>
        <v>0</v>
      </c>
      <c r="W77" s="28" cm="1">
        <f t="array" ref="W77">SUMPRODUCT(($I72:W72))-SUMPRODUCT(($I72:W72)*($I$6:W$6&lt;=(W$6-$E15)))</f>
        <v>0</v>
      </c>
      <c r="X77" s="28" cm="1">
        <f t="array" ref="X77">SUMPRODUCT(($I72:X72))-SUMPRODUCT(($I72:X72)*($I$6:X$6&lt;=(X$6-$E15)))</f>
        <v>0</v>
      </c>
      <c r="Y77" s="28" cm="1">
        <f t="array" ref="Y77">SUMPRODUCT(($I72:Y72))-SUMPRODUCT(($I72:Y72)*($I$6:Y$6&lt;=(Y$6-$E15)))</f>
        <v>0</v>
      </c>
      <c r="Z77" s="28" cm="1">
        <f t="array" ref="Z77">SUMPRODUCT(($I72:Z72))-SUMPRODUCT(($I72:Z72)*($I$6:Z$6&lt;=(Z$6-$E15)))</f>
        <v>0</v>
      </c>
      <c r="AA77" s="28" cm="1">
        <f t="array" ref="AA77">SUMPRODUCT(($I72:AA72))-SUMPRODUCT(($I72:AA72)*($I$6:AA$6&lt;=(AA$6-$E15)))</f>
        <v>0</v>
      </c>
      <c r="AB77" s="28" cm="1">
        <f t="array" ref="AB77">SUMPRODUCT(($I72:AB72))-SUMPRODUCT(($I72:AB72)*($I$6:AB$6&lt;=(AB$6-$E15)))</f>
        <v>0</v>
      </c>
      <c r="AC77" s="28" cm="1">
        <f t="array" ref="AC77">SUMPRODUCT(($I72:AC72))-SUMPRODUCT(($I72:AC72)*($I$6:AC$6&lt;=(AC$6-$E15)))</f>
        <v>0</v>
      </c>
      <c r="AD77" s="28" cm="1">
        <f t="array" ref="AD77">SUMPRODUCT(($I72:AD72))-SUMPRODUCT(($I72:AD72)*($I$6:AD$6&lt;=(AD$6-$E15)))</f>
        <v>0</v>
      </c>
      <c r="AE77" s="28" cm="1">
        <f t="array" ref="AE77">SUMPRODUCT(($I72:AE72))-SUMPRODUCT(($I72:AE72)*($I$6:AE$6&lt;=(AE$6-$E15)))</f>
        <v>0</v>
      </c>
      <c r="AF77" s="28" cm="1">
        <f t="array" ref="AF77">SUMPRODUCT(($I72:AF72))-SUMPRODUCT(($I72:AF72)*($I$6:AF$6&lt;=(AF$6-$E15)))</f>
        <v>0</v>
      </c>
      <c r="AG77" s="28" cm="1">
        <f t="array" ref="AG77">SUMPRODUCT(($I72:AG72))-SUMPRODUCT(($I72:AG72)*($I$6:AG$6&lt;=(AG$6-$E15)))</f>
        <v>0</v>
      </c>
    </row>
    <row r="78" spans="1:43" x14ac:dyDescent="0.2">
      <c r="A78" s="6"/>
      <c r="B78" s="6"/>
      <c r="C78" s="4">
        <f>C16</f>
        <v>0</v>
      </c>
      <c r="D78" s="33"/>
      <c r="F78" s="82"/>
      <c r="G78" s="179">
        <f>input_dollars</f>
        <v>45291</v>
      </c>
      <c r="H78" s="28"/>
      <c r="I78" s="28" cm="1">
        <f t="array" ref="I78">SUMPRODUCT(($I73:I73))-SUMPRODUCT(($I73:I73)*($I$6:I$6&lt;=(I$6-$E16)))</f>
        <v>0</v>
      </c>
      <c r="J78" s="28" cm="1">
        <f t="array" ref="J78">SUMPRODUCT(($I73:J73))-SUMPRODUCT(($I73:J73)*($I$6:J$6&lt;=(J$6-$E16)))</f>
        <v>0</v>
      </c>
      <c r="K78" s="28" cm="1">
        <f t="array" ref="K78">SUMPRODUCT(($I73:K73))-SUMPRODUCT(($I73:K73)*($I$6:K$6&lt;=(K$6-$E16)))</f>
        <v>0</v>
      </c>
      <c r="L78" s="28" cm="1">
        <f t="array" ref="L78">SUMPRODUCT(($I73:L73))-SUMPRODUCT(($I73:L73)*($I$6:L$6&lt;=(L$6-$E16)))</f>
        <v>0</v>
      </c>
      <c r="M78" s="28" cm="1">
        <f t="array" ref="M78">SUMPRODUCT(($I73:M73))-SUMPRODUCT(($I73:M73)*($I$6:M$6&lt;=(M$6-$E16)))</f>
        <v>0</v>
      </c>
      <c r="N78" s="28" cm="1">
        <f t="array" ref="N78">SUMPRODUCT(($I73:N73))-SUMPRODUCT(($I73:N73)*($I$6:N$6&lt;=(N$6-$E16)))</f>
        <v>0</v>
      </c>
      <c r="O78" s="28" cm="1">
        <f t="array" ref="O78">SUMPRODUCT(($I73:O73))-SUMPRODUCT(($I73:O73)*($I$6:O$6&lt;=(O$6-$E16)))</f>
        <v>0</v>
      </c>
      <c r="P78" s="28" cm="1">
        <f t="array" ref="P78">SUMPRODUCT(($I73:P73))-SUMPRODUCT(($I73:P73)*($I$6:P$6&lt;=(P$6-$E16)))</f>
        <v>0</v>
      </c>
      <c r="Q78" s="28" cm="1">
        <f t="array" ref="Q78">SUMPRODUCT(($I73:Q73))-SUMPRODUCT(($I73:Q73)*($I$6:Q$6&lt;=(Q$6-$E16)))</f>
        <v>0</v>
      </c>
      <c r="R78" s="28" cm="1">
        <f t="array" ref="R78">SUMPRODUCT(($I73:R73))-SUMPRODUCT(($I73:R73)*($I$6:R$6&lt;=(R$6-$E16)))</f>
        <v>0</v>
      </c>
      <c r="S78" s="28" cm="1">
        <f t="array" ref="S78">SUMPRODUCT(($I73:S73))-SUMPRODUCT(($I73:S73)*($I$6:S$6&lt;=(S$6-$E16)))</f>
        <v>0</v>
      </c>
      <c r="T78" s="28" cm="1">
        <f t="array" ref="T78">SUMPRODUCT(($I73:T73))-SUMPRODUCT(($I73:T73)*($I$6:T$6&lt;=(T$6-$E16)))</f>
        <v>0</v>
      </c>
      <c r="U78" s="28" cm="1">
        <f t="array" ref="U78">SUMPRODUCT(($I73:U73))-SUMPRODUCT(($I73:U73)*($I$6:U$6&lt;=(U$6-$E16)))</f>
        <v>0</v>
      </c>
      <c r="V78" s="28" cm="1">
        <f t="array" ref="V78">SUMPRODUCT(($I73:V73))-SUMPRODUCT(($I73:V73)*($I$6:V$6&lt;=(V$6-$E16)))</f>
        <v>0</v>
      </c>
      <c r="W78" s="28" cm="1">
        <f t="array" ref="W78">SUMPRODUCT(($I73:W73))-SUMPRODUCT(($I73:W73)*($I$6:W$6&lt;=(W$6-$E16)))</f>
        <v>0</v>
      </c>
      <c r="X78" s="28" cm="1">
        <f t="array" ref="X78">SUMPRODUCT(($I73:X73))-SUMPRODUCT(($I73:X73)*($I$6:X$6&lt;=(X$6-$E16)))</f>
        <v>0</v>
      </c>
      <c r="Y78" s="28" cm="1">
        <f t="array" ref="Y78">SUMPRODUCT(($I73:Y73))-SUMPRODUCT(($I73:Y73)*($I$6:Y$6&lt;=(Y$6-$E16)))</f>
        <v>0</v>
      </c>
      <c r="Z78" s="28" cm="1">
        <f t="array" ref="Z78">SUMPRODUCT(($I73:Z73))-SUMPRODUCT(($I73:Z73)*($I$6:Z$6&lt;=(Z$6-$E16)))</f>
        <v>0</v>
      </c>
      <c r="AA78" s="28" cm="1">
        <f t="array" ref="AA78">SUMPRODUCT(($I73:AA73))-SUMPRODUCT(($I73:AA73)*($I$6:AA$6&lt;=(AA$6-$E16)))</f>
        <v>0</v>
      </c>
      <c r="AB78" s="28" cm="1">
        <f t="array" ref="AB78">SUMPRODUCT(($I73:AB73))-SUMPRODUCT(($I73:AB73)*($I$6:AB$6&lt;=(AB$6-$E16)))</f>
        <v>0</v>
      </c>
      <c r="AC78" s="28" cm="1">
        <f t="array" ref="AC78">SUMPRODUCT(($I73:AC73))-SUMPRODUCT(($I73:AC73)*($I$6:AC$6&lt;=(AC$6-$E16)))</f>
        <v>0</v>
      </c>
      <c r="AD78" s="28" cm="1">
        <f t="array" ref="AD78">SUMPRODUCT(($I73:AD73))-SUMPRODUCT(($I73:AD73)*($I$6:AD$6&lt;=(AD$6-$E16)))</f>
        <v>0</v>
      </c>
      <c r="AE78" s="28" cm="1">
        <f t="array" ref="AE78">SUMPRODUCT(($I73:AE73))-SUMPRODUCT(($I73:AE73)*($I$6:AE$6&lt;=(AE$6-$E16)))</f>
        <v>0</v>
      </c>
      <c r="AF78" s="28" cm="1">
        <f t="array" ref="AF78">SUMPRODUCT(($I73:AF73))-SUMPRODUCT(($I73:AF73)*($I$6:AF$6&lt;=(AF$6-$E16)))</f>
        <v>0</v>
      </c>
      <c r="AG78" s="28" cm="1">
        <f t="array" ref="AG78">SUMPRODUCT(($I73:AG73))-SUMPRODUCT(($I73:AG73)*($I$6:AG$6&lt;=(AG$6-$E16)))</f>
        <v>0</v>
      </c>
    </row>
    <row r="79" spans="1:43" x14ac:dyDescent="0.2">
      <c r="A79" s="6"/>
      <c r="B79" s="6"/>
      <c r="C79" s="4"/>
      <c r="D79" s="33"/>
      <c r="F79" s="82"/>
      <c r="G79" s="183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</row>
    <row r="80" spans="1:43" x14ac:dyDescent="0.2">
      <c r="A80" s="6"/>
      <c r="B80" s="6"/>
      <c r="C80" s="121" t="s">
        <v>133</v>
      </c>
      <c r="D80" s="33"/>
      <c r="F80" s="82"/>
      <c r="G80" s="182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</row>
    <row r="81" spans="1:33" x14ac:dyDescent="0.2">
      <c r="A81" s="6"/>
      <c r="B81" s="6"/>
      <c r="C81" s="4" t="str">
        <f>$C$80&amp;" - "&amp;C14</f>
        <v>Annualised capex - Construct new feeders from MG to JA</v>
      </c>
      <c r="D81" s="33"/>
      <c r="F81" s="82"/>
      <c r="G81" s="179">
        <f>input_dollars</f>
        <v>45291</v>
      </c>
      <c r="H81" s="28"/>
      <c r="I81" s="28">
        <f t="shared" ref="I81:AG81" si="10">IF($E14=0,0,-PMT(real_disc, $E14,H76,))</f>
        <v>0</v>
      </c>
      <c r="J81" s="28">
        <f t="shared" si="10"/>
        <v>-337610.68856423401</v>
      </c>
      <c r="K81" s="28">
        <f t="shared" si="10"/>
        <v>-732816.89293805684</v>
      </c>
      <c r="L81" s="28">
        <f t="shared" si="10"/>
        <v>-732816.89293805684</v>
      </c>
      <c r="M81" s="28">
        <f t="shared" si="10"/>
        <v>-732816.89293805684</v>
      </c>
      <c r="N81" s="28">
        <f t="shared" si="10"/>
        <v>-732816.89293805684</v>
      </c>
      <c r="O81" s="28">
        <f t="shared" si="10"/>
        <v>-732816.89293805684</v>
      </c>
      <c r="P81" s="28">
        <f t="shared" si="10"/>
        <v>-732816.89293805684</v>
      </c>
      <c r="Q81" s="28">
        <f t="shared" si="10"/>
        <v>-732816.89293805684</v>
      </c>
      <c r="R81" s="28">
        <f t="shared" si="10"/>
        <v>-732816.89293805684</v>
      </c>
      <c r="S81" s="28">
        <f t="shared" si="10"/>
        <v>-732816.89293805684</v>
      </c>
      <c r="T81" s="28">
        <f t="shared" si="10"/>
        <v>-732816.89293805684</v>
      </c>
      <c r="U81" s="28">
        <f t="shared" si="10"/>
        <v>-732816.89293805684</v>
      </c>
      <c r="V81" s="28">
        <f t="shared" si="10"/>
        <v>-732816.89293805684</v>
      </c>
      <c r="W81" s="28">
        <f t="shared" si="10"/>
        <v>-732816.89293805684</v>
      </c>
      <c r="X81" s="28">
        <f t="shared" si="10"/>
        <v>-732816.89293805684</v>
      </c>
      <c r="Y81" s="28">
        <f t="shared" si="10"/>
        <v>-732816.89293805684</v>
      </c>
      <c r="Z81" s="28">
        <f t="shared" si="10"/>
        <v>-732816.89293805684</v>
      </c>
      <c r="AA81" s="28">
        <f t="shared" si="10"/>
        <v>-732816.89293805684</v>
      </c>
      <c r="AB81" s="28">
        <f t="shared" si="10"/>
        <v>-732816.89293805684</v>
      </c>
      <c r="AC81" s="28">
        <f t="shared" si="10"/>
        <v>-732816.89293805684</v>
      </c>
      <c r="AD81" s="28">
        <f t="shared" si="10"/>
        <v>-732816.89293805684</v>
      </c>
      <c r="AE81" s="28">
        <f t="shared" si="10"/>
        <v>-732816.89293805684</v>
      </c>
      <c r="AF81" s="28">
        <f t="shared" si="10"/>
        <v>-732816.89293805684</v>
      </c>
      <c r="AG81" s="28">
        <f t="shared" si="10"/>
        <v>-732816.89293805684</v>
      </c>
    </row>
    <row r="82" spans="1:33" x14ac:dyDescent="0.2">
      <c r="A82" s="6"/>
      <c r="B82" s="6"/>
      <c r="C82" s="4" t="str">
        <f>$C$80&amp;" - "&amp;C15</f>
        <v xml:space="preserve">Annualised capex - </v>
      </c>
      <c r="D82" s="33"/>
      <c r="F82" s="82"/>
      <c r="G82" s="179">
        <f>input_dollars</f>
        <v>45291</v>
      </c>
      <c r="H82" s="28"/>
      <c r="I82" s="28">
        <f t="shared" ref="I82:AG82" si="11">IF($E15=0,0,-PMT(real_disc, $E15,H77,))</f>
        <v>0</v>
      </c>
      <c r="J82" s="28">
        <f t="shared" si="11"/>
        <v>0</v>
      </c>
      <c r="K82" s="28">
        <f t="shared" si="11"/>
        <v>0</v>
      </c>
      <c r="L82" s="28">
        <f t="shared" si="11"/>
        <v>0</v>
      </c>
      <c r="M82" s="28">
        <f t="shared" si="11"/>
        <v>0</v>
      </c>
      <c r="N82" s="28">
        <f t="shared" si="11"/>
        <v>0</v>
      </c>
      <c r="O82" s="28">
        <f t="shared" si="11"/>
        <v>0</v>
      </c>
      <c r="P82" s="28">
        <f t="shared" si="11"/>
        <v>0</v>
      </c>
      <c r="Q82" s="28">
        <f t="shared" si="11"/>
        <v>0</v>
      </c>
      <c r="R82" s="28">
        <f t="shared" si="11"/>
        <v>0</v>
      </c>
      <c r="S82" s="28">
        <f t="shared" si="11"/>
        <v>0</v>
      </c>
      <c r="T82" s="28">
        <f t="shared" si="11"/>
        <v>0</v>
      </c>
      <c r="U82" s="28">
        <f t="shared" si="11"/>
        <v>0</v>
      </c>
      <c r="V82" s="28">
        <f t="shared" si="11"/>
        <v>0</v>
      </c>
      <c r="W82" s="28">
        <f t="shared" si="11"/>
        <v>0</v>
      </c>
      <c r="X82" s="28">
        <f t="shared" si="11"/>
        <v>0</v>
      </c>
      <c r="Y82" s="28">
        <f t="shared" si="11"/>
        <v>0</v>
      </c>
      <c r="Z82" s="28">
        <f t="shared" si="11"/>
        <v>0</v>
      </c>
      <c r="AA82" s="28">
        <f t="shared" si="11"/>
        <v>0</v>
      </c>
      <c r="AB82" s="28">
        <f t="shared" si="11"/>
        <v>0</v>
      </c>
      <c r="AC82" s="28">
        <f t="shared" si="11"/>
        <v>0</v>
      </c>
      <c r="AD82" s="28">
        <f t="shared" si="11"/>
        <v>0</v>
      </c>
      <c r="AE82" s="28">
        <f t="shared" si="11"/>
        <v>0</v>
      </c>
      <c r="AF82" s="28">
        <f t="shared" si="11"/>
        <v>0</v>
      </c>
      <c r="AG82" s="28">
        <f t="shared" si="11"/>
        <v>0</v>
      </c>
    </row>
    <row r="83" spans="1:33" x14ac:dyDescent="0.2">
      <c r="A83" s="6"/>
      <c r="B83" s="6"/>
      <c r="C83" s="4" t="str">
        <f>$C$80&amp;" - "&amp;C16</f>
        <v xml:space="preserve">Annualised capex - </v>
      </c>
      <c r="D83" s="33"/>
      <c r="F83" s="82"/>
      <c r="G83" s="179">
        <f>input_dollars</f>
        <v>45291</v>
      </c>
      <c r="H83" s="28"/>
      <c r="I83" s="28">
        <f t="shared" ref="I83:AG83" si="12">IF($E16=0,0,-PMT(real_disc, $E16,H78,))</f>
        <v>0</v>
      </c>
      <c r="J83" s="28">
        <f t="shared" si="12"/>
        <v>0</v>
      </c>
      <c r="K83" s="28">
        <f t="shared" si="12"/>
        <v>0</v>
      </c>
      <c r="L83" s="28">
        <f t="shared" si="12"/>
        <v>0</v>
      </c>
      <c r="M83" s="28">
        <f t="shared" si="12"/>
        <v>0</v>
      </c>
      <c r="N83" s="28">
        <f t="shared" si="12"/>
        <v>0</v>
      </c>
      <c r="O83" s="28">
        <f t="shared" si="12"/>
        <v>0</v>
      </c>
      <c r="P83" s="28">
        <f t="shared" si="12"/>
        <v>0</v>
      </c>
      <c r="Q83" s="28">
        <f t="shared" si="12"/>
        <v>0</v>
      </c>
      <c r="R83" s="28">
        <f t="shared" si="12"/>
        <v>0</v>
      </c>
      <c r="S83" s="28">
        <f t="shared" si="12"/>
        <v>0</v>
      </c>
      <c r="T83" s="28">
        <f t="shared" si="12"/>
        <v>0</v>
      </c>
      <c r="U83" s="28">
        <f t="shared" si="12"/>
        <v>0</v>
      </c>
      <c r="V83" s="28">
        <f t="shared" si="12"/>
        <v>0</v>
      </c>
      <c r="W83" s="28">
        <f t="shared" si="12"/>
        <v>0</v>
      </c>
      <c r="X83" s="28">
        <f t="shared" si="12"/>
        <v>0</v>
      </c>
      <c r="Y83" s="28">
        <f t="shared" si="12"/>
        <v>0</v>
      </c>
      <c r="Z83" s="28">
        <f t="shared" si="12"/>
        <v>0</v>
      </c>
      <c r="AA83" s="28">
        <f t="shared" si="12"/>
        <v>0</v>
      </c>
      <c r="AB83" s="28">
        <f t="shared" si="12"/>
        <v>0</v>
      </c>
      <c r="AC83" s="28">
        <f t="shared" si="12"/>
        <v>0</v>
      </c>
      <c r="AD83" s="28">
        <f t="shared" si="12"/>
        <v>0</v>
      </c>
      <c r="AE83" s="28">
        <f t="shared" si="12"/>
        <v>0</v>
      </c>
      <c r="AF83" s="28">
        <f t="shared" si="12"/>
        <v>0</v>
      </c>
      <c r="AG83" s="28">
        <f t="shared" si="12"/>
        <v>0</v>
      </c>
    </row>
    <row r="84" spans="1:33" x14ac:dyDescent="0.2">
      <c r="A84" s="6"/>
      <c r="B84" s="6"/>
      <c r="C84" s="144" t="s">
        <v>134</v>
      </c>
      <c r="D84" s="144"/>
      <c r="E84" s="145"/>
      <c r="F84" s="146"/>
      <c r="G84" s="184">
        <f>input_dollars</f>
        <v>45291</v>
      </c>
      <c r="H84" s="147"/>
      <c r="I84" s="147">
        <f>SUM(I81:I83)</f>
        <v>0</v>
      </c>
      <c r="J84" s="147">
        <f t="shared" ref="J84:AB84" si="13">SUM(J81:J83)</f>
        <v>-337610.68856423401</v>
      </c>
      <c r="K84" s="147">
        <f t="shared" si="13"/>
        <v>-732816.89293805684</v>
      </c>
      <c r="L84" s="147">
        <f t="shared" si="13"/>
        <v>-732816.89293805684</v>
      </c>
      <c r="M84" s="147">
        <f t="shared" si="13"/>
        <v>-732816.89293805684</v>
      </c>
      <c r="N84" s="147">
        <f t="shared" si="13"/>
        <v>-732816.89293805684</v>
      </c>
      <c r="O84" s="147">
        <f t="shared" si="13"/>
        <v>-732816.89293805684</v>
      </c>
      <c r="P84" s="147">
        <f t="shared" si="13"/>
        <v>-732816.89293805684</v>
      </c>
      <c r="Q84" s="147">
        <f t="shared" si="13"/>
        <v>-732816.89293805684</v>
      </c>
      <c r="R84" s="147">
        <f t="shared" si="13"/>
        <v>-732816.89293805684</v>
      </c>
      <c r="S84" s="147">
        <f t="shared" si="13"/>
        <v>-732816.89293805684</v>
      </c>
      <c r="T84" s="147">
        <f t="shared" si="13"/>
        <v>-732816.89293805684</v>
      </c>
      <c r="U84" s="147">
        <f t="shared" si="13"/>
        <v>-732816.89293805684</v>
      </c>
      <c r="V84" s="147">
        <f t="shared" si="13"/>
        <v>-732816.89293805684</v>
      </c>
      <c r="W84" s="147">
        <f t="shared" si="13"/>
        <v>-732816.89293805684</v>
      </c>
      <c r="X84" s="147">
        <f t="shared" si="13"/>
        <v>-732816.89293805684</v>
      </c>
      <c r="Y84" s="147">
        <f t="shared" si="13"/>
        <v>-732816.89293805684</v>
      </c>
      <c r="Z84" s="147">
        <f t="shared" si="13"/>
        <v>-732816.89293805684</v>
      </c>
      <c r="AA84" s="147">
        <f t="shared" si="13"/>
        <v>-732816.89293805684</v>
      </c>
      <c r="AB84" s="147">
        <f t="shared" si="13"/>
        <v>-732816.89293805684</v>
      </c>
      <c r="AC84" s="147">
        <f>SUM(AC81:AC83)</f>
        <v>-732816.89293805684</v>
      </c>
      <c r="AD84" s="147">
        <f>SUM(AD81:AD83)</f>
        <v>-732816.89293805684</v>
      </c>
      <c r="AE84" s="147">
        <f>SUM(AE81:AE83)</f>
        <v>-732816.89293805684</v>
      </c>
      <c r="AF84" s="147">
        <f>SUM(AF81:AF83)</f>
        <v>-732816.89293805684</v>
      </c>
      <c r="AG84" s="147">
        <f>SUM(AG81:AG83)</f>
        <v>-732816.89293805684</v>
      </c>
    </row>
    <row r="85" spans="1:33" x14ac:dyDescent="0.2">
      <c r="A85" s="6"/>
      <c r="B85" s="6"/>
      <c r="C85" s="12"/>
      <c r="D85" s="33"/>
      <c r="F85"/>
      <c r="G85" s="1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x14ac:dyDescent="0.2">
      <c r="A86" s="6"/>
      <c r="B86" s="6"/>
      <c r="C86" s="4" t="s">
        <v>133</v>
      </c>
      <c r="D86" s="33"/>
      <c r="F86" s="82"/>
      <c r="G86" s="179">
        <f t="shared" ref="G86:G91" si="14">input_dollars</f>
        <v>45291</v>
      </c>
      <c r="H86" s="28"/>
      <c r="I86" s="28">
        <f>I84</f>
        <v>0</v>
      </c>
      <c r="J86" s="28">
        <f t="shared" ref="J86:AB86" si="15">J84</f>
        <v>-337610.68856423401</v>
      </c>
      <c r="K86" s="28">
        <f t="shared" si="15"/>
        <v>-732816.89293805684</v>
      </c>
      <c r="L86" s="28">
        <f t="shared" si="15"/>
        <v>-732816.89293805684</v>
      </c>
      <c r="M86" s="28">
        <f t="shared" si="15"/>
        <v>-732816.89293805684</v>
      </c>
      <c r="N86" s="28">
        <f t="shared" si="15"/>
        <v>-732816.89293805684</v>
      </c>
      <c r="O86" s="28">
        <f t="shared" si="15"/>
        <v>-732816.89293805684</v>
      </c>
      <c r="P86" s="28">
        <f t="shared" si="15"/>
        <v>-732816.89293805684</v>
      </c>
      <c r="Q86" s="28">
        <f t="shared" si="15"/>
        <v>-732816.89293805684</v>
      </c>
      <c r="R86" s="28">
        <f t="shared" si="15"/>
        <v>-732816.89293805684</v>
      </c>
      <c r="S86" s="28">
        <f t="shared" si="15"/>
        <v>-732816.89293805684</v>
      </c>
      <c r="T86" s="28">
        <f t="shared" si="15"/>
        <v>-732816.89293805684</v>
      </c>
      <c r="U86" s="28">
        <f t="shared" si="15"/>
        <v>-732816.89293805684</v>
      </c>
      <c r="V86" s="28">
        <f t="shared" si="15"/>
        <v>-732816.89293805684</v>
      </c>
      <c r="W86" s="28">
        <f t="shared" si="15"/>
        <v>-732816.89293805684</v>
      </c>
      <c r="X86" s="28">
        <f t="shared" si="15"/>
        <v>-732816.89293805684</v>
      </c>
      <c r="Y86" s="28">
        <f t="shared" si="15"/>
        <v>-732816.89293805684</v>
      </c>
      <c r="Z86" s="28">
        <f t="shared" si="15"/>
        <v>-732816.89293805684</v>
      </c>
      <c r="AA86" s="28">
        <f t="shared" si="15"/>
        <v>-732816.89293805684</v>
      </c>
      <c r="AB86" s="28">
        <f t="shared" si="15"/>
        <v>-732816.89293805684</v>
      </c>
      <c r="AC86" s="28">
        <f>AC84</f>
        <v>-732816.89293805684</v>
      </c>
      <c r="AD86" s="28">
        <f>AD84</f>
        <v>-732816.89293805684</v>
      </c>
      <c r="AE86" s="28">
        <f>AE84</f>
        <v>-732816.89293805684</v>
      </c>
      <c r="AF86" s="28">
        <f>AF84</f>
        <v>-732816.89293805684</v>
      </c>
      <c r="AG86" s="28">
        <f>AG84</f>
        <v>-732816.89293805684</v>
      </c>
    </row>
    <row r="87" spans="1:33" x14ac:dyDescent="0.2">
      <c r="A87" s="6"/>
      <c r="B87" s="6"/>
      <c r="C87" s="4" t="s">
        <v>16</v>
      </c>
      <c r="D87" s="33"/>
      <c r="F87" s="82"/>
      <c r="G87" s="179">
        <f t="shared" si="14"/>
        <v>45291</v>
      </c>
      <c r="H87" s="28"/>
      <c r="I87" s="28">
        <f t="shared" ref="I87:AG87" si="16">-I19</f>
        <v>0</v>
      </c>
      <c r="J87" s="28">
        <f t="shared" si="16"/>
        <v>0</v>
      </c>
      <c r="K87" s="28">
        <f t="shared" si="16"/>
        <v>0</v>
      </c>
      <c r="L87" s="28">
        <f t="shared" si="16"/>
        <v>0</v>
      </c>
      <c r="M87" s="28">
        <f t="shared" si="16"/>
        <v>0</v>
      </c>
      <c r="N87" s="28">
        <f t="shared" si="16"/>
        <v>0</v>
      </c>
      <c r="O87" s="28">
        <f t="shared" si="16"/>
        <v>0</v>
      </c>
      <c r="P87" s="28">
        <f t="shared" si="16"/>
        <v>0</v>
      </c>
      <c r="Q87" s="28">
        <f t="shared" si="16"/>
        <v>0</v>
      </c>
      <c r="R87" s="28">
        <f t="shared" si="16"/>
        <v>0</v>
      </c>
      <c r="S87" s="28">
        <f t="shared" si="16"/>
        <v>0</v>
      </c>
      <c r="T87" s="28">
        <f t="shared" si="16"/>
        <v>0</v>
      </c>
      <c r="U87" s="28">
        <f t="shared" si="16"/>
        <v>0</v>
      </c>
      <c r="V87" s="28">
        <f t="shared" si="16"/>
        <v>0</v>
      </c>
      <c r="W87" s="28">
        <f t="shared" si="16"/>
        <v>0</v>
      </c>
      <c r="X87" s="28">
        <f t="shared" si="16"/>
        <v>0</v>
      </c>
      <c r="Y87" s="28">
        <f t="shared" si="16"/>
        <v>0</v>
      </c>
      <c r="Z87" s="28">
        <f t="shared" si="16"/>
        <v>0</v>
      </c>
      <c r="AA87" s="28">
        <f t="shared" si="16"/>
        <v>0</v>
      </c>
      <c r="AB87" s="28">
        <f t="shared" si="16"/>
        <v>0</v>
      </c>
      <c r="AC87" s="28">
        <f t="shared" si="16"/>
        <v>0</v>
      </c>
      <c r="AD87" s="28">
        <f t="shared" si="16"/>
        <v>0</v>
      </c>
      <c r="AE87" s="28">
        <f t="shared" si="16"/>
        <v>0</v>
      </c>
      <c r="AF87" s="28">
        <f t="shared" si="16"/>
        <v>0</v>
      </c>
      <c r="AG87" s="28">
        <f t="shared" si="16"/>
        <v>0</v>
      </c>
    </row>
    <row r="88" spans="1:33" x14ac:dyDescent="0.2">
      <c r="A88" s="6"/>
      <c r="B88" s="6"/>
      <c r="C88" s="4" t="s">
        <v>135</v>
      </c>
      <c r="D88" s="33"/>
      <c r="F88" s="82"/>
      <c r="G88" s="179">
        <f t="shared" si="14"/>
        <v>45291</v>
      </c>
      <c r="H88" s="28"/>
      <c r="I88" s="28">
        <f>I68</f>
        <v>0</v>
      </c>
      <c r="J88" s="28">
        <f t="shared" ref="J88:AB88" si="17">J68</f>
        <v>0</v>
      </c>
      <c r="K88" s="28">
        <f t="shared" si="17"/>
        <v>31811.12378364076</v>
      </c>
      <c r="L88" s="28">
        <f t="shared" si="17"/>
        <v>58874.587568721385</v>
      </c>
      <c r="M88" s="28">
        <f t="shared" si="17"/>
        <v>98935.173368162679</v>
      </c>
      <c r="N88" s="28">
        <f t="shared" si="17"/>
        <v>154305.09085243032</v>
      </c>
      <c r="O88" s="28">
        <f t="shared" si="17"/>
        <v>248687.96928739143</v>
      </c>
      <c r="P88" s="28">
        <f t="shared" si="17"/>
        <v>388032.56625035964</v>
      </c>
      <c r="Q88" s="28">
        <f t="shared" si="17"/>
        <v>536043.54255631461</v>
      </c>
      <c r="R88" s="28">
        <f t="shared" si="17"/>
        <v>677290.00333563052</v>
      </c>
      <c r="S88" s="28">
        <f t="shared" si="17"/>
        <v>604137.48715120065</v>
      </c>
      <c r="T88" s="28">
        <f t="shared" si="17"/>
        <v>604137.48715120065</v>
      </c>
      <c r="U88" s="28">
        <f t="shared" si="17"/>
        <v>604137.48715120065</v>
      </c>
      <c r="V88" s="28">
        <f t="shared" si="17"/>
        <v>604137.48715120065</v>
      </c>
      <c r="W88" s="28">
        <f t="shared" si="17"/>
        <v>604137.48715120065</v>
      </c>
      <c r="X88" s="28">
        <f t="shared" si="17"/>
        <v>604137.48715120065</v>
      </c>
      <c r="Y88" s="28">
        <f t="shared" si="17"/>
        <v>604137.48715120065</v>
      </c>
      <c r="Z88" s="28">
        <f t="shared" si="17"/>
        <v>604137.48715120065</v>
      </c>
      <c r="AA88" s="28">
        <f t="shared" si="17"/>
        <v>604137.48715120065</v>
      </c>
      <c r="AB88" s="28">
        <f t="shared" si="17"/>
        <v>604137.48715120065</v>
      </c>
      <c r="AC88" s="28">
        <f>AC68</f>
        <v>604137.48715120065</v>
      </c>
      <c r="AD88" s="28">
        <f>AD68</f>
        <v>604137.48715120065</v>
      </c>
      <c r="AE88" s="28">
        <f>AE68</f>
        <v>604137.48715120065</v>
      </c>
      <c r="AF88" s="28">
        <f>AF68</f>
        <v>604137.48715120065</v>
      </c>
      <c r="AG88" s="28">
        <f>AG68</f>
        <v>604137.48715120065</v>
      </c>
    </row>
    <row r="89" spans="1:33" x14ac:dyDescent="0.2">
      <c r="A89" s="6"/>
      <c r="B89" s="6"/>
      <c r="C89" s="4" t="s">
        <v>136</v>
      </c>
      <c r="D89" s="33"/>
      <c r="F89" s="82"/>
      <c r="G89" s="179">
        <f t="shared" si="14"/>
        <v>45291</v>
      </c>
      <c r="H89" s="28"/>
      <c r="I89" s="28">
        <f t="shared" ref="I89:AG89" si="18">I61</f>
        <v>0</v>
      </c>
      <c r="J89" s="28">
        <f t="shared" si="18"/>
        <v>0</v>
      </c>
      <c r="K89" s="28">
        <f t="shared" si="18"/>
        <v>0</v>
      </c>
      <c r="L89" s="28">
        <f t="shared" si="18"/>
        <v>0</v>
      </c>
      <c r="M89" s="28">
        <f t="shared" si="18"/>
        <v>0</v>
      </c>
      <c r="N89" s="28">
        <f t="shared" si="18"/>
        <v>0</v>
      </c>
      <c r="O89" s="28">
        <f t="shared" si="18"/>
        <v>0</v>
      </c>
      <c r="P89" s="28">
        <f t="shared" si="18"/>
        <v>0</v>
      </c>
      <c r="Q89" s="28">
        <f t="shared" si="18"/>
        <v>0</v>
      </c>
      <c r="R89" s="28">
        <f t="shared" si="18"/>
        <v>0</v>
      </c>
      <c r="S89" s="28">
        <f t="shared" si="18"/>
        <v>0</v>
      </c>
      <c r="T89" s="28">
        <f t="shared" si="18"/>
        <v>0</v>
      </c>
      <c r="U89" s="28">
        <f t="shared" si="18"/>
        <v>0</v>
      </c>
      <c r="V89" s="28">
        <f t="shared" si="18"/>
        <v>0</v>
      </c>
      <c r="W89" s="28">
        <f t="shared" si="18"/>
        <v>0</v>
      </c>
      <c r="X89" s="28">
        <f t="shared" si="18"/>
        <v>0</v>
      </c>
      <c r="Y89" s="28">
        <f t="shared" si="18"/>
        <v>0</v>
      </c>
      <c r="Z89" s="28">
        <f t="shared" si="18"/>
        <v>0</v>
      </c>
      <c r="AA89" s="28">
        <f t="shared" si="18"/>
        <v>0</v>
      </c>
      <c r="AB89" s="28">
        <f t="shared" si="18"/>
        <v>0</v>
      </c>
      <c r="AC89" s="28">
        <f t="shared" si="18"/>
        <v>0</v>
      </c>
      <c r="AD89" s="28">
        <f t="shared" si="18"/>
        <v>0</v>
      </c>
      <c r="AE89" s="28">
        <f t="shared" si="18"/>
        <v>0</v>
      </c>
      <c r="AF89" s="28">
        <f t="shared" si="18"/>
        <v>0</v>
      </c>
      <c r="AG89" s="28">
        <f t="shared" si="18"/>
        <v>0</v>
      </c>
    </row>
    <row r="90" spans="1:33" x14ac:dyDescent="0.2">
      <c r="A90" s="6"/>
      <c r="B90" s="6"/>
      <c r="C90" s="4"/>
      <c r="D90" s="33"/>
      <c r="F90" s="28"/>
      <c r="G90" s="179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</row>
    <row r="91" spans="1:33" x14ac:dyDescent="0.2">
      <c r="A91" s="6"/>
      <c r="B91" s="6"/>
      <c r="C91" s="148" t="s">
        <v>137</v>
      </c>
      <c r="D91" s="149"/>
      <c r="E91" s="145"/>
      <c r="F91" s="150"/>
      <c r="G91" s="184">
        <f t="shared" si="14"/>
        <v>45291</v>
      </c>
      <c r="H91" s="150"/>
      <c r="I91" s="150">
        <f t="shared" ref="I91:AB91" si="19">SUM(I86:I90)</f>
        <v>0</v>
      </c>
      <c r="J91" s="150">
        <f t="shared" si="19"/>
        <v>-337610.68856423401</v>
      </c>
      <c r="K91" s="150">
        <f t="shared" si="19"/>
        <v>-701005.76915441605</v>
      </c>
      <c r="L91" s="150">
        <f t="shared" si="19"/>
        <v>-673942.30536933546</v>
      </c>
      <c r="M91" s="150">
        <f t="shared" si="19"/>
        <v>-633881.71956989414</v>
      </c>
      <c r="N91" s="150">
        <f t="shared" si="19"/>
        <v>-578511.80208562652</v>
      </c>
      <c r="O91" s="150">
        <f t="shared" si="19"/>
        <v>-484128.92365066544</v>
      </c>
      <c r="P91" s="150">
        <f t="shared" si="19"/>
        <v>-344784.3266876972</v>
      </c>
      <c r="Q91" s="150">
        <f t="shared" si="19"/>
        <v>-196773.35038174223</v>
      </c>
      <c r="R91" s="150">
        <f t="shared" si="19"/>
        <v>-55526.889602426323</v>
      </c>
      <c r="S91" s="150">
        <f t="shared" si="19"/>
        <v>-128679.40578685619</v>
      </c>
      <c r="T91" s="150">
        <f t="shared" si="19"/>
        <v>-128679.40578685619</v>
      </c>
      <c r="U91" s="150">
        <f t="shared" si="19"/>
        <v>-128679.40578685619</v>
      </c>
      <c r="V91" s="150">
        <f t="shared" si="19"/>
        <v>-128679.40578685619</v>
      </c>
      <c r="W91" s="150">
        <f t="shared" si="19"/>
        <v>-128679.40578685619</v>
      </c>
      <c r="X91" s="150">
        <f t="shared" si="19"/>
        <v>-128679.40578685619</v>
      </c>
      <c r="Y91" s="150">
        <f t="shared" si="19"/>
        <v>-128679.40578685619</v>
      </c>
      <c r="Z91" s="150">
        <f t="shared" si="19"/>
        <v>-128679.40578685619</v>
      </c>
      <c r="AA91" s="150">
        <f t="shared" si="19"/>
        <v>-128679.40578685619</v>
      </c>
      <c r="AB91" s="150">
        <f t="shared" si="19"/>
        <v>-128679.40578685619</v>
      </c>
      <c r="AC91" s="150">
        <f>SUM(AC86:AC90)</f>
        <v>-128679.40578685619</v>
      </c>
      <c r="AD91" s="150">
        <f>SUM(AD86:AD90)</f>
        <v>-128679.40578685619</v>
      </c>
      <c r="AE91" s="150">
        <f>SUM(AE86:AE90)</f>
        <v>-128679.40578685619</v>
      </c>
      <c r="AF91" s="150">
        <f>SUM(AF86:AF90)</f>
        <v>-128679.40578685619</v>
      </c>
      <c r="AG91" s="150">
        <f>SUM(AG86:AG90)</f>
        <v>-128679.40578685619</v>
      </c>
    </row>
    <row r="92" spans="1:33" x14ac:dyDescent="0.2">
      <c r="A92" s="6"/>
      <c r="B92" s="6"/>
      <c r="C92" s="12"/>
      <c r="D92" s="33"/>
      <c r="F92" s="115"/>
      <c r="G92" s="17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</row>
    <row r="93" spans="1:33" x14ac:dyDescent="0.2">
      <c r="A93" s="6"/>
      <c r="B93" s="6"/>
      <c r="C93" s="12"/>
      <c r="D93" s="33"/>
      <c r="F93" s="115"/>
      <c r="G93" s="17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</row>
    <row r="94" spans="1:33" x14ac:dyDescent="0.2">
      <c r="A94" s="6"/>
      <c r="B94" s="6"/>
      <c r="C94" s="198" t="s">
        <v>141</v>
      </c>
      <c r="D94" s="71"/>
      <c r="E94" s="199"/>
      <c r="F94" s="200"/>
      <c r="G94" s="201" cm="1">
        <f t="array" ref="G94">IF(SUM($I17:$AG17)=0,0,(INDEX(I$6:AG$6,MATCH(TRUE,INDEX($I17:$AG17&lt;&gt;0,),0))))</f>
        <v>1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x14ac:dyDescent="0.2">
      <c r="A95" s="6"/>
      <c r="B95" s="6"/>
      <c r="C95" s="71"/>
      <c r="D95" s="202"/>
      <c r="E95" s="199"/>
      <c r="F95" s="200"/>
      <c r="G95" s="201"/>
      <c r="H95" s="30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89"/>
      <c r="X95" s="89"/>
      <c r="Y95" s="89"/>
      <c r="Z95" s="89"/>
      <c r="AA95" s="89"/>
      <c r="AB95" s="89"/>
      <c r="AC95" s="89"/>
      <c r="AD95" s="89"/>
      <c r="AE95" s="89"/>
      <c r="AF95" s="89"/>
      <c r="AG95" s="89"/>
    </row>
    <row r="96" spans="1:33" x14ac:dyDescent="0.2">
      <c r="C96" s="203" t="s">
        <v>142</v>
      </c>
      <c r="D96" s="204"/>
      <c r="E96" s="204"/>
      <c r="F96" s="204"/>
      <c r="G96" s="205">
        <f>IF(_xlfn.MINIFS($G$94:$G$95, $G$94:$G$95, "&gt;"&amp;0)=0, $A$4, _xlfn.MINIFS($G$94:$G$95, $G$94:$G$95, "&gt;"&amp;0))</f>
        <v>1</v>
      </c>
    </row>
    <row r="98" spans="1:43" x14ac:dyDescent="0.2">
      <c r="G98" s="10"/>
      <c r="I98" s="213"/>
      <c r="J98" s="213"/>
      <c r="K98" s="213"/>
      <c r="L98" s="213"/>
      <c r="M98" s="213"/>
      <c r="N98" s="213"/>
      <c r="O98" s="213"/>
      <c r="P98" s="213"/>
      <c r="Q98" s="213"/>
      <c r="R98" s="213"/>
      <c r="S98" s="213"/>
      <c r="T98" s="213"/>
      <c r="U98" s="213"/>
      <c r="V98" s="213"/>
      <c r="W98" s="213"/>
      <c r="X98" s="213"/>
      <c r="Y98" s="28"/>
      <c r="Z98" s="28"/>
      <c r="AA98" s="28"/>
      <c r="AB98" s="28"/>
      <c r="AC98" s="28"/>
      <c r="AD98" s="28"/>
      <c r="AE98" s="28"/>
      <c r="AF98" s="28"/>
      <c r="AG98" s="28"/>
    </row>
    <row r="99" spans="1:43" x14ac:dyDescent="0.2">
      <c r="I99" s="208"/>
      <c r="J99" s="208"/>
      <c r="K99" s="208"/>
      <c r="L99" s="208"/>
      <c r="M99" s="208"/>
      <c r="N99" s="208"/>
      <c r="O99" s="208"/>
      <c r="P99" s="208"/>
      <c r="Q99" s="208"/>
      <c r="R99" s="208"/>
      <c r="S99" s="208"/>
      <c r="T99" s="208"/>
      <c r="U99" s="208"/>
      <c r="V99" s="208"/>
      <c r="W99" s="208"/>
      <c r="X99" s="208"/>
      <c r="Y99" s="208"/>
      <c r="Z99" s="208"/>
    </row>
    <row r="100" spans="1:43" x14ac:dyDescent="0.2"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</row>
    <row r="101" spans="1:43" x14ac:dyDescent="0.2">
      <c r="I101" s="208"/>
      <c r="J101" s="208"/>
      <c r="K101" s="208"/>
      <c r="L101" s="208"/>
      <c r="M101" s="208"/>
      <c r="N101" s="208"/>
      <c r="O101" s="208"/>
      <c r="P101" s="208"/>
      <c r="Q101" s="208"/>
      <c r="R101" s="208"/>
      <c r="S101" s="208"/>
      <c r="T101" s="208"/>
      <c r="U101" s="208"/>
      <c r="V101" s="208"/>
      <c r="W101" s="208"/>
      <c r="X101" s="208"/>
      <c r="Y101" s="208"/>
      <c r="Z101" s="208"/>
    </row>
    <row r="102" spans="1:43" x14ac:dyDescent="0.2">
      <c r="I102" s="208"/>
      <c r="J102" s="208"/>
      <c r="K102" s="208"/>
      <c r="L102" s="208"/>
      <c r="M102" s="208"/>
      <c r="N102" s="208"/>
      <c r="O102" s="208"/>
      <c r="P102" s="208"/>
      <c r="Q102" s="208"/>
      <c r="R102" s="208"/>
      <c r="S102" s="208"/>
      <c r="T102" s="208"/>
      <c r="U102" s="208"/>
      <c r="V102" s="208"/>
      <c r="W102" s="208"/>
      <c r="X102" s="208"/>
      <c r="Y102" s="208"/>
      <c r="Z102" s="208"/>
    </row>
    <row r="103" spans="1:43" x14ac:dyDescent="0.2">
      <c r="I103" s="208"/>
      <c r="J103" s="208"/>
      <c r="K103" s="208"/>
      <c r="L103" s="208"/>
      <c r="M103" s="208"/>
      <c r="N103" s="208"/>
      <c r="O103" s="208"/>
      <c r="P103" s="208"/>
      <c r="Q103" s="208"/>
      <c r="R103" s="208"/>
      <c r="S103" s="208"/>
      <c r="T103" s="208"/>
      <c r="U103" s="208"/>
      <c r="V103" s="208"/>
      <c r="W103" s="208"/>
      <c r="X103" s="208"/>
      <c r="Y103" s="208"/>
      <c r="Z103" s="208"/>
    </row>
    <row r="104" spans="1:43" x14ac:dyDescent="0.2">
      <c r="I104" s="208"/>
      <c r="J104" s="208"/>
      <c r="K104" s="208"/>
      <c r="L104" s="208"/>
      <c r="M104" s="208"/>
      <c r="N104" s="208"/>
      <c r="O104" s="208"/>
      <c r="P104" s="208"/>
      <c r="Q104" s="208"/>
      <c r="R104" s="208"/>
      <c r="S104" s="208"/>
      <c r="T104" s="208"/>
      <c r="U104" s="208"/>
      <c r="V104" s="208"/>
      <c r="W104" s="208"/>
      <c r="X104" s="208"/>
      <c r="Y104" s="208"/>
      <c r="Z104" s="208"/>
    </row>
    <row r="105" spans="1:43" x14ac:dyDescent="0.2">
      <c r="I105" s="208"/>
      <c r="J105" s="208"/>
      <c r="K105" s="208"/>
      <c r="L105" s="208"/>
      <c r="M105" s="208"/>
      <c r="N105" s="208"/>
      <c r="O105" s="208"/>
      <c r="P105" s="208"/>
      <c r="Q105" s="208"/>
      <c r="R105" s="208"/>
      <c r="S105" s="208"/>
      <c r="T105" s="208"/>
      <c r="U105" s="208"/>
      <c r="V105" s="208"/>
      <c r="W105" s="208"/>
      <c r="X105" s="208"/>
      <c r="Y105" s="208"/>
      <c r="Z105" s="208"/>
    </row>
    <row r="106" spans="1:43" ht="15" x14ac:dyDescent="0.2">
      <c r="A106" s="76" t="s">
        <v>20</v>
      </c>
      <c r="B106" s="76"/>
      <c r="C106" s="76"/>
      <c r="D106" s="76"/>
      <c r="E106" s="76"/>
      <c r="F106" s="76"/>
      <c r="G106" s="173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/>
      <c r="AI106"/>
      <c r="AJ106"/>
      <c r="AK106"/>
      <c r="AL106"/>
      <c r="AM106"/>
      <c r="AN106"/>
      <c r="AO106"/>
      <c r="AP106"/>
      <c r="AQ106"/>
    </row>
    <row r="108" spans="1:43" x14ac:dyDescent="0.2">
      <c r="I108" s="208"/>
      <c r="J108" s="208"/>
      <c r="K108" s="208"/>
      <c r="L108" s="208"/>
      <c r="M108" s="208"/>
      <c r="N108" s="208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spans="1:43" x14ac:dyDescent="0.2">
      <c r="D109"/>
      <c r="E109"/>
      <c r="F109"/>
      <c r="G109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spans="1:43" x14ac:dyDescent="0.2">
      <c r="A110" s="1" t="s">
        <v>7</v>
      </c>
      <c r="C110" s="1" t="s">
        <v>137</v>
      </c>
      <c r="D110"/>
      <c r="E110"/>
      <c r="F110"/>
      <c r="G110" s="33" t="str">
        <f>PROPER($A$3)&amp;A110</f>
        <v>Option 2NPV</v>
      </c>
      <c r="I110" s="28">
        <f>I91</f>
        <v>0</v>
      </c>
      <c r="J110" s="28">
        <f t="shared" ref="J110:AG110" si="20">J91</f>
        <v>-337610.68856423401</v>
      </c>
      <c r="K110" s="28">
        <f t="shared" si="20"/>
        <v>-701005.76915441605</v>
      </c>
      <c r="L110" s="28">
        <f t="shared" si="20"/>
        <v>-673942.30536933546</v>
      </c>
      <c r="M110" s="28">
        <f t="shared" si="20"/>
        <v>-633881.71956989414</v>
      </c>
      <c r="N110" s="28">
        <f t="shared" si="20"/>
        <v>-578511.80208562652</v>
      </c>
      <c r="O110" s="28">
        <f t="shared" si="20"/>
        <v>-484128.92365066544</v>
      </c>
      <c r="P110" s="28">
        <f t="shared" si="20"/>
        <v>-344784.3266876972</v>
      </c>
      <c r="Q110" s="28">
        <f t="shared" si="20"/>
        <v>-196773.35038174223</v>
      </c>
      <c r="R110" s="28">
        <f t="shared" si="20"/>
        <v>-55526.889602426323</v>
      </c>
      <c r="S110" s="28">
        <f t="shared" si="20"/>
        <v>-128679.40578685619</v>
      </c>
      <c r="T110" s="28">
        <f t="shared" si="20"/>
        <v>-128679.40578685619</v>
      </c>
      <c r="U110" s="28">
        <f t="shared" si="20"/>
        <v>-128679.40578685619</v>
      </c>
      <c r="V110" s="28">
        <f t="shared" si="20"/>
        <v>-128679.40578685619</v>
      </c>
      <c r="W110" s="28">
        <f t="shared" si="20"/>
        <v>-128679.40578685619</v>
      </c>
      <c r="X110" s="28">
        <f t="shared" si="20"/>
        <v>-128679.40578685619</v>
      </c>
      <c r="Y110" s="28">
        <f t="shared" si="20"/>
        <v>-128679.40578685619</v>
      </c>
      <c r="Z110" s="28">
        <f t="shared" si="20"/>
        <v>-128679.40578685619</v>
      </c>
      <c r="AA110" s="28">
        <f t="shared" si="20"/>
        <v>-128679.40578685619</v>
      </c>
      <c r="AB110" s="28">
        <f t="shared" si="20"/>
        <v>-128679.40578685619</v>
      </c>
      <c r="AC110" s="28">
        <f t="shared" si="20"/>
        <v>-128679.40578685619</v>
      </c>
      <c r="AD110" s="28">
        <f t="shared" si="20"/>
        <v>-128679.40578685619</v>
      </c>
      <c r="AE110" s="28">
        <f t="shared" si="20"/>
        <v>-128679.40578685619</v>
      </c>
      <c r="AF110" s="28">
        <f t="shared" si="20"/>
        <v>-128679.40578685619</v>
      </c>
      <c r="AG110" s="28">
        <f t="shared" si="20"/>
        <v>-128679.40578685619</v>
      </c>
    </row>
    <row r="111" spans="1:43" x14ac:dyDescent="0.2">
      <c r="C111" s="1" t="s">
        <v>134</v>
      </c>
      <c r="D111"/>
      <c r="E111"/>
      <c r="F111"/>
      <c r="G111"/>
      <c r="I111" s="28">
        <f>I86</f>
        <v>0</v>
      </c>
      <c r="J111" s="28">
        <f t="shared" ref="J111:AG111" si="21">J86</f>
        <v>-337610.68856423401</v>
      </c>
      <c r="K111" s="28">
        <f t="shared" si="21"/>
        <v>-732816.89293805684</v>
      </c>
      <c r="L111" s="28">
        <f t="shared" si="21"/>
        <v>-732816.89293805684</v>
      </c>
      <c r="M111" s="28">
        <f t="shared" si="21"/>
        <v>-732816.89293805684</v>
      </c>
      <c r="N111" s="28">
        <f t="shared" si="21"/>
        <v>-732816.89293805684</v>
      </c>
      <c r="O111" s="28">
        <f t="shared" si="21"/>
        <v>-732816.89293805684</v>
      </c>
      <c r="P111" s="28">
        <f t="shared" si="21"/>
        <v>-732816.89293805684</v>
      </c>
      <c r="Q111" s="28">
        <f t="shared" si="21"/>
        <v>-732816.89293805684</v>
      </c>
      <c r="R111" s="28">
        <f t="shared" si="21"/>
        <v>-732816.89293805684</v>
      </c>
      <c r="S111" s="28">
        <f t="shared" si="21"/>
        <v>-732816.89293805684</v>
      </c>
      <c r="T111" s="28">
        <f t="shared" si="21"/>
        <v>-732816.89293805684</v>
      </c>
      <c r="U111" s="28">
        <f t="shared" si="21"/>
        <v>-732816.89293805684</v>
      </c>
      <c r="V111" s="28">
        <f t="shared" si="21"/>
        <v>-732816.89293805684</v>
      </c>
      <c r="W111" s="28">
        <f t="shared" si="21"/>
        <v>-732816.89293805684</v>
      </c>
      <c r="X111" s="28">
        <f t="shared" si="21"/>
        <v>-732816.89293805684</v>
      </c>
      <c r="Y111" s="28">
        <f t="shared" si="21"/>
        <v>-732816.89293805684</v>
      </c>
      <c r="Z111" s="28">
        <f t="shared" si="21"/>
        <v>-732816.89293805684</v>
      </c>
      <c r="AA111" s="28">
        <f t="shared" si="21"/>
        <v>-732816.89293805684</v>
      </c>
      <c r="AB111" s="28">
        <f t="shared" si="21"/>
        <v>-732816.89293805684</v>
      </c>
      <c r="AC111" s="28">
        <f t="shared" si="21"/>
        <v>-732816.89293805684</v>
      </c>
      <c r="AD111" s="28">
        <f t="shared" si="21"/>
        <v>-732816.89293805684</v>
      </c>
      <c r="AE111" s="28">
        <f t="shared" si="21"/>
        <v>-732816.89293805684</v>
      </c>
      <c r="AF111" s="28">
        <f t="shared" si="21"/>
        <v>-732816.89293805684</v>
      </c>
      <c r="AG111" s="28">
        <f t="shared" si="21"/>
        <v>-732816.89293805684</v>
      </c>
    </row>
    <row r="112" spans="1:43" x14ac:dyDescent="0.2">
      <c r="C112" s="1" t="s">
        <v>89</v>
      </c>
      <c r="D112" s="216"/>
      <c r="E112" s="33"/>
      <c r="I112" s="28">
        <f>SUM(I88:I89)</f>
        <v>0</v>
      </c>
      <c r="J112" s="28">
        <f t="shared" ref="J112:AG112" si="22">SUM(J88:J89)</f>
        <v>0</v>
      </c>
      <c r="K112" s="28">
        <f t="shared" si="22"/>
        <v>31811.12378364076</v>
      </c>
      <c r="L112" s="28">
        <f t="shared" si="22"/>
        <v>58874.587568721385</v>
      </c>
      <c r="M112" s="28">
        <f t="shared" si="22"/>
        <v>98935.173368162679</v>
      </c>
      <c r="N112" s="28">
        <f t="shared" si="22"/>
        <v>154305.09085243032</v>
      </c>
      <c r="O112" s="28">
        <f t="shared" si="22"/>
        <v>248687.96928739143</v>
      </c>
      <c r="P112" s="28">
        <f t="shared" si="22"/>
        <v>388032.56625035964</v>
      </c>
      <c r="Q112" s="28">
        <f t="shared" si="22"/>
        <v>536043.54255631461</v>
      </c>
      <c r="R112" s="28">
        <f t="shared" si="22"/>
        <v>677290.00333563052</v>
      </c>
      <c r="S112" s="28">
        <f t="shared" si="22"/>
        <v>604137.48715120065</v>
      </c>
      <c r="T112" s="28">
        <f t="shared" si="22"/>
        <v>604137.48715120065</v>
      </c>
      <c r="U112" s="28">
        <f t="shared" si="22"/>
        <v>604137.48715120065</v>
      </c>
      <c r="V112" s="28">
        <f t="shared" si="22"/>
        <v>604137.48715120065</v>
      </c>
      <c r="W112" s="28">
        <f t="shared" si="22"/>
        <v>604137.48715120065</v>
      </c>
      <c r="X112" s="28">
        <f t="shared" si="22"/>
        <v>604137.48715120065</v>
      </c>
      <c r="Y112" s="28">
        <f t="shared" si="22"/>
        <v>604137.48715120065</v>
      </c>
      <c r="Z112" s="28">
        <f t="shared" si="22"/>
        <v>604137.48715120065</v>
      </c>
      <c r="AA112" s="28">
        <f t="shared" si="22"/>
        <v>604137.48715120065</v>
      </c>
      <c r="AB112" s="28">
        <f t="shared" si="22"/>
        <v>604137.48715120065</v>
      </c>
      <c r="AC112" s="28">
        <f t="shared" si="22"/>
        <v>604137.48715120065</v>
      </c>
      <c r="AD112" s="28">
        <f t="shared" si="22"/>
        <v>604137.48715120065</v>
      </c>
      <c r="AE112" s="28">
        <f t="shared" si="22"/>
        <v>604137.48715120065</v>
      </c>
      <c r="AF112" s="28">
        <f t="shared" si="22"/>
        <v>604137.48715120065</v>
      </c>
      <c r="AG112" s="28">
        <f t="shared" si="22"/>
        <v>604137.48715120065</v>
      </c>
    </row>
    <row r="113" spans="1:33" x14ac:dyDescent="0.2">
      <c r="D113" s="248" t="str">
        <f>Assumptions!G110</f>
        <v>Capex</v>
      </c>
      <c r="E113" s="248" t="str">
        <f>Assumptions!H110</f>
        <v>Total benefits</v>
      </c>
      <c r="I113" s="208"/>
      <c r="J113" s="208"/>
      <c r="K113" s="208"/>
      <c r="L113" s="208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spans="1:33" x14ac:dyDescent="0.2">
      <c r="A114" s="1" t="str">
        <f>"sens"&amp;Assumptions!B111</f>
        <v>sens1</v>
      </c>
      <c r="C114" s="247" t="str">
        <f>Assumptions!C111</f>
        <v>Capex 10% higher</v>
      </c>
      <c r="D114" s="248">
        <f>Assumptions!G111</f>
        <v>0.1</v>
      </c>
      <c r="E114" s="248">
        <f>Assumptions!H111</f>
        <v>0</v>
      </c>
      <c r="G114" s="33" t="str">
        <f>PROPER($A$3)&amp;A114</f>
        <v>Option 2sens1</v>
      </c>
      <c r="I114" s="28" cm="1">
        <f t="array" ref="I114">I$110+IF($C114&lt;&gt;0,SUMPRODUCT((I$111:I$112)*TRANSPOSE(($D114:$E114))),0)</f>
        <v>0</v>
      </c>
      <c r="J114" s="28" cm="1">
        <f t="array" ref="J114">J$110+IF($C114&lt;&gt;0,SUMPRODUCT((J$111:J$112)*TRANSPOSE(($D114:$E114))),0)</f>
        <v>-371371.75742065744</v>
      </c>
      <c r="K114" s="28" cm="1">
        <f t="array" ref="K114">K$110+IF($C114&lt;&gt;0,SUMPRODUCT((K$111:K$112)*TRANSPOSE(($D114:$E114))),0)</f>
        <v>-774287.45844822167</v>
      </c>
      <c r="L114" s="28" cm="1">
        <f t="array" ref="L114">L$110+IF($C114&lt;&gt;0,SUMPRODUCT((L$111:L$112)*TRANSPOSE(($D114:$E114))),0)</f>
        <v>-747223.9946631412</v>
      </c>
      <c r="M114" s="28" cm="1">
        <f t="array" ref="M114">M$110+IF($C114&lt;&gt;0,SUMPRODUCT((M$111:M$112)*TRANSPOSE(($D114:$E114))),0)</f>
        <v>-707163.40886369976</v>
      </c>
      <c r="N114" s="28" cm="1">
        <f t="array" ref="N114">N$110+IF($C114&lt;&gt;0,SUMPRODUCT((N$111:N$112)*TRANSPOSE(($D114:$E114))),0)</f>
        <v>-651793.49137943215</v>
      </c>
      <c r="O114" s="28" cm="1">
        <f t="array" ref="O114">O$110+IF($C114&lt;&gt;0,SUMPRODUCT((O$111:O$112)*TRANSPOSE(($D114:$E114))),0)</f>
        <v>-557410.61294447118</v>
      </c>
      <c r="P114" s="28" cm="1">
        <f t="array" ref="P114">P$110+IF($C114&lt;&gt;0,SUMPRODUCT((P$111:P$112)*TRANSPOSE(($D114:$E114))),0)</f>
        <v>-418066.01598150289</v>
      </c>
      <c r="Q114" s="28" cm="1">
        <f t="array" ref="Q114">Q$110+IF($C114&lt;&gt;0,SUMPRODUCT((Q$111:Q$112)*TRANSPOSE(($D114:$E114))),0)</f>
        <v>-270055.03967554792</v>
      </c>
      <c r="R114" s="28" cm="1">
        <f t="array" ref="R114">R$110+IF($C114&lt;&gt;0,SUMPRODUCT((R$111:R$112)*TRANSPOSE(($D114:$E114))),0)</f>
        <v>-128808.57889623201</v>
      </c>
      <c r="S114" s="28" cm="1">
        <f t="array" ref="S114">S$110+IF($C114&lt;&gt;0,SUMPRODUCT((S$111:S$112)*TRANSPOSE(($D114:$E114))),0)</f>
        <v>-201961.09508066188</v>
      </c>
      <c r="T114" s="28" cm="1">
        <f t="array" ref="T114">T$110+IF($C114&lt;&gt;0,SUMPRODUCT((T$111:T$112)*TRANSPOSE(($D114:$E114))),0)</f>
        <v>-201961.09508066188</v>
      </c>
      <c r="U114" s="28" cm="1">
        <f t="array" ref="U114">U$110+IF($C114&lt;&gt;0,SUMPRODUCT((U$111:U$112)*TRANSPOSE(($D114:$E114))),0)</f>
        <v>-201961.09508066188</v>
      </c>
      <c r="V114" s="28" cm="1">
        <f t="array" ref="V114">V$110+IF($C114&lt;&gt;0,SUMPRODUCT((V$111:V$112)*TRANSPOSE(($D114:$E114))),0)</f>
        <v>-201961.09508066188</v>
      </c>
      <c r="W114" s="28" cm="1">
        <f t="array" ref="W114">W$110+IF($C114&lt;&gt;0,SUMPRODUCT((W$111:W$112)*TRANSPOSE(($D114:$E114))),0)</f>
        <v>-201961.09508066188</v>
      </c>
      <c r="X114" s="28" cm="1">
        <f t="array" ref="X114">X$110+IF($C114&lt;&gt;0,SUMPRODUCT((X$111:X$112)*TRANSPOSE(($D114:$E114))),0)</f>
        <v>-201961.09508066188</v>
      </c>
      <c r="Y114" s="28" cm="1">
        <f t="array" ref="Y114">Y$110+IF($C114&lt;&gt;0,SUMPRODUCT((Y$111:Y$112)*TRANSPOSE(($D114:$E114))),0)</f>
        <v>-201961.09508066188</v>
      </c>
      <c r="Z114" s="28" cm="1">
        <f t="array" ref="Z114">Z$110+IF($C114&lt;&gt;0,SUMPRODUCT((Z$111:Z$112)*TRANSPOSE(($D114:$E114))),0)</f>
        <v>-201961.09508066188</v>
      </c>
      <c r="AA114" s="28" cm="1">
        <f t="array" ref="AA114">AA$110+IF($C114&lt;&gt;0,SUMPRODUCT((AA$111:AA$112)*TRANSPOSE(($D114:$E114))),0)</f>
        <v>-201961.09508066188</v>
      </c>
      <c r="AB114" s="28" cm="1">
        <f t="array" ref="AB114">AB$110+IF($C114&lt;&gt;0,SUMPRODUCT((AB$111:AB$112)*TRANSPOSE(($D114:$E114))),0)</f>
        <v>-201961.09508066188</v>
      </c>
      <c r="AC114" s="28" cm="1">
        <f t="array" ref="AC114">AC$110+IF($C114&lt;&gt;0,SUMPRODUCT((AC$111:AC$112)*TRANSPOSE(($D114:$E114))),0)</f>
        <v>-201961.09508066188</v>
      </c>
      <c r="AD114" s="28" cm="1">
        <f t="array" ref="AD114">AD$110+IF($C114&lt;&gt;0,SUMPRODUCT((AD$111:AD$112)*TRANSPOSE(($D114:$E114))),0)</f>
        <v>-201961.09508066188</v>
      </c>
      <c r="AE114" s="28" cm="1">
        <f t="array" ref="AE114">AE$110+IF($C114&lt;&gt;0,SUMPRODUCT((AE$111:AE$112)*TRANSPOSE(($D114:$E114))),0)</f>
        <v>-201961.09508066188</v>
      </c>
      <c r="AF114" s="28" cm="1">
        <f t="array" ref="AF114">AF$110+IF($C114&lt;&gt;0,SUMPRODUCT((AF$111:AF$112)*TRANSPOSE(($D114:$E114))),0)</f>
        <v>-201961.09508066188</v>
      </c>
      <c r="AG114" s="28" cm="1">
        <f t="array" ref="AG114">AG$110+IF($C114&lt;&gt;0,SUMPRODUCT((AG$111:AG$112)*TRANSPOSE(($D114:$E114))),0)</f>
        <v>-201961.09508066188</v>
      </c>
    </row>
    <row r="115" spans="1:33" x14ac:dyDescent="0.2">
      <c r="A115" s="1" t="str">
        <f>"sens"&amp;Assumptions!B112</f>
        <v>sens2</v>
      </c>
      <c r="C115" s="247" t="str">
        <f>Assumptions!C112</f>
        <v>Capex 10% lower</v>
      </c>
      <c r="D115" s="248">
        <f>Assumptions!G112</f>
        <v>-0.1</v>
      </c>
      <c r="E115" s="248">
        <f>Assumptions!H112</f>
        <v>0</v>
      </c>
      <c r="G115" s="33" t="str">
        <f t="shared" ref="G115:G121" si="23">PROPER($A$3)&amp;A115</f>
        <v>Option 2sens2</v>
      </c>
      <c r="I115" s="28" cm="1">
        <f t="array" ref="I115">I$110+IF($C115&lt;&gt;0,SUMPRODUCT((I$111:I$112)*TRANSPOSE(($D115:$E115))),0)</f>
        <v>0</v>
      </c>
      <c r="J115" s="28" cm="1">
        <f t="array" ref="J115">J$110+IF($C115&lt;&gt;0,SUMPRODUCT((J$111:J$112)*TRANSPOSE(($D115:$E115))),0)</f>
        <v>-303849.61970781058</v>
      </c>
      <c r="K115" s="28" cm="1">
        <f t="array" ref="K115">K$110+IF($C115&lt;&gt;0,SUMPRODUCT((K$111:K$112)*TRANSPOSE(($D115:$E115))),0)</f>
        <v>-627724.07986061042</v>
      </c>
      <c r="L115" s="28" cm="1">
        <f t="array" ref="L115">L$110+IF($C115&lt;&gt;0,SUMPRODUCT((L$111:L$112)*TRANSPOSE(($D115:$E115))),0)</f>
        <v>-600660.61607552972</v>
      </c>
      <c r="M115" s="28" cm="1">
        <f t="array" ref="M115">M$110+IF($C115&lt;&gt;0,SUMPRODUCT((M$111:M$112)*TRANSPOSE(($D115:$E115))),0)</f>
        <v>-560600.03027608851</v>
      </c>
      <c r="N115" s="28" cm="1">
        <f t="array" ref="N115">N$110+IF($C115&lt;&gt;0,SUMPRODUCT((N$111:N$112)*TRANSPOSE(($D115:$E115))),0)</f>
        <v>-505230.11279182084</v>
      </c>
      <c r="O115" s="28" cm="1">
        <f t="array" ref="O115">O$110+IF($C115&lt;&gt;0,SUMPRODUCT((O$111:O$112)*TRANSPOSE(($D115:$E115))),0)</f>
        <v>-410847.23435685976</v>
      </c>
      <c r="P115" s="28" cm="1">
        <f t="array" ref="P115">P$110+IF($C115&lt;&gt;0,SUMPRODUCT((P$111:P$112)*TRANSPOSE(($D115:$E115))),0)</f>
        <v>-271502.63739389152</v>
      </c>
      <c r="Q115" s="28" cm="1">
        <f t="array" ref="Q115">Q$110+IF($C115&lt;&gt;0,SUMPRODUCT((Q$111:Q$112)*TRANSPOSE(($D115:$E115))),0)</f>
        <v>-123491.66108793655</v>
      </c>
      <c r="R115" s="28" cm="1">
        <f t="array" ref="R115">R$110+IF($C115&lt;&gt;0,SUMPRODUCT((R$111:R$112)*TRANSPOSE(($D115:$E115))),0)</f>
        <v>17754.799691379361</v>
      </c>
      <c r="S115" s="28" cm="1">
        <f t="array" ref="S115">S$110+IF($C115&lt;&gt;0,SUMPRODUCT((S$111:S$112)*TRANSPOSE(($D115:$E115))),0)</f>
        <v>-55397.71649305051</v>
      </c>
      <c r="T115" s="28" cm="1">
        <f t="array" ref="T115">T$110+IF($C115&lt;&gt;0,SUMPRODUCT((T$111:T$112)*TRANSPOSE(($D115:$E115))),0)</f>
        <v>-55397.71649305051</v>
      </c>
      <c r="U115" s="28" cm="1">
        <f t="array" ref="U115">U$110+IF($C115&lt;&gt;0,SUMPRODUCT((U$111:U$112)*TRANSPOSE(($D115:$E115))),0)</f>
        <v>-55397.71649305051</v>
      </c>
      <c r="V115" s="28" cm="1">
        <f t="array" ref="V115">V$110+IF($C115&lt;&gt;0,SUMPRODUCT((V$111:V$112)*TRANSPOSE(($D115:$E115))),0)</f>
        <v>-55397.71649305051</v>
      </c>
      <c r="W115" s="28" cm="1">
        <f t="array" ref="W115">W$110+IF($C115&lt;&gt;0,SUMPRODUCT((W$111:W$112)*TRANSPOSE(($D115:$E115))),0)</f>
        <v>-55397.71649305051</v>
      </c>
      <c r="X115" s="28" cm="1">
        <f t="array" ref="X115">X$110+IF($C115&lt;&gt;0,SUMPRODUCT((X$111:X$112)*TRANSPOSE(($D115:$E115))),0)</f>
        <v>-55397.71649305051</v>
      </c>
      <c r="Y115" s="28" cm="1">
        <f t="array" ref="Y115">Y$110+IF($C115&lt;&gt;0,SUMPRODUCT((Y$111:Y$112)*TRANSPOSE(($D115:$E115))),0)</f>
        <v>-55397.71649305051</v>
      </c>
      <c r="Z115" s="28" cm="1">
        <f t="array" ref="Z115">Z$110+IF($C115&lt;&gt;0,SUMPRODUCT((Z$111:Z$112)*TRANSPOSE(($D115:$E115))),0)</f>
        <v>-55397.71649305051</v>
      </c>
      <c r="AA115" s="28" cm="1">
        <f t="array" ref="AA115">AA$110+IF($C115&lt;&gt;0,SUMPRODUCT((AA$111:AA$112)*TRANSPOSE(($D115:$E115))),0)</f>
        <v>-55397.71649305051</v>
      </c>
      <c r="AB115" s="28" cm="1">
        <f t="array" ref="AB115">AB$110+IF($C115&lt;&gt;0,SUMPRODUCT((AB$111:AB$112)*TRANSPOSE(($D115:$E115))),0)</f>
        <v>-55397.71649305051</v>
      </c>
      <c r="AC115" s="28" cm="1">
        <f t="array" ref="AC115">AC$110+IF($C115&lt;&gt;0,SUMPRODUCT((AC$111:AC$112)*TRANSPOSE(($D115:$E115))),0)</f>
        <v>-55397.71649305051</v>
      </c>
      <c r="AD115" s="28" cm="1">
        <f t="array" ref="AD115">AD$110+IF($C115&lt;&gt;0,SUMPRODUCT((AD$111:AD$112)*TRANSPOSE(($D115:$E115))),0)</f>
        <v>-55397.71649305051</v>
      </c>
      <c r="AE115" s="28" cm="1">
        <f t="array" ref="AE115">AE$110+IF($C115&lt;&gt;0,SUMPRODUCT((AE$111:AE$112)*TRANSPOSE(($D115:$E115))),0)</f>
        <v>-55397.71649305051</v>
      </c>
      <c r="AF115" s="28" cm="1">
        <f t="array" ref="AF115">AF$110+IF($C115&lt;&gt;0,SUMPRODUCT((AF$111:AF$112)*TRANSPOSE(($D115:$E115))),0)</f>
        <v>-55397.71649305051</v>
      </c>
      <c r="AG115" s="28" cm="1">
        <f t="array" ref="AG115">AG$110+IF($C115&lt;&gt;0,SUMPRODUCT((AG$111:AG$112)*TRANSPOSE(($D115:$E115))),0)</f>
        <v>-55397.71649305051</v>
      </c>
    </row>
    <row r="116" spans="1:33" x14ac:dyDescent="0.2">
      <c r="A116" s="1" t="str">
        <f>"sens"&amp;Assumptions!B113</f>
        <v>sens3</v>
      </c>
      <c r="C116" s="247" t="str">
        <f>Assumptions!C113</f>
        <v>Total benefits 10% higher</v>
      </c>
      <c r="D116" s="248">
        <f>Assumptions!G113</f>
        <v>0</v>
      </c>
      <c r="E116" s="248">
        <f>Assumptions!H113</f>
        <v>0.1</v>
      </c>
      <c r="G116" s="33" t="str">
        <f t="shared" si="23"/>
        <v>Option 2sens3</v>
      </c>
      <c r="I116" s="28" cm="1">
        <f t="array" ref="I116">I$110+IF($C116&lt;&gt;0,SUMPRODUCT((I$111:I$112)*TRANSPOSE(($D116:$E116))),0)</f>
        <v>0</v>
      </c>
      <c r="J116" s="28" cm="1">
        <f t="array" ref="J116">J$110+IF($C116&lt;&gt;0,SUMPRODUCT((J$111:J$112)*TRANSPOSE(($D116:$E116))),0)</f>
        <v>-337610.68856423401</v>
      </c>
      <c r="K116" s="28" cm="1">
        <f t="array" ref="K116">K$110+IF($C116&lt;&gt;0,SUMPRODUCT((K$111:K$112)*TRANSPOSE(($D116:$E116))),0)</f>
        <v>-697824.65677605197</v>
      </c>
      <c r="L116" s="28" cm="1">
        <f t="array" ref="L116">L$110+IF($C116&lt;&gt;0,SUMPRODUCT((L$111:L$112)*TRANSPOSE(($D116:$E116))),0)</f>
        <v>-668054.84661246336</v>
      </c>
      <c r="M116" s="28" cm="1">
        <f t="array" ref="M116">M$110+IF($C116&lt;&gt;0,SUMPRODUCT((M$111:M$112)*TRANSPOSE(($D116:$E116))),0)</f>
        <v>-623988.20223307784</v>
      </c>
      <c r="N116" s="28" cm="1">
        <f t="array" ref="N116">N$110+IF($C116&lt;&gt;0,SUMPRODUCT((N$111:N$112)*TRANSPOSE(($D116:$E116))),0)</f>
        <v>-563081.29300038354</v>
      </c>
      <c r="O116" s="28" cm="1">
        <f t="array" ref="O116">O$110+IF($C116&lt;&gt;0,SUMPRODUCT((O$111:O$112)*TRANSPOSE(($D116:$E116))),0)</f>
        <v>-459260.12672192627</v>
      </c>
      <c r="P116" s="28" cm="1">
        <f t="array" ref="P116">P$110+IF($C116&lt;&gt;0,SUMPRODUCT((P$111:P$112)*TRANSPOSE(($D116:$E116))),0)</f>
        <v>-305981.07006266125</v>
      </c>
      <c r="Q116" s="28" cm="1">
        <f t="array" ref="Q116">Q$110+IF($C116&lt;&gt;0,SUMPRODUCT((Q$111:Q$112)*TRANSPOSE(($D116:$E116))),0)</f>
        <v>-143168.99612611078</v>
      </c>
      <c r="R116" s="28" cm="1">
        <f t="array" ref="R116">R$110+IF($C116&lt;&gt;0,SUMPRODUCT((R$111:R$112)*TRANSPOSE(($D116:$E116))),0)</f>
        <v>12202.110731136738</v>
      </c>
      <c r="S116" s="28" cm="1">
        <f t="array" ref="S116">S$110+IF($C116&lt;&gt;0,SUMPRODUCT((S$111:S$112)*TRANSPOSE(($D116:$E116))),0)</f>
        <v>-68265.657071736117</v>
      </c>
      <c r="T116" s="28" cm="1">
        <f t="array" ref="T116">T$110+IF($C116&lt;&gt;0,SUMPRODUCT((T$111:T$112)*TRANSPOSE(($D116:$E116))),0)</f>
        <v>-68265.657071736117</v>
      </c>
      <c r="U116" s="28" cm="1">
        <f t="array" ref="U116">U$110+IF($C116&lt;&gt;0,SUMPRODUCT((U$111:U$112)*TRANSPOSE(($D116:$E116))),0)</f>
        <v>-68265.657071736117</v>
      </c>
      <c r="V116" s="28" cm="1">
        <f t="array" ref="V116">V$110+IF($C116&lt;&gt;0,SUMPRODUCT((V$111:V$112)*TRANSPOSE(($D116:$E116))),0)</f>
        <v>-68265.657071736117</v>
      </c>
      <c r="W116" s="28" cm="1">
        <f t="array" ref="W116">W$110+IF($C116&lt;&gt;0,SUMPRODUCT((W$111:W$112)*TRANSPOSE(($D116:$E116))),0)</f>
        <v>-68265.657071736117</v>
      </c>
      <c r="X116" s="28" cm="1">
        <f t="array" ref="X116">X$110+IF($C116&lt;&gt;0,SUMPRODUCT((X$111:X$112)*TRANSPOSE(($D116:$E116))),0)</f>
        <v>-68265.657071736117</v>
      </c>
      <c r="Y116" s="28" cm="1">
        <f t="array" ref="Y116">Y$110+IF($C116&lt;&gt;0,SUMPRODUCT((Y$111:Y$112)*TRANSPOSE(($D116:$E116))),0)</f>
        <v>-68265.657071736117</v>
      </c>
      <c r="Z116" s="28" cm="1">
        <f t="array" ref="Z116">Z$110+IF($C116&lt;&gt;0,SUMPRODUCT((Z$111:Z$112)*TRANSPOSE(($D116:$E116))),0)</f>
        <v>-68265.657071736117</v>
      </c>
      <c r="AA116" s="28" cm="1">
        <f t="array" ref="AA116">AA$110+IF($C116&lt;&gt;0,SUMPRODUCT((AA$111:AA$112)*TRANSPOSE(($D116:$E116))),0)</f>
        <v>-68265.657071736117</v>
      </c>
      <c r="AB116" s="28" cm="1">
        <f t="array" ref="AB116">AB$110+IF($C116&lt;&gt;0,SUMPRODUCT((AB$111:AB$112)*TRANSPOSE(($D116:$E116))),0)</f>
        <v>-68265.657071736117</v>
      </c>
      <c r="AC116" s="28" cm="1">
        <f t="array" ref="AC116">AC$110+IF($C116&lt;&gt;0,SUMPRODUCT((AC$111:AC$112)*TRANSPOSE(($D116:$E116))),0)</f>
        <v>-68265.657071736117</v>
      </c>
      <c r="AD116" s="28" cm="1">
        <f t="array" ref="AD116">AD$110+IF($C116&lt;&gt;0,SUMPRODUCT((AD$111:AD$112)*TRANSPOSE(($D116:$E116))),0)</f>
        <v>-68265.657071736117</v>
      </c>
      <c r="AE116" s="28" cm="1">
        <f t="array" ref="AE116">AE$110+IF($C116&lt;&gt;0,SUMPRODUCT((AE$111:AE$112)*TRANSPOSE(($D116:$E116))),0)</f>
        <v>-68265.657071736117</v>
      </c>
      <c r="AF116" s="28" cm="1">
        <f t="array" ref="AF116">AF$110+IF($C116&lt;&gt;0,SUMPRODUCT((AF$111:AF$112)*TRANSPOSE(($D116:$E116))),0)</f>
        <v>-68265.657071736117</v>
      </c>
      <c r="AG116" s="28" cm="1">
        <f t="array" ref="AG116">AG$110+IF($C116&lt;&gt;0,SUMPRODUCT((AG$111:AG$112)*TRANSPOSE(($D116:$E116))),0)</f>
        <v>-68265.657071736117</v>
      </c>
    </row>
    <row r="117" spans="1:33" x14ac:dyDescent="0.2">
      <c r="A117" s="1" t="str">
        <f>"sens"&amp;Assumptions!B114</f>
        <v>sens4</v>
      </c>
      <c r="C117" s="247" t="str">
        <f>Assumptions!C114</f>
        <v>Total benefits 10% lower</v>
      </c>
      <c r="D117" s="248">
        <f>Assumptions!G114</f>
        <v>0</v>
      </c>
      <c r="E117" s="248">
        <f>Assumptions!H114</f>
        <v>-0.1</v>
      </c>
      <c r="G117" s="33" t="str">
        <f t="shared" si="23"/>
        <v>Option 2sens4</v>
      </c>
      <c r="I117" s="28" cm="1">
        <f t="array" ref="I117">I$110+IF($C117&lt;&gt;0,SUMPRODUCT((I$111:I$112)*TRANSPOSE(($D117:$E117))),0)</f>
        <v>0</v>
      </c>
      <c r="J117" s="28" cm="1">
        <f t="array" ref="J117">J$110+IF($C117&lt;&gt;0,SUMPRODUCT((J$111:J$112)*TRANSPOSE(($D117:$E117))),0)</f>
        <v>-337610.68856423401</v>
      </c>
      <c r="K117" s="28" cm="1">
        <f t="array" ref="K117">K$110+IF($C117&lt;&gt;0,SUMPRODUCT((K$111:K$112)*TRANSPOSE(($D117:$E117))),0)</f>
        <v>-704186.88153278013</v>
      </c>
      <c r="L117" s="28" cm="1">
        <f t="array" ref="L117">L$110+IF($C117&lt;&gt;0,SUMPRODUCT((L$111:L$112)*TRANSPOSE(($D117:$E117))),0)</f>
        <v>-679829.76412620756</v>
      </c>
      <c r="M117" s="28" cm="1">
        <f t="array" ref="M117">M$110+IF($C117&lt;&gt;0,SUMPRODUCT((M$111:M$112)*TRANSPOSE(($D117:$E117))),0)</f>
        <v>-643775.23690671043</v>
      </c>
      <c r="N117" s="28" cm="1">
        <f t="array" ref="N117">N$110+IF($C117&lt;&gt;0,SUMPRODUCT((N$111:N$112)*TRANSPOSE(($D117:$E117))),0)</f>
        <v>-593942.31117086951</v>
      </c>
      <c r="O117" s="28" cm="1">
        <f t="array" ref="O117">O$110+IF($C117&lt;&gt;0,SUMPRODUCT((O$111:O$112)*TRANSPOSE(($D117:$E117))),0)</f>
        <v>-508997.72057940462</v>
      </c>
      <c r="P117" s="28" cm="1">
        <f t="array" ref="P117">P$110+IF($C117&lt;&gt;0,SUMPRODUCT((P$111:P$112)*TRANSPOSE(($D117:$E117))),0)</f>
        <v>-383587.58331273316</v>
      </c>
      <c r="Q117" s="28" cm="1">
        <f t="array" ref="Q117">Q$110+IF($C117&lt;&gt;0,SUMPRODUCT((Q$111:Q$112)*TRANSPOSE(($D117:$E117))),0)</f>
        <v>-250377.70463737368</v>
      </c>
      <c r="R117" s="28" cm="1">
        <f t="array" ref="R117">R$110+IF($C117&lt;&gt;0,SUMPRODUCT((R$111:R$112)*TRANSPOSE(($D117:$E117))),0)</f>
        <v>-123255.88993598938</v>
      </c>
      <c r="S117" s="28" cm="1">
        <f t="array" ref="S117">S$110+IF($C117&lt;&gt;0,SUMPRODUCT((S$111:S$112)*TRANSPOSE(($D117:$E117))),0)</f>
        <v>-189093.15450197627</v>
      </c>
      <c r="T117" s="28" cm="1">
        <f t="array" ref="T117">T$110+IF($C117&lt;&gt;0,SUMPRODUCT((T$111:T$112)*TRANSPOSE(($D117:$E117))),0)</f>
        <v>-189093.15450197627</v>
      </c>
      <c r="U117" s="28" cm="1">
        <f t="array" ref="U117">U$110+IF($C117&lt;&gt;0,SUMPRODUCT((U$111:U$112)*TRANSPOSE(($D117:$E117))),0)</f>
        <v>-189093.15450197627</v>
      </c>
      <c r="V117" s="28" cm="1">
        <f t="array" ref="V117">V$110+IF($C117&lt;&gt;0,SUMPRODUCT((V$111:V$112)*TRANSPOSE(($D117:$E117))),0)</f>
        <v>-189093.15450197627</v>
      </c>
      <c r="W117" s="28" cm="1">
        <f t="array" ref="W117">W$110+IF($C117&lt;&gt;0,SUMPRODUCT((W$111:W$112)*TRANSPOSE(($D117:$E117))),0)</f>
        <v>-189093.15450197627</v>
      </c>
      <c r="X117" s="28" cm="1">
        <f t="array" ref="X117">X$110+IF($C117&lt;&gt;0,SUMPRODUCT((X$111:X$112)*TRANSPOSE(($D117:$E117))),0)</f>
        <v>-189093.15450197627</v>
      </c>
      <c r="Y117" s="28" cm="1">
        <f t="array" ref="Y117">Y$110+IF($C117&lt;&gt;0,SUMPRODUCT((Y$111:Y$112)*TRANSPOSE(($D117:$E117))),0)</f>
        <v>-189093.15450197627</v>
      </c>
      <c r="Z117" s="28" cm="1">
        <f t="array" ref="Z117">Z$110+IF($C117&lt;&gt;0,SUMPRODUCT((Z$111:Z$112)*TRANSPOSE(($D117:$E117))),0)</f>
        <v>-189093.15450197627</v>
      </c>
      <c r="AA117" s="28" cm="1">
        <f t="array" ref="AA117">AA$110+IF($C117&lt;&gt;0,SUMPRODUCT((AA$111:AA$112)*TRANSPOSE(($D117:$E117))),0)</f>
        <v>-189093.15450197627</v>
      </c>
      <c r="AB117" s="28" cm="1">
        <f t="array" ref="AB117">AB$110+IF($C117&lt;&gt;0,SUMPRODUCT((AB$111:AB$112)*TRANSPOSE(($D117:$E117))),0)</f>
        <v>-189093.15450197627</v>
      </c>
      <c r="AC117" s="28" cm="1">
        <f t="array" ref="AC117">AC$110+IF($C117&lt;&gt;0,SUMPRODUCT((AC$111:AC$112)*TRANSPOSE(($D117:$E117))),0)</f>
        <v>-189093.15450197627</v>
      </c>
      <c r="AD117" s="28" cm="1">
        <f t="array" ref="AD117">AD$110+IF($C117&lt;&gt;0,SUMPRODUCT((AD$111:AD$112)*TRANSPOSE(($D117:$E117))),0)</f>
        <v>-189093.15450197627</v>
      </c>
      <c r="AE117" s="28" cm="1">
        <f t="array" ref="AE117">AE$110+IF($C117&lt;&gt;0,SUMPRODUCT((AE$111:AE$112)*TRANSPOSE(($D117:$E117))),0)</f>
        <v>-189093.15450197627</v>
      </c>
      <c r="AF117" s="28" cm="1">
        <f t="array" ref="AF117">AF$110+IF($C117&lt;&gt;0,SUMPRODUCT((AF$111:AF$112)*TRANSPOSE(($D117:$E117))),0)</f>
        <v>-189093.15450197627</v>
      </c>
      <c r="AG117" s="28" cm="1">
        <f t="array" ref="AG117">AG$110+IF($C117&lt;&gt;0,SUMPRODUCT((AG$111:AG$112)*TRANSPOSE(($D117:$E117))),0)</f>
        <v>-189093.15450197627</v>
      </c>
    </row>
    <row r="118" spans="1:33" x14ac:dyDescent="0.2">
      <c r="A118" s="1" t="str">
        <f>"sens"&amp;Assumptions!B115</f>
        <v>sens5</v>
      </c>
      <c r="C118" s="247" t="str">
        <f>Assumptions!C115</f>
        <v>Capex 10% higher &amp; Total benefits 10% lower</v>
      </c>
      <c r="D118" s="248">
        <f>Assumptions!G115</f>
        <v>0.1</v>
      </c>
      <c r="E118" s="248">
        <f>Assumptions!H115</f>
        <v>-0.1</v>
      </c>
      <c r="G118" s="33" t="str">
        <f t="shared" si="23"/>
        <v>Option 2sens5</v>
      </c>
      <c r="I118" s="28" cm="1">
        <f t="array" ref="I118">I$110+IF($C118&lt;&gt;0,SUMPRODUCT((I$111:I$112)*TRANSPOSE(($D118:$E118))),0)</f>
        <v>0</v>
      </c>
      <c r="J118" s="28" cm="1">
        <f t="array" ref="J118">J$110+IF($C118&lt;&gt;0,SUMPRODUCT((J$111:J$112)*TRANSPOSE(($D118:$E118))),0)</f>
        <v>-371371.75742065744</v>
      </c>
      <c r="K118" s="28" cm="1">
        <f t="array" ref="K118">K$110+IF($C118&lt;&gt;0,SUMPRODUCT((K$111:K$112)*TRANSPOSE(($D118:$E118))),0)</f>
        <v>-777468.57082658587</v>
      </c>
      <c r="L118" s="28" cm="1">
        <f t="array" ref="L118">L$110+IF($C118&lt;&gt;0,SUMPRODUCT((L$111:L$112)*TRANSPOSE(($D118:$E118))),0)</f>
        <v>-753111.45342001331</v>
      </c>
      <c r="M118" s="28" cm="1">
        <f t="array" ref="M118">M$110+IF($C118&lt;&gt;0,SUMPRODUCT((M$111:M$112)*TRANSPOSE(($D118:$E118))),0)</f>
        <v>-717056.92620051606</v>
      </c>
      <c r="N118" s="28" cm="1">
        <f t="array" ref="N118">N$110+IF($C118&lt;&gt;0,SUMPRODUCT((N$111:N$112)*TRANSPOSE(($D118:$E118))),0)</f>
        <v>-667224.00046467525</v>
      </c>
      <c r="O118" s="28" cm="1">
        <f t="array" ref="O118">O$110+IF($C118&lt;&gt;0,SUMPRODUCT((O$111:O$112)*TRANSPOSE(($D118:$E118))),0)</f>
        <v>-582279.40987321024</v>
      </c>
      <c r="P118" s="28" cm="1">
        <f t="array" ref="P118">P$110+IF($C118&lt;&gt;0,SUMPRODUCT((P$111:P$112)*TRANSPOSE(($D118:$E118))),0)</f>
        <v>-456869.27260653884</v>
      </c>
      <c r="Q118" s="28" cm="1">
        <f t="array" ref="Q118">Q$110+IF($C118&lt;&gt;0,SUMPRODUCT((Q$111:Q$112)*TRANSPOSE(($D118:$E118))),0)</f>
        <v>-323659.39393117937</v>
      </c>
      <c r="R118" s="28" cm="1">
        <f t="array" ref="R118">R$110+IF($C118&lt;&gt;0,SUMPRODUCT((R$111:R$112)*TRANSPOSE(($D118:$E118))),0)</f>
        <v>-196537.57922979508</v>
      </c>
      <c r="S118" s="28" cm="1">
        <f t="array" ref="S118">S$110+IF($C118&lt;&gt;0,SUMPRODUCT((S$111:S$112)*TRANSPOSE(($D118:$E118))),0)</f>
        <v>-262374.84379578196</v>
      </c>
      <c r="T118" s="28" cm="1">
        <f t="array" ref="T118">T$110+IF($C118&lt;&gt;0,SUMPRODUCT((T$111:T$112)*TRANSPOSE(($D118:$E118))),0)</f>
        <v>-262374.84379578196</v>
      </c>
      <c r="U118" s="28" cm="1">
        <f t="array" ref="U118">U$110+IF($C118&lt;&gt;0,SUMPRODUCT((U$111:U$112)*TRANSPOSE(($D118:$E118))),0)</f>
        <v>-262374.84379578196</v>
      </c>
      <c r="V118" s="28" cm="1">
        <f t="array" ref="V118">V$110+IF($C118&lt;&gt;0,SUMPRODUCT((V$111:V$112)*TRANSPOSE(($D118:$E118))),0)</f>
        <v>-262374.84379578196</v>
      </c>
      <c r="W118" s="28" cm="1">
        <f t="array" ref="W118">W$110+IF($C118&lt;&gt;0,SUMPRODUCT((W$111:W$112)*TRANSPOSE(($D118:$E118))),0)</f>
        <v>-262374.84379578196</v>
      </c>
      <c r="X118" s="28" cm="1">
        <f t="array" ref="X118">X$110+IF($C118&lt;&gt;0,SUMPRODUCT((X$111:X$112)*TRANSPOSE(($D118:$E118))),0)</f>
        <v>-262374.84379578196</v>
      </c>
      <c r="Y118" s="28" cm="1">
        <f t="array" ref="Y118">Y$110+IF($C118&lt;&gt;0,SUMPRODUCT((Y$111:Y$112)*TRANSPOSE(($D118:$E118))),0)</f>
        <v>-262374.84379578196</v>
      </c>
      <c r="Z118" s="28" cm="1">
        <f t="array" ref="Z118">Z$110+IF($C118&lt;&gt;0,SUMPRODUCT((Z$111:Z$112)*TRANSPOSE(($D118:$E118))),0)</f>
        <v>-262374.84379578196</v>
      </c>
      <c r="AA118" s="28" cm="1">
        <f t="array" ref="AA118">AA$110+IF($C118&lt;&gt;0,SUMPRODUCT((AA$111:AA$112)*TRANSPOSE(($D118:$E118))),0)</f>
        <v>-262374.84379578196</v>
      </c>
      <c r="AB118" s="28" cm="1">
        <f t="array" ref="AB118">AB$110+IF($C118&lt;&gt;0,SUMPRODUCT((AB$111:AB$112)*TRANSPOSE(($D118:$E118))),0)</f>
        <v>-262374.84379578196</v>
      </c>
      <c r="AC118" s="28" cm="1">
        <f t="array" ref="AC118">AC$110+IF($C118&lt;&gt;0,SUMPRODUCT((AC$111:AC$112)*TRANSPOSE(($D118:$E118))),0)</f>
        <v>-262374.84379578196</v>
      </c>
      <c r="AD118" s="28" cm="1">
        <f t="array" ref="AD118">AD$110+IF($C118&lt;&gt;0,SUMPRODUCT((AD$111:AD$112)*TRANSPOSE(($D118:$E118))),0)</f>
        <v>-262374.84379578196</v>
      </c>
      <c r="AE118" s="28" cm="1">
        <f t="array" ref="AE118">AE$110+IF($C118&lt;&gt;0,SUMPRODUCT((AE$111:AE$112)*TRANSPOSE(($D118:$E118))),0)</f>
        <v>-262374.84379578196</v>
      </c>
      <c r="AF118" s="28" cm="1">
        <f t="array" ref="AF118">AF$110+IF($C118&lt;&gt;0,SUMPRODUCT((AF$111:AF$112)*TRANSPOSE(($D118:$E118))),0)</f>
        <v>-262374.84379578196</v>
      </c>
      <c r="AG118" s="28" cm="1">
        <f t="array" ref="AG118">AG$110+IF($C118&lt;&gt;0,SUMPRODUCT((AG$111:AG$112)*TRANSPOSE(($D118:$E118))),0)</f>
        <v>-262374.84379578196</v>
      </c>
    </row>
    <row r="119" spans="1:33" x14ac:dyDescent="0.2">
      <c r="A119" s="1" t="str">
        <f>"sens"&amp;Assumptions!B116</f>
        <v>sens</v>
      </c>
      <c r="C119" s="247">
        <f>Assumptions!C116</f>
        <v>0</v>
      </c>
      <c r="D119" s="248">
        <f>Assumptions!G116</f>
        <v>0</v>
      </c>
      <c r="E119" s="248">
        <f>Assumptions!H116</f>
        <v>0</v>
      </c>
      <c r="G119" s="33" t="str">
        <f t="shared" si="23"/>
        <v>Option 2sens</v>
      </c>
      <c r="I119" s="28" cm="1">
        <f t="array" ref="I119">I$110+IF($C119&lt;&gt;0,SUMPRODUCT((I$111:I$112)*TRANSPOSE(($D119:$E119))),0)</f>
        <v>0</v>
      </c>
      <c r="J119" s="28" cm="1">
        <f t="array" ref="J119">J$110+IF($C119&lt;&gt;0,SUMPRODUCT((J$111:J$112)*TRANSPOSE(($D119:$E119))),0)</f>
        <v>-337610.68856423401</v>
      </c>
      <c r="K119" s="28" cm="1">
        <f t="array" ref="K119">K$110+IF($C119&lt;&gt;0,SUMPRODUCT((K$111:K$112)*TRANSPOSE(($D119:$E119))),0)</f>
        <v>-701005.76915441605</v>
      </c>
      <c r="L119" s="28" cm="1">
        <f t="array" ref="L119">L$110+IF($C119&lt;&gt;0,SUMPRODUCT((L$111:L$112)*TRANSPOSE(($D119:$E119))),0)</f>
        <v>-673942.30536933546</v>
      </c>
      <c r="M119" s="28" cm="1">
        <f t="array" ref="M119">M$110+IF($C119&lt;&gt;0,SUMPRODUCT((M$111:M$112)*TRANSPOSE(($D119:$E119))),0)</f>
        <v>-633881.71956989414</v>
      </c>
      <c r="N119" s="28" cm="1">
        <f t="array" ref="N119">N$110+IF($C119&lt;&gt;0,SUMPRODUCT((N$111:N$112)*TRANSPOSE(($D119:$E119))),0)</f>
        <v>-578511.80208562652</v>
      </c>
      <c r="O119" s="28" cm="1">
        <f t="array" ref="O119">O$110+IF($C119&lt;&gt;0,SUMPRODUCT((O$111:O$112)*TRANSPOSE(($D119:$E119))),0)</f>
        <v>-484128.92365066544</v>
      </c>
      <c r="P119" s="28" cm="1">
        <f t="array" ref="P119">P$110+IF($C119&lt;&gt;0,SUMPRODUCT((P$111:P$112)*TRANSPOSE(($D119:$E119))),0)</f>
        <v>-344784.3266876972</v>
      </c>
      <c r="Q119" s="28" cm="1">
        <f t="array" ref="Q119">Q$110+IF($C119&lt;&gt;0,SUMPRODUCT((Q$111:Q$112)*TRANSPOSE(($D119:$E119))),0)</f>
        <v>-196773.35038174223</v>
      </c>
      <c r="R119" s="28" cm="1">
        <f t="array" ref="R119">R$110+IF($C119&lt;&gt;0,SUMPRODUCT((R$111:R$112)*TRANSPOSE(($D119:$E119))),0)</f>
        <v>-55526.889602426323</v>
      </c>
      <c r="S119" s="28" cm="1">
        <f t="array" ref="S119">S$110+IF($C119&lt;&gt;0,SUMPRODUCT((S$111:S$112)*TRANSPOSE(($D119:$E119))),0)</f>
        <v>-128679.40578685619</v>
      </c>
      <c r="T119" s="28" cm="1">
        <f t="array" ref="T119">T$110+IF($C119&lt;&gt;0,SUMPRODUCT((T$111:T$112)*TRANSPOSE(($D119:$E119))),0)</f>
        <v>-128679.40578685619</v>
      </c>
      <c r="U119" s="28" cm="1">
        <f t="array" ref="U119">U$110+IF($C119&lt;&gt;0,SUMPRODUCT((U$111:U$112)*TRANSPOSE(($D119:$E119))),0)</f>
        <v>-128679.40578685619</v>
      </c>
      <c r="V119" s="28" cm="1">
        <f t="array" ref="V119">V$110+IF($C119&lt;&gt;0,SUMPRODUCT((V$111:V$112)*TRANSPOSE(($D119:$E119))),0)</f>
        <v>-128679.40578685619</v>
      </c>
      <c r="W119" s="28" cm="1">
        <f t="array" ref="W119">W$110+IF($C119&lt;&gt;0,SUMPRODUCT((W$111:W$112)*TRANSPOSE(($D119:$E119))),0)</f>
        <v>-128679.40578685619</v>
      </c>
      <c r="X119" s="28" cm="1">
        <f t="array" ref="X119">X$110+IF($C119&lt;&gt;0,SUMPRODUCT((X$111:X$112)*TRANSPOSE(($D119:$E119))),0)</f>
        <v>-128679.40578685619</v>
      </c>
      <c r="Y119" s="28" cm="1">
        <f t="array" ref="Y119">Y$110+IF($C119&lt;&gt;0,SUMPRODUCT((Y$111:Y$112)*TRANSPOSE(($D119:$E119))),0)</f>
        <v>-128679.40578685619</v>
      </c>
      <c r="Z119" s="28" cm="1">
        <f t="array" ref="Z119">Z$110+IF($C119&lt;&gt;0,SUMPRODUCT((Z$111:Z$112)*TRANSPOSE(($D119:$E119))),0)</f>
        <v>-128679.40578685619</v>
      </c>
      <c r="AA119" s="28" cm="1">
        <f t="array" ref="AA119">AA$110+IF($C119&lt;&gt;0,SUMPRODUCT((AA$111:AA$112)*TRANSPOSE(($D119:$E119))),0)</f>
        <v>-128679.40578685619</v>
      </c>
      <c r="AB119" s="28" cm="1">
        <f t="array" ref="AB119">AB$110+IF($C119&lt;&gt;0,SUMPRODUCT((AB$111:AB$112)*TRANSPOSE(($D119:$E119))),0)</f>
        <v>-128679.40578685619</v>
      </c>
      <c r="AC119" s="28" cm="1">
        <f t="array" ref="AC119">AC$110+IF($C119&lt;&gt;0,SUMPRODUCT((AC$111:AC$112)*TRANSPOSE(($D119:$E119))),0)</f>
        <v>-128679.40578685619</v>
      </c>
      <c r="AD119" s="28" cm="1">
        <f t="array" ref="AD119">AD$110+IF($C119&lt;&gt;0,SUMPRODUCT((AD$111:AD$112)*TRANSPOSE(($D119:$E119))),0)</f>
        <v>-128679.40578685619</v>
      </c>
      <c r="AE119" s="28" cm="1">
        <f t="array" ref="AE119">AE$110+IF($C119&lt;&gt;0,SUMPRODUCT((AE$111:AE$112)*TRANSPOSE(($D119:$E119))),0)</f>
        <v>-128679.40578685619</v>
      </c>
      <c r="AF119" s="28" cm="1">
        <f t="array" ref="AF119">AF$110+IF($C119&lt;&gt;0,SUMPRODUCT((AF$111:AF$112)*TRANSPOSE(($D119:$E119))),0)</f>
        <v>-128679.40578685619</v>
      </c>
      <c r="AG119" s="28" cm="1">
        <f t="array" ref="AG119">AG$110+IF($C119&lt;&gt;0,SUMPRODUCT((AG$111:AG$112)*TRANSPOSE(($D119:$E119))),0)</f>
        <v>-128679.40578685619</v>
      </c>
    </row>
    <row r="120" spans="1:33" x14ac:dyDescent="0.2">
      <c r="A120" s="1" t="str">
        <f>"sens"&amp;Assumptions!B117</f>
        <v>sens</v>
      </c>
      <c r="C120" s="247">
        <f>Assumptions!C117</f>
        <v>0</v>
      </c>
      <c r="D120" s="248">
        <f>Assumptions!G117</f>
        <v>0</v>
      </c>
      <c r="E120" s="248">
        <f>Assumptions!H117</f>
        <v>0</v>
      </c>
      <c r="G120" s="33" t="str">
        <f t="shared" si="23"/>
        <v>Option 2sens</v>
      </c>
      <c r="I120" s="28" cm="1">
        <f t="array" ref="I120">I$110+IF($C120&lt;&gt;0,SUMPRODUCT((I$111:I$112)*TRANSPOSE(($D120:$E120))),0)</f>
        <v>0</v>
      </c>
      <c r="J120" s="28" cm="1">
        <f t="array" ref="J120">J$110+IF($C120&lt;&gt;0,SUMPRODUCT((J$111:J$112)*TRANSPOSE(($D120:$E120))),0)</f>
        <v>-337610.68856423401</v>
      </c>
      <c r="K120" s="28" cm="1">
        <f t="array" ref="K120">K$110+IF($C120&lt;&gt;0,SUMPRODUCT((K$111:K$112)*TRANSPOSE(($D120:$E120))),0)</f>
        <v>-701005.76915441605</v>
      </c>
      <c r="L120" s="28" cm="1">
        <f t="array" ref="L120">L$110+IF($C120&lt;&gt;0,SUMPRODUCT((L$111:L$112)*TRANSPOSE(($D120:$E120))),0)</f>
        <v>-673942.30536933546</v>
      </c>
      <c r="M120" s="28" cm="1">
        <f t="array" ref="M120">M$110+IF($C120&lt;&gt;0,SUMPRODUCT((M$111:M$112)*TRANSPOSE(($D120:$E120))),0)</f>
        <v>-633881.71956989414</v>
      </c>
      <c r="N120" s="28" cm="1">
        <f t="array" ref="N120">N$110+IF($C120&lt;&gt;0,SUMPRODUCT((N$111:N$112)*TRANSPOSE(($D120:$E120))),0)</f>
        <v>-578511.80208562652</v>
      </c>
      <c r="O120" s="28" cm="1">
        <f t="array" ref="O120">O$110+IF($C120&lt;&gt;0,SUMPRODUCT((O$111:O$112)*TRANSPOSE(($D120:$E120))),0)</f>
        <v>-484128.92365066544</v>
      </c>
      <c r="P120" s="28" cm="1">
        <f t="array" ref="P120">P$110+IF($C120&lt;&gt;0,SUMPRODUCT((P$111:P$112)*TRANSPOSE(($D120:$E120))),0)</f>
        <v>-344784.3266876972</v>
      </c>
      <c r="Q120" s="28" cm="1">
        <f t="array" ref="Q120">Q$110+IF($C120&lt;&gt;0,SUMPRODUCT((Q$111:Q$112)*TRANSPOSE(($D120:$E120))),0)</f>
        <v>-196773.35038174223</v>
      </c>
      <c r="R120" s="28" cm="1">
        <f t="array" ref="R120">R$110+IF($C120&lt;&gt;0,SUMPRODUCT((R$111:R$112)*TRANSPOSE(($D120:$E120))),0)</f>
        <v>-55526.889602426323</v>
      </c>
      <c r="S120" s="28" cm="1">
        <f t="array" ref="S120">S$110+IF($C120&lt;&gt;0,SUMPRODUCT((S$111:S$112)*TRANSPOSE(($D120:$E120))),0)</f>
        <v>-128679.40578685619</v>
      </c>
      <c r="T120" s="28" cm="1">
        <f t="array" ref="T120">T$110+IF($C120&lt;&gt;0,SUMPRODUCT((T$111:T$112)*TRANSPOSE(($D120:$E120))),0)</f>
        <v>-128679.40578685619</v>
      </c>
      <c r="U120" s="28" cm="1">
        <f t="array" ref="U120">U$110+IF($C120&lt;&gt;0,SUMPRODUCT((U$111:U$112)*TRANSPOSE(($D120:$E120))),0)</f>
        <v>-128679.40578685619</v>
      </c>
      <c r="V120" s="28" cm="1">
        <f t="array" ref="V120">V$110+IF($C120&lt;&gt;0,SUMPRODUCT((V$111:V$112)*TRANSPOSE(($D120:$E120))),0)</f>
        <v>-128679.40578685619</v>
      </c>
      <c r="W120" s="28" cm="1">
        <f t="array" ref="W120">W$110+IF($C120&lt;&gt;0,SUMPRODUCT((W$111:W$112)*TRANSPOSE(($D120:$E120))),0)</f>
        <v>-128679.40578685619</v>
      </c>
      <c r="X120" s="28" cm="1">
        <f t="array" ref="X120">X$110+IF($C120&lt;&gt;0,SUMPRODUCT((X$111:X$112)*TRANSPOSE(($D120:$E120))),0)</f>
        <v>-128679.40578685619</v>
      </c>
      <c r="Y120" s="28" cm="1">
        <f t="array" ref="Y120">Y$110+IF($C120&lt;&gt;0,SUMPRODUCT((Y$111:Y$112)*TRANSPOSE(($D120:$E120))),0)</f>
        <v>-128679.40578685619</v>
      </c>
      <c r="Z120" s="28" cm="1">
        <f t="array" ref="Z120">Z$110+IF($C120&lt;&gt;0,SUMPRODUCT((Z$111:Z$112)*TRANSPOSE(($D120:$E120))),0)</f>
        <v>-128679.40578685619</v>
      </c>
      <c r="AA120" s="28" cm="1">
        <f t="array" ref="AA120">AA$110+IF($C120&lt;&gt;0,SUMPRODUCT((AA$111:AA$112)*TRANSPOSE(($D120:$E120))),0)</f>
        <v>-128679.40578685619</v>
      </c>
      <c r="AB120" s="28" cm="1">
        <f t="array" ref="AB120">AB$110+IF($C120&lt;&gt;0,SUMPRODUCT((AB$111:AB$112)*TRANSPOSE(($D120:$E120))),0)</f>
        <v>-128679.40578685619</v>
      </c>
      <c r="AC120" s="28" cm="1">
        <f t="array" ref="AC120">AC$110+IF($C120&lt;&gt;0,SUMPRODUCT((AC$111:AC$112)*TRANSPOSE(($D120:$E120))),0)</f>
        <v>-128679.40578685619</v>
      </c>
      <c r="AD120" s="28" cm="1">
        <f t="array" ref="AD120">AD$110+IF($C120&lt;&gt;0,SUMPRODUCT((AD$111:AD$112)*TRANSPOSE(($D120:$E120))),0)</f>
        <v>-128679.40578685619</v>
      </c>
      <c r="AE120" s="28" cm="1">
        <f t="array" ref="AE120">AE$110+IF($C120&lt;&gt;0,SUMPRODUCT((AE$111:AE$112)*TRANSPOSE(($D120:$E120))),0)</f>
        <v>-128679.40578685619</v>
      </c>
      <c r="AF120" s="28" cm="1">
        <f t="array" ref="AF120">AF$110+IF($C120&lt;&gt;0,SUMPRODUCT((AF$111:AF$112)*TRANSPOSE(($D120:$E120))),0)</f>
        <v>-128679.40578685619</v>
      </c>
      <c r="AG120" s="28" cm="1">
        <f t="array" ref="AG120">AG$110+IF($C120&lt;&gt;0,SUMPRODUCT((AG$111:AG$112)*TRANSPOSE(($D120:$E120))),0)</f>
        <v>-128679.40578685619</v>
      </c>
    </row>
    <row r="121" spans="1:33" x14ac:dyDescent="0.2">
      <c r="A121" s="1" t="str">
        <f>"sens"&amp;Assumptions!B118</f>
        <v>sens</v>
      </c>
      <c r="C121" s="247">
        <f>Assumptions!C118</f>
        <v>0</v>
      </c>
      <c r="D121" s="248">
        <f>Assumptions!G118</f>
        <v>0</v>
      </c>
      <c r="E121" s="248">
        <f>Assumptions!H118</f>
        <v>0</v>
      </c>
      <c r="G121" s="33" t="str">
        <f t="shared" si="23"/>
        <v>Option 2sens</v>
      </c>
      <c r="I121" s="28" cm="1">
        <f t="array" ref="I121">I$110+IF($C121&lt;&gt;0,SUMPRODUCT((I$111:I$112)*TRANSPOSE(($D121:$E121))),0)</f>
        <v>0</v>
      </c>
      <c r="J121" s="28" cm="1">
        <f t="array" ref="J121">J$110+IF($C121&lt;&gt;0,SUMPRODUCT((J$111:J$112)*TRANSPOSE(($D121:$E121))),0)</f>
        <v>-337610.68856423401</v>
      </c>
      <c r="K121" s="28" cm="1">
        <f t="array" ref="K121">K$110+IF($C121&lt;&gt;0,SUMPRODUCT((K$111:K$112)*TRANSPOSE(($D121:$E121))),0)</f>
        <v>-701005.76915441605</v>
      </c>
      <c r="L121" s="28" cm="1">
        <f t="array" ref="L121">L$110+IF($C121&lt;&gt;0,SUMPRODUCT((L$111:L$112)*TRANSPOSE(($D121:$E121))),0)</f>
        <v>-673942.30536933546</v>
      </c>
      <c r="M121" s="28" cm="1">
        <f t="array" ref="M121">M$110+IF($C121&lt;&gt;0,SUMPRODUCT((M$111:M$112)*TRANSPOSE(($D121:$E121))),0)</f>
        <v>-633881.71956989414</v>
      </c>
      <c r="N121" s="28" cm="1">
        <f t="array" ref="N121">N$110+IF($C121&lt;&gt;0,SUMPRODUCT((N$111:N$112)*TRANSPOSE(($D121:$E121))),0)</f>
        <v>-578511.80208562652</v>
      </c>
      <c r="O121" s="28" cm="1">
        <f t="array" ref="O121">O$110+IF($C121&lt;&gt;0,SUMPRODUCT((O$111:O$112)*TRANSPOSE(($D121:$E121))),0)</f>
        <v>-484128.92365066544</v>
      </c>
      <c r="P121" s="28" cm="1">
        <f t="array" ref="P121">P$110+IF($C121&lt;&gt;0,SUMPRODUCT((P$111:P$112)*TRANSPOSE(($D121:$E121))),0)</f>
        <v>-344784.3266876972</v>
      </c>
      <c r="Q121" s="28" cm="1">
        <f t="array" ref="Q121">Q$110+IF($C121&lt;&gt;0,SUMPRODUCT((Q$111:Q$112)*TRANSPOSE(($D121:$E121))),0)</f>
        <v>-196773.35038174223</v>
      </c>
      <c r="R121" s="28" cm="1">
        <f t="array" ref="R121">R$110+IF($C121&lt;&gt;0,SUMPRODUCT((R$111:R$112)*TRANSPOSE(($D121:$E121))),0)</f>
        <v>-55526.889602426323</v>
      </c>
      <c r="S121" s="28" cm="1">
        <f t="array" ref="S121">S$110+IF($C121&lt;&gt;0,SUMPRODUCT((S$111:S$112)*TRANSPOSE(($D121:$E121))),0)</f>
        <v>-128679.40578685619</v>
      </c>
      <c r="T121" s="28" cm="1">
        <f t="array" ref="T121">T$110+IF($C121&lt;&gt;0,SUMPRODUCT((T$111:T$112)*TRANSPOSE(($D121:$E121))),0)</f>
        <v>-128679.40578685619</v>
      </c>
      <c r="U121" s="28" cm="1">
        <f t="array" ref="U121">U$110+IF($C121&lt;&gt;0,SUMPRODUCT((U$111:U$112)*TRANSPOSE(($D121:$E121))),0)</f>
        <v>-128679.40578685619</v>
      </c>
      <c r="V121" s="28" cm="1">
        <f t="array" ref="V121">V$110+IF($C121&lt;&gt;0,SUMPRODUCT((V$111:V$112)*TRANSPOSE(($D121:$E121))),0)</f>
        <v>-128679.40578685619</v>
      </c>
      <c r="W121" s="28" cm="1">
        <f t="array" ref="W121">W$110+IF($C121&lt;&gt;0,SUMPRODUCT((W$111:W$112)*TRANSPOSE(($D121:$E121))),0)</f>
        <v>-128679.40578685619</v>
      </c>
      <c r="X121" s="28" cm="1">
        <f t="array" ref="X121">X$110+IF($C121&lt;&gt;0,SUMPRODUCT((X$111:X$112)*TRANSPOSE(($D121:$E121))),0)</f>
        <v>-128679.40578685619</v>
      </c>
      <c r="Y121" s="28" cm="1">
        <f t="array" ref="Y121">Y$110+IF($C121&lt;&gt;0,SUMPRODUCT((Y$111:Y$112)*TRANSPOSE(($D121:$E121))),0)</f>
        <v>-128679.40578685619</v>
      </c>
      <c r="Z121" s="28" cm="1">
        <f t="array" ref="Z121">Z$110+IF($C121&lt;&gt;0,SUMPRODUCT((Z$111:Z$112)*TRANSPOSE(($D121:$E121))),0)</f>
        <v>-128679.40578685619</v>
      </c>
      <c r="AA121" s="28" cm="1">
        <f t="array" ref="AA121">AA$110+IF($C121&lt;&gt;0,SUMPRODUCT((AA$111:AA$112)*TRANSPOSE(($D121:$E121))),0)</f>
        <v>-128679.40578685619</v>
      </c>
      <c r="AB121" s="28" cm="1">
        <f t="array" ref="AB121">AB$110+IF($C121&lt;&gt;0,SUMPRODUCT((AB$111:AB$112)*TRANSPOSE(($D121:$E121))),0)</f>
        <v>-128679.40578685619</v>
      </c>
      <c r="AC121" s="28" cm="1">
        <f t="array" ref="AC121">AC$110+IF($C121&lt;&gt;0,SUMPRODUCT((AC$111:AC$112)*TRANSPOSE(($D121:$E121))),0)</f>
        <v>-128679.40578685619</v>
      </c>
      <c r="AD121" s="28" cm="1">
        <f t="array" ref="AD121">AD$110+IF($C121&lt;&gt;0,SUMPRODUCT((AD$111:AD$112)*TRANSPOSE(($D121:$E121))),0)</f>
        <v>-128679.40578685619</v>
      </c>
      <c r="AE121" s="28" cm="1">
        <f t="array" ref="AE121">AE$110+IF($C121&lt;&gt;0,SUMPRODUCT((AE$111:AE$112)*TRANSPOSE(($D121:$E121))),0)</f>
        <v>-128679.40578685619</v>
      </c>
      <c r="AF121" s="28" cm="1">
        <f t="array" ref="AF121">AF$110+IF($C121&lt;&gt;0,SUMPRODUCT((AF$111:AF$112)*TRANSPOSE(($D121:$E121))),0)</f>
        <v>-128679.40578685619</v>
      </c>
      <c r="AG121" s="28" cm="1">
        <f t="array" ref="AG121">AG$110+IF($C121&lt;&gt;0,SUMPRODUCT((AG$111:AG$112)*TRANSPOSE(($D121:$E121))),0)</f>
        <v>-128679.40578685619</v>
      </c>
    </row>
    <row r="122" spans="1:33" x14ac:dyDescent="0.2">
      <c r="E122" s="209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</row>
    <row r="133" spans="9:12" x14ac:dyDescent="0.2">
      <c r="I133" s="213"/>
      <c r="J133" s="213"/>
      <c r="K133" s="213"/>
      <c r="L133" s="213"/>
    </row>
    <row r="134" spans="9:12" x14ac:dyDescent="0.2">
      <c r="I134" s="213"/>
      <c r="J134" s="213"/>
      <c r="K134" s="213"/>
      <c r="L134" s="213"/>
    </row>
    <row r="135" spans="9:12" x14ac:dyDescent="0.2">
      <c r="I135" s="213"/>
      <c r="J135" s="213"/>
      <c r="K135" s="213"/>
      <c r="L135" s="213"/>
    </row>
    <row r="136" spans="9:12" x14ac:dyDescent="0.2">
      <c r="I136" s="213"/>
      <c r="J136" s="213"/>
      <c r="K136" s="213"/>
      <c r="L136" s="213"/>
    </row>
    <row r="137" spans="9:12" x14ac:dyDescent="0.2">
      <c r="I137" s="213"/>
      <c r="J137" s="213"/>
      <c r="K137" s="213"/>
      <c r="L137" s="213"/>
    </row>
    <row r="138" spans="9:12" x14ac:dyDescent="0.2">
      <c r="I138" s="213"/>
      <c r="J138" s="213"/>
      <c r="K138" s="213"/>
      <c r="L138" s="213"/>
    </row>
    <row r="139" spans="9:12" x14ac:dyDescent="0.2">
      <c r="I139" s="213"/>
      <c r="J139" s="213"/>
      <c r="K139" s="213"/>
      <c r="L139" s="213"/>
    </row>
    <row r="140" spans="9:12" x14ac:dyDescent="0.2">
      <c r="I140" s="213"/>
      <c r="J140" s="213"/>
      <c r="K140" s="213"/>
      <c r="L140" s="213"/>
    </row>
  </sheetData>
  <conditionalFormatting sqref="E14:E16">
    <cfRule type="expression" dxfId="14" priority="2">
      <formula>AND(SUM($I14:$AB14)&lt;&gt;0, E14=0)</formula>
    </cfRule>
  </conditionalFormatting>
  <conditionalFormatting sqref="E27">
    <cfRule type="expression" dxfId="13" priority="1">
      <formula>AND(SUM($I27:$AF27)&lt;&gt;0, E27=0)</formula>
    </cfRule>
  </conditionalFormatting>
  <conditionalFormatting sqref="E32">
    <cfRule type="expression" dxfId="12" priority="237">
      <formula>AND(SUM($I$31:$AG$31)&gt;0, $E$32=0)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21"/>
  <sheetViews>
    <sheetView showGridLines="0" zoomScale="85" zoomScaleNormal="85" workbookViewId="0">
      <pane xSplit="7" ySplit="10" topLeftCell="H11" activePane="bottomRight" state="frozen"/>
      <selection activeCell="I31" sqref="I31"/>
      <selection pane="topRight" activeCell="I31" sqref="I31"/>
      <selection pane="bottomLeft" activeCell="I31" sqref="I31"/>
      <selection pane="bottomRight" activeCell="H11" sqref="H11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12.3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49" t="str">
        <f>proj</f>
        <v>CBD security of supply</v>
      </c>
      <c r="B2" s="4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2" t="s">
        <v>143</v>
      </c>
      <c r="B3" s="5"/>
      <c r="C3" s="297" t="str">
        <f>INDEX(Assumptions!$E$14:$E$18, MATCH(A3,_xlfn.ANCHORARRAY( Assumptions!$C$14),0))</f>
        <v>Construct new feeders from MG to JA and rebuild J</v>
      </c>
    </row>
    <row r="4" spans="1:43" x14ac:dyDescent="0.2">
      <c r="A4" s="1" t="str">
        <f>(INDEX(Data!$D$9:$D$13, MATCH(A3, options,0)))</f>
        <v/>
      </c>
      <c r="B4" s="158"/>
      <c r="C4" s="206"/>
    </row>
    <row r="5" spans="1:43" hidden="1" outlineLevel="1" x14ac:dyDescent="0.2">
      <c r="C5" s="84"/>
      <c r="D5" s="83"/>
      <c r="E5" s="85"/>
      <c r="F5" s="85"/>
      <c r="G5" s="83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</row>
    <row r="6" spans="1:43" hidden="1" outlineLevel="1" x14ac:dyDescent="0.2">
      <c r="A6" s="83" t="str">
        <f>'Option1 (base case)'!A6</f>
        <v>Count</v>
      </c>
      <c r="B6" s="83"/>
      <c r="C6" s="84"/>
      <c r="D6" s="83"/>
      <c r="E6" s="85"/>
      <c r="F6" s="85"/>
      <c r="G6" s="83"/>
      <c r="H6" s="86"/>
      <c r="I6" s="86">
        <f>'Option1 (base case)'!I6</f>
        <v>1</v>
      </c>
      <c r="J6" s="86">
        <f>'Option1 (base case)'!J6</f>
        <v>2</v>
      </c>
      <c r="K6" s="86">
        <f>'Option1 (base case)'!K6</f>
        <v>3</v>
      </c>
      <c r="L6" s="86">
        <f>'Option1 (base case)'!L6</f>
        <v>4</v>
      </c>
      <c r="M6" s="86">
        <f>'Option1 (base case)'!M6</f>
        <v>5</v>
      </c>
      <c r="N6" s="86">
        <f>'Option1 (base case)'!N6</f>
        <v>6</v>
      </c>
      <c r="O6" s="86">
        <f>'Option1 (base case)'!O6</f>
        <v>7</v>
      </c>
      <c r="P6" s="86">
        <f>'Option1 (base case)'!P6</f>
        <v>8</v>
      </c>
      <c r="Q6" s="86">
        <f>'Option1 (base case)'!Q6</f>
        <v>9</v>
      </c>
      <c r="R6" s="86">
        <f>'Option1 (base case)'!R6</f>
        <v>10</v>
      </c>
      <c r="S6" s="86">
        <f>'Option1 (base case)'!S6</f>
        <v>11</v>
      </c>
      <c r="T6" s="86">
        <f>'Option1 (base case)'!T6</f>
        <v>12</v>
      </c>
      <c r="U6" s="86">
        <f>'Option1 (base case)'!U6</f>
        <v>13</v>
      </c>
      <c r="V6" s="86">
        <f>'Option1 (base case)'!V6</f>
        <v>14</v>
      </c>
      <c r="W6" s="86">
        <f>'Option1 (base case)'!W6</f>
        <v>15</v>
      </c>
      <c r="X6" s="86">
        <f>'Option1 (base case)'!X6</f>
        <v>16</v>
      </c>
      <c r="Y6" s="86">
        <f>'Option1 (base case)'!Y6</f>
        <v>17</v>
      </c>
      <c r="Z6" s="86">
        <f>'Option1 (base case)'!Z6</f>
        <v>18</v>
      </c>
      <c r="AA6" s="86">
        <f>'Option1 (base case)'!AA6</f>
        <v>19</v>
      </c>
      <c r="AB6" s="86">
        <f>'Option1 (base case)'!AB6</f>
        <v>20</v>
      </c>
      <c r="AC6" s="86">
        <f>'Option1 (base case)'!AC6</f>
        <v>21</v>
      </c>
      <c r="AD6" s="86">
        <f>'Option1 (base case)'!AD6</f>
        <v>22</v>
      </c>
      <c r="AE6" s="86">
        <f>'Option1 (base case)'!AE6</f>
        <v>23</v>
      </c>
      <c r="AF6" s="86">
        <f>'Option1 (base case)'!AF6</f>
        <v>24</v>
      </c>
      <c r="AG6" s="86">
        <f>'Option1 (base case)'!AG6</f>
        <v>25</v>
      </c>
    </row>
    <row r="7" spans="1:43" hidden="1" outlineLevel="1" x14ac:dyDescent="0.2">
      <c r="A7" s="83" t="str">
        <f>'Option1 (base case)'!A7</f>
        <v>Value of CO2 reductions</v>
      </c>
      <c r="B7" s="83"/>
      <c r="G7" s="133" t="s">
        <v>93</v>
      </c>
      <c r="I7" s="84">
        <f>'Option1 (base case)'!I7</f>
        <v>24.730486797759085</v>
      </c>
      <c r="J7" s="84">
        <f>'Option1 (base case)'!J7</f>
        <v>22.340740091772258</v>
      </c>
      <c r="K7" s="84">
        <f>'Option1 (base case)'!K7</f>
        <v>20.196329122153124</v>
      </c>
      <c r="L7" s="84">
        <f>'Option1 (base case)'!L7</f>
        <v>18.06294207659629</v>
      </c>
      <c r="M7" s="84">
        <f>'Option1 (base case)'!M7</f>
        <v>15.913397615084225</v>
      </c>
      <c r="N7" s="84">
        <f>'Option1 (base case)'!N7</f>
        <v>13.715069432539002</v>
      </c>
      <c r="O7" s="84">
        <f>'Option1 (base case)'!O7</f>
        <v>13.715069432539002</v>
      </c>
      <c r="P7" s="84">
        <f>'Option1 (base case)'!P7</f>
        <v>13.715069432539002</v>
      </c>
      <c r="Q7" s="84">
        <f>'Option1 (base case)'!Q7</f>
        <v>13.715069432539002</v>
      </c>
      <c r="R7" s="84">
        <f>'Option1 (base case)'!R7</f>
        <v>13.715069432539002</v>
      </c>
      <c r="S7" s="84">
        <f>'Option1 (base case)'!S7</f>
        <v>13.715069432539002</v>
      </c>
      <c r="T7" s="84">
        <f>'Option1 (base case)'!T7</f>
        <v>13.715069432539002</v>
      </c>
      <c r="U7" s="84">
        <f>'Option1 (base case)'!U7</f>
        <v>13.715069432539002</v>
      </c>
      <c r="V7" s="84">
        <f>'Option1 (base case)'!V7</f>
        <v>13.715069432539002</v>
      </c>
      <c r="W7" s="84">
        <f>'Option1 (base case)'!W7</f>
        <v>13.715069432539002</v>
      </c>
      <c r="X7" s="84">
        <f>'Option1 (base case)'!X7</f>
        <v>13.715069432539002</v>
      </c>
      <c r="Y7" s="84">
        <f>'Option1 (base case)'!Y7</f>
        <v>13.715069432539002</v>
      </c>
      <c r="Z7" s="84">
        <f>'Option1 (base case)'!Z7</f>
        <v>13.715069432539002</v>
      </c>
      <c r="AA7" s="84">
        <f>'Option1 (base case)'!AA7</f>
        <v>13.715069432539002</v>
      </c>
      <c r="AB7" s="84">
        <f>'Option1 (base case)'!AB7</f>
        <v>13.715069432539002</v>
      </c>
      <c r="AC7" s="84">
        <f>'Option1 (base case)'!AC7</f>
        <v>13.715069432539002</v>
      </c>
      <c r="AD7" s="84">
        <f>'Option1 (base case)'!AD7</f>
        <v>13.715069432539002</v>
      </c>
      <c r="AE7" s="84">
        <f>'Option1 (base case)'!AE7</f>
        <v>13.715069432539002</v>
      </c>
      <c r="AF7" s="84">
        <f>'Option1 (base case)'!AF7</f>
        <v>13.715069432539002</v>
      </c>
      <c r="AG7" s="84">
        <f>'Option1 (base case)'!AG7</f>
        <v>13.715069432539002</v>
      </c>
    </row>
    <row r="8" spans="1:43" ht="12.75" customHeight="1" collapsed="1" x14ac:dyDescent="0.2">
      <c r="C8" s="84"/>
      <c r="D8" s="83"/>
      <c r="E8" s="85"/>
      <c r="F8" s="85"/>
      <c r="G8" s="83"/>
      <c r="H8" s="86"/>
      <c r="I8" s="86">
        <f>_xlfn.NUMBERVALUE(LEFT(I$9,4))+1</f>
        <v>2027</v>
      </c>
      <c r="J8" s="86">
        <f t="shared" ref="J8:AG8" si="0">_xlfn.NUMBERVALUE(LEFT(J$9,4))+1</f>
        <v>2028</v>
      </c>
      <c r="K8" s="86">
        <f t="shared" si="0"/>
        <v>2029</v>
      </c>
      <c r="L8" s="86">
        <f t="shared" si="0"/>
        <v>2030</v>
      </c>
      <c r="M8" s="86">
        <f t="shared" si="0"/>
        <v>2031</v>
      </c>
      <c r="N8" s="86">
        <f t="shared" si="0"/>
        <v>2032</v>
      </c>
      <c r="O8" s="86">
        <f t="shared" si="0"/>
        <v>2033</v>
      </c>
      <c r="P8" s="86">
        <f t="shared" si="0"/>
        <v>2034</v>
      </c>
      <c r="Q8" s="86">
        <f t="shared" si="0"/>
        <v>2035</v>
      </c>
      <c r="R8" s="86">
        <f t="shared" si="0"/>
        <v>2036</v>
      </c>
      <c r="S8" s="86">
        <f t="shared" si="0"/>
        <v>2037</v>
      </c>
      <c r="T8" s="86">
        <f t="shared" si="0"/>
        <v>2038</v>
      </c>
      <c r="U8" s="86">
        <f t="shared" si="0"/>
        <v>2039</v>
      </c>
      <c r="V8" s="86">
        <f t="shared" si="0"/>
        <v>2040</v>
      </c>
      <c r="W8" s="86">
        <f t="shared" si="0"/>
        <v>2041</v>
      </c>
      <c r="X8" s="86">
        <f t="shared" si="0"/>
        <v>2042</v>
      </c>
      <c r="Y8" s="86">
        <f t="shared" si="0"/>
        <v>2043</v>
      </c>
      <c r="Z8" s="86">
        <f t="shared" si="0"/>
        <v>2044</v>
      </c>
      <c r="AA8" s="86">
        <f t="shared" si="0"/>
        <v>2045</v>
      </c>
      <c r="AB8" s="86">
        <f t="shared" si="0"/>
        <v>2046</v>
      </c>
      <c r="AC8" s="86">
        <f t="shared" si="0"/>
        <v>2047</v>
      </c>
      <c r="AD8" s="86">
        <f t="shared" si="0"/>
        <v>2048</v>
      </c>
      <c r="AE8" s="86">
        <f t="shared" si="0"/>
        <v>2049</v>
      </c>
      <c r="AF8" s="86">
        <f t="shared" si="0"/>
        <v>2050</v>
      </c>
      <c r="AG8" s="86">
        <f t="shared" si="0"/>
        <v>2051</v>
      </c>
    </row>
    <row r="9" spans="1:43" ht="15" x14ac:dyDescent="0.2">
      <c r="A9" s="16"/>
      <c r="B9" s="16"/>
      <c r="C9" s="16"/>
      <c r="D9" s="16"/>
      <c r="E9" s="16"/>
      <c r="F9" s="116"/>
      <c r="G9" s="16" t="s">
        <v>94</v>
      </c>
      <c r="H9" s="188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6" t="s">
        <v>95</v>
      </c>
      <c r="B11" s="76"/>
      <c r="C11" s="77"/>
      <c r="D11" s="77"/>
      <c r="E11" s="77"/>
      <c r="F11" s="77"/>
      <c r="G11" s="17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</row>
    <row r="12" spans="1:43" ht="15" x14ac:dyDescent="0.2">
      <c r="A12" s="95"/>
      <c r="B12" s="95"/>
      <c r="C12" s="211"/>
      <c r="D12" s="211"/>
      <c r="E12" s="211"/>
      <c r="F12" s="211"/>
      <c r="G12" s="177"/>
    </row>
    <row r="13" spans="1:43" x14ac:dyDescent="0.2">
      <c r="C13" s="3" t="s">
        <v>88</v>
      </c>
      <c r="D13"/>
      <c r="E13" s="102" t="s">
        <v>96</v>
      </c>
      <c r="G13" s="175"/>
      <c r="H13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0" t="s">
        <v>30</v>
      </c>
      <c r="D14"/>
      <c r="E14" s="122">
        <v>50</v>
      </c>
      <c r="G14" s="176">
        <f>input_dollars</f>
        <v>45291</v>
      </c>
      <c r="H14" s="123"/>
      <c r="I14" s="29">
        <v>7918867.3000000007</v>
      </c>
      <c r="J14" s="29">
        <f>27869805.709891-18600000</f>
        <v>9269805.7098909989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0" t="s">
        <v>32</v>
      </c>
      <c r="D15"/>
      <c r="E15" s="122">
        <v>50</v>
      </c>
      <c r="G15" s="176">
        <f>input_dollars</f>
        <v>45291</v>
      </c>
      <c r="H15" s="2"/>
      <c r="I15" s="29">
        <v>0</v>
      </c>
      <c r="J15" s="29">
        <v>0</v>
      </c>
      <c r="K15" s="29">
        <v>500000</v>
      </c>
      <c r="L15" s="29">
        <v>15000000</v>
      </c>
      <c r="M15" s="29">
        <v>18600000</v>
      </c>
      <c r="N15" s="29">
        <v>18600000</v>
      </c>
      <c r="O15" s="29">
        <f>24800000-15000000-500000</f>
        <v>9300000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0" t="s">
        <v>97</v>
      </c>
      <c r="D16"/>
      <c r="E16" s="122">
        <v>0</v>
      </c>
      <c r="G16" s="176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15</v>
      </c>
      <c r="G17" s="176">
        <f>input_dollars</f>
        <v>45291</v>
      </c>
      <c r="H17" s="91"/>
      <c r="I17" s="90">
        <f t="shared" ref="I17:Q17" si="1">SUM(I14:I16)</f>
        <v>7918867.3000000007</v>
      </c>
      <c r="J17" s="90">
        <f t="shared" si="1"/>
        <v>9269805.7098909989</v>
      </c>
      <c r="K17" s="90">
        <f t="shared" si="1"/>
        <v>500000</v>
      </c>
      <c r="L17" s="90">
        <f t="shared" si="1"/>
        <v>15000000</v>
      </c>
      <c r="M17" s="90">
        <f t="shared" si="1"/>
        <v>18600000</v>
      </c>
      <c r="N17" s="90">
        <f t="shared" si="1"/>
        <v>18600000</v>
      </c>
      <c r="O17" s="90">
        <f t="shared" si="1"/>
        <v>9300000</v>
      </c>
      <c r="P17" s="90">
        <f t="shared" si="1"/>
        <v>0</v>
      </c>
      <c r="Q17" s="90">
        <f t="shared" si="1"/>
        <v>0</v>
      </c>
      <c r="R17" s="90">
        <f t="shared" ref="R17:AB17" si="2">SUM(R14:R16)</f>
        <v>0</v>
      </c>
      <c r="S17" s="90">
        <f t="shared" si="2"/>
        <v>0</v>
      </c>
      <c r="T17" s="90">
        <f t="shared" si="2"/>
        <v>0</v>
      </c>
      <c r="U17" s="90">
        <f t="shared" si="2"/>
        <v>0</v>
      </c>
      <c r="V17" s="90">
        <f t="shared" si="2"/>
        <v>0</v>
      </c>
      <c r="W17" s="90">
        <f t="shared" si="2"/>
        <v>0</v>
      </c>
      <c r="X17" s="90">
        <f t="shared" si="2"/>
        <v>0</v>
      </c>
      <c r="Y17" s="90">
        <f t="shared" si="2"/>
        <v>0</v>
      </c>
      <c r="Z17" s="90">
        <f t="shared" si="2"/>
        <v>0</v>
      </c>
      <c r="AA17" s="90">
        <f t="shared" si="2"/>
        <v>0</v>
      </c>
      <c r="AB17" s="90">
        <f t="shared" si="2"/>
        <v>0</v>
      </c>
      <c r="AC17" s="90">
        <f>SUM(AC14:AC16)</f>
        <v>0</v>
      </c>
      <c r="AD17" s="90">
        <f>SUM(AD14:AD16)</f>
        <v>0</v>
      </c>
      <c r="AE17" s="90">
        <f>SUM(AE14:AE16)</f>
        <v>0</v>
      </c>
      <c r="AF17" s="90">
        <f>SUM(AF14:AF16)</f>
        <v>0</v>
      </c>
      <c r="AG17" s="90">
        <f>SUM(AG14:AG16)</f>
        <v>0</v>
      </c>
      <c r="AH17"/>
    </row>
    <row r="18" spans="1:43" x14ac:dyDescent="0.2">
      <c r="C18"/>
      <c r="D18"/>
      <c r="E18"/>
      <c r="G18" s="175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16</v>
      </c>
      <c r="D19"/>
      <c r="E19"/>
      <c r="F19" s="91"/>
      <c r="G19" s="176">
        <f>input_dollars</f>
        <v>45291</v>
      </c>
      <c r="H19" s="91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x14ac:dyDescent="0.2">
      <c r="G20" s="174"/>
      <c r="AH20"/>
    </row>
    <row r="21" spans="1:43" x14ac:dyDescent="0.2">
      <c r="C21"/>
      <c r="D21"/>
      <c r="E21"/>
      <c r="G21" s="175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6" t="s">
        <v>98</v>
      </c>
      <c r="B22" s="76"/>
      <c r="C22" s="76"/>
      <c r="D22" s="76"/>
      <c r="E22" s="76"/>
      <c r="F22" s="76"/>
      <c r="G22" s="173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5"/>
      <c r="B23" s="95"/>
      <c r="C23" s="95"/>
      <c r="D23" s="95"/>
      <c r="E23" s="95"/>
      <c r="F23" s="95"/>
      <c r="G23" s="177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5"/>
      <c r="B24" s="95"/>
      <c r="C24" s="1" t="s">
        <v>99</v>
      </c>
      <c r="D24" s="95"/>
      <c r="E24" s="95"/>
      <c r="F24" s="95"/>
      <c r="G24" s="177"/>
      <c r="H24" s="95"/>
      <c r="I24" s="141">
        <v>0</v>
      </c>
      <c r="J24" s="141">
        <v>0</v>
      </c>
      <c r="K24" s="141">
        <v>0</v>
      </c>
      <c r="L24" s="141">
        <v>0</v>
      </c>
      <c r="M24" s="141">
        <v>0</v>
      </c>
      <c r="N24" s="141">
        <v>0</v>
      </c>
      <c r="O24" s="141">
        <v>0</v>
      </c>
      <c r="P24" s="141">
        <v>0</v>
      </c>
      <c r="Q24" s="141">
        <v>0</v>
      </c>
      <c r="R24" s="141">
        <v>0</v>
      </c>
      <c r="S24" s="141">
        <v>0</v>
      </c>
      <c r="T24" s="141">
        <v>0</v>
      </c>
      <c r="U24" s="141">
        <v>0</v>
      </c>
      <c r="V24" s="141">
        <v>0</v>
      </c>
      <c r="W24" s="141">
        <v>0</v>
      </c>
      <c r="X24" s="141">
        <v>0</v>
      </c>
      <c r="Y24" s="141">
        <v>0</v>
      </c>
      <c r="Z24" s="141">
        <v>0</v>
      </c>
      <c r="AA24" s="141">
        <v>0</v>
      </c>
      <c r="AB24" s="141">
        <v>0</v>
      </c>
      <c r="AC24" s="141">
        <v>0</v>
      </c>
      <c r="AD24" s="141">
        <v>0</v>
      </c>
      <c r="AE24" s="141">
        <v>0</v>
      </c>
      <c r="AF24" s="141">
        <v>0</v>
      </c>
      <c r="AG24" s="141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5"/>
      <c r="B25" s="95"/>
      <c r="C25" s="1" t="s">
        <v>100</v>
      </c>
      <c r="D25" s="177"/>
      <c r="E25" s="95"/>
      <c r="F25" s="95"/>
      <c r="G25" s="177"/>
      <c r="H25" s="95"/>
      <c r="I25" s="141">
        <v>0</v>
      </c>
      <c r="J25" s="141">
        <v>0</v>
      </c>
      <c r="K25" s="141">
        <v>0</v>
      </c>
      <c r="L25" s="141">
        <v>0</v>
      </c>
      <c r="M25" s="141">
        <v>0</v>
      </c>
      <c r="N25" s="141">
        <v>0</v>
      </c>
      <c r="O25" s="141">
        <v>0</v>
      </c>
      <c r="P25" s="141">
        <v>0</v>
      </c>
      <c r="Q25" s="141">
        <v>0</v>
      </c>
      <c r="R25" s="141">
        <v>0</v>
      </c>
      <c r="S25" s="141">
        <v>0</v>
      </c>
      <c r="T25" s="141">
        <v>0</v>
      </c>
      <c r="U25" s="141">
        <v>0</v>
      </c>
      <c r="V25" s="141">
        <v>0</v>
      </c>
      <c r="W25" s="141">
        <v>0</v>
      </c>
      <c r="X25" s="141">
        <v>0</v>
      </c>
      <c r="Y25" s="141">
        <v>0</v>
      </c>
      <c r="Z25" s="141">
        <v>0</v>
      </c>
      <c r="AA25" s="141">
        <v>0</v>
      </c>
      <c r="AB25" s="141">
        <v>0</v>
      </c>
      <c r="AC25" s="141">
        <v>0</v>
      </c>
      <c r="AD25" s="141">
        <v>0</v>
      </c>
      <c r="AE25" s="141">
        <v>0</v>
      </c>
      <c r="AF25" s="141">
        <v>0</v>
      </c>
      <c r="AG25" s="141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5"/>
      <c r="B26" s="95"/>
      <c r="C26" s="95"/>
      <c r="D26" s="177"/>
      <c r="E26" s="95"/>
      <c r="F26" s="95"/>
      <c r="G26" s="177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/>
      <c r="AI26"/>
      <c r="AJ26"/>
      <c r="AK26"/>
      <c r="AL26"/>
      <c r="AM26"/>
      <c r="AN26"/>
      <c r="AO26"/>
      <c r="AP26"/>
      <c r="AQ26"/>
    </row>
    <row r="27" spans="1:43" ht="12.75" customHeight="1" x14ac:dyDescent="0.2">
      <c r="A27" s="95"/>
      <c r="B27" s="95"/>
      <c r="C27" s="277" t="s">
        <v>250</v>
      </c>
      <c r="D27" s="177"/>
      <c r="E27" s="293">
        <v>2033</v>
      </c>
      <c r="F27" s="95"/>
      <c r="G27" s="177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/>
      <c r="AI27"/>
      <c r="AJ27"/>
      <c r="AK27"/>
      <c r="AL27"/>
      <c r="AM27"/>
      <c r="AN27"/>
      <c r="AO27"/>
      <c r="AP27"/>
      <c r="AQ27"/>
    </row>
    <row r="28" spans="1:43" ht="12.75" customHeight="1" x14ac:dyDescent="0.2">
      <c r="A28" s="95"/>
      <c r="B28" s="95"/>
      <c r="C28" s="284" t="s">
        <v>101</v>
      </c>
      <c r="D28" s="285"/>
      <c r="E28" s="286">
        <v>0.3</v>
      </c>
      <c r="F28" s="284"/>
      <c r="G28" s="287" t="s">
        <v>102</v>
      </c>
      <c r="H28" s="288"/>
      <c r="I28" s="140">
        <v>0.1190198522061041</v>
      </c>
      <c r="J28" s="291">
        <v>1.1632422151797219</v>
      </c>
      <c r="K28" s="291">
        <v>0</v>
      </c>
      <c r="L28" s="291">
        <v>0.2153592324479652</v>
      </c>
      <c r="M28" s="140">
        <v>1.4262514816796156E-3</v>
      </c>
      <c r="N28" s="140">
        <v>2.4699826782069716E-2</v>
      </c>
      <c r="O28" s="140">
        <v>0.22077477805577853</v>
      </c>
      <c r="P28" s="140">
        <v>0</v>
      </c>
      <c r="Q28" s="140">
        <v>0</v>
      </c>
      <c r="R28" s="140">
        <v>0</v>
      </c>
      <c r="S28" s="140">
        <v>0</v>
      </c>
      <c r="T28" s="140">
        <v>0</v>
      </c>
      <c r="U28" s="140">
        <v>0</v>
      </c>
      <c r="V28" s="140">
        <v>0</v>
      </c>
      <c r="W28" s="140">
        <v>0</v>
      </c>
      <c r="X28" s="140">
        <v>0</v>
      </c>
      <c r="Y28" s="140">
        <v>0</v>
      </c>
      <c r="Z28" s="140">
        <v>0</v>
      </c>
      <c r="AA28" s="140">
        <v>0</v>
      </c>
      <c r="AB28" s="140">
        <v>0</v>
      </c>
      <c r="AC28" s="140">
        <v>0</v>
      </c>
      <c r="AD28" s="140">
        <v>0</v>
      </c>
      <c r="AE28" s="140">
        <v>0</v>
      </c>
      <c r="AF28" s="140">
        <v>0</v>
      </c>
      <c r="AG28" s="140">
        <v>0</v>
      </c>
      <c r="AH28"/>
      <c r="AI28"/>
      <c r="AJ28"/>
      <c r="AK28"/>
      <c r="AL28"/>
      <c r="AM28"/>
      <c r="AN28"/>
      <c r="AO28"/>
      <c r="AP28"/>
      <c r="AQ28"/>
    </row>
    <row r="29" spans="1:43" ht="12.75" customHeight="1" x14ac:dyDescent="0.2">
      <c r="A29" s="95"/>
      <c r="B29" s="95"/>
      <c r="C29" s="284" t="s">
        <v>103</v>
      </c>
      <c r="D29" s="285"/>
      <c r="E29" s="286">
        <v>0.7</v>
      </c>
      <c r="F29" s="284"/>
      <c r="G29" s="287" t="s">
        <v>102</v>
      </c>
      <c r="H29" s="284"/>
      <c r="I29" s="140">
        <v>0</v>
      </c>
      <c r="J29" s="291">
        <v>6.5696234462542052E-2</v>
      </c>
      <c r="K29" s="291">
        <v>0</v>
      </c>
      <c r="L29" s="291">
        <v>0</v>
      </c>
      <c r="M29" s="140">
        <v>0</v>
      </c>
      <c r="N29" s="140">
        <v>0</v>
      </c>
      <c r="O29" s="140">
        <v>0</v>
      </c>
      <c r="P29" s="140">
        <v>0</v>
      </c>
      <c r="Q29" s="140">
        <v>0</v>
      </c>
      <c r="R29" s="140">
        <v>0</v>
      </c>
      <c r="S29" s="140">
        <v>0</v>
      </c>
      <c r="T29" s="140">
        <v>0</v>
      </c>
      <c r="U29" s="140">
        <v>0</v>
      </c>
      <c r="V29" s="140">
        <v>0</v>
      </c>
      <c r="W29" s="140">
        <v>0</v>
      </c>
      <c r="X29" s="140">
        <v>0</v>
      </c>
      <c r="Y29" s="140">
        <v>0</v>
      </c>
      <c r="Z29" s="140">
        <v>0</v>
      </c>
      <c r="AA29" s="140">
        <v>0</v>
      </c>
      <c r="AB29" s="140">
        <v>0</v>
      </c>
      <c r="AC29" s="140">
        <v>0</v>
      </c>
      <c r="AD29" s="140">
        <v>0</v>
      </c>
      <c r="AE29" s="140">
        <v>0</v>
      </c>
      <c r="AF29" s="140">
        <v>0</v>
      </c>
      <c r="AG29" s="140">
        <v>0</v>
      </c>
      <c r="AH29"/>
      <c r="AI29"/>
      <c r="AJ29"/>
      <c r="AK29"/>
      <c r="AL29"/>
      <c r="AM29"/>
      <c r="AN29"/>
      <c r="AO29"/>
      <c r="AP29"/>
      <c r="AQ29"/>
    </row>
    <row r="30" spans="1:43" ht="12.75" customHeight="1" x14ac:dyDescent="0.2">
      <c r="A30" s="95"/>
      <c r="B30" s="95"/>
      <c r="C30" s="95"/>
      <c r="D30" s="177"/>
      <c r="E30" s="95"/>
      <c r="F30" s="95"/>
      <c r="G30" s="177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104</v>
      </c>
      <c r="D31" s="174"/>
      <c r="E31"/>
      <c r="G31" s="176" t="s">
        <v>102</v>
      </c>
      <c r="H31"/>
      <c r="I31" s="140">
        <f t="shared" ref="I31:O31" si="3">SUMPRODUCT(I$28:I$29, $E$28:$E$29)</f>
        <v>3.5705955661831226E-2</v>
      </c>
      <c r="J31" s="291">
        <f t="shared" si="3"/>
        <v>0.39496002867769597</v>
      </c>
      <c r="K31" s="291">
        <f t="shared" si="3"/>
        <v>0</v>
      </c>
      <c r="L31" s="291">
        <f t="shared" si="3"/>
        <v>6.4607769734389559E-2</v>
      </c>
      <c r="M31" s="140">
        <f t="shared" si="3"/>
        <v>4.2787544450388469E-4</v>
      </c>
      <c r="N31" s="140">
        <f t="shared" si="3"/>
        <v>7.4099480346209142E-3</v>
      </c>
      <c r="O31" s="140">
        <f t="shared" si="3"/>
        <v>6.6232433416733558E-2</v>
      </c>
      <c r="P31" s="140">
        <f t="shared" ref="P31:AG31" si="4">SUMPRODUCT(P$28:P$29, $E$28:$E$29)</f>
        <v>0</v>
      </c>
      <c r="Q31" s="140">
        <f t="shared" si="4"/>
        <v>0</v>
      </c>
      <c r="R31" s="140">
        <f t="shared" si="4"/>
        <v>0</v>
      </c>
      <c r="S31" s="140">
        <f t="shared" si="4"/>
        <v>0</v>
      </c>
      <c r="T31" s="140">
        <f t="shared" si="4"/>
        <v>0</v>
      </c>
      <c r="U31" s="140">
        <f t="shared" si="4"/>
        <v>0</v>
      </c>
      <c r="V31" s="140">
        <f t="shared" si="4"/>
        <v>0</v>
      </c>
      <c r="W31" s="140">
        <f t="shared" si="4"/>
        <v>0</v>
      </c>
      <c r="X31" s="140">
        <f t="shared" si="4"/>
        <v>0</v>
      </c>
      <c r="Y31" s="140">
        <f t="shared" si="4"/>
        <v>0</v>
      </c>
      <c r="Z31" s="140">
        <f t="shared" si="4"/>
        <v>0</v>
      </c>
      <c r="AA31" s="140">
        <f t="shared" si="4"/>
        <v>0</v>
      </c>
      <c r="AB31" s="140">
        <f t="shared" si="4"/>
        <v>0</v>
      </c>
      <c r="AC31" s="140">
        <f t="shared" si="4"/>
        <v>0</v>
      </c>
      <c r="AD31" s="140">
        <f t="shared" si="4"/>
        <v>0</v>
      </c>
      <c r="AE31" s="140">
        <f t="shared" si="4"/>
        <v>0</v>
      </c>
      <c r="AF31" s="140">
        <f t="shared" si="4"/>
        <v>0</v>
      </c>
      <c r="AG31" s="140">
        <f t="shared" si="4"/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105</v>
      </c>
      <c r="D32" s="174" t="s">
        <v>93</v>
      </c>
      <c r="E32" s="97">
        <f>Assumptions!H41*vcr_esc</f>
        <v>33720.051164239951</v>
      </c>
      <c r="F32" s="206" t="str">
        <f>IF(AND(SUM(I31:AG31)&lt;&gt;0, E32=0), "!", "")</f>
        <v/>
      </c>
      <c r="G32" s="176">
        <f>input_dollars</f>
        <v>45291</v>
      </c>
      <c r="H32"/>
      <c r="I32" s="28">
        <f>I31*$E$32</f>
        <v>1204.0066517850321</v>
      </c>
      <c r="J32" s="28">
        <f t="shared" ref="J32:AG32" si="5">J31*$E$32</f>
        <v>13318.072374841586</v>
      </c>
      <c r="K32" s="28">
        <f t="shared" si="5"/>
        <v>0</v>
      </c>
      <c r="L32" s="28">
        <f t="shared" si="5"/>
        <v>2178.5773010510493</v>
      </c>
      <c r="M32" s="28">
        <f t="shared" si="5"/>
        <v>14.427981880592903</v>
      </c>
      <c r="N32" s="28">
        <f t="shared" si="5"/>
        <v>249.86382685177648</v>
      </c>
      <c r="O32" s="28">
        <f t="shared" si="5"/>
        <v>2233.3610435443716</v>
      </c>
      <c r="P32" s="28">
        <f t="shared" si="5"/>
        <v>0</v>
      </c>
      <c r="Q32" s="28">
        <f t="shared" si="5"/>
        <v>0</v>
      </c>
      <c r="R32" s="28">
        <f t="shared" si="5"/>
        <v>0</v>
      </c>
      <c r="S32" s="28">
        <f t="shared" si="5"/>
        <v>0</v>
      </c>
      <c r="T32" s="28">
        <f t="shared" si="5"/>
        <v>0</v>
      </c>
      <c r="U32" s="28">
        <f t="shared" si="5"/>
        <v>0</v>
      </c>
      <c r="V32" s="28">
        <f t="shared" si="5"/>
        <v>0</v>
      </c>
      <c r="W32" s="28">
        <f t="shared" si="5"/>
        <v>0</v>
      </c>
      <c r="X32" s="28">
        <f t="shared" si="5"/>
        <v>0</v>
      </c>
      <c r="Y32" s="28">
        <f t="shared" si="5"/>
        <v>0</v>
      </c>
      <c r="Z32" s="28">
        <f t="shared" si="5"/>
        <v>0</v>
      </c>
      <c r="AA32" s="28">
        <f t="shared" si="5"/>
        <v>0</v>
      </c>
      <c r="AB32" s="28">
        <f t="shared" si="5"/>
        <v>0</v>
      </c>
      <c r="AC32" s="28">
        <f t="shared" si="5"/>
        <v>0</v>
      </c>
      <c r="AD32" s="28">
        <f t="shared" si="5"/>
        <v>0</v>
      </c>
      <c r="AE32" s="28">
        <f t="shared" si="5"/>
        <v>0</v>
      </c>
      <c r="AF32" s="28">
        <f t="shared" si="5"/>
        <v>0</v>
      </c>
      <c r="AG32" s="28">
        <f t="shared" si="5"/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D33" s="175"/>
      <c r="E33"/>
      <c r="G33" s="176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1" t="s">
        <v>106</v>
      </c>
      <c r="D34" s="174" t="s">
        <v>107</v>
      </c>
      <c r="G34" s="176">
        <f>input_dollars</f>
        <v>45291</v>
      </c>
      <c r="H34" s="123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C35" s="1" t="s">
        <v>108</v>
      </c>
      <c r="D35" s="175"/>
      <c r="E35"/>
      <c r="G35" s="176">
        <f>input_dollars</f>
        <v>45291</v>
      </c>
      <c r="H35" s="123"/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0</v>
      </c>
      <c r="O35" s="29">
        <v>0</v>
      </c>
      <c r="P35" s="29">
        <v>0</v>
      </c>
      <c r="Q35" s="29">
        <v>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  <c r="AE35" s="29">
        <v>0</v>
      </c>
      <c r="AF35" s="29">
        <v>0</v>
      </c>
      <c r="AG35" s="29">
        <v>0</v>
      </c>
      <c r="AH35"/>
      <c r="AI35"/>
      <c r="AJ35"/>
      <c r="AK35"/>
      <c r="AL35"/>
      <c r="AM35"/>
      <c r="AN35"/>
      <c r="AO35"/>
      <c r="AP35"/>
      <c r="AQ35"/>
    </row>
    <row r="36" spans="1:16372" x14ac:dyDescent="0.2">
      <c r="C36" s="1" t="s">
        <v>109</v>
      </c>
      <c r="D36" s="174" t="s">
        <v>107</v>
      </c>
      <c r="E36"/>
      <c r="G36" s="176">
        <f>input_dollars</f>
        <v>45291</v>
      </c>
      <c r="H36"/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  <c r="AE36" s="29">
        <v>0</v>
      </c>
      <c r="AF36" s="29">
        <v>0</v>
      </c>
      <c r="AG36" s="29">
        <v>0</v>
      </c>
      <c r="AH36"/>
      <c r="AI36"/>
      <c r="AJ36"/>
      <c r="AK36"/>
      <c r="AL36"/>
      <c r="AM36"/>
      <c r="AN36"/>
      <c r="AO36"/>
      <c r="AP36"/>
      <c r="AQ36"/>
    </row>
    <row r="37" spans="1:16372" x14ac:dyDescent="0.2">
      <c r="C37" s="234" t="s">
        <v>110</v>
      </c>
      <c r="D37" s="187"/>
      <c r="E37"/>
      <c r="G37" s="176">
        <f>input_dollars</f>
        <v>45291</v>
      </c>
      <c r="H37"/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  <c r="AE37" s="29">
        <v>0</v>
      </c>
      <c r="AF37" s="29">
        <v>0</v>
      </c>
      <c r="AG37" s="29">
        <v>0</v>
      </c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C38" s="234" t="s">
        <v>110</v>
      </c>
      <c r="D38" s="175"/>
      <c r="E38"/>
      <c r="G38" s="176">
        <f>input_dollars</f>
        <v>45291</v>
      </c>
      <c r="H38"/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29">
        <v>0</v>
      </c>
      <c r="AG38" s="29">
        <v>0</v>
      </c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 s="175"/>
      <c r="E39"/>
      <c r="G39" s="176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</row>
    <row r="40" spans="1:16372" x14ac:dyDescent="0.2">
      <c r="C40" s="3" t="s">
        <v>111</v>
      </c>
      <c r="D40" s="186"/>
      <c r="E40" s="91"/>
      <c r="F40" s="3"/>
      <c r="G40" s="178"/>
      <c r="H40" s="91"/>
      <c r="I40" s="92">
        <f>SUM(I32:I38)</f>
        <v>1204.0066517850321</v>
      </c>
      <c r="J40" s="92">
        <f t="shared" ref="J40:AB40" si="6">SUM(J32:J38)</f>
        <v>13318.072374841586</v>
      </c>
      <c r="K40" s="92">
        <f t="shared" si="6"/>
        <v>0</v>
      </c>
      <c r="L40" s="92">
        <f t="shared" si="6"/>
        <v>2178.5773010510493</v>
      </c>
      <c r="M40" s="92">
        <f t="shared" si="6"/>
        <v>14.427981880592903</v>
      </c>
      <c r="N40" s="92">
        <f t="shared" si="6"/>
        <v>249.86382685177648</v>
      </c>
      <c r="O40" s="92">
        <f t="shared" si="6"/>
        <v>2233.3610435443716</v>
      </c>
      <c r="P40" s="92">
        <f t="shared" si="6"/>
        <v>0</v>
      </c>
      <c r="Q40" s="92">
        <f t="shared" si="6"/>
        <v>0</v>
      </c>
      <c r="R40" s="92">
        <f t="shared" si="6"/>
        <v>0</v>
      </c>
      <c r="S40" s="92">
        <f t="shared" si="6"/>
        <v>0</v>
      </c>
      <c r="T40" s="92">
        <f t="shared" si="6"/>
        <v>0</v>
      </c>
      <c r="U40" s="92">
        <f t="shared" si="6"/>
        <v>0</v>
      </c>
      <c r="V40" s="92">
        <f t="shared" si="6"/>
        <v>0</v>
      </c>
      <c r="W40" s="92">
        <f t="shared" si="6"/>
        <v>0</v>
      </c>
      <c r="X40" s="92">
        <f t="shared" si="6"/>
        <v>0</v>
      </c>
      <c r="Y40" s="92">
        <f t="shared" si="6"/>
        <v>0</v>
      </c>
      <c r="Z40" s="92">
        <f t="shared" si="6"/>
        <v>0</v>
      </c>
      <c r="AA40" s="92">
        <f t="shared" si="6"/>
        <v>0</v>
      </c>
      <c r="AB40" s="92">
        <f t="shared" si="6"/>
        <v>0</v>
      </c>
      <c r="AC40" s="92">
        <f>SUM(AC32:AC38)</f>
        <v>0</v>
      </c>
      <c r="AD40" s="92">
        <f>SUM(AD32:AD38)</f>
        <v>0</v>
      </c>
      <c r="AE40" s="92">
        <f>SUM(AE32:AE38)</f>
        <v>0</v>
      </c>
      <c r="AF40" s="92">
        <f>SUM(AF32:AF38)</f>
        <v>0</v>
      </c>
      <c r="AG40" s="92">
        <f>SUM(AG32:AG38)</f>
        <v>0</v>
      </c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</row>
    <row r="41" spans="1:16372" x14ac:dyDescent="0.2">
      <c r="D41"/>
      <c r="E41"/>
      <c r="G41" s="176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</row>
    <row r="42" spans="1:16372" ht="15" x14ac:dyDescent="0.2">
      <c r="A42" s="76" t="s">
        <v>112</v>
      </c>
      <c r="B42" s="76"/>
      <c r="C42" s="76"/>
      <c r="D42" s="76"/>
      <c r="E42" s="76"/>
      <c r="F42" s="76"/>
      <c r="G42" s="173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/>
      <c r="E43"/>
      <c r="G43" s="176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/>
      <c r="E44"/>
      <c r="G44" s="176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25">
      <c r="C45" s="1" t="s">
        <v>113</v>
      </c>
      <c r="G45" s="174" t="s">
        <v>102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ht="13.5" x14ac:dyDescent="0.25">
      <c r="C46" s="1" t="s">
        <v>114</v>
      </c>
      <c r="G46" s="174" t="s">
        <v>115</v>
      </c>
      <c r="I46" s="74">
        <f t="shared" ref="I46:AG46" si="7">I45*I7</f>
        <v>0</v>
      </c>
      <c r="J46" s="74">
        <f t="shared" si="7"/>
        <v>0</v>
      </c>
      <c r="K46" s="74">
        <f t="shared" si="7"/>
        <v>0</v>
      </c>
      <c r="L46" s="74">
        <f t="shared" si="7"/>
        <v>0</v>
      </c>
      <c r="M46" s="74">
        <f t="shared" si="7"/>
        <v>0</v>
      </c>
      <c r="N46" s="74">
        <f t="shared" si="7"/>
        <v>0</v>
      </c>
      <c r="O46" s="74">
        <f t="shared" si="7"/>
        <v>0</v>
      </c>
      <c r="P46" s="74">
        <f t="shared" si="7"/>
        <v>0</v>
      </c>
      <c r="Q46" s="74">
        <f t="shared" si="7"/>
        <v>0</v>
      </c>
      <c r="R46" s="74">
        <f t="shared" si="7"/>
        <v>0</v>
      </c>
      <c r="S46" s="74">
        <f t="shared" si="7"/>
        <v>0</v>
      </c>
      <c r="T46" s="74">
        <f t="shared" si="7"/>
        <v>0</v>
      </c>
      <c r="U46" s="74">
        <f t="shared" si="7"/>
        <v>0</v>
      </c>
      <c r="V46" s="74">
        <f t="shared" si="7"/>
        <v>0</v>
      </c>
      <c r="W46" s="74">
        <f t="shared" si="7"/>
        <v>0</v>
      </c>
      <c r="X46" s="74">
        <f t="shared" si="7"/>
        <v>0</v>
      </c>
      <c r="Y46" s="74">
        <f t="shared" si="7"/>
        <v>0</v>
      </c>
      <c r="Z46" s="74">
        <f t="shared" si="7"/>
        <v>0</v>
      </c>
      <c r="AA46" s="74">
        <f t="shared" si="7"/>
        <v>0</v>
      </c>
      <c r="AB46" s="74">
        <f t="shared" si="7"/>
        <v>0</v>
      </c>
      <c r="AC46" s="74">
        <f t="shared" si="7"/>
        <v>0</v>
      </c>
      <c r="AD46" s="74">
        <f t="shared" si="7"/>
        <v>0</v>
      </c>
      <c r="AE46" s="74">
        <f t="shared" si="7"/>
        <v>0</v>
      </c>
      <c r="AF46" s="74">
        <f t="shared" si="7"/>
        <v>0</v>
      </c>
      <c r="AG46" s="74">
        <f t="shared" si="7"/>
        <v>0</v>
      </c>
      <c r="AH46"/>
    </row>
    <row r="47" spans="1:16372" x14ac:dyDescent="0.2">
      <c r="D47"/>
      <c r="E47"/>
      <c r="G47" s="176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16372" x14ac:dyDescent="0.2">
      <c r="D48" s="175"/>
      <c r="E48"/>
      <c r="G48" s="176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x14ac:dyDescent="0.2">
      <c r="C49" s="1" t="s">
        <v>116</v>
      </c>
      <c r="D49" s="174" t="s">
        <v>93</v>
      </c>
      <c r="E49" s="97"/>
      <c r="G49" s="176" t="s">
        <v>102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x14ac:dyDescent="0.2">
      <c r="C50" s="1" t="s">
        <v>117</v>
      </c>
      <c r="D50" s="174" t="s">
        <v>93</v>
      </c>
      <c r="E50" s="97"/>
      <c r="G50" s="176" t="s">
        <v>102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x14ac:dyDescent="0.2">
      <c r="C51" s="1" t="s">
        <v>118</v>
      </c>
      <c r="D51" s="174" t="s">
        <v>93</v>
      </c>
      <c r="E51" s="96"/>
      <c r="G51" s="176" t="s">
        <v>102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x14ac:dyDescent="0.2">
      <c r="C52" s="1" t="s">
        <v>119</v>
      </c>
      <c r="D52" s="174" t="s">
        <v>120</v>
      </c>
      <c r="E52" s="96"/>
      <c r="G52" s="176" t="s">
        <v>121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x14ac:dyDescent="0.2">
      <c r="C53" s="1" t="s">
        <v>122</v>
      </c>
      <c r="D53" s="174" t="s">
        <v>123</v>
      </c>
      <c r="E53" s="96"/>
      <c r="G53" s="176" t="s">
        <v>124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  <c r="AH53"/>
    </row>
    <row r="54" spans="1:43" x14ac:dyDescent="0.2">
      <c r="C54" s="1" t="s">
        <v>125</v>
      </c>
      <c r="D54" s="174" t="s">
        <v>123</v>
      </c>
      <c r="E54" s="96"/>
      <c r="G54" s="176" t="s">
        <v>124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x14ac:dyDescent="0.2">
      <c r="C55" s="1" t="s">
        <v>126</v>
      </c>
      <c r="D55" s="174" t="s">
        <v>120</v>
      </c>
      <c r="E55" s="96"/>
      <c r="G55" s="176" t="s">
        <v>121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x14ac:dyDescent="0.2">
      <c r="C56" s="1" t="s">
        <v>127</v>
      </c>
      <c r="D56" s="174" t="s">
        <v>120</v>
      </c>
      <c r="E56" s="96"/>
      <c r="G56" s="176" t="s">
        <v>121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29">
        <v>0</v>
      </c>
      <c r="AG56" s="29">
        <v>0</v>
      </c>
      <c r="AH56"/>
    </row>
    <row r="57" spans="1:43" x14ac:dyDescent="0.2">
      <c r="D57" s="174"/>
      <c r="G57" s="176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/>
    </row>
    <row r="58" spans="1:43" x14ac:dyDescent="0.2">
      <c r="C58" s="1" t="s">
        <v>128</v>
      </c>
      <c r="D58" s="174"/>
      <c r="G58" s="176">
        <f>input_dollars</f>
        <v>45291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29">
        <v>0</v>
      </c>
      <c r="AG58" s="29">
        <v>0</v>
      </c>
      <c r="AH58"/>
    </row>
    <row r="59" spans="1:43" x14ac:dyDescent="0.2">
      <c r="C59" s="1" t="s">
        <v>129</v>
      </c>
      <c r="D59" s="174"/>
      <c r="G59" s="176">
        <f>input_dollars</f>
        <v>45291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29">
        <v>0</v>
      </c>
      <c r="AG59" s="29">
        <v>0</v>
      </c>
      <c r="AH59"/>
    </row>
    <row r="60" spans="1:43" x14ac:dyDescent="0.2">
      <c r="D60" s="174"/>
      <c r="G60" s="174"/>
      <c r="AH60"/>
    </row>
    <row r="61" spans="1:43" x14ac:dyDescent="0.2">
      <c r="C61" s="3" t="s">
        <v>130</v>
      </c>
      <c r="D61" s="186"/>
      <c r="E61" s="91"/>
      <c r="F61" s="3"/>
      <c r="G61" s="179">
        <f>input_dollars</f>
        <v>45291</v>
      </c>
      <c r="H61" s="91"/>
      <c r="I61" s="142" cm="1">
        <f t="array" ref="I61">SUMPRODUCT((I$49:I$56)*($E$49:$E$56))+SUM(I58:I59)+I46</f>
        <v>0</v>
      </c>
      <c r="J61" s="142" cm="1">
        <f t="array" ref="J61">SUMPRODUCT((J$49:J$56)*($E$49:$E$56))+SUM(J58:J59)+J46</f>
        <v>0</v>
      </c>
      <c r="K61" s="142" cm="1">
        <f t="array" ref="K61">SUMPRODUCT((K$49:K$56)*($E$49:$E$56))+SUM(K58:K59)+K46</f>
        <v>0</v>
      </c>
      <c r="L61" s="142" cm="1">
        <f t="array" ref="L61">SUMPRODUCT((L$49:L$56)*($E$49:$E$56))+SUM(L58:L59)+L46</f>
        <v>0</v>
      </c>
      <c r="M61" s="142" cm="1">
        <f t="array" ref="M61">SUMPRODUCT((M$49:M$56)*($E$49:$E$56))+SUM(M58:M59)+M46</f>
        <v>0</v>
      </c>
      <c r="N61" s="142" cm="1">
        <f t="array" ref="N61">SUMPRODUCT((N$49:N$56)*($E$49:$E$56))+SUM(N58:N59)+N46</f>
        <v>0</v>
      </c>
      <c r="O61" s="142" cm="1">
        <f t="array" ref="O61">SUMPRODUCT((O$49:O$56)*($E$49:$E$56))+SUM(O58:O59)+O46</f>
        <v>0</v>
      </c>
      <c r="P61" s="142" cm="1">
        <f t="array" ref="P61">SUMPRODUCT((P$49:P$56)*($E$49:$E$56))+SUM(P58:P59)+P46</f>
        <v>0</v>
      </c>
      <c r="Q61" s="142" cm="1">
        <f t="array" ref="Q61">SUMPRODUCT((Q$49:Q$56)*($E$49:$E$56))+SUM(Q58:Q59)+Q46</f>
        <v>0</v>
      </c>
      <c r="R61" s="142" cm="1">
        <f t="array" ref="R61">SUMPRODUCT((R$49:R$56)*($E$49:$E$56))+SUM(R58:R59)+R46</f>
        <v>0</v>
      </c>
      <c r="S61" s="142" cm="1">
        <f t="array" ref="S61">SUMPRODUCT((S$49:S$56)*($E$49:$E$56))+SUM(S58:S59)+S46</f>
        <v>0</v>
      </c>
      <c r="T61" s="142" cm="1">
        <f t="array" ref="T61">SUMPRODUCT((T$49:T$56)*($E$49:$E$56))+SUM(T58:T59)+T46</f>
        <v>0</v>
      </c>
      <c r="U61" s="142" cm="1">
        <f t="array" ref="U61">SUMPRODUCT((U$49:U$56)*($E$49:$E$56))+SUM(U58:U59)+U46</f>
        <v>0</v>
      </c>
      <c r="V61" s="142" cm="1">
        <f t="array" ref="V61">SUMPRODUCT((V$49:V$56)*($E$49:$E$56))+SUM(V58:V59)+V46</f>
        <v>0</v>
      </c>
      <c r="W61" s="142" cm="1">
        <f t="array" ref="W61">SUMPRODUCT((W$49:W$56)*($E$49:$E$56))+SUM(W58:W59)+W46</f>
        <v>0</v>
      </c>
      <c r="X61" s="142" cm="1">
        <f t="array" ref="X61">SUMPRODUCT((X$49:X$56)*($E$49:$E$56))+SUM(X58:X59)+X46</f>
        <v>0</v>
      </c>
      <c r="Y61" s="142" cm="1">
        <f t="array" ref="Y61">SUMPRODUCT((Y$49:Y$56)*($E$49:$E$56))+SUM(Y58:Y59)+Y46</f>
        <v>0</v>
      </c>
      <c r="Z61" s="142" cm="1">
        <f t="array" ref="Z61">SUMPRODUCT((Z$49:Z$56)*($E$49:$E$56))+SUM(Z58:Z59)+Z46</f>
        <v>0</v>
      </c>
      <c r="AA61" s="142" cm="1">
        <f t="array" ref="AA61">SUMPRODUCT((AA$49:AA$56)*($E$49:$E$56))+SUM(AA58:AA59)+AA46</f>
        <v>0</v>
      </c>
      <c r="AB61" s="142" cm="1">
        <f t="array" ref="AB61">SUMPRODUCT((AB$49:AB$56)*($E$49:$E$56))+SUM(AB58:AB59)+AB46</f>
        <v>0</v>
      </c>
      <c r="AC61" s="142" cm="1">
        <f t="array" ref="AC61">SUMPRODUCT((AC$49:AC$56)*($E$49:$E$56))+SUM(AC58:AC59)+AC46</f>
        <v>0</v>
      </c>
      <c r="AD61" s="142" cm="1">
        <f t="array" ref="AD61">SUMPRODUCT((AD$49:AD$56)*($E$49:$E$56))+SUM(AD58:AD59)+AD46</f>
        <v>0</v>
      </c>
      <c r="AE61" s="142" cm="1">
        <f t="array" ref="AE61">SUMPRODUCT((AE$49:AE$56)*($E$49:$E$56))+SUM(AE58:AE59)+AE46</f>
        <v>0</v>
      </c>
      <c r="AF61" s="142" cm="1">
        <f t="array" ref="AF61">SUMPRODUCT((AF$49:AF$56)*($E$49:$E$56))+SUM(AF58:AF59)+AF46</f>
        <v>0</v>
      </c>
      <c r="AG61" s="142" cm="1">
        <f t="array" ref="AG61">SUMPRODUCT((AG$49:AG$56)*($E$49:$E$56))+SUM(AG58:AG59)+AG46</f>
        <v>0</v>
      </c>
      <c r="AH61"/>
    </row>
    <row r="62" spans="1:43" x14ac:dyDescent="0.2">
      <c r="D62" s="174"/>
      <c r="G62" s="174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/>
    </row>
    <row r="63" spans="1:43" x14ac:dyDescent="0.2">
      <c r="G63" s="174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/>
    </row>
    <row r="64" spans="1:43" ht="15" x14ac:dyDescent="0.2">
      <c r="A64" s="76" t="s">
        <v>3</v>
      </c>
      <c r="B64" s="76"/>
      <c r="C64" s="76"/>
      <c r="D64" s="76"/>
      <c r="E64" s="76"/>
      <c r="F64" s="76"/>
      <c r="G64" s="173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/>
      <c r="AI64"/>
      <c r="AJ64"/>
      <c r="AK64"/>
      <c r="AL64"/>
      <c r="AM64"/>
      <c r="AN64"/>
      <c r="AO64"/>
      <c r="AP64"/>
      <c r="AQ64"/>
    </row>
    <row r="65" spans="1:43" ht="15" x14ac:dyDescent="0.2">
      <c r="A65" s="95"/>
      <c r="B65" s="95"/>
      <c r="C65" s="95"/>
      <c r="D65" s="95"/>
      <c r="E65" s="95"/>
      <c r="F65" s="95"/>
      <c r="G65" s="177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/>
      <c r="AI65"/>
      <c r="AJ65"/>
      <c r="AK65"/>
      <c r="AL65"/>
      <c r="AM65"/>
      <c r="AN65"/>
      <c r="AO65"/>
      <c r="AP65"/>
      <c r="AQ65"/>
    </row>
    <row r="66" spans="1:43" ht="12.75" customHeight="1" x14ac:dyDescent="0.2">
      <c r="A66" s="95"/>
      <c r="B66" s="95"/>
      <c r="C66" s="95"/>
      <c r="D66" s="95"/>
      <c r="E66" s="95"/>
      <c r="F66"/>
      <c r="G66" s="180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3" x14ac:dyDescent="0.2">
      <c r="C67" s="4"/>
      <c r="F67" s="2"/>
      <c r="G67" s="181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  <c r="AC67" s="112"/>
      <c r="AD67" s="112"/>
      <c r="AE67" s="112"/>
      <c r="AF67" s="112"/>
      <c r="AG67" s="112"/>
      <c r="AH67"/>
    </row>
    <row r="68" spans="1:43" x14ac:dyDescent="0.2">
      <c r="C68" s="4" t="str">
        <f>'Option1 (base case)'!C68</f>
        <v>Risks mitigated vs base case</v>
      </c>
      <c r="G68" s="179">
        <f>input_dollars</f>
        <v>45291</v>
      </c>
      <c r="I68" s="108">
        <f>(1-INDEX(Data!$C$9:$C$13, MATCH($A$3, options,0)))*('Option1 (base case)'!I40-I40)</f>
        <v>0</v>
      </c>
      <c r="J68" s="108">
        <f>(1-INDEX(Data!$C$9:$C$13, MATCH($A$3, options,0)))*('Option1 (base case)'!J40-J40)</f>
        <v>0</v>
      </c>
      <c r="K68" s="108">
        <f>(1-INDEX(Data!$C$9:$C$13, MATCH($A$3, options,0)))*('Option1 (base case)'!K40-K40)</f>
        <v>31811.12378364076</v>
      </c>
      <c r="L68" s="108">
        <f>(1-INDEX(Data!$C$9:$C$13, MATCH($A$3, options,0)))*('Option1 (base case)'!L40-L40)</f>
        <v>58874.587568721385</v>
      </c>
      <c r="M68" s="108">
        <f>(1-INDEX(Data!$C$9:$C$13, MATCH($A$3, options,0)))*('Option1 (base case)'!M40-M40)</f>
        <v>98935.173368162679</v>
      </c>
      <c r="N68" s="108">
        <f>(1-INDEX(Data!$C$9:$C$13, MATCH($A$3, options,0)))*('Option1 (base case)'!N40-N40)</f>
        <v>154305.09085243032</v>
      </c>
      <c r="O68" s="108">
        <f>(1-INDEX(Data!$C$9:$C$13, MATCH($A$3, options,0)))*('Option1 (base case)'!O40-O40)</f>
        <v>248687.96928739143</v>
      </c>
      <c r="P68" s="108">
        <f>(1-INDEX(Data!$C$9:$C$13, MATCH($A$3, options,0)))*('Option1 (base case)'!P40-P40)</f>
        <v>400395.7796816199</v>
      </c>
      <c r="Q68" s="108">
        <f>(1-INDEX(Data!$C$9:$C$13, MATCH($A$3, options,0)))*('Option1 (base case)'!Q40-Q40)</f>
        <v>565380.87100020947</v>
      </c>
      <c r="R68" s="108">
        <f>(1-INDEX(Data!$C$9:$C$13, MATCH($A$3, options,0)))*('Option1 (base case)'!R40-R40)</f>
        <v>724843.06666136149</v>
      </c>
      <c r="S68" s="108">
        <f>(1-INDEX(Data!$C$9:$C$13, MATCH($A$3, options,0)))*('Option1 (base case)'!S40-S40)</f>
        <v>641694.14495258324</v>
      </c>
      <c r="T68" s="108">
        <f>(1-INDEX(Data!$C$9:$C$13, MATCH($A$3, options,0)))*('Option1 (base case)'!T40-T40)</f>
        <v>641694.14495258324</v>
      </c>
      <c r="U68" s="108">
        <f>(1-INDEX(Data!$C$9:$C$13, MATCH($A$3, options,0)))*('Option1 (base case)'!U40-U40)</f>
        <v>641694.14495258324</v>
      </c>
      <c r="V68" s="108">
        <f>(1-INDEX(Data!$C$9:$C$13, MATCH($A$3, options,0)))*('Option1 (base case)'!V40-V40)</f>
        <v>641694.14495258324</v>
      </c>
      <c r="W68" s="108">
        <f>(1-INDEX(Data!$C$9:$C$13, MATCH($A$3, options,0)))*('Option1 (base case)'!W40-W40)</f>
        <v>641694.14495258324</v>
      </c>
      <c r="X68" s="108">
        <f>(1-INDEX(Data!$C$9:$C$13, MATCH($A$3, options,0)))*('Option1 (base case)'!X40-X40)</f>
        <v>641694.14495258324</v>
      </c>
      <c r="Y68" s="108">
        <f>(1-INDEX(Data!$C$9:$C$13, MATCH($A$3, options,0)))*('Option1 (base case)'!Y40-Y40)</f>
        <v>641694.14495258324</v>
      </c>
      <c r="Z68" s="108">
        <f>(1-INDEX(Data!$C$9:$C$13, MATCH($A$3, options,0)))*('Option1 (base case)'!Z40-Z40)</f>
        <v>641694.14495258324</v>
      </c>
      <c r="AA68" s="108">
        <f>(1-INDEX(Data!$C$9:$C$13, MATCH($A$3, options,0)))*('Option1 (base case)'!AA40-AA40)</f>
        <v>641694.14495258324</v>
      </c>
      <c r="AB68" s="108">
        <f>(1-INDEX(Data!$C$9:$C$13, MATCH($A$3, options,0)))*('Option1 (base case)'!AB40-AB40)</f>
        <v>641694.14495258324</v>
      </c>
      <c r="AC68" s="108">
        <f>(1-INDEX(Data!$C$9:$C$13, MATCH($A$3, options,0)))*('Option1 (base case)'!AC40-AC40)</f>
        <v>641694.14495258324</v>
      </c>
      <c r="AD68" s="108">
        <f>(1-INDEX(Data!$C$9:$C$13, MATCH($A$3, options,0)))*('Option1 (base case)'!AD40-AD40)</f>
        <v>641694.14495258324</v>
      </c>
      <c r="AE68" s="108">
        <f>(1-INDEX(Data!$C$9:$C$13, MATCH($A$3, options,0)))*('Option1 (base case)'!AE40-AE40)</f>
        <v>641694.14495258324</v>
      </c>
      <c r="AF68" s="108">
        <f>(1-INDEX(Data!$C$9:$C$13, MATCH($A$3, options,0)))*('Option1 (base case)'!AF40-AF40)</f>
        <v>641694.14495258324</v>
      </c>
      <c r="AG68" s="108">
        <f>(1-INDEX(Data!$C$9:$C$13, MATCH($A$3, options,0)))*('Option1 (base case)'!AG40-AG40)</f>
        <v>641694.14495258324</v>
      </c>
      <c r="AH68"/>
    </row>
    <row r="69" spans="1:43" x14ac:dyDescent="0.2">
      <c r="G69" s="181"/>
      <c r="AH69"/>
    </row>
    <row r="70" spans="1:43" x14ac:dyDescent="0.2">
      <c r="A70" s="6"/>
      <c r="B70" s="6"/>
      <c r="C70" s="121" t="s">
        <v>15</v>
      </c>
      <c r="D70" s="33"/>
      <c r="F70" s="82"/>
      <c r="G70" s="182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43" x14ac:dyDescent="0.2">
      <c r="A71" s="6"/>
      <c r="B71" s="6"/>
      <c r="C71" s="4" t="str">
        <f>C14</f>
        <v>Construct new feeders from MG to JA</v>
      </c>
      <c r="D71" s="33"/>
      <c r="F71" s="82"/>
      <c r="G71" s="179">
        <f>input_dollars</f>
        <v>45291</v>
      </c>
      <c r="H71" s="28"/>
      <c r="I71" s="28">
        <f t="shared" ref="I71:AG71" si="8">-I14</f>
        <v>-7918867.3000000007</v>
      </c>
      <c r="J71" s="28">
        <f t="shared" si="8"/>
        <v>-9269805.7098909989</v>
      </c>
      <c r="K71" s="28">
        <f t="shared" si="8"/>
        <v>0</v>
      </c>
      <c r="L71" s="28">
        <f t="shared" si="8"/>
        <v>0</v>
      </c>
      <c r="M71" s="28">
        <f t="shared" si="8"/>
        <v>0</v>
      </c>
      <c r="N71" s="28">
        <f t="shared" si="8"/>
        <v>0</v>
      </c>
      <c r="O71" s="28">
        <f t="shared" si="8"/>
        <v>0</v>
      </c>
      <c r="P71" s="28">
        <f t="shared" si="8"/>
        <v>0</v>
      </c>
      <c r="Q71" s="28">
        <f t="shared" si="8"/>
        <v>0</v>
      </c>
      <c r="R71" s="28">
        <f t="shared" si="8"/>
        <v>0</v>
      </c>
      <c r="S71" s="28">
        <f t="shared" si="8"/>
        <v>0</v>
      </c>
      <c r="T71" s="28">
        <f t="shared" si="8"/>
        <v>0</v>
      </c>
      <c r="U71" s="28">
        <f t="shared" si="8"/>
        <v>0</v>
      </c>
      <c r="V71" s="28">
        <f t="shared" si="8"/>
        <v>0</v>
      </c>
      <c r="W71" s="28">
        <f t="shared" si="8"/>
        <v>0</v>
      </c>
      <c r="X71" s="28">
        <f t="shared" si="8"/>
        <v>0</v>
      </c>
      <c r="Y71" s="28">
        <f t="shared" si="8"/>
        <v>0</v>
      </c>
      <c r="Z71" s="28">
        <f t="shared" si="8"/>
        <v>0</v>
      </c>
      <c r="AA71" s="28">
        <f t="shared" si="8"/>
        <v>0</v>
      </c>
      <c r="AB71" s="28">
        <f t="shared" si="8"/>
        <v>0</v>
      </c>
      <c r="AC71" s="28">
        <f t="shared" si="8"/>
        <v>0</v>
      </c>
      <c r="AD71" s="28">
        <f t="shared" si="8"/>
        <v>0</v>
      </c>
      <c r="AE71" s="28">
        <f t="shared" si="8"/>
        <v>0</v>
      </c>
      <c r="AF71" s="28">
        <f t="shared" si="8"/>
        <v>0</v>
      </c>
      <c r="AG71" s="28">
        <f t="shared" si="8"/>
        <v>0</v>
      </c>
      <c r="AH71"/>
    </row>
    <row r="72" spans="1:43" x14ac:dyDescent="0.2">
      <c r="A72" s="6"/>
      <c r="B72" s="6"/>
      <c r="C72" s="4" t="str">
        <f>C15</f>
        <v>Rebuild J zone substation</v>
      </c>
      <c r="D72" s="33"/>
      <c r="F72" s="82"/>
      <c r="G72" s="179">
        <f>input_dollars</f>
        <v>45291</v>
      </c>
      <c r="H72" s="28"/>
      <c r="I72" s="28">
        <f t="shared" ref="I72:AG72" si="9">-I15</f>
        <v>0</v>
      </c>
      <c r="J72" s="28">
        <f t="shared" si="9"/>
        <v>0</v>
      </c>
      <c r="K72" s="28">
        <f t="shared" si="9"/>
        <v>-500000</v>
      </c>
      <c r="L72" s="28">
        <f t="shared" si="9"/>
        <v>-15000000</v>
      </c>
      <c r="M72" s="28">
        <f t="shared" si="9"/>
        <v>-18600000</v>
      </c>
      <c r="N72" s="28">
        <f t="shared" si="9"/>
        <v>-18600000</v>
      </c>
      <c r="O72" s="28">
        <f t="shared" si="9"/>
        <v>-9300000</v>
      </c>
      <c r="P72" s="28">
        <f t="shared" si="9"/>
        <v>0</v>
      </c>
      <c r="Q72" s="28">
        <f t="shared" si="9"/>
        <v>0</v>
      </c>
      <c r="R72" s="28">
        <f t="shared" si="9"/>
        <v>0</v>
      </c>
      <c r="S72" s="28">
        <f t="shared" si="9"/>
        <v>0</v>
      </c>
      <c r="T72" s="28">
        <f t="shared" si="9"/>
        <v>0</v>
      </c>
      <c r="U72" s="28">
        <f t="shared" si="9"/>
        <v>0</v>
      </c>
      <c r="V72" s="28">
        <f t="shared" si="9"/>
        <v>0</v>
      </c>
      <c r="W72" s="28">
        <f t="shared" si="9"/>
        <v>0</v>
      </c>
      <c r="X72" s="28">
        <f t="shared" si="9"/>
        <v>0</v>
      </c>
      <c r="Y72" s="28">
        <f t="shared" si="9"/>
        <v>0</v>
      </c>
      <c r="Z72" s="28">
        <f t="shared" si="9"/>
        <v>0</v>
      </c>
      <c r="AA72" s="28">
        <f t="shared" si="9"/>
        <v>0</v>
      </c>
      <c r="AB72" s="28">
        <f t="shared" si="9"/>
        <v>0</v>
      </c>
      <c r="AC72" s="28">
        <f t="shared" si="9"/>
        <v>0</v>
      </c>
      <c r="AD72" s="28">
        <f t="shared" si="9"/>
        <v>0</v>
      </c>
      <c r="AE72" s="28">
        <f t="shared" si="9"/>
        <v>0</v>
      </c>
      <c r="AF72" s="28">
        <f t="shared" si="9"/>
        <v>0</v>
      </c>
      <c r="AG72" s="28">
        <f t="shared" si="9"/>
        <v>0</v>
      </c>
      <c r="AH72"/>
    </row>
    <row r="73" spans="1:43" x14ac:dyDescent="0.2">
      <c r="A73" s="6"/>
      <c r="B73" s="6"/>
      <c r="C73" s="4" t="str">
        <f>C16</f>
        <v>&lt; Enter description &gt;</v>
      </c>
      <c r="D73" s="33"/>
      <c r="F73" s="82"/>
      <c r="G73" s="179">
        <f>input_dollars</f>
        <v>45291</v>
      </c>
      <c r="H73" s="28"/>
      <c r="I73" s="28">
        <f t="shared" ref="I73:AG73" si="10">-I16</f>
        <v>0</v>
      </c>
      <c r="J73" s="28">
        <f t="shared" si="10"/>
        <v>0</v>
      </c>
      <c r="K73" s="28">
        <f t="shared" si="10"/>
        <v>0</v>
      </c>
      <c r="L73" s="28">
        <f t="shared" si="10"/>
        <v>0</v>
      </c>
      <c r="M73" s="28">
        <f t="shared" si="10"/>
        <v>0</v>
      </c>
      <c r="N73" s="28">
        <f t="shared" si="10"/>
        <v>0</v>
      </c>
      <c r="O73" s="28">
        <f t="shared" si="10"/>
        <v>0</v>
      </c>
      <c r="P73" s="28">
        <f t="shared" si="10"/>
        <v>0</v>
      </c>
      <c r="Q73" s="28">
        <f t="shared" si="10"/>
        <v>0</v>
      </c>
      <c r="R73" s="28">
        <f t="shared" si="10"/>
        <v>0</v>
      </c>
      <c r="S73" s="28">
        <f t="shared" si="10"/>
        <v>0</v>
      </c>
      <c r="T73" s="28">
        <f t="shared" si="10"/>
        <v>0</v>
      </c>
      <c r="U73" s="28">
        <f t="shared" si="10"/>
        <v>0</v>
      </c>
      <c r="V73" s="28">
        <f t="shared" si="10"/>
        <v>0</v>
      </c>
      <c r="W73" s="28">
        <f t="shared" si="10"/>
        <v>0</v>
      </c>
      <c r="X73" s="28">
        <f t="shared" si="10"/>
        <v>0</v>
      </c>
      <c r="Y73" s="28">
        <f t="shared" si="10"/>
        <v>0</v>
      </c>
      <c r="Z73" s="28">
        <f t="shared" si="10"/>
        <v>0</v>
      </c>
      <c r="AA73" s="28">
        <f t="shared" si="10"/>
        <v>0</v>
      </c>
      <c r="AB73" s="28">
        <f t="shared" si="10"/>
        <v>0</v>
      </c>
      <c r="AC73" s="28">
        <f t="shared" si="10"/>
        <v>0</v>
      </c>
      <c r="AD73" s="28">
        <f t="shared" si="10"/>
        <v>0</v>
      </c>
      <c r="AE73" s="28">
        <f t="shared" si="10"/>
        <v>0</v>
      </c>
      <c r="AF73" s="28">
        <f t="shared" si="10"/>
        <v>0</v>
      </c>
      <c r="AG73" s="28">
        <f t="shared" si="10"/>
        <v>0</v>
      </c>
      <c r="AH73"/>
    </row>
    <row r="74" spans="1:43" x14ac:dyDescent="0.2">
      <c r="A74" s="6"/>
      <c r="B74" s="6"/>
      <c r="C74" s="4"/>
      <c r="D74" s="33"/>
      <c r="F74" s="82"/>
      <c r="G74" s="183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/>
    </row>
    <row r="75" spans="1:43" x14ac:dyDescent="0.2">
      <c r="A75" s="6"/>
      <c r="B75" s="6"/>
      <c r="C75" s="121" t="s">
        <v>132</v>
      </c>
      <c r="D75" s="33"/>
      <c r="F75" s="82"/>
      <c r="G75" s="182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43" x14ac:dyDescent="0.2">
      <c r="A76" s="6"/>
      <c r="B76" s="6"/>
      <c r="C76" s="4" t="str">
        <f>C14</f>
        <v>Construct new feeders from MG to JA</v>
      </c>
      <c r="D76" s="33"/>
      <c r="F76" s="82"/>
      <c r="G76" s="179">
        <f>input_dollars</f>
        <v>45291</v>
      </c>
      <c r="H76" s="28"/>
      <c r="I76" s="28" cm="1">
        <f t="array" ref="I76">SUMPRODUCT(($I71:I71))-SUMPRODUCT(($I71:I71)*($I$6:I$6&lt;=(I$6-$E14)))</f>
        <v>-7918867.3000000007</v>
      </c>
      <c r="J76" s="28" cm="1">
        <f t="array" ref="J76">SUMPRODUCT(($I71:J71))-SUMPRODUCT(($I71:J71)*($I$6:J$6&lt;=(J$6-$E14)))</f>
        <v>-17188673.009891</v>
      </c>
      <c r="K76" s="28" cm="1">
        <f t="array" ref="K76">SUMPRODUCT(($I71:K71))-SUMPRODUCT(($I71:K71)*($I$6:K$6&lt;=(K$6-$E14)))</f>
        <v>-17188673.009891</v>
      </c>
      <c r="L76" s="28" cm="1">
        <f t="array" ref="L76">SUMPRODUCT(($I71:L71))-SUMPRODUCT(($I71:L71)*($I$6:L$6&lt;=(L$6-$E14)))</f>
        <v>-17188673.009891</v>
      </c>
      <c r="M76" s="28" cm="1">
        <f t="array" ref="M76">SUMPRODUCT(($I71:M71))-SUMPRODUCT(($I71:M71)*($I$6:M$6&lt;=(M$6-$E14)))</f>
        <v>-17188673.009891</v>
      </c>
      <c r="N76" s="28" cm="1">
        <f t="array" ref="N76">SUMPRODUCT(($I71:N71))-SUMPRODUCT(($I71:N71)*($I$6:N$6&lt;=(N$6-$E14)))</f>
        <v>-17188673.009891</v>
      </c>
      <c r="O76" s="28" cm="1">
        <f t="array" ref="O76">SUMPRODUCT(($I71:O71))-SUMPRODUCT(($I71:O71)*($I$6:O$6&lt;=(O$6-$E14)))</f>
        <v>-17188673.009891</v>
      </c>
      <c r="P76" s="28" cm="1">
        <f t="array" ref="P76">SUMPRODUCT(($I71:P71))-SUMPRODUCT(($I71:P71)*($I$6:P$6&lt;=(P$6-$E14)))</f>
        <v>-17188673.009891</v>
      </c>
      <c r="Q76" s="28" cm="1">
        <f t="array" ref="Q76">SUMPRODUCT(($I71:Q71))-SUMPRODUCT(($I71:Q71)*($I$6:Q$6&lt;=(Q$6-$E14)))</f>
        <v>-17188673.009891</v>
      </c>
      <c r="R76" s="28" cm="1">
        <f t="array" ref="R76">SUMPRODUCT(($I71:R71))-SUMPRODUCT(($I71:R71)*($I$6:R$6&lt;=(R$6-$E14)))</f>
        <v>-17188673.009891</v>
      </c>
      <c r="S76" s="28" cm="1">
        <f t="array" ref="S76">SUMPRODUCT(($I71:S71))-SUMPRODUCT(($I71:S71)*($I$6:S$6&lt;=(S$6-$E14)))</f>
        <v>-17188673.009891</v>
      </c>
      <c r="T76" s="28" cm="1">
        <f t="array" ref="T76">SUMPRODUCT(($I71:T71))-SUMPRODUCT(($I71:T71)*($I$6:T$6&lt;=(T$6-$E14)))</f>
        <v>-17188673.009891</v>
      </c>
      <c r="U76" s="28" cm="1">
        <f t="array" ref="U76">SUMPRODUCT(($I71:U71))-SUMPRODUCT(($I71:U71)*($I$6:U$6&lt;=(U$6-$E14)))</f>
        <v>-17188673.009891</v>
      </c>
      <c r="V76" s="28" cm="1">
        <f t="array" ref="V76">SUMPRODUCT(($I71:V71))-SUMPRODUCT(($I71:V71)*($I$6:V$6&lt;=(V$6-$E14)))</f>
        <v>-17188673.009891</v>
      </c>
      <c r="W76" s="28" cm="1">
        <f t="array" ref="W76">SUMPRODUCT(($I71:W71))-SUMPRODUCT(($I71:W71)*($I$6:W$6&lt;=(W$6-$E14)))</f>
        <v>-17188673.009891</v>
      </c>
      <c r="X76" s="28" cm="1">
        <f t="array" ref="X76">SUMPRODUCT(($I71:X71))-SUMPRODUCT(($I71:X71)*($I$6:X$6&lt;=(X$6-$E14)))</f>
        <v>-17188673.009891</v>
      </c>
      <c r="Y76" s="28" cm="1">
        <f t="array" ref="Y76">SUMPRODUCT(($I71:Y71))-SUMPRODUCT(($I71:Y71)*($I$6:Y$6&lt;=(Y$6-$E14)))</f>
        <v>-17188673.009891</v>
      </c>
      <c r="Z76" s="28" cm="1">
        <f t="array" ref="Z76">SUMPRODUCT(($I71:Z71))-SUMPRODUCT(($I71:Z71)*($I$6:Z$6&lt;=(Z$6-$E14)))</f>
        <v>-17188673.009891</v>
      </c>
      <c r="AA76" s="28" cm="1">
        <f t="array" ref="AA76">SUMPRODUCT(($I71:AA71))-SUMPRODUCT(($I71:AA71)*($I$6:AA$6&lt;=(AA$6-$E14)))</f>
        <v>-17188673.009891</v>
      </c>
      <c r="AB76" s="28" cm="1">
        <f t="array" ref="AB76">SUMPRODUCT(($I71:AB71))-SUMPRODUCT(($I71:AB71)*($I$6:AB$6&lt;=(AB$6-$E14)))</f>
        <v>-17188673.009891</v>
      </c>
      <c r="AC76" s="28" cm="1">
        <f t="array" ref="AC76">SUMPRODUCT(($I71:AC71))-SUMPRODUCT(($I71:AC71)*($I$6:AC$6&lt;=(AC$6-$E14)))</f>
        <v>-17188673.009891</v>
      </c>
      <c r="AD76" s="28" cm="1">
        <f t="array" ref="AD76">SUMPRODUCT(($I71:AD71))-SUMPRODUCT(($I71:AD71)*($I$6:AD$6&lt;=(AD$6-$E14)))</f>
        <v>-17188673.009891</v>
      </c>
      <c r="AE76" s="28" cm="1">
        <f t="array" ref="AE76">SUMPRODUCT(($I71:AE71))-SUMPRODUCT(($I71:AE71)*($I$6:AE$6&lt;=(AE$6-$E14)))</f>
        <v>-17188673.009891</v>
      </c>
      <c r="AF76" s="28" cm="1">
        <f t="array" ref="AF76">SUMPRODUCT(($I71:AF71))-SUMPRODUCT(($I71:AF71)*($I$6:AF$6&lt;=(AF$6-$E14)))</f>
        <v>-17188673.009891</v>
      </c>
      <c r="AG76" s="28" cm="1">
        <f t="array" ref="AG76">SUMPRODUCT(($I71:AG71))-SUMPRODUCT(($I71:AG71)*($I$6:AG$6&lt;=(AG$6-$E14)))</f>
        <v>-17188673.009891</v>
      </c>
      <c r="AH76"/>
    </row>
    <row r="77" spans="1:43" x14ac:dyDescent="0.2">
      <c r="A77" s="6"/>
      <c r="B77" s="6"/>
      <c r="C77" s="4" t="str">
        <f>C15</f>
        <v>Rebuild J zone substation</v>
      </c>
      <c r="D77" s="33"/>
      <c r="F77" s="82"/>
      <c r="G77" s="179">
        <f>input_dollars</f>
        <v>45291</v>
      </c>
      <c r="H77" s="28"/>
      <c r="I77" s="28" cm="1">
        <f t="array" ref="I77">SUMPRODUCT(($I72:I72))-SUMPRODUCT(($I72:I72)*($I$6:I$6&lt;=(I$6-$E15)))</f>
        <v>0</v>
      </c>
      <c r="J77" s="28" cm="1">
        <f t="array" ref="J77">SUMPRODUCT(($I72:J72))-SUMPRODUCT(($I72:J72)*($I$6:J$6&lt;=(J$6-$E15)))</f>
        <v>0</v>
      </c>
      <c r="K77" s="28" cm="1">
        <f t="array" ref="K77">SUMPRODUCT(($I72:K72))-SUMPRODUCT(($I72:K72)*($I$6:K$6&lt;=(K$6-$E15)))</f>
        <v>-500000</v>
      </c>
      <c r="L77" s="28" cm="1">
        <f t="array" ref="L77">SUMPRODUCT(($I72:L72))-SUMPRODUCT(($I72:L72)*($I$6:L$6&lt;=(L$6-$E15)))</f>
        <v>-15500000</v>
      </c>
      <c r="M77" s="28" cm="1">
        <f t="array" ref="M77">SUMPRODUCT(($I72:M72))-SUMPRODUCT(($I72:M72)*($I$6:M$6&lt;=(M$6-$E15)))</f>
        <v>-34100000</v>
      </c>
      <c r="N77" s="28" cm="1">
        <f t="array" ref="N77">SUMPRODUCT(($I72:N72))-SUMPRODUCT(($I72:N72)*($I$6:N$6&lt;=(N$6-$E15)))</f>
        <v>-52700000</v>
      </c>
      <c r="O77" s="28" cm="1">
        <f t="array" ref="O77">SUMPRODUCT(($I72:O72))-SUMPRODUCT(($I72:O72)*($I$6:O$6&lt;=(O$6-$E15)))</f>
        <v>-62000000</v>
      </c>
      <c r="P77" s="28" cm="1">
        <f t="array" ref="P77">SUMPRODUCT(($I72:P72))-SUMPRODUCT(($I72:P72)*($I$6:P$6&lt;=(P$6-$E15)))</f>
        <v>-62000000</v>
      </c>
      <c r="Q77" s="28" cm="1">
        <f t="array" ref="Q77">SUMPRODUCT(($I72:Q72))-SUMPRODUCT(($I72:Q72)*($I$6:Q$6&lt;=(Q$6-$E15)))</f>
        <v>-62000000</v>
      </c>
      <c r="R77" s="28" cm="1">
        <f t="array" ref="R77">SUMPRODUCT(($I72:R72))-SUMPRODUCT(($I72:R72)*($I$6:R$6&lt;=(R$6-$E15)))</f>
        <v>-62000000</v>
      </c>
      <c r="S77" s="28" cm="1">
        <f t="array" ref="S77">SUMPRODUCT(($I72:S72))-SUMPRODUCT(($I72:S72)*($I$6:S$6&lt;=(S$6-$E15)))</f>
        <v>-62000000</v>
      </c>
      <c r="T77" s="28" cm="1">
        <f t="array" ref="T77">SUMPRODUCT(($I72:T72))-SUMPRODUCT(($I72:T72)*($I$6:T$6&lt;=(T$6-$E15)))</f>
        <v>-62000000</v>
      </c>
      <c r="U77" s="28" cm="1">
        <f t="array" ref="U77">SUMPRODUCT(($I72:U72))-SUMPRODUCT(($I72:U72)*($I$6:U$6&lt;=(U$6-$E15)))</f>
        <v>-62000000</v>
      </c>
      <c r="V77" s="28" cm="1">
        <f t="array" ref="V77">SUMPRODUCT(($I72:V72))-SUMPRODUCT(($I72:V72)*($I$6:V$6&lt;=(V$6-$E15)))</f>
        <v>-62000000</v>
      </c>
      <c r="W77" s="28" cm="1">
        <f t="array" ref="W77">SUMPRODUCT(($I72:W72))-SUMPRODUCT(($I72:W72)*($I$6:W$6&lt;=(W$6-$E15)))</f>
        <v>-62000000</v>
      </c>
      <c r="X77" s="28" cm="1">
        <f t="array" ref="X77">SUMPRODUCT(($I72:X72))-SUMPRODUCT(($I72:X72)*($I$6:X$6&lt;=(X$6-$E15)))</f>
        <v>-62000000</v>
      </c>
      <c r="Y77" s="28" cm="1">
        <f t="array" ref="Y77">SUMPRODUCT(($I72:Y72))-SUMPRODUCT(($I72:Y72)*($I$6:Y$6&lt;=(Y$6-$E15)))</f>
        <v>-62000000</v>
      </c>
      <c r="Z77" s="28" cm="1">
        <f t="array" ref="Z77">SUMPRODUCT(($I72:Z72))-SUMPRODUCT(($I72:Z72)*($I$6:Z$6&lt;=(Z$6-$E15)))</f>
        <v>-62000000</v>
      </c>
      <c r="AA77" s="28" cm="1">
        <f t="array" ref="AA77">SUMPRODUCT(($I72:AA72))-SUMPRODUCT(($I72:AA72)*($I$6:AA$6&lt;=(AA$6-$E15)))</f>
        <v>-62000000</v>
      </c>
      <c r="AB77" s="28" cm="1">
        <f t="array" ref="AB77">SUMPRODUCT(($I72:AB72))-SUMPRODUCT(($I72:AB72)*($I$6:AB$6&lt;=(AB$6-$E15)))</f>
        <v>-62000000</v>
      </c>
      <c r="AC77" s="28" cm="1">
        <f t="array" ref="AC77">SUMPRODUCT(($I72:AC72))-SUMPRODUCT(($I72:AC72)*($I$6:AC$6&lt;=(AC$6-$E15)))</f>
        <v>-62000000</v>
      </c>
      <c r="AD77" s="28" cm="1">
        <f t="array" ref="AD77">SUMPRODUCT(($I72:AD72))-SUMPRODUCT(($I72:AD72)*($I$6:AD$6&lt;=(AD$6-$E15)))</f>
        <v>-62000000</v>
      </c>
      <c r="AE77" s="28" cm="1">
        <f t="array" ref="AE77">SUMPRODUCT(($I72:AE72))-SUMPRODUCT(($I72:AE72)*($I$6:AE$6&lt;=(AE$6-$E15)))</f>
        <v>-62000000</v>
      </c>
      <c r="AF77" s="28" cm="1">
        <f t="array" ref="AF77">SUMPRODUCT(($I72:AF72))-SUMPRODUCT(($I72:AF72)*($I$6:AF$6&lt;=(AF$6-$E15)))</f>
        <v>-62000000</v>
      </c>
      <c r="AG77" s="28" cm="1">
        <f t="array" ref="AG77">SUMPRODUCT(($I72:AG72))-SUMPRODUCT(($I72:AG72)*($I$6:AG$6&lt;=(AG$6-$E15)))</f>
        <v>-62000000</v>
      </c>
      <c r="AH77"/>
    </row>
    <row r="78" spans="1:43" x14ac:dyDescent="0.2">
      <c r="A78" s="6"/>
      <c r="B78" s="6"/>
      <c r="C78" s="4" t="str">
        <f>C16</f>
        <v>&lt; Enter description &gt;</v>
      </c>
      <c r="D78" s="33"/>
      <c r="F78" s="82"/>
      <c r="G78" s="179">
        <f>input_dollars</f>
        <v>45291</v>
      </c>
      <c r="H78" s="28"/>
      <c r="I78" s="28" cm="1">
        <f t="array" ref="I78">SUMPRODUCT(($I73:I73))-SUMPRODUCT(($I73:I73)*($I$6:I$6&lt;=(I$6-$E16)))</f>
        <v>0</v>
      </c>
      <c r="J78" s="28" cm="1">
        <f t="array" ref="J78">SUMPRODUCT(($I73:J73))-SUMPRODUCT(($I73:J73)*($I$6:J$6&lt;=(J$6-$E16)))</f>
        <v>0</v>
      </c>
      <c r="K78" s="28" cm="1">
        <f t="array" ref="K78">SUMPRODUCT(($I73:K73))-SUMPRODUCT(($I73:K73)*($I$6:K$6&lt;=(K$6-$E16)))</f>
        <v>0</v>
      </c>
      <c r="L78" s="28" cm="1">
        <f t="array" ref="L78">SUMPRODUCT(($I73:L73))-SUMPRODUCT(($I73:L73)*($I$6:L$6&lt;=(L$6-$E16)))</f>
        <v>0</v>
      </c>
      <c r="M78" s="28" cm="1">
        <f t="array" ref="M78">SUMPRODUCT(($I73:M73))-SUMPRODUCT(($I73:M73)*($I$6:M$6&lt;=(M$6-$E16)))</f>
        <v>0</v>
      </c>
      <c r="N78" s="28" cm="1">
        <f t="array" ref="N78">SUMPRODUCT(($I73:N73))-SUMPRODUCT(($I73:N73)*($I$6:N$6&lt;=(N$6-$E16)))</f>
        <v>0</v>
      </c>
      <c r="O78" s="28" cm="1">
        <f t="array" ref="O78">SUMPRODUCT(($I73:O73))-SUMPRODUCT(($I73:O73)*($I$6:O$6&lt;=(O$6-$E16)))</f>
        <v>0</v>
      </c>
      <c r="P78" s="28" cm="1">
        <f t="array" ref="P78">SUMPRODUCT(($I73:P73))-SUMPRODUCT(($I73:P73)*($I$6:P$6&lt;=(P$6-$E16)))</f>
        <v>0</v>
      </c>
      <c r="Q78" s="28" cm="1">
        <f t="array" ref="Q78">SUMPRODUCT(($I73:Q73))-SUMPRODUCT(($I73:Q73)*($I$6:Q$6&lt;=(Q$6-$E16)))</f>
        <v>0</v>
      </c>
      <c r="R78" s="28" cm="1">
        <f t="array" ref="R78">SUMPRODUCT(($I73:R73))-SUMPRODUCT(($I73:R73)*($I$6:R$6&lt;=(R$6-$E16)))</f>
        <v>0</v>
      </c>
      <c r="S78" s="28" cm="1">
        <f t="array" ref="S78">SUMPRODUCT(($I73:S73))-SUMPRODUCT(($I73:S73)*($I$6:S$6&lt;=(S$6-$E16)))</f>
        <v>0</v>
      </c>
      <c r="T78" s="28" cm="1">
        <f t="array" ref="T78">SUMPRODUCT(($I73:T73))-SUMPRODUCT(($I73:T73)*($I$6:T$6&lt;=(T$6-$E16)))</f>
        <v>0</v>
      </c>
      <c r="U78" s="28" cm="1">
        <f t="array" ref="U78">SUMPRODUCT(($I73:U73))-SUMPRODUCT(($I73:U73)*($I$6:U$6&lt;=(U$6-$E16)))</f>
        <v>0</v>
      </c>
      <c r="V78" s="28" cm="1">
        <f t="array" ref="V78">SUMPRODUCT(($I73:V73))-SUMPRODUCT(($I73:V73)*($I$6:V$6&lt;=(V$6-$E16)))</f>
        <v>0</v>
      </c>
      <c r="W78" s="28" cm="1">
        <f t="array" ref="W78">SUMPRODUCT(($I73:W73))-SUMPRODUCT(($I73:W73)*($I$6:W$6&lt;=(W$6-$E16)))</f>
        <v>0</v>
      </c>
      <c r="X78" s="28" cm="1">
        <f t="array" ref="X78">SUMPRODUCT(($I73:X73))-SUMPRODUCT(($I73:X73)*($I$6:X$6&lt;=(X$6-$E16)))</f>
        <v>0</v>
      </c>
      <c r="Y78" s="28" cm="1">
        <f t="array" ref="Y78">SUMPRODUCT(($I73:Y73))-SUMPRODUCT(($I73:Y73)*($I$6:Y$6&lt;=(Y$6-$E16)))</f>
        <v>0</v>
      </c>
      <c r="Z78" s="28" cm="1">
        <f t="array" ref="Z78">SUMPRODUCT(($I73:Z73))-SUMPRODUCT(($I73:Z73)*($I$6:Z$6&lt;=(Z$6-$E16)))</f>
        <v>0</v>
      </c>
      <c r="AA78" s="28" cm="1">
        <f t="array" ref="AA78">SUMPRODUCT(($I73:AA73))-SUMPRODUCT(($I73:AA73)*($I$6:AA$6&lt;=(AA$6-$E16)))</f>
        <v>0</v>
      </c>
      <c r="AB78" s="28" cm="1">
        <f t="array" ref="AB78">SUMPRODUCT(($I73:AB73))-SUMPRODUCT(($I73:AB73)*($I$6:AB$6&lt;=(AB$6-$E16)))</f>
        <v>0</v>
      </c>
      <c r="AC78" s="28" cm="1">
        <f t="array" ref="AC78">SUMPRODUCT(($I73:AC73))-SUMPRODUCT(($I73:AC73)*($I$6:AC$6&lt;=(AC$6-$E16)))</f>
        <v>0</v>
      </c>
      <c r="AD78" s="28" cm="1">
        <f t="array" ref="AD78">SUMPRODUCT(($I73:AD73))-SUMPRODUCT(($I73:AD73)*($I$6:AD$6&lt;=(AD$6-$E16)))</f>
        <v>0</v>
      </c>
      <c r="AE78" s="28" cm="1">
        <f t="array" ref="AE78">SUMPRODUCT(($I73:AE73))-SUMPRODUCT(($I73:AE73)*($I$6:AE$6&lt;=(AE$6-$E16)))</f>
        <v>0</v>
      </c>
      <c r="AF78" s="28" cm="1">
        <f t="array" ref="AF78">SUMPRODUCT(($I73:AF73))-SUMPRODUCT(($I73:AF73)*($I$6:AF$6&lt;=(AF$6-$E16)))</f>
        <v>0</v>
      </c>
      <c r="AG78" s="28" cm="1">
        <f t="array" ref="AG78">SUMPRODUCT(($I73:AG73))-SUMPRODUCT(($I73:AG73)*($I$6:AG$6&lt;=(AG$6-$E16)))</f>
        <v>0</v>
      </c>
      <c r="AH78"/>
    </row>
    <row r="79" spans="1:43" x14ac:dyDescent="0.2">
      <c r="A79" s="6"/>
      <c r="B79" s="6"/>
      <c r="C79" s="4"/>
      <c r="D79" s="33"/>
      <c r="F79" s="82"/>
      <c r="G79" s="183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/>
    </row>
    <row r="80" spans="1:43" x14ac:dyDescent="0.2">
      <c r="A80" s="6"/>
      <c r="B80" s="6"/>
      <c r="C80" s="121" t="s">
        <v>133</v>
      </c>
      <c r="D80" s="33"/>
      <c r="G80" s="182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/>
    </row>
    <row r="81" spans="1:34" x14ac:dyDescent="0.2">
      <c r="A81" s="6"/>
      <c r="B81" s="6"/>
      <c r="C81" s="4" t="str">
        <f>$C$80&amp;" - "&amp;C14</f>
        <v>Annualised capex - Construct new feeders from MG to JA</v>
      </c>
      <c r="D81" s="33"/>
      <c r="G81" s="179">
        <f>input_dollars</f>
        <v>45291</v>
      </c>
      <c r="H81" s="28"/>
      <c r="I81" s="28">
        <f t="shared" ref="I81:AG81" si="11">IF($E14=0,0,-PMT(real_disc, $E14,H76,))</f>
        <v>0</v>
      </c>
      <c r="J81" s="28">
        <f t="shared" si="11"/>
        <v>-337610.68856423401</v>
      </c>
      <c r="K81" s="28">
        <f t="shared" si="11"/>
        <v>-732816.89293805498</v>
      </c>
      <c r="L81" s="28">
        <f t="shared" si="11"/>
        <v>-732816.89293805498</v>
      </c>
      <c r="M81" s="28">
        <f t="shared" si="11"/>
        <v>-732816.89293805498</v>
      </c>
      <c r="N81" s="28">
        <f t="shared" si="11"/>
        <v>-732816.89293805498</v>
      </c>
      <c r="O81" s="28">
        <f t="shared" si="11"/>
        <v>-732816.89293805498</v>
      </c>
      <c r="P81" s="28">
        <f t="shared" si="11"/>
        <v>-732816.89293805498</v>
      </c>
      <c r="Q81" s="28">
        <f t="shared" si="11"/>
        <v>-732816.89293805498</v>
      </c>
      <c r="R81" s="28">
        <f t="shared" si="11"/>
        <v>-732816.89293805498</v>
      </c>
      <c r="S81" s="28">
        <f t="shared" si="11"/>
        <v>-732816.89293805498</v>
      </c>
      <c r="T81" s="28">
        <f t="shared" si="11"/>
        <v>-732816.89293805498</v>
      </c>
      <c r="U81" s="28">
        <f t="shared" si="11"/>
        <v>-732816.89293805498</v>
      </c>
      <c r="V81" s="28">
        <f t="shared" si="11"/>
        <v>-732816.89293805498</v>
      </c>
      <c r="W81" s="28">
        <f t="shared" si="11"/>
        <v>-732816.89293805498</v>
      </c>
      <c r="X81" s="28">
        <f t="shared" si="11"/>
        <v>-732816.89293805498</v>
      </c>
      <c r="Y81" s="28">
        <f t="shared" si="11"/>
        <v>-732816.89293805498</v>
      </c>
      <c r="Z81" s="28">
        <f t="shared" si="11"/>
        <v>-732816.89293805498</v>
      </c>
      <c r="AA81" s="28">
        <f t="shared" si="11"/>
        <v>-732816.89293805498</v>
      </c>
      <c r="AB81" s="28">
        <f t="shared" si="11"/>
        <v>-732816.89293805498</v>
      </c>
      <c r="AC81" s="28">
        <f t="shared" si="11"/>
        <v>-732816.89293805498</v>
      </c>
      <c r="AD81" s="28">
        <f t="shared" si="11"/>
        <v>-732816.89293805498</v>
      </c>
      <c r="AE81" s="28">
        <f t="shared" si="11"/>
        <v>-732816.89293805498</v>
      </c>
      <c r="AF81" s="28">
        <f t="shared" si="11"/>
        <v>-732816.89293805498</v>
      </c>
      <c r="AG81" s="28">
        <f t="shared" si="11"/>
        <v>-732816.89293805498</v>
      </c>
      <c r="AH81"/>
    </row>
    <row r="82" spans="1:34" x14ac:dyDescent="0.2">
      <c r="A82" s="6"/>
      <c r="B82" s="6"/>
      <c r="C82" s="4" t="str">
        <f>$C$80&amp;" - "&amp;C15</f>
        <v>Annualised capex - Rebuild J zone substation</v>
      </c>
      <c r="D82" s="33"/>
      <c r="G82" s="179">
        <f>input_dollars</f>
        <v>45291</v>
      </c>
      <c r="H82" s="28"/>
      <c r="I82" s="28">
        <f t="shared" ref="I82:AG82" si="12">IF($E15=0,0,-PMT(real_disc, $E15,H77,))</f>
        <v>0</v>
      </c>
      <c r="J82" s="28">
        <f t="shared" si="12"/>
        <v>0</v>
      </c>
      <c r="K82" s="28">
        <f t="shared" si="12"/>
        <v>0</v>
      </c>
      <c r="L82" s="28">
        <f t="shared" si="12"/>
        <v>-21316.854783273993</v>
      </c>
      <c r="M82" s="28">
        <f t="shared" si="12"/>
        <v>-660822.49828149367</v>
      </c>
      <c r="N82" s="28">
        <f t="shared" si="12"/>
        <v>-1453809.4962192862</v>
      </c>
      <c r="O82" s="28">
        <f t="shared" si="12"/>
        <v>-2246796.4941570787</v>
      </c>
      <c r="P82" s="28">
        <f t="shared" si="12"/>
        <v>-2643289.9931259747</v>
      </c>
      <c r="Q82" s="28">
        <f t="shared" si="12"/>
        <v>-2643289.9931259747</v>
      </c>
      <c r="R82" s="28">
        <f t="shared" si="12"/>
        <v>-2643289.9931259747</v>
      </c>
      <c r="S82" s="28">
        <f t="shared" si="12"/>
        <v>-2643289.9931259747</v>
      </c>
      <c r="T82" s="28">
        <f t="shared" si="12"/>
        <v>-2643289.9931259747</v>
      </c>
      <c r="U82" s="28">
        <f t="shared" si="12"/>
        <v>-2643289.9931259747</v>
      </c>
      <c r="V82" s="28">
        <f t="shared" si="12"/>
        <v>-2643289.9931259747</v>
      </c>
      <c r="W82" s="28">
        <f t="shared" si="12"/>
        <v>-2643289.9931259747</v>
      </c>
      <c r="X82" s="28">
        <f t="shared" si="12"/>
        <v>-2643289.9931259747</v>
      </c>
      <c r="Y82" s="28">
        <f t="shared" si="12"/>
        <v>-2643289.9931259747</v>
      </c>
      <c r="Z82" s="28">
        <f t="shared" si="12"/>
        <v>-2643289.9931259747</v>
      </c>
      <c r="AA82" s="28">
        <f t="shared" si="12"/>
        <v>-2643289.9931259747</v>
      </c>
      <c r="AB82" s="28">
        <f t="shared" si="12"/>
        <v>-2643289.9931259747</v>
      </c>
      <c r="AC82" s="28">
        <f t="shared" si="12"/>
        <v>-2643289.9931259747</v>
      </c>
      <c r="AD82" s="28">
        <f t="shared" si="12"/>
        <v>-2643289.9931259747</v>
      </c>
      <c r="AE82" s="28">
        <f t="shared" si="12"/>
        <v>-2643289.9931259747</v>
      </c>
      <c r="AF82" s="28">
        <f t="shared" si="12"/>
        <v>-2643289.9931259747</v>
      </c>
      <c r="AG82" s="28">
        <f t="shared" si="12"/>
        <v>-2643289.9931259747</v>
      </c>
      <c r="AH82"/>
    </row>
    <row r="83" spans="1:34" x14ac:dyDescent="0.2">
      <c r="A83" s="6"/>
      <c r="B83" s="6"/>
      <c r="C83" s="4" t="str">
        <f>$C$80&amp;" - "&amp;C16</f>
        <v>Annualised capex - &lt; Enter description &gt;</v>
      </c>
      <c r="D83" s="33"/>
      <c r="G83" s="179">
        <f>input_dollars</f>
        <v>45291</v>
      </c>
      <c r="H83" s="28"/>
      <c r="I83" s="28">
        <f t="shared" ref="I83:AG83" si="13">IF($E16=0,0,-PMT(real_disc, $E16,H78,))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x14ac:dyDescent="0.2">
      <c r="A84" s="6"/>
      <c r="B84" s="6"/>
      <c r="C84" s="144" t="s">
        <v>134</v>
      </c>
      <c r="D84" s="144"/>
      <c r="E84" s="145"/>
      <c r="F84" s="146"/>
      <c r="G84" s="184">
        <f>input_dollars</f>
        <v>45291</v>
      </c>
      <c r="H84" s="147"/>
      <c r="I84" s="147">
        <f>SUM(I81:I83)</f>
        <v>0</v>
      </c>
      <c r="J84" s="147">
        <f t="shared" ref="J84:AB84" si="14">SUM(J81:J83)</f>
        <v>-337610.68856423401</v>
      </c>
      <c r="K84" s="147">
        <f t="shared" si="14"/>
        <v>-732816.89293805498</v>
      </c>
      <c r="L84" s="147">
        <f t="shared" si="14"/>
        <v>-754133.74772132898</v>
      </c>
      <c r="M84" s="147">
        <f t="shared" si="14"/>
        <v>-1393639.3912195486</v>
      </c>
      <c r="N84" s="147">
        <f t="shared" si="14"/>
        <v>-2186626.3891573413</v>
      </c>
      <c r="O84" s="147">
        <f t="shared" si="14"/>
        <v>-2979613.3870951338</v>
      </c>
      <c r="P84" s="147">
        <f t="shared" si="14"/>
        <v>-3376106.8860640298</v>
      </c>
      <c r="Q84" s="147">
        <f t="shared" si="14"/>
        <v>-3376106.8860640298</v>
      </c>
      <c r="R84" s="147">
        <f t="shared" si="14"/>
        <v>-3376106.8860640298</v>
      </c>
      <c r="S84" s="147">
        <f t="shared" si="14"/>
        <v>-3376106.8860640298</v>
      </c>
      <c r="T84" s="147">
        <f t="shared" si="14"/>
        <v>-3376106.8860640298</v>
      </c>
      <c r="U84" s="147">
        <f t="shared" si="14"/>
        <v>-3376106.8860640298</v>
      </c>
      <c r="V84" s="147">
        <f t="shared" si="14"/>
        <v>-3376106.8860640298</v>
      </c>
      <c r="W84" s="147">
        <f t="shared" si="14"/>
        <v>-3376106.8860640298</v>
      </c>
      <c r="X84" s="147">
        <f t="shared" si="14"/>
        <v>-3376106.8860640298</v>
      </c>
      <c r="Y84" s="147">
        <f t="shared" si="14"/>
        <v>-3376106.8860640298</v>
      </c>
      <c r="Z84" s="147">
        <f t="shared" si="14"/>
        <v>-3376106.8860640298</v>
      </c>
      <c r="AA84" s="147">
        <f t="shared" si="14"/>
        <v>-3376106.8860640298</v>
      </c>
      <c r="AB84" s="147">
        <f t="shared" si="14"/>
        <v>-3376106.8860640298</v>
      </c>
      <c r="AC84" s="147">
        <f>SUM(AC81:AC83)</f>
        <v>-3376106.8860640298</v>
      </c>
      <c r="AD84" s="147">
        <f>SUM(AD81:AD83)</f>
        <v>-3376106.8860640298</v>
      </c>
      <c r="AE84" s="147">
        <f>SUM(AE81:AE83)</f>
        <v>-3376106.8860640298</v>
      </c>
      <c r="AF84" s="147">
        <f>SUM(AF81:AF83)</f>
        <v>-3376106.8860640298</v>
      </c>
      <c r="AG84" s="147">
        <f>SUM(AG81:AG83)</f>
        <v>-3376106.8860640298</v>
      </c>
      <c r="AH84"/>
    </row>
    <row r="85" spans="1:34" x14ac:dyDescent="0.2">
      <c r="A85" s="6"/>
      <c r="B85" s="6"/>
      <c r="C85" s="12"/>
      <c r="D85" s="33"/>
      <c r="F85"/>
      <c r="G85" s="1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</row>
    <row r="86" spans="1:34" x14ac:dyDescent="0.2">
      <c r="A86" s="6"/>
      <c r="B86" s="6"/>
      <c r="C86" s="4" t="s">
        <v>133</v>
      </c>
      <c r="D86" s="33"/>
      <c r="F86" s="82"/>
      <c r="G86" s="179">
        <f t="shared" ref="G86:G91" si="15">input_dollars</f>
        <v>45291</v>
      </c>
      <c r="H86" s="28"/>
      <c r="I86" s="28">
        <f>I84</f>
        <v>0</v>
      </c>
      <c r="J86" s="28">
        <f t="shared" ref="J86:AB86" si="16">J84</f>
        <v>-337610.68856423401</v>
      </c>
      <c r="K86" s="28">
        <f t="shared" si="16"/>
        <v>-732816.89293805498</v>
      </c>
      <c r="L86" s="28">
        <f t="shared" si="16"/>
        <v>-754133.74772132898</v>
      </c>
      <c r="M86" s="28">
        <f t="shared" si="16"/>
        <v>-1393639.3912195486</v>
      </c>
      <c r="N86" s="28">
        <f t="shared" si="16"/>
        <v>-2186626.3891573413</v>
      </c>
      <c r="O86" s="28">
        <f t="shared" si="16"/>
        <v>-2979613.3870951338</v>
      </c>
      <c r="P86" s="28">
        <f t="shared" si="16"/>
        <v>-3376106.8860640298</v>
      </c>
      <c r="Q86" s="28">
        <f t="shared" si="16"/>
        <v>-3376106.8860640298</v>
      </c>
      <c r="R86" s="28">
        <f t="shared" si="16"/>
        <v>-3376106.8860640298</v>
      </c>
      <c r="S86" s="28">
        <f t="shared" si="16"/>
        <v>-3376106.8860640298</v>
      </c>
      <c r="T86" s="28">
        <f t="shared" si="16"/>
        <v>-3376106.8860640298</v>
      </c>
      <c r="U86" s="28">
        <f t="shared" si="16"/>
        <v>-3376106.8860640298</v>
      </c>
      <c r="V86" s="28">
        <f t="shared" si="16"/>
        <v>-3376106.8860640298</v>
      </c>
      <c r="W86" s="28">
        <f t="shared" si="16"/>
        <v>-3376106.8860640298</v>
      </c>
      <c r="X86" s="28">
        <f t="shared" si="16"/>
        <v>-3376106.8860640298</v>
      </c>
      <c r="Y86" s="28">
        <f t="shared" si="16"/>
        <v>-3376106.8860640298</v>
      </c>
      <c r="Z86" s="28">
        <f t="shared" si="16"/>
        <v>-3376106.8860640298</v>
      </c>
      <c r="AA86" s="28">
        <f t="shared" si="16"/>
        <v>-3376106.8860640298</v>
      </c>
      <c r="AB86" s="28">
        <f t="shared" si="16"/>
        <v>-3376106.8860640298</v>
      </c>
      <c r="AC86" s="28">
        <f>AC84</f>
        <v>-3376106.8860640298</v>
      </c>
      <c r="AD86" s="28">
        <f>AD84</f>
        <v>-3376106.8860640298</v>
      </c>
      <c r="AE86" s="28">
        <f>AE84</f>
        <v>-3376106.8860640298</v>
      </c>
      <c r="AF86" s="28">
        <f>AF84</f>
        <v>-3376106.8860640298</v>
      </c>
      <c r="AG86" s="28">
        <f>AG84</f>
        <v>-3376106.8860640298</v>
      </c>
      <c r="AH86"/>
    </row>
    <row r="87" spans="1:34" x14ac:dyDescent="0.2">
      <c r="A87" s="6"/>
      <c r="B87" s="6"/>
      <c r="C87" s="4" t="s">
        <v>16</v>
      </c>
      <c r="D87" s="33"/>
      <c r="F87" s="82"/>
      <c r="G87" s="179">
        <f t="shared" si="15"/>
        <v>45291</v>
      </c>
      <c r="H87" s="28"/>
      <c r="I87" s="28">
        <f t="shared" ref="I87:AG87" si="17">-I19</f>
        <v>0</v>
      </c>
      <c r="J87" s="28">
        <f t="shared" si="17"/>
        <v>0</v>
      </c>
      <c r="K87" s="28">
        <f t="shared" si="17"/>
        <v>0</v>
      </c>
      <c r="L87" s="28">
        <f t="shared" si="17"/>
        <v>0</v>
      </c>
      <c r="M87" s="28">
        <f t="shared" si="17"/>
        <v>0</v>
      </c>
      <c r="N87" s="28">
        <f t="shared" si="17"/>
        <v>0</v>
      </c>
      <c r="O87" s="28">
        <f t="shared" si="17"/>
        <v>0</v>
      </c>
      <c r="P87" s="28">
        <f t="shared" si="17"/>
        <v>0</v>
      </c>
      <c r="Q87" s="28">
        <f t="shared" si="17"/>
        <v>0</v>
      </c>
      <c r="R87" s="28">
        <f t="shared" si="17"/>
        <v>0</v>
      </c>
      <c r="S87" s="28">
        <f t="shared" si="17"/>
        <v>0</v>
      </c>
      <c r="T87" s="28">
        <f t="shared" si="17"/>
        <v>0</v>
      </c>
      <c r="U87" s="28">
        <f t="shared" si="17"/>
        <v>0</v>
      </c>
      <c r="V87" s="28">
        <f t="shared" si="17"/>
        <v>0</v>
      </c>
      <c r="W87" s="28">
        <f t="shared" si="17"/>
        <v>0</v>
      </c>
      <c r="X87" s="28">
        <f t="shared" si="17"/>
        <v>0</v>
      </c>
      <c r="Y87" s="28">
        <f t="shared" si="17"/>
        <v>0</v>
      </c>
      <c r="Z87" s="28">
        <f t="shared" si="17"/>
        <v>0</v>
      </c>
      <c r="AA87" s="28">
        <f t="shared" si="17"/>
        <v>0</v>
      </c>
      <c r="AB87" s="28">
        <f t="shared" si="17"/>
        <v>0</v>
      </c>
      <c r="AC87" s="28">
        <f t="shared" si="17"/>
        <v>0</v>
      </c>
      <c r="AD87" s="28">
        <f t="shared" si="17"/>
        <v>0</v>
      </c>
      <c r="AE87" s="28">
        <f t="shared" si="17"/>
        <v>0</v>
      </c>
      <c r="AF87" s="28">
        <f t="shared" si="17"/>
        <v>0</v>
      </c>
      <c r="AG87" s="28">
        <f t="shared" si="17"/>
        <v>0</v>
      </c>
      <c r="AH87"/>
    </row>
    <row r="88" spans="1:34" x14ac:dyDescent="0.2">
      <c r="A88" s="6"/>
      <c r="B88" s="6"/>
      <c r="C88" s="4" t="s">
        <v>135</v>
      </c>
      <c r="D88" s="33"/>
      <c r="F88" s="82"/>
      <c r="G88" s="179">
        <f t="shared" si="15"/>
        <v>45291</v>
      </c>
      <c r="H88" s="28"/>
      <c r="I88" s="28">
        <f t="shared" ref="I88:AG88" si="18">I68</f>
        <v>0</v>
      </c>
      <c r="J88" s="28">
        <f t="shared" si="18"/>
        <v>0</v>
      </c>
      <c r="K88" s="28">
        <f t="shared" si="18"/>
        <v>31811.12378364076</v>
      </c>
      <c r="L88" s="28">
        <f t="shared" si="18"/>
        <v>58874.587568721385</v>
      </c>
      <c r="M88" s="28">
        <f t="shared" si="18"/>
        <v>98935.173368162679</v>
      </c>
      <c r="N88" s="28">
        <f t="shared" si="18"/>
        <v>154305.09085243032</v>
      </c>
      <c r="O88" s="28">
        <f t="shared" si="18"/>
        <v>248687.96928739143</v>
      </c>
      <c r="P88" s="28">
        <f t="shared" si="18"/>
        <v>400395.7796816199</v>
      </c>
      <c r="Q88" s="28">
        <f t="shared" si="18"/>
        <v>565380.87100020947</v>
      </c>
      <c r="R88" s="28">
        <f t="shared" si="18"/>
        <v>724843.06666136149</v>
      </c>
      <c r="S88" s="28">
        <f t="shared" si="18"/>
        <v>641694.14495258324</v>
      </c>
      <c r="T88" s="28">
        <f t="shared" si="18"/>
        <v>641694.14495258324</v>
      </c>
      <c r="U88" s="28">
        <f t="shared" si="18"/>
        <v>641694.14495258324</v>
      </c>
      <c r="V88" s="28">
        <f t="shared" si="18"/>
        <v>641694.14495258324</v>
      </c>
      <c r="W88" s="28">
        <f t="shared" si="18"/>
        <v>641694.14495258324</v>
      </c>
      <c r="X88" s="28">
        <f t="shared" si="18"/>
        <v>641694.14495258324</v>
      </c>
      <c r="Y88" s="28">
        <f t="shared" si="18"/>
        <v>641694.14495258324</v>
      </c>
      <c r="Z88" s="28">
        <f t="shared" si="18"/>
        <v>641694.14495258324</v>
      </c>
      <c r="AA88" s="28">
        <f t="shared" si="18"/>
        <v>641694.14495258324</v>
      </c>
      <c r="AB88" s="28">
        <f t="shared" si="18"/>
        <v>641694.14495258324</v>
      </c>
      <c r="AC88" s="28">
        <f t="shared" si="18"/>
        <v>641694.14495258324</v>
      </c>
      <c r="AD88" s="28">
        <f t="shared" si="18"/>
        <v>641694.14495258324</v>
      </c>
      <c r="AE88" s="28">
        <f t="shared" si="18"/>
        <v>641694.14495258324</v>
      </c>
      <c r="AF88" s="28">
        <f t="shared" si="18"/>
        <v>641694.14495258324</v>
      </c>
      <c r="AG88" s="28">
        <f t="shared" si="18"/>
        <v>641694.14495258324</v>
      </c>
      <c r="AH88"/>
    </row>
    <row r="89" spans="1:34" x14ac:dyDescent="0.2">
      <c r="A89" s="6"/>
      <c r="B89" s="6"/>
      <c r="C89" s="4" t="s">
        <v>136</v>
      </c>
      <c r="D89" s="33"/>
      <c r="F89" s="82"/>
      <c r="G89" s="179">
        <f t="shared" si="15"/>
        <v>45291</v>
      </c>
      <c r="H89" s="28"/>
      <c r="I89" s="28">
        <f t="shared" ref="I89:AG89" si="19">I61</f>
        <v>0</v>
      </c>
      <c r="J89" s="28">
        <f t="shared" si="19"/>
        <v>0</v>
      </c>
      <c r="K89" s="28">
        <f t="shared" si="19"/>
        <v>0</v>
      </c>
      <c r="L89" s="28">
        <f t="shared" si="19"/>
        <v>0</v>
      </c>
      <c r="M89" s="28">
        <f t="shared" si="19"/>
        <v>0</v>
      </c>
      <c r="N89" s="28">
        <f t="shared" si="19"/>
        <v>0</v>
      </c>
      <c r="O89" s="28">
        <f t="shared" si="19"/>
        <v>0</v>
      </c>
      <c r="P89" s="28">
        <f t="shared" si="19"/>
        <v>0</v>
      </c>
      <c r="Q89" s="28">
        <f t="shared" si="19"/>
        <v>0</v>
      </c>
      <c r="R89" s="28">
        <f t="shared" si="19"/>
        <v>0</v>
      </c>
      <c r="S89" s="28">
        <f t="shared" si="19"/>
        <v>0</v>
      </c>
      <c r="T89" s="28">
        <f t="shared" si="19"/>
        <v>0</v>
      </c>
      <c r="U89" s="28">
        <f t="shared" si="19"/>
        <v>0</v>
      </c>
      <c r="V89" s="28">
        <f t="shared" si="19"/>
        <v>0</v>
      </c>
      <c r="W89" s="28">
        <f t="shared" si="19"/>
        <v>0</v>
      </c>
      <c r="X89" s="28">
        <f t="shared" si="19"/>
        <v>0</v>
      </c>
      <c r="Y89" s="28">
        <f t="shared" si="19"/>
        <v>0</v>
      </c>
      <c r="Z89" s="28">
        <f t="shared" si="19"/>
        <v>0</v>
      </c>
      <c r="AA89" s="28">
        <f t="shared" si="19"/>
        <v>0</v>
      </c>
      <c r="AB89" s="28">
        <f t="shared" si="19"/>
        <v>0</v>
      </c>
      <c r="AC89" s="28">
        <f t="shared" si="19"/>
        <v>0</v>
      </c>
      <c r="AD89" s="28">
        <f t="shared" si="19"/>
        <v>0</v>
      </c>
      <c r="AE89" s="28">
        <f t="shared" si="19"/>
        <v>0</v>
      </c>
      <c r="AF89" s="28">
        <f t="shared" si="19"/>
        <v>0</v>
      </c>
      <c r="AG89" s="28">
        <f t="shared" si="19"/>
        <v>0</v>
      </c>
      <c r="AH89"/>
    </row>
    <row r="90" spans="1:34" x14ac:dyDescent="0.2">
      <c r="A90" s="6"/>
      <c r="B90" s="6"/>
      <c r="C90" s="4"/>
      <c r="D90" s="33"/>
      <c r="F90" s="28"/>
      <c r="G90" s="179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/>
    </row>
    <row r="91" spans="1:34" x14ac:dyDescent="0.2">
      <c r="A91" s="6"/>
      <c r="B91" s="6"/>
      <c r="C91" s="148" t="s">
        <v>137</v>
      </c>
      <c r="D91" s="149"/>
      <c r="E91" s="145"/>
      <c r="F91" s="150"/>
      <c r="G91" s="184">
        <f t="shared" si="15"/>
        <v>45291</v>
      </c>
      <c r="H91" s="150"/>
      <c r="I91" s="150">
        <f t="shared" ref="I91:AB91" si="20">SUM(I86:I90)</f>
        <v>0</v>
      </c>
      <c r="J91" s="150">
        <f t="shared" si="20"/>
        <v>-337610.68856423401</v>
      </c>
      <c r="K91" s="150">
        <f t="shared" si="20"/>
        <v>-701005.76915441419</v>
      </c>
      <c r="L91" s="150">
        <f t="shared" si="20"/>
        <v>-695259.1601526076</v>
      </c>
      <c r="M91" s="150">
        <f t="shared" si="20"/>
        <v>-1294704.2178513859</v>
      </c>
      <c r="N91" s="150">
        <f t="shared" si="20"/>
        <v>-2032321.298304911</v>
      </c>
      <c r="O91" s="150">
        <f t="shared" si="20"/>
        <v>-2730925.4178077425</v>
      </c>
      <c r="P91" s="150">
        <f t="shared" si="20"/>
        <v>-2975711.10638241</v>
      </c>
      <c r="Q91" s="150">
        <f t="shared" si="20"/>
        <v>-2810726.0150638204</v>
      </c>
      <c r="R91" s="150">
        <f t="shared" si="20"/>
        <v>-2651263.8194026682</v>
      </c>
      <c r="S91" s="150">
        <f t="shared" si="20"/>
        <v>-2734412.7411114466</v>
      </c>
      <c r="T91" s="150">
        <f t="shared" si="20"/>
        <v>-2734412.7411114466</v>
      </c>
      <c r="U91" s="150">
        <f t="shared" si="20"/>
        <v>-2734412.7411114466</v>
      </c>
      <c r="V91" s="150">
        <f t="shared" si="20"/>
        <v>-2734412.7411114466</v>
      </c>
      <c r="W91" s="150">
        <f t="shared" si="20"/>
        <v>-2734412.7411114466</v>
      </c>
      <c r="X91" s="150">
        <f t="shared" si="20"/>
        <v>-2734412.7411114466</v>
      </c>
      <c r="Y91" s="150">
        <f t="shared" si="20"/>
        <v>-2734412.7411114466</v>
      </c>
      <c r="Z91" s="150">
        <f t="shared" si="20"/>
        <v>-2734412.7411114466</v>
      </c>
      <c r="AA91" s="150">
        <f t="shared" si="20"/>
        <v>-2734412.7411114466</v>
      </c>
      <c r="AB91" s="150">
        <f t="shared" si="20"/>
        <v>-2734412.7411114466</v>
      </c>
      <c r="AC91" s="150">
        <f>SUM(AC86:AC90)</f>
        <v>-2734412.7411114466</v>
      </c>
      <c r="AD91" s="150">
        <f>SUM(AD86:AD90)</f>
        <v>-2734412.7411114466</v>
      </c>
      <c r="AE91" s="150">
        <f>SUM(AE86:AE90)</f>
        <v>-2734412.7411114466</v>
      </c>
      <c r="AF91" s="150">
        <f>SUM(AF86:AF90)</f>
        <v>-2734412.7411114466</v>
      </c>
      <c r="AG91" s="150">
        <f>SUM(AG86:AG90)</f>
        <v>-2734412.7411114466</v>
      </c>
      <c r="AH91"/>
    </row>
    <row r="92" spans="1:34" x14ac:dyDescent="0.2">
      <c r="A92" s="6"/>
      <c r="B92" s="6"/>
      <c r="C92" s="12"/>
      <c r="D92" s="33"/>
      <c r="F92" s="115"/>
      <c r="G92" s="17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/>
    </row>
    <row r="93" spans="1:34" x14ac:dyDescent="0.2">
      <c r="A93" s="6"/>
      <c r="B93" s="6"/>
      <c r="C93" s="12"/>
      <c r="D93" s="33"/>
      <c r="F93" s="115"/>
      <c r="G93" s="17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/>
    </row>
    <row r="94" spans="1:34" x14ac:dyDescent="0.2">
      <c r="A94" s="6"/>
      <c r="B94" s="6"/>
      <c r="C94" s="198" t="s">
        <v>141</v>
      </c>
      <c r="D94" s="71"/>
      <c r="E94" s="199"/>
      <c r="F94" s="200"/>
      <c r="G94" s="201" cm="1">
        <f t="array" ref="G94">IF(SUM($I17:$AG17)=0,0,(INDEX(I$6:AG$6,MATCH(TRUE,INDEX($I17:$AG17&lt;&gt;0,),0))))</f>
        <v>1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/>
    </row>
    <row r="95" spans="1:34" x14ac:dyDescent="0.2">
      <c r="C95" s="71"/>
      <c r="D95" s="202"/>
      <c r="E95" s="199"/>
      <c r="F95" s="199"/>
      <c r="G95" s="201"/>
    </row>
    <row r="96" spans="1:34" x14ac:dyDescent="0.2">
      <c r="C96" s="203" t="s">
        <v>142</v>
      </c>
      <c r="D96" s="204"/>
      <c r="E96" s="204"/>
      <c r="F96" s="204"/>
      <c r="G96" s="205">
        <f>IF(_xlfn.MINIFS($G$94:$G$95, $G$94:$G$95, "&gt;"&amp;0)=0, $A$4, _xlfn.MINIFS($G$94:$G$95, $G$94:$G$95, "&gt;"&amp;0))</f>
        <v>1</v>
      </c>
    </row>
    <row r="98" spans="1:43" x14ac:dyDescent="0.2">
      <c r="G98" s="10"/>
    </row>
    <row r="106" spans="1:43" ht="15" x14ac:dyDescent="0.2">
      <c r="A106" s="76" t="s">
        <v>20</v>
      </c>
      <c r="B106" s="76"/>
      <c r="C106" s="76"/>
      <c r="D106" s="76"/>
      <c r="E106" s="76"/>
      <c r="F106" s="76"/>
      <c r="G106" s="173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/>
      <c r="AI106"/>
      <c r="AJ106"/>
      <c r="AK106"/>
      <c r="AL106"/>
      <c r="AM106"/>
      <c r="AN106"/>
      <c r="AO106"/>
      <c r="AP106"/>
      <c r="AQ106"/>
    </row>
    <row r="108" spans="1:43" x14ac:dyDescent="0.2">
      <c r="I108" s="208"/>
      <c r="J108" s="208"/>
      <c r="K108" s="208"/>
      <c r="L108" s="208"/>
      <c r="M108" s="208"/>
      <c r="N108" s="208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spans="1:43" x14ac:dyDescent="0.2"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spans="1:43" x14ac:dyDescent="0.2">
      <c r="A110" s="1" t="s">
        <v>7</v>
      </c>
      <c r="C110" s="1" t="s">
        <v>137</v>
      </c>
      <c r="D110"/>
      <c r="E110"/>
      <c r="F110"/>
      <c r="G110" s="33" t="str">
        <f>PROPER($A$3)&amp;A110</f>
        <v>Option 3NPV</v>
      </c>
      <c r="I110" s="28">
        <f>I91</f>
        <v>0</v>
      </c>
      <c r="J110" s="28">
        <f t="shared" ref="J110:AG110" si="21">J91</f>
        <v>-337610.68856423401</v>
      </c>
      <c r="K110" s="28">
        <f t="shared" si="21"/>
        <v>-701005.76915441419</v>
      </c>
      <c r="L110" s="28">
        <f t="shared" si="21"/>
        <v>-695259.1601526076</v>
      </c>
      <c r="M110" s="28">
        <f t="shared" si="21"/>
        <v>-1294704.2178513859</v>
      </c>
      <c r="N110" s="28">
        <f t="shared" si="21"/>
        <v>-2032321.298304911</v>
      </c>
      <c r="O110" s="28">
        <f t="shared" si="21"/>
        <v>-2730925.4178077425</v>
      </c>
      <c r="P110" s="28">
        <f t="shared" si="21"/>
        <v>-2975711.10638241</v>
      </c>
      <c r="Q110" s="28">
        <f t="shared" si="21"/>
        <v>-2810726.0150638204</v>
      </c>
      <c r="R110" s="28">
        <f t="shared" si="21"/>
        <v>-2651263.8194026682</v>
      </c>
      <c r="S110" s="28">
        <f t="shared" si="21"/>
        <v>-2734412.7411114466</v>
      </c>
      <c r="T110" s="28">
        <f t="shared" si="21"/>
        <v>-2734412.7411114466</v>
      </c>
      <c r="U110" s="28">
        <f t="shared" si="21"/>
        <v>-2734412.7411114466</v>
      </c>
      <c r="V110" s="28">
        <f t="shared" si="21"/>
        <v>-2734412.7411114466</v>
      </c>
      <c r="W110" s="28">
        <f t="shared" si="21"/>
        <v>-2734412.7411114466</v>
      </c>
      <c r="X110" s="28">
        <f t="shared" si="21"/>
        <v>-2734412.7411114466</v>
      </c>
      <c r="Y110" s="28">
        <f t="shared" si="21"/>
        <v>-2734412.7411114466</v>
      </c>
      <c r="Z110" s="28">
        <f t="shared" si="21"/>
        <v>-2734412.7411114466</v>
      </c>
      <c r="AA110" s="28">
        <f t="shared" si="21"/>
        <v>-2734412.7411114466</v>
      </c>
      <c r="AB110" s="28">
        <f t="shared" si="21"/>
        <v>-2734412.7411114466</v>
      </c>
      <c r="AC110" s="28">
        <f t="shared" si="21"/>
        <v>-2734412.7411114466</v>
      </c>
      <c r="AD110" s="28">
        <f t="shared" si="21"/>
        <v>-2734412.7411114466</v>
      </c>
      <c r="AE110" s="28">
        <f t="shared" si="21"/>
        <v>-2734412.7411114466</v>
      </c>
      <c r="AF110" s="28">
        <f t="shared" si="21"/>
        <v>-2734412.7411114466</v>
      </c>
      <c r="AG110" s="28">
        <f t="shared" si="21"/>
        <v>-2734412.7411114466</v>
      </c>
    </row>
    <row r="111" spans="1:43" x14ac:dyDescent="0.2">
      <c r="C111" s="1" t="s">
        <v>134</v>
      </c>
      <c r="D111"/>
      <c r="E111"/>
      <c r="F111"/>
      <c r="G111"/>
      <c r="I111" s="28">
        <f>I86</f>
        <v>0</v>
      </c>
      <c r="J111" s="28">
        <f t="shared" ref="J111:AG111" si="22">J86</f>
        <v>-337610.68856423401</v>
      </c>
      <c r="K111" s="28">
        <f t="shared" si="22"/>
        <v>-732816.89293805498</v>
      </c>
      <c r="L111" s="28">
        <f t="shared" si="22"/>
        <v>-754133.74772132898</v>
      </c>
      <c r="M111" s="28">
        <f t="shared" si="22"/>
        <v>-1393639.3912195486</v>
      </c>
      <c r="N111" s="28">
        <f t="shared" si="22"/>
        <v>-2186626.3891573413</v>
      </c>
      <c r="O111" s="28">
        <f t="shared" si="22"/>
        <v>-2979613.3870951338</v>
      </c>
      <c r="P111" s="28">
        <f t="shared" si="22"/>
        <v>-3376106.8860640298</v>
      </c>
      <c r="Q111" s="28">
        <f t="shared" si="22"/>
        <v>-3376106.8860640298</v>
      </c>
      <c r="R111" s="28">
        <f t="shared" si="22"/>
        <v>-3376106.8860640298</v>
      </c>
      <c r="S111" s="28">
        <f t="shared" si="22"/>
        <v>-3376106.8860640298</v>
      </c>
      <c r="T111" s="28">
        <f t="shared" si="22"/>
        <v>-3376106.8860640298</v>
      </c>
      <c r="U111" s="28">
        <f t="shared" si="22"/>
        <v>-3376106.8860640298</v>
      </c>
      <c r="V111" s="28">
        <f t="shared" si="22"/>
        <v>-3376106.8860640298</v>
      </c>
      <c r="W111" s="28">
        <f t="shared" si="22"/>
        <v>-3376106.8860640298</v>
      </c>
      <c r="X111" s="28">
        <f t="shared" si="22"/>
        <v>-3376106.8860640298</v>
      </c>
      <c r="Y111" s="28">
        <f t="shared" si="22"/>
        <v>-3376106.8860640298</v>
      </c>
      <c r="Z111" s="28">
        <f t="shared" si="22"/>
        <v>-3376106.8860640298</v>
      </c>
      <c r="AA111" s="28">
        <f t="shared" si="22"/>
        <v>-3376106.8860640298</v>
      </c>
      <c r="AB111" s="28">
        <f t="shared" si="22"/>
        <v>-3376106.8860640298</v>
      </c>
      <c r="AC111" s="28">
        <f t="shared" si="22"/>
        <v>-3376106.8860640298</v>
      </c>
      <c r="AD111" s="28">
        <f t="shared" si="22"/>
        <v>-3376106.8860640298</v>
      </c>
      <c r="AE111" s="28">
        <f t="shared" si="22"/>
        <v>-3376106.8860640298</v>
      </c>
      <c r="AF111" s="28">
        <f t="shared" si="22"/>
        <v>-3376106.8860640298</v>
      </c>
      <c r="AG111" s="28">
        <f t="shared" si="22"/>
        <v>-3376106.8860640298</v>
      </c>
    </row>
    <row r="112" spans="1:43" x14ac:dyDescent="0.2">
      <c r="C112" s="1" t="s">
        <v>89</v>
      </c>
      <c r="D112"/>
      <c r="E112"/>
      <c r="F112"/>
      <c r="G112"/>
      <c r="I112" s="28">
        <f>SUM(I88:I89)</f>
        <v>0</v>
      </c>
      <c r="J112" s="28">
        <f t="shared" ref="J112:AG112" si="23">SUM(J88:J89)</f>
        <v>0</v>
      </c>
      <c r="K112" s="28">
        <f t="shared" si="23"/>
        <v>31811.12378364076</v>
      </c>
      <c r="L112" s="28">
        <f t="shared" si="23"/>
        <v>58874.587568721385</v>
      </c>
      <c r="M112" s="28">
        <f t="shared" si="23"/>
        <v>98935.173368162679</v>
      </c>
      <c r="N112" s="28">
        <f t="shared" si="23"/>
        <v>154305.09085243032</v>
      </c>
      <c r="O112" s="28">
        <f t="shared" si="23"/>
        <v>248687.96928739143</v>
      </c>
      <c r="P112" s="28">
        <f t="shared" si="23"/>
        <v>400395.7796816199</v>
      </c>
      <c r="Q112" s="28">
        <f t="shared" si="23"/>
        <v>565380.87100020947</v>
      </c>
      <c r="R112" s="28">
        <f t="shared" si="23"/>
        <v>724843.06666136149</v>
      </c>
      <c r="S112" s="28">
        <f t="shared" si="23"/>
        <v>641694.14495258324</v>
      </c>
      <c r="T112" s="28">
        <f t="shared" si="23"/>
        <v>641694.14495258324</v>
      </c>
      <c r="U112" s="28">
        <f t="shared" si="23"/>
        <v>641694.14495258324</v>
      </c>
      <c r="V112" s="28">
        <f t="shared" si="23"/>
        <v>641694.14495258324</v>
      </c>
      <c r="W112" s="28">
        <f t="shared" si="23"/>
        <v>641694.14495258324</v>
      </c>
      <c r="X112" s="28">
        <f t="shared" si="23"/>
        <v>641694.14495258324</v>
      </c>
      <c r="Y112" s="28">
        <f t="shared" si="23"/>
        <v>641694.14495258324</v>
      </c>
      <c r="Z112" s="28">
        <f t="shared" si="23"/>
        <v>641694.14495258324</v>
      </c>
      <c r="AA112" s="28">
        <f t="shared" si="23"/>
        <v>641694.14495258324</v>
      </c>
      <c r="AB112" s="28">
        <f t="shared" si="23"/>
        <v>641694.14495258324</v>
      </c>
      <c r="AC112" s="28">
        <f t="shared" si="23"/>
        <v>641694.14495258324</v>
      </c>
      <c r="AD112" s="28">
        <f t="shared" si="23"/>
        <v>641694.14495258324</v>
      </c>
      <c r="AE112" s="28">
        <f t="shared" si="23"/>
        <v>641694.14495258324</v>
      </c>
      <c r="AF112" s="28">
        <f t="shared" si="23"/>
        <v>641694.14495258324</v>
      </c>
      <c r="AG112" s="28">
        <f t="shared" si="23"/>
        <v>641694.14495258324</v>
      </c>
    </row>
    <row r="113" spans="1:33" x14ac:dyDescent="0.2">
      <c r="D113" s="248" t="str">
        <f>Assumptions!G110</f>
        <v>Capex</v>
      </c>
      <c r="E113" s="248" t="str">
        <f>Assumptions!H110</f>
        <v>Total benefits</v>
      </c>
      <c r="I113" s="208"/>
      <c r="J113" s="208"/>
      <c r="K113" s="208"/>
      <c r="L113" s="208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spans="1:33" x14ac:dyDescent="0.2">
      <c r="A114" s="1" t="str">
        <f>"sens"&amp;Assumptions!B111</f>
        <v>sens1</v>
      </c>
      <c r="C114" s="247" t="str">
        <f>Assumptions!C111</f>
        <v>Capex 10% higher</v>
      </c>
      <c r="D114" s="248">
        <f>Assumptions!G111</f>
        <v>0.1</v>
      </c>
      <c r="E114" s="248">
        <f>Assumptions!H111</f>
        <v>0</v>
      </c>
      <c r="G114" s="33" t="str">
        <f>PROPER($A$3)&amp;A114</f>
        <v>Option 3sens1</v>
      </c>
      <c r="I114" s="28" cm="1">
        <f t="array" ref="I114">I$110+IF($C114&lt;&gt;0,SUMPRODUCT((I$111:I$112)*TRANSPOSE(($D114:$E114))),0)</f>
        <v>0</v>
      </c>
      <c r="J114" s="28" cm="1">
        <f t="array" ref="J114">J$110+IF($C114&lt;&gt;0,SUMPRODUCT((J$111:J$112)*TRANSPOSE(($D114:$E114))),0)</f>
        <v>-371371.75742065744</v>
      </c>
      <c r="K114" s="28" cm="1">
        <f t="array" ref="K114">K$110+IF($C114&lt;&gt;0,SUMPRODUCT((K$111:K$112)*TRANSPOSE(($D114:$E114))),0)</f>
        <v>-774287.4584482197</v>
      </c>
      <c r="L114" s="28" cm="1">
        <f t="array" ref="L114">L$110+IF($C114&lt;&gt;0,SUMPRODUCT((L$111:L$112)*TRANSPOSE(($D114:$E114))),0)</f>
        <v>-770672.53492474044</v>
      </c>
      <c r="M114" s="28" cm="1">
        <f t="array" ref="M114">M$110+IF($C114&lt;&gt;0,SUMPRODUCT((M$111:M$112)*TRANSPOSE(($D114:$E114))),0)</f>
        <v>-1434068.1569733408</v>
      </c>
      <c r="N114" s="28" cm="1">
        <f t="array" ref="N114">N$110+IF($C114&lt;&gt;0,SUMPRODUCT((N$111:N$112)*TRANSPOSE(($D114:$E114))),0)</f>
        <v>-2250983.9372206451</v>
      </c>
      <c r="O114" s="28" cm="1">
        <f t="array" ref="O114">O$110+IF($C114&lt;&gt;0,SUMPRODUCT((O$111:O$112)*TRANSPOSE(($D114:$E114))),0)</f>
        <v>-3028886.7565172557</v>
      </c>
      <c r="P114" s="28" cm="1">
        <f t="array" ref="P114">P$110+IF($C114&lt;&gt;0,SUMPRODUCT((P$111:P$112)*TRANSPOSE(($D114:$E114))),0)</f>
        <v>-3313321.7949888129</v>
      </c>
      <c r="Q114" s="28" cm="1">
        <f t="array" ref="Q114">Q$110+IF($C114&lt;&gt;0,SUMPRODUCT((Q$111:Q$112)*TRANSPOSE(($D114:$E114))),0)</f>
        <v>-3148336.7036702232</v>
      </c>
      <c r="R114" s="28" cm="1">
        <f t="array" ref="R114">R$110+IF($C114&lt;&gt;0,SUMPRODUCT((R$111:R$112)*TRANSPOSE(($D114:$E114))),0)</f>
        <v>-2988874.508009071</v>
      </c>
      <c r="S114" s="28" cm="1">
        <f t="array" ref="S114">S$110+IF($C114&lt;&gt;0,SUMPRODUCT((S$111:S$112)*TRANSPOSE(($D114:$E114))),0)</f>
        <v>-3072023.4297178495</v>
      </c>
      <c r="T114" s="28" cm="1">
        <f t="array" ref="T114">T$110+IF($C114&lt;&gt;0,SUMPRODUCT((T$111:T$112)*TRANSPOSE(($D114:$E114))),0)</f>
        <v>-3072023.4297178495</v>
      </c>
      <c r="U114" s="28" cm="1">
        <f t="array" ref="U114">U$110+IF($C114&lt;&gt;0,SUMPRODUCT((U$111:U$112)*TRANSPOSE(($D114:$E114))),0)</f>
        <v>-3072023.4297178495</v>
      </c>
      <c r="V114" s="28" cm="1">
        <f t="array" ref="V114">V$110+IF($C114&lt;&gt;0,SUMPRODUCT((V$111:V$112)*TRANSPOSE(($D114:$E114))),0)</f>
        <v>-3072023.4297178495</v>
      </c>
      <c r="W114" s="28" cm="1">
        <f t="array" ref="W114">W$110+IF($C114&lt;&gt;0,SUMPRODUCT((W$111:W$112)*TRANSPOSE(($D114:$E114))),0)</f>
        <v>-3072023.4297178495</v>
      </c>
      <c r="X114" s="28" cm="1">
        <f t="array" ref="X114">X$110+IF($C114&lt;&gt;0,SUMPRODUCT((X$111:X$112)*TRANSPOSE(($D114:$E114))),0)</f>
        <v>-3072023.4297178495</v>
      </c>
      <c r="Y114" s="28" cm="1">
        <f t="array" ref="Y114">Y$110+IF($C114&lt;&gt;0,SUMPRODUCT((Y$111:Y$112)*TRANSPOSE(($D114:$E114))),0)</f>
        <v>-3072023.4297178495</v>
      </c>
      <c r="Z114" s="28" cm="1">
        <f t="array" ref="Z114">Z$110+IF($C114&lt;&gt;0,SUMPRODUCT((Z$111:Z$112)*TRANSPOSE(($D114:$E114))),0)</f>
        <v>-3072023.4297178495</v>
      </c>
      <c r="AA114" s="28" cm="1">
        <f t="array" ref="AA114">AA$110+IF($C114&lt;&gt;0,SUMPRODUCT((AA$111:AA$112)*TRANSPOSE(($D114:$E114))),0)</f>
        <v>-3072023.4297178495</v>
      </c>
      <c r="AB114" s="28" cm="1">
        <f t="array" ref="AB114">AB$110+IF($C114&lt;&gt;0,SUMPRODUCT((AB$111:AB$112)*TRANSPOSE(($D114:$E114))),0)</f>
        <v>-3072023.4297178495</v>
      </c>
      <c r="AC114" s="28" cm="1">
        <f t="array" ref="AC114">AC$110+IF($C114&lt;&gt;0,SUMPRODUCT((AC$111:AC$112)*TRANSPOSE(($D114:$E114))),0)</f>
        <v>-3072023.4297178495</v>
      </c>
      <c r="AD114" s="28" cm="1">
        <f t="array" ref="AD114">AD$110+IF($C114&lt;&gt;0,SUMPRODUCT((AD$111:AD$112)*TRANSPOSE(($D114:$E114))),0)</f>
        <v>-3072023.4297178495</v>
      </c>
      <c r="AE114" s="28" cm="1">
        <f t="array" ref="AE114">AE$110+IF($C114&lt;&gt;0,SUMPRODUCT((AE$111:AE$112)*TRANSPOSE(($D114:$E114))),0)</f>
        <v>-3072023.4297178495</v>
      </c>
      <c r="AF114" s="28" cm="1">
        <f t="array" ref="AF114">AF$110+IF($C114&lt;&gt;0,SUMPRODUCT((AF$111:AF$112)*TRANSPOSE(($D114:$E114))),0)</f>
        <v>-3072023.4297178495</v>
      </c>
      <c r="AG114" s="28" cm="1">
        <f t="array" ref="AG114">AG$110+IF($C114&lt;&gt;0,SUMPRODUCT((AG$111:AG$112)*TRANSPOSE(($D114:$E114))),0)</f>
        <v>-3072023.4297178495</v>
      </c>
    </row>
    <row r="115" spans="1:33" x14ac:dyDescent="0.2">
      <c r="A115" s="1" t="str">
        <f>"sens"&amp;Assumptions!B112</f>
        <v>sens2</v>
      </c>
      <c r="C115" s="247" t="str">
        <f>Assumptions!C112</f>
        <v>Capex 10% lower</v>
      </c>
      <c r="D115" s="248">
        <f>Assumptions!G112</f>
        <v>-0.1</v>
      </c>
      <c r="E115" s="248">
        <f>Assumptions!H112</f>
        <v>0</v>
      </c>
      <c r="G115" s="33" t="str">
        <f t="shared" ref="G115:G121" si="24">PROPER($A$3)&amp;A115</f>
        <v>Option 3sens2</v>
      </c>
      <c r="I115" s="28" cm="1">
        <f t="array" ref="I115">I$110+IF($C115&lt;&gt;0,SUMPRODUCT((I$111:I$112)*TRANSPOSE(($D115:$E115))),0)</f>
        <v>0</v>
      </c>
      <c r="J115" s="28" cm="1">
        <f t="array" ref="J115">J$110+IF($C115&lt;&gt;0,SUMPRODUCT((J$111:J$112)*TRANSPOSE(($D115:$E115))),0)</f>
        <v>-303849.61970781058</v>
      </c>
      <c r="K115" s="28" cm="1">
        <f t="array" ref="K115">K$110+IF($C115&lt;&gt;0,SUMPRODUCT((K$111:K$112)*TRANSPOSE(($D115:$E115))),0)</f>
        <v>-627724.07986060868</v>
      </c>
      <c r="L115" s="28" cm="1">
        <f t="array" ref="L115">L$110+IF($C115&lt;&gt;0,SUMPRODUCT((L$111:L$112)*TRANSPOSE(($D115:$E115))),0)</f>
        <v>-619845.78538047476</v>
      </c>
      <c r="M115" s="28" cm="1">
        <f t="array" ref="M115">M$110+IF($C115&lt;&gt;0,SUMPRODUCT((M$111:M$112)*TRANSPOSE(($D115:$E115))),0)</f>
        <v>-1155340.2787294311</v>
      </c>
      <c r="N115" s="28" cm="1">
        <f t="array" ref="N115">N$110+IF($C115&lt;&gt;0,SUMPRODUCT((N$111:N$112)*TRANSPOSE(($D115:$E115))),0)</f>
        <v>-1813658.6593891769</v>
      </c>
      <c r="O115" s="28" cm="1">
        <f t="array" ref="O115">O$110+IF($C115&lt;&gt;0,SUMPRODUCT((O$111:O$112)*TRANSPOSE(($D115:$E115))),0)</f>
        <v>-2432964.0790982293</v>
      </c>
      <c r="P115" s="28" cm="1">
        <f t="array" ref="P115">P$110+IF($C115&lt;&gt;0,SUMPRODUCT((P$111:P$112)*TRANSPOSE(($D115:$E115))),0)</f>
        <v>-2638100.4177760072</v>
      </c>
      <c r="Q115" s="28" cm="1">
        <f t="array" ref="Q115">Q$110+IF($C115&lt;&gt;0,SUMPRODUCT((Q$111:Q$112)*TRANSPOSE(($D115:$E115))),0)</f>
        <v>-2473115.3264574176</v>
      </c>
      <c r="R115" s="28" cm="1">
        <f t="array" ref="R115">R$110+IF($C115&lt;&gt;0,SUMPRODUCT((R$111:R$112)*TRANSPOSE(($D115:$E115))),0)</f>
        <v>-2313653.1307962653</v>
      </c>
      <c r="S115" s="28" cm="1">
        <f t="array" ref="S115">S$110+IF($C115&lt;&gt;0,SUMPRODUCT((S$111:S$112)*TRANSPOSE(($D115:$E115))),0)</f>
        <v>-2396802.0525050438</v>
      </c>
      <c r="T115" s="28" cm="1">
        <f t="array" ref="T115">T$110+IF($C115&lt;&gt;0,SUMPRODUCT((T$111:T$112)*TRANSPOSE(($D115:$E115))),0)</f>
        <v>-2396802.0525050438</v>
      </c>
      <c r="U115" s="28" cm="1">
        <f t="array" ref="U115">U$110+IF($C115&lt;&gt;0,SUMPRODUCT((U$111:U$112)*TRANSPOSE(($D115:$E115))),0)</f>
        <v>-2396802.0525050438</v>
      </c>
      <c r="V115" s="28" cm="1">
        <f t="array" ref="V115">V$110+IF($C115&lt;&gt;0,SUMPRODUCT((V$111:V$112)*TRANSPOSE(($D115:$E115))),0)</f>
        <v>-2396802.0525050438</v>
      </c>
      <c r="W115" s="28" cm="1">
        <f t="array" ref="W115">W$110+IF($C115&lt;&gt;0,SUMPRODUCT((W$111:W$112)*TRANSPOSE(($D115:$E115))),0)</f>
        <v>-2396802.0525050438</v>
      </c>
      <c r="X115" s="28" cm="1">
        <f t="array" ref="X115">X$110+IF($C115&lt;&gt;0,SUMPRODUCT((X$111:X$112)*TRANSPOSE(($D115:$E115))),0)</f>
        <v>-2396802.0525050438</v>
      </c>
      <c r="Y115" s="28" cm="1">
        <f t="array" ref="Y115">Y$110+IF($C115&lt;&gt;0,SUMPRODUCT((Y$111:Y$112)*TRANSPOSE(($D115:$E115))),0)</f>
        <v>-2396802.0525050438</v>
      </c>
      <c r="Z115" s="28" cm="1">
        <f t="array" ref="Z115">Z$110+IF($C115&lt;&gt;0,SUMPRODUCT((Z$111:Z$112)*TRANSPOSE(($D115:$E115))),0)</f>
        <v>-2396802.0525050438</v>
      </c>
      <c r="AA115" s="28" cm="1">
        <f t="array" ref="AA115">AA$110+IF($C115&lt;&gt;0,SUMPRODUCT((AA$111:AA$112)*TRANSPOSE(($D115:$E115))),0)</f>
        <v>-2396802.0525050438</v>
      </c>
      <c r="AB115" s="28" cm="1">
        <f t="array" ref="AB115">AB$110+IF($C115&lt;&gt;0,SUMPRODUCT((AB$111:AB$112)*TRANSPOSE(($D115:$E115))),0)</f>
        <v>-2396802.0525050438</v>
      </c>
      <c r="AC115" s="28" cm="1">
        <f t="array" ref="AC115">AC$110+IF($C115&lt;&gt;0,SUMPRODUCT((AC$111:AC$112)*TRANSPOSE(($D115:$E115))),0)</f>
        <v>-2396802.0525050438</v>
      </c>
      <c r="AD115" s="28" cm="1">
        <f t="array" ref="AD115">AD$110+IF($C115&lt;&gt;0,SUMPRODUCT((AD$111:AD$112)*TRANSPOSE(($D115:$E115))),0)</f>
        <v>-2396802.0525050438</v>
      </c>
      <c r="AE115" s="28" cm="1">
        <f t="array" ref="AE115">AE$110+IF($C115&lt;&gt;0,SUMPRODUCT((AE$111:AE$112)*TRANSPOSE(($D115:$E115))),0)</f>
        <v>-2396802.0525050438</v>
      </c>
      <c r="AF115" s="28" cm="1">
        <f t="array" ref="AF115">AF$110+IF($C115&lt;&gt;0,SUMPRODUCT((AF$111:AF$112)*TRANSPOSE(($D115:$E115))),0)</f>
        <v>-2396802.0525050438</v>
      </c>
      <c r="AG115" s="28" cm="1">
        <f t="array" ref="AG115">AG$110+IF($C115&lt;&gt;0,SUMPRODUCT((AG$111:AG$112)*TRANSPOSE(($D115:$E115))),0)</f>
        <v>-2396802.0525050438</v>
      </c>
    </row>
    <row r="116" spans="1:33" x14ac:dyDescent="0.2">
      <c r="A116" s="1" t="str">
        <f>"sens"&amp;Assumptions!B113</f>
        <v>sens3</v>
      </c>
      <c r="C116" s="247" t="str">
        <f>Assumptions!C113</f>
        <v>Total benefits 10% higher</v>
      </c>
      <c r="D116" s="248">
        <f>Assumptions!G113</f>
        <v>0</v>
      </c>
      <c r="E116" s="248">
        <f>Assumptions!H113</f>
        <v>0.1</v>
      </c>
      <c r="G116" s="33" t="str">
        <f t="shared" si="24"/>
        <v>Option 3sens3</v>
      </c>
      <c r="I116" s="28" cm="1">
        <f t="array" ref="I116">I$110+IF($C116&lt;&gt;0,SUMPRODUCT((I$111:I$112)*TRANSPOSE(($D116:$E116))),0)</f>
        <v>0</v>
      </c>
      <c r="J116" s="28" cm="1">
        <f t="array" ref="J116">J$110+IF($C116&lt;&gt;0,SUMPRODUCT((J$111:J$112)*TRANSPOSE(($D116:$E116))),0)</f>
        <v>-337610.68856423401</v>
      </c>
      <c r="K116" s="28" cm="1">
        <f t="array" ref="K116">K$110+IF($C116&lt;&gt;0,SUMPRODUCT((K$111:K$112)*TRANSPOSE(($D116:$E116))),0)</f>
        <v>-697824.65677605011</v>
      </c>
      <c r="L116" s="28" cm="1">
        <f t="array" ref="L116">L$110+IF($C116&lt;&gt;0,SUMPRODUCT((L$111:L$112)*TRANSPOSE(($D116:$E116))),0)</f>
        <v>-689371.70139573549</v>
      </c>
      <c r="M116" s="28" cm="1">
        <f t="array" ref="M116">M$110+IF($C116&lt;&gt;0,SUMPRODUCT((M$111:M$112)*TRANSPOSE(($D116:$E116))),0)</f>
        <v>-1284810.7005145696</v>
      </c>
      <c r="N116" s="28" cm="1">
        <f t="array" ref="N116">N$110+IF($C116&lt;&gt;0,SUMPRODUCT((N$111:N$112)*TRANSPOSE(($D116:$E116))),0)</f>
        <v>-2016890.7892196679</v>
      </c>
      <c r="O116" s="28" cm="1">
        <f t="array" ref="O116">O$110+IF($C116&lt;&gt;0,SUMPRODUCT((O$111:O$112)*TRANSPOSE(($D116:$E116))),0)</f>
        <v>-2706056.6208790033</v>
      </c>
      <c r="P116" s="28" cm="1">
        <f t="array" ref="P116">P$110+IF($C116&lt;&gt;0,SUMPRODUCT((P$111:P$112)*TRANSPOSE(($D116:$E116))),0)</f>
        <v>-2935671.528414248</v>
      </c>
      <c r="Q116" s="28" cm="1">
        <f t="array" ref="Q116">Q$110+IF($C116&lt;&gt;0,SUMPRODUCT((Q$111:Q$112)*TRANSPOSE(($D116:$E116))),0)</f>
        <v>-2754187.9279637993</v>
      </c>
      <c r="R116" s="28" cm="1">
        <f t="array" ref="R116">R$110+IF($C116&lt;&gt;0,SUMPRODUCT((R$111:R$112)*TRANSPOSE(($D116:$E116))),0)</f>
        <v>-2578779.5127365319</v>
      </c>
      <c r="S116" s="28" cm="1">
        <f t="array" ref="S116">S$110+IF($C116&lt;&gt;0,SUMPRODUCT((S$111:S$112)*TRANSPOSE(($D116:$E116))),0)</f>
        <v>-2670243.3266161885</v>
      </c>
      <c r="T116" s="28" cm="1">
        <f t="array" ref="T116">T$110+IF($C116&lt;&gt;0,SUMPRODUCT((T$111:T$112)*TRANSPOSE(($D116:$E116))),0)</f>
        <v>-2670243.3266161885</v>
      </c>
      <c r="U116" s="28" cm="1">
        <f t="array" ref="U116">U$110+IF($C116&lt;&gt;0,SUMPRODUCT((U$111:U$112)*TRANSPOSE(($D116:$E116))),0)</f>
        <v>-2670243.3266161885</v>
      </c>
      <c r="V116" s="28" cm="1">
        <f t="array" ref="V116">V$110+IF($C116&lt;&gt;0,SUMPRODUCT((V$111:V$112)*TRANSPOSE(($D116:$E116))),0)</f>
        <v>-2670243.3266161885</v>
      </c>
      <c r="W116" s="28" cm="1">
        <f t="array" ref="W116">W$110+IF($C116&lt;&gt;0,SUMPRODUCT((W$111:W$112)*TRANSPOSE(($D116:$E116))),0)</f>
        <v>-2670243.3266161885</v>
      </c>
      <c r="X116" s="28" cm="1">
        <f t="array" ref="X116">X$110+IF($C116&lt;&gt;0,SUMPRODUCT((X$111:X$112)*TRANSPOSE(($D116:$E116))),0)</f>
        <v>-2670243.3266161885</v>
      </c>
      <c r="Y116" s="28" cm="1">
        <f t="array" ref="Y116">Y$110+IF($C116&lt;&gt;0,SUMPRODUCT((Y$111:Y$112)*TRANSPOSE(($D116:$E116))),0)</f>
        <v>-2670243.3266161885</v>
      </c>
      <c r="Z116" s="28" cm="1">
        <f t="array" ref="Z116">Z$110+IF($C116&lt;&gt;0,SUMPRODUCT((Z$111:Z$112)*TRANSPOSE(($D116:$E116))),0)</f>
        <v>-2670243.3266161885</v>
      </c>
      <c r="AA116" s="28" cm="1">
        <f t="array" ref="AA116">AA$110+IF($C116&lt;&gt;0,SUMPRODUCT((AA$111:AA$112)*TRANSPOSE(($D116:$E116))),0)</f>
        <v>-2670243.3266161885</v>
      </c>
      <c r="AB116" s="28" cm="1">
        <f t="array" ref="AB116">AB$110+IF($C116&lt;&gt;0,SUMPRODUCT((AB$111:AB$112)*TRANSPOSE(($D116:$E116))),0)</f>
        <v>-2670243.3266161885</v>
      </c>
      <c r="AC116" s="28" cm="1">
        <f t="array" ref="AC116">AC$110+IF($C116&lt;&gt;0,SUMPRODUCT((AC$111:AC$112)*TRANSPOSE(($D116:$E116))),0)</f>
        <v>-2670243.3266161885</v>
      </c>
      <c r="AD116" s="28" cm="1">
        <f t="array" ref="AD116">AD$110+IF($C116&lt;&gt;0,SUMPRODUCT((AD$111:AD$112)*TRANSPOSE(($D116:$E116))),0)</f>
        <v>-2670243.3266161885</v>
      </c>
      <c r="AE116" s="28" cm="1">
        <f t="array" ref="AE116">AE$110+IF($C116&lt;&gt;0,SUMPRODUCT((AE$111:AE$112)*TRANSPOSE(($D116:$E116))),0)</f>
        <v>-2670243.3266161885</v>
      </c>
      <c r="AF116" s="28" cm="1">
        <f t="array" ref="AF116">AF$110+IF($C116&lt;&gt;0,SUMPRODUCT((AF$111:AF$112)*TRANSPOSE(($D116:$E116))),0)</f>
        <v>-2670243.3266161885</v>
      </c>
      <c r="AG116" s="28" cm="1">
        <f t="array" ref="AG116">AG$110+IF($C116&lt;&gt;0,SUMPRODUCT((AG$111:AG$112)*TRANSPOSE(($D116:$E116))),0)</f>
        <v>-2670243.3266161885</v>
      </c>
    </row>
    <row r="117" spans="1:33" x14ac:dyDescent="0.2">
      <c r="A117" s="1" t="str">
        <f>"sens"&amp;Assumptions!B114</f>
        <v>sens4</v>
      </c>
      <c r="C117" s="247" t="str">
        <f>Assumptions!C114</f>
        <v>Total benefits 10% lower</v>
      </c>
      <c r="D117" s="248">
        <f>Assumptions!G114</f>
        <v>0</v>
      </c>
      <c r="E117" s="248">
        <f>Assumptions!H114</f>
        <v>-0.1</v>
      </c>
      <c r="G117" s="33" t="str">
        <f t="shared" si="24"/>
        <v>Option 3sens4</v>
      </c>
      <c r="I117" s="28" cm="1">
        <f t="array" ref="I117">I$110+IF($C117&lt;&gt;0,SUMPRODUCT((I$111:I$112)*TRANSPOSE(($D117:$E117))),0)</f>
        <v>0</v>
      </c>
      <c r="J117" s="28" cm="1">
        <f t="array" ref="J117">J$110+IF($C117&lt;&gt;0,SUMPRODUCT((J$111:J$112)*TRANSPOSE(($D117:$E117))),0)</f>
        <v>-337610.68856423401</v>
      </c>
      <c r="K117" s="28" cm="1">
        <f t="array" ref="K117">K$110+IF($C117&lt;&gt;0,SUMPRODUCT((K$111:K$112)*TRANSPOSE(($D117:$E117))),0)</f>
        <v>-704186.88153277826</v>
      </c>
      <c r="L117" s="28" cm="1">
        <f t="array" ref="L117">L$110+IF($C117&lt;&gt;0,SUMPRODUCT((L$111:L$112)*TRANSPOSE(($D117:$E117))),0)</f>
        <v>-701146.6189094797</v>
      </c>
      <c r="M117" s="28" cm="1">
        <f t="array" ref="M117">M$110+IF($C117&lt;&gt;0,SUMPRODUCT((M$111:M$112)*TRANSPOSE(($D117:$E117))),0)</f>
        <v>-1304597.7351882022</v>
      </c>
      <c r="N117" s="28" cm="1">
        <f t="array" ref="N117">N$110+IF($C117&lt;&gt;0,SUMPRODUCT((N$111:N$112)*TRANSPOSE(($D117:$E117))),0)</f>
        <v>-2047751.8073901541</v>
      </c>
      <c r="O117" s="28" cm="1">
        <f t="array" ref="O117">O$110+IF($C117&lt;&gt;0,SUMPRODUCT((O$111:O$112)*TRANSPOSE(($D117:$E117))),0)</f>
        <v>-2755794.2147364817</v>
      </c>
      <c r="P117" s="28" cm="1">
        <f t="array" ref="P117">P$110+IF($C117&lt;&gt;0,SUMPRODUCT((P$111:P$112)*TRANSPOSE(($D117:$E117))),0)</f>
        <v>-3015750.6843505721</v>
      </c>
      <c r="Q117" s="28" cm="1">
        <f t="array" ref="Q117">Q$110+IF($C117&lt;&gt;0,SUMPRODUCT((Q$111:Q$112)*TRANSPOSE(($D117:$E117))),0)</f>
        <v>-2867264.1021638415</v>
      </c>
      <c r="R117" s="28" cm="1">
        <f t="array" ref="R117">R$110+IF($C117&lt;&gt;0,SUMPRODUCT((R$111:R$112)*TRANSPOSE(($D117:$E117))),0)</f>
        <v>-2723748.1260688044</v>
      </c>
      <c r="S117" s="28" cm="1">
        <f t="array" ref="S117">S$110+IF($C117&lt;&gt;0,SUMPRODUCT((S$111:S$112)*TRANSPOSE(($D117:$E117))),0)</f>
        <v>-2798582.1556067048</v>
      </c>
      <c r="T117" s="28" cm="1">
        <f t="array" ref="T117">T$110+IF($C117&lt;&gt;0,SUMPRODUCT((T$111:T$112)*TRANSPOSE(($D117:$E117))),0)</f>
        <v>-2798582.1556067048</v>
      </c>
      <c r="U117" s="28" cm="1">
        <f t="array" ref="U117">U$110+IF($C117&lt;&gt;0,SUMPRODUCT((U$111:U$112)*TRANSPOSE(($D117:$E117))),0)</f>
        <v>-2798582.1556067048</v>
      </c>
      <c r="V117" s="28" cm="1">
        <f t="array" ref="V117">V$110+IF($C117&lt;&gt;0,SUMPRODUCT((V$111:V$112)*TRANSPOSE(($D117:$E117))),0)</f>
        <v>-2798582.1556067048</v>
      </c>
      <c r="W117" s="28" cm="1">
        <f t="array" ref="W117">W$110+IF($C117&lt;&gt;0,SUMPRODUCT((W$111:W$112)*TRANSPOSE(($D117:$E117))),0)</f>
        <v>-2798582.1556067048</v>
      </c>
      <c r="X117" s="28" cm="1">
        <f t="array" ref="X117">X$110+IF($C117&lt;&gt;0,SUMPRODUCT((X$111:X$112)*TRANSPOSE(($D117:$E117))),0)</f>
        <v>-2798582.1556067048</v>
      </c>
      <c r="Y117" s="28" cm="1">
        <f t="array" ref="Y117">Y$110+IF($C117&lt;&gt;0,SUMPRODUCT((Y$111:Y$112)*TRANSPOSE(($D117:$E117))),0)</f>
        <v>-2798582.1556067048</v>
      </c>
      <c r="Z117" s="28" cm="1">
        <f t="array" ref="Z117">Z$110+IF($C117&lt;&gt;0,SUMPRODUCT((Z$111:Z$112)*TRANSPOSE(($D117:$E117))),0)</f>
        <v>-2798582.1556067048</v>
      </c>
      <c r="AA117" s="28" cm="1">
        <f t="array" ref="AA117">AA$110+IF($C117&lt;&gt;0,SUMPRODUCT((AA$111:AA$112)*TRANSPOSE(($D117:$E117))),0)</f>
        <v>-2798582.1556067048</v>
      </c>
      <c r="AB117" s="28" cm="1">
        <f t="array" ref="AB117">AB$110+IF($C117&lt;&gt;0,SUMPRODUCT((AB$111:AB$112)*TRANSPOSE(($D117:$E117))),0)</f>
        <v>-2798582.1556067048</v>
      </c>
      <c r="AC117" s="28" cm="1">
        <f t="array" ref="AC117">AC$110+IF($C117&lt;&gt;0,SUMPRODUCT((AC$111:AC$112)*TRANSPOSE(($D117:$E117))),0)</f>
        <v>-2798582.1556067048</v>
      </c>
      <c r="AD117" s="28" cm="1">
        <f t="array" ref="AD117">AD$110+IF($C117&lt;&gt;0,SUMPRODUCT((AD$111:AD$112)*TRANSPOSE(($D117:$E117))),0)</f>
        <v>-2798582.1556067048</v>
      </c>
      <c r="AE117" s="28" cm="1">
        <f t="array" ref="AE117">AE$110+IF($C117&lt;&gt;0,SUMPRODUCT((AE$111:AE$112)*TRANSPOSE(($D117:$E117))),0)</f>
        <v>-2798582.1556067048</v>
      </c>
      <c r="AF117" s="28" cm="1">
        <f t="array" ref="AF117">AF$110+IF($C117&lt;&gt;0,SUMPRODUCT((AF$111:AF$112)*TRANSPOSE(($D117:$E117))),0)</f>
        <v>-2798582.1556067048</v>
      </c>
      <c r="AG117" s="28" cm="1">
        <f t="array" ref="AG117">AG$110+IF($C117&lt;&gt;0,SUMPRODUCT((AG$111:AG$112)*TRANSPOSE(($D117:$E117))),0)</f>
        <v>-2798582.1556067048</v>
      </c>
    </row>
    <row r="118" spans="1:33" x14ac:dyDescent="0.2">
      <c r="A118" s="1" t="str">
        <f>"sens"&amp;Assumptions!B115</f>
        <v>sens5</v>
      </c>
      <c r="C118" s="247" t="str">
        <f>Assumptions!C115</f>
        <v>Capex 10% higher &amp; Total benefits 10% lower</v>
      </c>
      <c r="D118" s="248">
        <f>Assumptions!G115</f>
        <v>0.1</v>
      </c>
      <c r="E118" s="248">
        <f>Assumptions!H115</f>
        <v>-0.1</v>
      </c>
      <c r="G118" s="33" t="str">
        <f t="shared" si="24"/>
        <v>Option 3sens5</v>
      </c>
      <c r="I118" s="28" cm="1">
        <f t="array" ref="I118">I$110+IF($C118&lt;&gt;0,SUMPRODUCT((I$111:I$112)*TRANSPOSE(($D118:$E118))),0)</f>
        <v>0</v>
      </c>
      <c r="J118" s="28" cm="1">
        <f t="array" ref="J118">J$110+IF($C118&lt;&gt;0,SUMPRODUCT((J$111:J$112)*TRANSPOSE(($D118:$E118))),0)</f>
        <v>-371371.75742065744</v>
      </c>
      <c r="K118" s="28" cm="1">
        <f t="array" ref="K118">K$110+IF($C118&lt;&gt;0,SUMPRODUCT((K$111:K$112)*TRANSPOSE(($D118:$E118))),0)</f>
        <v>-777468.57082658377</v>
      </c>
      <c r="L118" s="28" cm="1">
        <f t="array" ref="L118">L$110+IF($C118&lt;&gt;0,SUMPRODUCT((L$111:L$112)*TRANSPOSE(($D118:$E118))),0)</f>
        <v>-776559.99368161266</v>
      </c>
      <c r="M118" s="28" cm="1">
        <f t="array" ref="M118">M$110+IF($C118&lt;&gt;0,SUMPRODUCT((M$111:M$112)*TRANSPOSE(($D118:$E118))),0)</f>
        <v>-1443961.6743101571</v>
      </c>
      <c r="N118" s="28" cm="1">
        <f t="array" ref="N118">N$110+IF($C118&lt;&gt;0,SUMPRODUCT((N$111:N$112)*TRANSPOSE(($D118:$E118))),0)</f>
        <v>-2266414.4463058882</v>
      </c>
      <c r="O118" s="28" cm="1">
        <f t="array" ref="O118">O$110+IF($C118&lt;&gt;0,SUMPRODUCT((O$111:O$112)*TRANSPOSE(($D118:$E118))),0)</f>
        <v>-3053755.5534459949</v>
      </c>
      <c r="P118" s="28" cm="1">
        <f t="array" ref="P118">P$110+IF($C118&lt;&gt;0,SUMPRODUCT((P$111:P$112)*TRANSPOSE(($D118:$E118))),0)</f>
        <v>-3353361.3729569749</v>
      </c>
      <c r="Q118" s="28" cm="1">
        <f t="array" ref="Q118">Q$110+IF($C118&lt;&gt;0,SUMPRODUCT((Q$111:Q$112)*TRANSPOSE(($D118:$E118))),0)</f>
        <v>-3204874.7907702443</v>
      </c>
      <c r="R118" s="28" cm="1">
        <f t="array" ref="R118">R$110+IF($C118&lt;&gt;0,SUMPRODUCT((R$111:R$112)*TRANSPOSE(($D118:$E118))),0)</f>
        <v>-3061358.8146752072</v>
      </c>
      <c r="S118" s="28" cm="1">
        <f t="array" ref="S118">S$110+IF($C118&lt;&gt;0,SUMPRODUCT((S$111:S$112)*TRANSPOSE(($D118:$E118))),0)</f>
        <v>-3136192.8442131081</v>
      </c>
      <c r="T118" s="28" cm="1">
        <f t="array" ref="T118">T$110+IF($C118&lt;&gt;0,SUMPRODUCT((T$111:T$112)*TRANSPOSE(($D118:$E118))),0)</f>
        <v>-3136192.8442131081</v>
      </c>
      <c r="U118" s="28" cm="1">
        <f t="array" ref="U118">U$110+IF($C118&lt;&gt;0,SUMPRODUCT((U$111:U$112)*TRANSPOSE(($D118:$E118))),0)</f>
        <v>-3136192.8442131081</v>
      </c>
      <c r="V118" s="28" cm="1">
        <f t="array" ref="V118">V$110+IF($C118&lt;&gt;0,SUMPRODUCT((V$111:V$112)*TRANSPOSE(($D118:$E118))),0)</f>
        <v>-3136192.8442131081</v>
      </c>
      <c r="W118" s="28" cm="1">
        <f t="array" ref="W118">W$110+IF($C118&lt;&gt;0,SUMPRODUCT((W$111:W$112)*TRANSPOSE(($D118:$E118))),0)</f>
        <v>-3136192.8442131081</v>
      </c>
      <c r="X118" s="28" cm="1">
        <f t="array" ref="X118">X$110+IF($C118&lt;&gt;0,SUMPRODUCT((X$111:X$112)*TRANSPOSE(($D118:$E118))),0)</f>
        <v>-3136192.8442131081</v>
      </c>
      <c r="Y118" s="28" cm="1">
        <f t="array" ref="Y118">Y$110+IF($C118&lt;&gt;0,SUMPRODUCT((Y$111:Y$112)*TRANSPOSE(($D118:$E118))),0)</f>
        <v>-3136192.8442131081</v>
      </c>
      <c r="Z118" s="28" cm="1">
        <f t="array" ref="Z118">Z$110+IF($C118&lt;&gt;0,SUMPRODUCT((Z$111:Z$112)*TRANSPOSE(($D118:$E118))),0)</f>
        <v>-3136192.8442131081</v>
      </c>
      <c r="AA118" s="28" cm="1">
        <f t="array" ref="AA118">AA$110+IF($C118&lt;&gt;0,SUMPRODUCT((AA$111:AA$112)*TRANSPOSE(($D118:$E118))),0)</f>
        <v>-3136192.8442131081</v>
      </c>
      <c r="AB118" s="28" cm="1">
        <f t="array" ref="AB118">AB$110+IF($C118&lt;&gt;0,SUMPRODUCT((AB$111:AB$112)*TRANSPOSE(($D118:$E118))),0)</f>
        <v>-3136192.8442131081</v>
      </c>
      <c r="AC118" s="28" cm="1">
        <f t="array" ref="AC118">AC$110+IF($C118&lt;&gt;0,SUMPRODUCT((AC$111:AC$112)*TRANSPOSE(($D118:$E118))),0)</f>
        <v>-3136192.8442131081</v>
      </c>
      <c r="AD118" s="28" cm="1">
        <f t="array" ref="AD118">AD$110+IF($C118&lt;&gt;0,SUMPRODUCT((AD$111:AD$112)*TRANSPOSE(($D118:$E118))),0)</f>
        <v>-3136192.8442131081</v>
      </c>
      <c r="AE118" s="28" cm="1">
        <f t="array" ref="AE118">AE$110+IF($C118&lt;&gt;0,SUMPRODUCT((AE$111:AE$112)*TRANSPOSE(($D118:$E118))),0)</f>
        <v>-3136192.8442131081</v>
      </c>
      <c r="AF118" s="28" cm="1">
        <f t="array" ref="AF118">AF$110+IF($C118&lt;&gt;0,SUMPRODUCT((AF$111:AF$112)*TRANSPOSE(($D118:$E118))),0)</f>
        <v>-3136192.8442131081</v>
      </c>
      <c r="AG118" s="28" cm="1">
        <f t="array" ref="AG118">AG$110+IF($C118&lt;&gt;0,SUMPRODUCT((AG$111:AG$112)*TRANSPOSE(($D118:$E118))),0)</f>
        <v>-3136192.8442131081</v>
      </c>
    </row>
    <row r="119" spans="1:33" x14ac:dyDescent="0.2">
      <c r="A119" s="1" t="str">
        <f>"sens"&amp;Assumptions!B116</f>
        <v>sens</v>
      </c>
      <c r="C119" s="247">
        <f>Assumptions!C116</f>
        <v>0</v>
      </c>
      <c r="D119" s="248">
        <f>Assumptions!G116</f>
        <v>0</v>
      </c>
      <c r="E119" s="248">
        <f>Assumptions!H116</f>
        <v>0</v>
      </c>
      <c r="G119" s="33" t="str">
        <f t="shared" si="24"/>
        <v>Option 3sens</v>
      </c>
      <c r="I119" s="28" cm="1">
        <f t="array" ref="I119">I$110+IF($C119&lt;&gt;0,SUMPRODUCT((I$111:I$112)*TRANSPOSE(($D119:$E119))),0)</f>
        <v>0</v>
      </c>
      <c r="J119" s="28" cm="1">
        <f t="array" ref="J119">J$110+IF($C119&lt;&gt;0,SUMPRODUCT((J$111:J$112)*TRANSPOSE(($D119:$E119))),0)</f>
        <v>-337610.68856423401</v>
      </c>
      <c r="K119" s="28" cm="1">
        <f t="array" ref="K119">K$110+IF($C119&lt;&gt;0,SUMPRODUCT((K$111:K$112)*TRANSPOSE(($D119:$E119))),0)</f>
        <v>-701005.76915441419</v>
      </c>
      <c r="L119" s="28" cm="1">
        <f t="array" ref="L119">L$110+IF($C119&lt;&gt;0,SUMPRODUCT((L$111:L$112)*TRANSPOSE(($D119:$E119))),0)</f>
        <v>-695259.1601526076</v>
      </c>
      <c r="M119" s="28" cm="1">
        <f t="array" ref="M119">M$110+IF($C119&lt;&gt;0,SUMPRODUCT((M$111:M$112)*TRANSPOSE(($D119:$E119))),0)</f>
        <v>-1294704.2178513859</v>
      </c>
      <c r="N119" s="28" cm="1">
        <f t="array" ref="N119">N$110+IF($C119&lt;&gt;0,SUMPRODUCT((N$111:N$112)*TRANSPOSE(($D119:$E119))),0)</f>
        <v>-2032321.298304911</v>
      </c>
      <c r="O119" s="28" cm="1">
        <f t="array" ref="O119">O$110+IF($C119&lt;&gt;0,SUMPRODUCT((O$111:O$112)*TRANSPOSE(($D119:$E119))),0)</f>
        <v>-2730925.4178077425</v>
      </c>
      <c r="P119" s="28" cm="1">
        <f t="array" ref="P119">P$110+IF($C119&lt;&gt;0,SUMPRODUCT((P$111:P$112)*TRANSPOSE(($D119:$E119))),0)</f>
        <v>-2975711.10638241</v>
      </c>
      <c r="Q119" s="28" cm="1">
        <f t="array" ref="Q119">Q$110+IF($C119&lt;&gt;0,SUMPRODUCT((Q$111:Q$112)*TRANSPOSE(($D119:$E119))),0)</f>
        <v>-2810726.0150638204</v>
      </c>
      <c r="R119" s="28" cm="1">
        <f t="array" ref="R119">R$110+IF($C119&lt;&gt;0,SUMPRODUCT((R$111:R$112)*TRANSPOSE(($D119:$E119))),0)</f>
        <v>-2651263.8194026682</v>
      </c>
      <c r="S119" s="28" cm="1">
        <f t="array" ref="S119">S$110+IF($C119&lt;&gt;0,SUMPRODUCT((S$111:S$112)*TRANSPOSE(($D119:$E119))),0)</f>
        <v>-2734412.7411114466</v>
      </c>
      <c r="T119" s="28" cm="1">
        <f t="array" ref="T119">T$110+IF($C119&lt;&gt;0,SUMPRODUCT((T$111:T$112)*TRANSPOSE(($D119:$E119))),0)</f>
        <v>-2734412.7411114466</v>
      </c>
      <c r="U119" s="28" cm="1">
        <f t="array" ref="U119">U$110+IF($C119&lt;&gt;0,SUMPRODUCT((U$111:U$112)*TRANSPOSE(($D119:$E119))),0)</f>
        <v>-2734412.7411114466</v>
      </c>
      <c r="V119" s="28" cm="1">
        <f t="array" ref="V119">V$110+IF($C119&lt;&gt;0,SUMPRODUCT((V$111:V$112)*TRANSPOSE(($D119:$E119))),0)</f>
        <v>-2734412.7411114466</v>
      </c>
      <c r="W119" s="28" cm="1">
        <f t="array" ref="W119">W$110+IF($C119&lt;&gt;0,SUMPRODUCT((W$111:W$112)*TRANSPOSE(($D119:$E119))),0)</f>
        <v>-2734412.7411114466</v>
      </c>
      <c r="X119" s="28" cm="1">
        <f t="array" ref="X119">X$110+IF($C119&lt;&gt;0,SUMPRODUCT((X$111:X$112)*TRANSPOSE(($D119:$E119))),0)</f>
        <v>-2734412.7411114466</v>
      </c>
      <c r="Y119" s="28" cm="1">
        <f t="array" ref="Y119">Y$110+IF($C119&lt;&gt;0,SUMPRODUCT((Y$111:Y$112)*TRANSPOSE(($D119:$E119))),0)</f>
        <v>-2734412.7411114466</v>
      </c>
      <c r="Z119" s="28" cm="1">
        <f t="array" ref="Z119">Z$110+IF($C119&lt;&gt;0,SUMPRODUCT((Z$111:Z$112)*TRANSPOSE(($D119:$E119))),0)</f>
        <v>-2734412.7411114466</v>
      </c>
      <c r="AA119" s="28" cm="1">
        <f t="array" ref="AA119">AA$110+IF($C119&lt;&gt;0,SUMPRODUCT((AA$111:AA$112)*TRANSPOSE(($D119:$E119))),0)</f>
        <v>-2734412.7411114466</v>
      </c>
      <c r="AB119" s="28" cm="1">
        <f t="array" ref="AB119">AB$110+IF($C119&lt;&gt;0,SUMPRODUCT((AB$111:AB$112)*TRANSPOSE(($D119:$E119))),0)</f>
        <v>-2734412.7411114466</v>
      </c>
      <c r="AC119" s="28" cm="1">
        <f t="array" ref="AC119">AC$110+IF($C119&lt;&gt;0,SUMPRODUCT((AC$111:AC$112)*TRANSPOSE(($D119:$E119))),0)</f>
        <v>-2734412.7411114466</v>
      </c>
      <c r="AD119" s="28" cm="1">
        <f t="array" ref="AD119">AD$110+IF($C119&lt;&gt;0,SUMPRODUCT((AD$111:AD$112)*TRANSPOSE(($D119:$E119))),0)</f>
        <v>-2734412.7411114466</v>
      </c>
      <c r="AE119" s="28" cm="1">
        <f t="array" ref="AE119">AE$110+IF($C119&lt;&gt;0,SUMPRODUCT((AE$111:AE$112)*TRANSPOSE(($D119:$E119))),0)</f>
        <v>-2734412.7411114466</v>
      </c>
      <c r="AF119" s="28" cm="1">
        <f t="array" ref="AF119">AF$110+IF($C119&lt;&gt;0,SUMPRODUCT((AF$111:AF$112)*TRANSPOSE(($D119:$E119))),0)</f>
        <v>-2734412.7411114466</v>
      </c>
      <c r="AG119" s="28" cm="1">
        <f t="array" ref="AG119">AG$110+IF($C119&lt;&gt;0,SUMPRODUCT((AG$111:AG$112)*TRANSPOSE(($D119:$E119))),0)</f>
        <v>-2734412.7411114466</v>
      </c>
    </row>
    <row r="120" spans="1:33" x14ac:dyDescent="0.2">
      <c r="A120" s="1" t="str">
        <f>"sens"&amp;Assumptions!B117</f>
        <v>sens</v>
      </c>
      <c r="C120" s="247">
        <f>Assumptions!C117</f>
        <v>0</v>
      </c>
      <c r="D120" s="248">
        <f>Assumptions!G117</f>
        <v>0</v>
      </c>
      <c r="E120" s="248">
        <f>Assumptions!H117</f>
        <v>0</v>
      </c>
      <c r="G120" s="33" t="str">
        <f t="shared" si="24"/>
        <v>Option 3sens</v>
      </c>
      <c r="I120" s="28" cm="1">
        <f t="array" ref="I120">I$110+IF($C120&lt;&gt;0,SUMPRODUCT((I$111:I$112)*TRANSPOSE(($D120:$E120))),0)</f>
        <v>0</v>
      </c>
      <c r="J120" s="28" cm="1">
        <f t="array" ref="J120">J$110+IF($C120&lt;&gt;0,SUMPRODUCT((J$111:J$112)*TRANSPOSE(($D120:$E120))),0)</f>
        <v>-337610.68856423401</v>
      </c>
      <c r="K120" s="28" cm="1">
        <f t="array" ref="K120">K$110+IF($C120&lt;&gt;0,SUMPRODUCT((K$111:K$112)*TRANSPOSE(($D120:$E120))),0)</f>
        <v>-701005.76915441419</v>
      </c>
      <c r="L120" s="28" cm="1">
        <f t="array" ref="L120">L$110+IF($C120&lt;&gt;0,SUMPRODUCT((L$111:L$112)*TRANSPOSE(($D120:$E120))),0)</f>
        <v>-695259.1601526076</v>
      </c>
      <c r="M120" s="28" cm="1">
        <f t="array" ref="M120">M$110+IF($C120&lt;&gt;0,SUMPRODUCT((M$111:M$112)*TRANSPOSE(($D120:$E120))),0)</f>
        <v>-1294704.2178513859</v>
      </c>
      <c r="N120" s="28" cm="1">
        <f t="array" ref="N120">N$110+IF($C120&lt;&gt;0,SUMPRODUCT((N$111:N$112)*TRANSPOSE(($D120:$E120))),0)</f>
        <v>-2032321.298304911</v>
      </c>
      <c r="O120" s="28" cm="1">
        <f t="array" ref="O120">O$110+IF($C120&lt;&gt;0,SUMPRODUCT((O$111:O$112)*TRANSPOSE(($D120:$E120))),0)</f>
        <v>-2730925.4178077425</v>
      </c>
      <c r="P120" s="28" cm="1">
        <f t="array" ref="P120">P$110+IF($C120&lt;&gt;0,SUMPRODUCT((P$111:P$112)*TRANSPOSE(($D120:$E120))),0)</f>
        <v>-2975711.10638241</v>
      </c>
      <c r="Q120" s="28" cm="1">
        <f t="array" ref="Q120">Q$110+IF($C120&lt;&gt;0,SUMPRODUCT((Q$111:Q$112)*TRANSPOSE(($D120:$E120))),0)</f>
        <v>-2810726.0150638204</v>
      </c>
      <c r="R120" s="28" cm="1">
        <f t="array" ref="R120">R$110+IF($C120&lt;&gt;0,SUMPRODUCT((R$111:R$112)*TRANSPOSE(($D120:$E120))),0)</f>
        <v>-2651263.8194026682</v>
      </c>
      <c r="S120" s="28" cm="1">
        <f t="array" ref="S120">S$110+IF($C120&lt;&gt;0,SUMPRODUCT((S$111:S$112)*TRANSPOSE(($D120:$E120))),0)</f>
        <v>-2734412.7411114466</v>
      </c>
      <c r="T120" s="28" cm="1">
        <f t="array" ref="T120">T$110+IF($C120&lt;&gt;0,SUMPRODUCT((T$111:T$112)*TRANSPOSE(($D120:$E120))),0)</f>
        <v>-2734412.7411114466</v>
      </c>
      <c r="U120" s="28" cm="1">
        <f t="array" ref="U120">U$110+IF($C120&lt;&gt;0,SUMPRODUCT((U$111:U$112)*TRANSPOSE(($D120:$E120))),0)</f>
        <v>-2734412.7411114466</v>
      </c>
      <c r="V120" s="28" cm="1">
        <f t="array" ref="V120">V$110+IF($C120&lt;&gt;0,SUMPRODUCT((V$111:V$112)*TRANSPOSE(($D120:$E120))),0)</f>
        <v>-2734412.7411114466</v>
      </c>
      <c r="W120" s="28" cm="1">
        <f t="array" ref="W120">W$110+IF($C120&lt;&gt;0,SUMPRODUCT((W$111:W$112)*TRANSPOSE(($D120:$E120))),0)</f>
        <v>-2734412.7411114466</v>
      </c>
      <c r="X120" s="28" cm="1">
        <f t="array" ref="X120">X$110+IF($C120&lt;&gt;0,SUMPRODUCT((X$111:X$112)*TRANSPOSE(($D120:$E120))),0)</f>
        <v>-2734412.7411114466</v>
      </c>
      <c r="Y120" s="28" cm="1">
        <f t="array" ref="Y120">Y$110+IF($C120&lt;&gt;0,SUMPRODUCT((Y$111:Y$112)*TRANSPOSE(($D120:$E120))),0)</f>
        <v>-2734412.7411114466</v>
      </c>
      <c r="Z120" s="28" cm="1">
        <f t="array" ref="Z120">Z$110+IF($C120&lt;&gt;0,SUMPRODUCT((Z$111:Z$112)*TRANSPOSE(($D120:$E120))),0)</f>
        <v>-2734412.7411114466</v>
      </c>
      <c r="AA120" s="28" cm="1">
        <f t="array" ref="AA120">AA$110+IF($C120&lt;&gt;0,SUMPRODUCT((AA$111:AA$112)*TRANSPOSE(($D120:$E120))),0)</f>
        <v>-2734412.7411114466</v>
      </c>
      <c r="AB120" s="28" cm="1">
        <f t="array" ref="AB120">AB$110+IF($C120&lt;&gt;0,SUMPRODUCT((AB$111:AB$112)*TRANSPOSE(($D120:$E120))),0)</f>
        <v>-2734412.7411114466</v>
      </c>
      <c r="AC120" s="28" cm="1">
        <f t="array" ref="AC120">AC$110+IF($C120&lt;&gt;0,SUMPRODUCT((AC$111:AC$112)*TRANSPOSE(($D120:$E120))),0)</f>
        <v>-2734412.7411114466</v>
      </c>
      <c r="AD120" s="28" cm="1">
        <f t="array" ref="AD120">AD$110+IF($C120&lt;&gt;0,SUMPRODUCT((AD$111:AD$112)*TRANSPOSE(($D120:$E120))),0)</f>
        <v>-2734412.7411114466</v>
      </c>
      <c r="AE120" s="28" cm="1">
        <f t="array" ref="AE120">AE$110+IF($C120&lt;&gt;0,SUMPRODUCT((AE$111:AE$112)*TRANSPOSE(($D120:$E120))),0)</f>
        <v>-2734412.7411114466</v>
      </c>
      <c r="AF120" s="28" cm="1">
        <f t="array" ref="AF120">AF$110+IF($C120&lt;&gt;0,SUMPRODUCT((AF$111:AF$112)*TRANSPOSE(($D120:$E120))),0)</f>
        <v>-2734412.7411114466</v>
      </c>
      <c r="AG120" s="28" cm="1">
        <f t="array" ref="AG120">AG$110+IF($C120&lt;&gt;0,SUMPRODUCT((AG$111:AG$112)*TRANSPOSE(($D120:$E120))),0)</f>
        <v>-2734412.7411114466</v>
      </c>
    </row>
    <row r="121" spans="1:33" x14ac:dyDescent="0.2">
      <c r="A121" s="1" t="str">
        <f>"sens"&amp;Assumptions!B118</f>
        <v>sens</v>
      </c>
      <c r="C121" s="247">
        <f>Assumptions!C118</f>
        <v>0</v>
      </c>
      <c r="D121" s="248">
        <f>Assumptions!G118</f>
        <v>0</v>
      </c>
      <c r="E121" s="248">
        <f>Assumptions!H118</f>
        <v>0</v>
      </c>
      <c r="G121" s="33" t="str">
        <f t="shared" si="24"/>
        <v>Option 3sens</v>
      </c>
      <c r="I121" s="28" cm="1">
        <f t="array" ref="I121">I$110+IF($C121&lt;&gt;0,SUMPRODUCT((I$111:I$112)*TRANSPOSE(($D121:$E121))),0)</f>
        <v>0</v>
      </c>
      <c r="J121" s="28" cm="1">
        <f t="array" ref="J121">J$110+IF($C121&lt;&gt;0,SUMPRODUCT((J$111:J$112)*TRANSPOSE(($D121:$E121))),0)</f>
        <v>-337610.68856423401</v>
      </c>
      <c r="K121" s="28" cm="1">
        <f t="array" ref="K121">K$110+IF($C121&lt;&gt;0,SUMPRODUCT((K$111:K$112)*TRANSPOSE(($D121:$E121))),0)</f>
        <v>-701005.76915441419</v>
      </c>
      <c r="L121" s="28" cm="1">
        <f t="array" ref="L121">L$110+IF($C121&lt;&gt;0,SUMPRODUCT((L$111:L$112)*TRANSPOSE(($D121:$E121))),0)</f>
        <v>-695259.1601526076</v>
      </c>
      <c r="M121" s="28" cm="1">
        <f t="array" ref="M121">M$110+IF($C121&lt;&gt;0,SUMPRODUCT((M$111:M$112)*TRANSPOSE(($D121:$E121))),0)</f>
        <v>-1294704.2178513859</v>
      </c>
      <c r="N121" s="28" cm="1">
        <f t="array" ref="N121">N$110+IF($C121&lt;&gt;0,SUMPRODUCT((N$111:N$112)*TRANSPOSE(($D121:$E121))),0)</f>
        <v>-2032321.298304911</v>
      </c>
      <c r="O121" s="28" cm="1">
        <f t="array" ref="O121">O$110+IF($C121&lt;&gt;0,SUMPRODUCT((O$111:O$112)*TRANSPOSE(($D121:$E121))),0)</f>
        <v>-2730925.4178077425</v>
      </c>
      <c r="P121" s="28" cm="1">
        <f t="array" ref="P121">P$110+IF($C121&lt;&gt;0,SUMPRODUCT((P$111:P$112)*TRANSPOSE(($D121:$E121))),0)</f>
        <v>-2975711.10638241</v>
      </c>
      <c r="Q121" s="28" cm="1">
        <f t="array" ref="Q121">Q$110+IF($C121&lt;&gt;0,SUMPRODUCT((Q$111:Q$112)*TRANSPOSE(($D121:$E121))),0)</f>
        <v>-2810726.0150638204</v>
      </c>
      <c r="R121" s="28" cm="1">
        <f t="array" ref="R121">R$110+IF($C121&lt;&gt;0,SUMPRODUCT((R$111:R$112)*TRANSPOSE(($D121:$E121))),0)</f>
        <v>-2651263.8194026682</v>
      </c>
      <c r="S121" s="28" cm="1">
        <f t="array" ref="S121">S$110+IF($C121&lt;&gt;0,SUMPRODUCT((S$111:S$112)*TRANSPOSE(($D121:$E121))),0)</f>
        <v>-2734412.7411114466</v>
      </c>
      <c r="T121" s="28" cm="1">
        <f t="array" ref="T121">T$110+IF($C121&lt;&gt;0,SUMPRODUCT((T$111:T$112)*TRANSPOSE(($D121:$E121))),0)</f>
        <v>-2734412.7411114466</v>
      </c>
      <c r="U121" s="28" cm="1">
        <f t="array" ref="U121">U$110+IF($C121&lt;&gt;0,SUMPRODUCT((U$111:U$112)*TRANSPOSE(($D121:$E121))),0)</f>
        <v>-2734412.7411114466</v>
      </c>
      <c r="V121" s="28" cm="1">
        <f t="array" ref="V121">V$110+IF($C121&lt;&gt;0,SUMPRODUCT((V$111:V$112)*TRANSPOSE(($D121:$E121))),0)</f>
        <v>-2734412.7411114466</v>
      </c>
      <c r="W121" s="28" cm="1">
        <f t="array" ref="W121">W$110+IF($C121&lt;&gt;0,SUMPRODUCT((W$111:W$112)*TRANSPOSE(($D121:$E121))),0)</f>
        <v>-2734412.7411114466</v>
      </c>
      <c r="X121" s="28" cm="1">
        <f t="array" ref="X121">X$110+IF($C121&lt;&gt;0,SUMPRODUCT((X$111:X$112)*TRANSPOSE(($D121:$E121))),0)</f>
        <v>-2734412.7411114466</v>
      </c>
      <c r="Y121" s="28" cm="1">
        <f t="array" ref="Y121">Y$110+IF($C121&lt;&gt;0,SUMPRODUCT((Y$111:Y$112)*TRANSPOSE(($D121:$E121))),0)</f>
        <v>-2734412.7411114466</v>
      </c>
      <c r="Z121" s="28" cm="1">
        <f t="array" ref="Z121">Z$110+IF($C121&lt;&gt;0,SUMPRODUCT((Z$111:Z$112)*TRANSPOSE(($D121:$E121))),0)</f>
        <v>-2734412.7411114466</v>
      </c>
      <c r="AA121" s="28" cm="1">
        <f t="array" ref="AA121">AA$110+IF($C121&lt;&gt;0,SUMPRODUCT((AA$111:AA$112)*TRANSPOSE(($D121:$E121))),0)</f>
        <v>-2734412.7411114466</v>
      </c>
      <c r="AB121" s="28" cm="1">
        <f t="array" ref="AB121">AB$110+IF($C121&lt;&gt;0,SUMPRODUCT((AB$111:AB$112)*TRANSPOSE(($D121:$E121))),0)</f>
        <v>-2734412.7411114466</v>
      </c>
      <c r="AC121" s="28" cm="1">
        <f t="array" ref="AC121">AC$110+IF($C121&lt;&gt;0,SUMPRODUCT((AC$111:AC$112)*TRANSPOSE(($D121:$E121))),0)</f>
        <v>-2734412.7411114466</v>
      </c>
      <c r="AD121" s="28" cm="1">
        <f t="array" ref="AD121">AD$110+IF($C121&lt;&gt;0,SUMPRODUCT((AD$111:AD$112)*TRANSPOSE(($D121:$E121))),0)</f>
        <v>-2734412.7411114466</v>
      </c>
      <c r="AE121" s="28" cm="1">
        <f t="array" ref="AE121">AE$110+IF($C121&lt;&gt;0,SUMPRODUCT((AE$111:AE$112)*TRANSPOSE(($D121:$E121))),0)</f>
        <v>-2734412.7411114466</v>
      </c>
      <c r="AF121" s="28" cm="1">
        <f t="array" ref="AF121">AF$110+IF($C121&lt;&gt;0,SUMPRODUCT((AF$111:AF$112)*TRANSPOSE(($D121:$E121))),0)</f>
        <v>-2734412.7411114466</v>
      </c>
      <c r="AG121" s="28" cm="1">
        <f t="array" ref="AG121">AG$110+IF($C121&lt;&gt;0,SUMPRODUCT((AG$111:AG$112)*TRANSPOSE(($D121:$E121))),0)</f>
        <v>-2734412.7411114466</v>
      </c>
    </row>
  </sheetData>
  <conditionalFormatting sqref="E14:E16">
    <cfRule type="expression" dxfId="10" priority="2">
      <formula>AND(SUM($I14:$AB14)&lt;&gt;0, E14=0)</formula>
    </cfRule>
  </conditionalFormatting>
  <conditionalFormatting sqref="E27">
    <cfRule type="expression" dxfId="9" priority="1">
      <formula>AND(SUM($I27:$AF27)&lt;&gt;0, E27=0)</formula>
    </cfRule>
  </conditionalFormatting>
  <conditionalFormatting sqref="E32">
    <cfRule type="expression" dxfId="8" priority="7">
      <formula>AND(SUM($I$31:$AG$31)&gt;0, $E$32=0)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6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21"/>
  <sheetViews>
    <sheetView showGridLines="0" zoomScale="85" zoomScaleNormal="85" workbookViewId="0">
      <pane xSplit="7" ySplit="10" topLeftCell="H11" activePane="bottomRight" state="frozen"/>
      <selection activeCell="I31" sqref="I31"/>
      <selection pane="topRight" activeCell="I31" sqref="I31"/>
      <selection pane="bottomLeft" activeCell="I31" sqref="I31"/>
      <selection pane="bottomRight" activeCell="H11" sqref="H11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11.87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49" t="str">
        <f>proj</f>
        <v>CBD security of supply</v>
      </c>
      <c r="B2" s="4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2" t="s">
        <v>144</v>
      </c>
      <c r="B3" s="5"/>
      <c r="C3" s="297" t="str">
        <f>INDEX(Assumptions!$E$14:$E$18, MATCH(A3,_xlfn.ANCHORARRAY( Assumptions!$C$14),0))</f>
        <v>Rebuild J zone substation</v>
      </c>
    </row>
    <row r="4" spans="1:43" x14ac:dyDescent="0.2">
      <c r="A4" s="1" t="str">
        <f>(INDEX(Data!$D$9:$D$13, MATCH(A3, options,0)))</f>
        <v/>
      </c>
      <c r="B4" s="158"/>
      <c r="C4" s="206"/>
    </row>
    <row r="5" spans="1:43" hidden="1" outlineLevel="1" x14ac:dyDescent="0.2">
      <c r="C5" s="84"/>
      <c r="D5" s="83"/>
      <c r="E5" s="85"/>
      <c r="F5" s="85"/>
      <c r="G5" s="83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</row>
    <row r="6" spans="1:43" hidden="1" outlineLevel="1" x14ac:dyDescent="0.2">
      <c r="A6" s="83" t="str">
        <f>'Option1 (base case)'!A6</f>
        <v>Count</v>
      </c>
      <c r="B6" s="83"/>
      <c r="C6" s="84"/>
      <c r="D6" s="83"/>
      <c r="E6" s="85"/>
      <c r="F6" s="85"/>
      <c r="G6" s="83"/>
      <c r="H6" s="86"/>
      <c r="I6" s="86">
        <f>'Option1 (base case)'!I6</f>
        <v>1</v>
      </c>
      <c r="J6" s="86">
        <f>'Option1 (base case)'!J6</f>
        <v>2</v>
      </c>
      <c r="K6" s="86">
        <f>'Option1 (base case)'!K6</f>
        <v>3</v>
      </c>
      <c r="L6" s="86">
        <f>'Option1 (base case)'!L6</f>
        <v>4</v>
      </c>
      <c r="M6" s="86">
        <f>'Option1 (base case)'!M6</f>
        <v>5</v>
      </c>
      <c r="N6" s="86">
        <f>'Option1 (base case)'!N6</f>
        <v>6</v>
      </c>
      <c r="O6" s="86">
        <f>'Option1 (base case)'!O6</f>
        <v>7</v>
      </c>
      <c r="P6" s="86">
        <f>'Option1 (base case)'!P6</f>
        <v>8</v>
      </c>
      <c r="Q6" s="86">
        <f>'Option1 (base case)'!Q6</f>
        <v>9</v>
      </c>
      <c r="R6" s="86">
        <f>'Option1 (base case)'!R6</f>
        <v>10</v>
      </c>
      <c r="S6" s="86">
        <f>'Option1 (base case)'!S6</f>
        <v>11</v>
      </c>
      <c r="T6" s="86">
        <f>'Option1 (base case)'!T6</f>
        <v>12</v>
      </c>
      <c r="U6" s="86">
        <f>'Option1 (base case)'!U6</f>
        <v>13</v>
      </c>
      <c r="V6" s="86">
        <f>'Option1 (base case)'!V6</f>
        <v>14</v>
      </c>
      <c r="W6" s="86">
        <f>'Option1 (base case)'!W6</f>
        <v>15</v>
      </c>
      <c r="X6" s="86">
        <f>'Option1 (base case)'!X6</f>
        <v>16</v>
      </c>
      <c r="Y6" s="86">
        <f>'Option1 (base case)'!Y6</f>
        <v>17</v>
      </c>
      <c r="Z6" s="86">
        <f>'Option1 (base case)'!Z6</f>
        <v>18</v>
      </c>
      <c r="AA6" s="86">
        <f>'Option1 (base case)'!AA6</f>
        <v>19</v>
      </c>
      <c r="AB6" s="86">
        <f>'Option1 (base case)'!AB6</f>
        <v>20</v>
      </c>
      <c r="AC6" s="86">
        <f>'Option1 (base case)'!AC6</f>
        <v>21</v>
      </c>
      <c r="AD6" s="86">
        <f>'Option1 (base case)'!AD6</f>
        <v>22</v>
      </c>
      <c r="AE6" s="86">
        <f>'Option1 (base case)'!AE6</f>
        <v>23</v>
      </c>
      <c r="AF6" s="86">
        <f>'Option1 (base case)'!AF6</f>
        <v>24</v>
      </c>
      <c r="AG6" s="86">
        <f>'Option1 (base case)'!AG6</f>
        <v>25</v>
      </c>
    </row>
    <row r="7" spans="1:43" hidden="1" outlineLevel="1" x14ac:dyDescent="0.2">
      <c r="A7" s="83" t="str">
        <f>'Option1 (base case)'!A7</f>
        <v>Value of CO2 reductions</v>
      </c>
      <c r="B7" s="83"/>
      <c r="G7" s="133" t="s">
        <v>93</v>
      </c>
      <c r="I7" s="84">
        <f>'Option1 (base case)'!I7</f>
        <v>24.730486797759085</v>
      </c>
      <c r="J7" s="84">
        <f>'Option1 (base case)'!J7</f>
        <v>22.340740091772258</v>
      </c>
      <c r="K7" s="84">
        <f>'Option1 (base case)'!K7</f>
        <v>20.196329122153124</v>
      </c>
      <c r="L7" s="84">
        <f>'Option1 (base case)'!L7</f>
        <v>18.06294207659629</v>
      </c>
      <c r="M7" s="84">
        <f>'Option1 (base case)'!M7</f>
        <v>15.913397615084225</v>
      </c>
      <c r="N7" s="84">
        <f>'Option1 (base case)'!N7</f>
        <v>13.715069432539002</v>
      </c>
      <c r="O7" s="84">
        <f>'Option1 (base case)'!O7</f>
        <v>13.715069432539002</v>
      </c>
      <c r="P7" s="84">
        <f>'Option1 (base case)'!P7</f>
        <v>13.715069432539002</v>
      </c>
      <c r="Q7" s="84">
        <f>'Option1 (base case)'!Q7</f>
        <v>13.715069432539002</v>
      </c>
      <c r="R7" s="84">
        <f>'Option1 (base case)'!R7</f>
        <v>13.715069432539002</v>
      </c>
      <c r="S7" s="84">
        <f>'Option1 (base case)'!S7</f>
        <v>13.715069432539002</v>
      </c>
      <c r="T7" s="84">
        <f>'Option1 (base case)'!T7</f>
        <v>13.715069432539002</v>
      </c>
      <c r="U7" s="84">
        <f>'Option1 (base case)'!U7</f>
        <v>13.715069432539002</v>
      </c>
      <c r="V7" s="84">
        <f>'Option1 (base case)'!V7</f>
        <v>13.715069432539002</v>
      </c>
      <c r="W7" s="84">
        <f>'Option1 (base case)'!W7</f>
        <v>13.715069432539002</v>
      </c>
      <c r="X7" s="84">
        <f>'Option1 (base case)'!X7</f>
        <v>13.715069432539002</v>
      </c>
      <c r="Y7" s="84">
        <f>'Option1 (base case)'!Y7</f>
        <v>13.715069432539002</v>
      </c>
      <c r="Z7" s="84">
        <f>'Option1 (base case)'!Z7</f>
        <v>13.715069432539002</v>
      </c>
      <c r="AA7" s="84">
        <f>'Option1 (base case)'!AA7</f>
        <v>13.715069432539002</v>
      </c>
      <c r="AB7" s="84">
        <f>'Option1 (base case)'!AB7</f>
        <v>13.715069432539002</v>
      </c>
      <c r="AC7" s="84">
        <f>'Option1 (base case)'!AC7</f>
        <v>13.715069432539002</v>
      </c>
      <c r="AD7" s="84">
        <f>'Option1 (base case)'!AD7</f>
        <v>13.715069432539002</v>
      </c>
      <c r="AE7" s="84">
        <f>'Option1 (base case)'!AE7</f>
        <v>13.715069432539002</v>
      </c>
      <c r="AF7" s="84">
        <f>'Option1 (base case)'!AF7</f>
        <v>13.715069432539002</v>
      </c>
      <c r="AG7" s="84">
        <f>'Option1 (base case)'!AG7</f>
        <v>13.715069432539002</v>
      </c>
    </row>
    <row r="8" spans="1:43" ht="16.5" customHeight="1" collapsed="1" x14ac:dyDescent="0.2">
      <c r="C8" s="84"/>
      <c r="D8" s="83"/>
      <c r="E8" s="85"/>
      <c r="F8" s="85"/>
      <c r="G8" s="83"/>
      <c r="H8" s="86"/>
      <c r="I8" s="86">
        <f>_xlfn.NUMBERVALUE(LEFT(I$9,4))+1</f>
        <v>2027</v>
      </c>
      <c r="J8" s="86">
        <f t="shared" ref="J8:AG8" si="0">_xlfn.NUMBERVALUE(LEFT(J$9,4))+1</f>
        <v>2028</v>
      </c>
      <c r="K8" s="86">
        <f t="shared" si="0"/>
        <v>2029</v>
      </c>
      <c r="L8" s="86">
        <f t="shared" si="0"/>
        <v>2030</v>
      </c>
      <c r="M8" s="86">
        <f t="shared" si="0"/>
        <v>2031</v>
      </c>
      <c r="N8" s="86">
        <f t="shared" si="0"/>
        <v>2032</v>
      </c>
      <c r="O8" s="86">
        <f t="shared" si="0"/>
        <v>2033</v>
      </c>
      <c r="P8" s="86">
        <f t="shared" si="0"/>
        <v>2034</v>
      </c>
      <c r="Q8" s="86">
        <f t="shared" si="0"/>
        <v>2035</v>
      </c>
      <c r="R8" s="86">
        <f t="shared" si="0"/>
        <v>2036</v>
      </c>
      <c r="S8" s="86">
        <f t="shared" si="0"/>
        <v>2037</v>
      </c>
      <c r="T8" s="86">
        <f t="shared" si="0"/>
        <v>2038</v>
      </c>
      <c r="U8" s="86">
        <f t="shared" si="0"/>
        <v>2039</v>
      </c>
      <c r="V8" s="86">
        <f t="shared" si="0"/>
        <v>2040</v>
      </c>
      <c r="W8" s="86">
        <f t="shared" si="0"/>
        <v>2041</v>
      </c>
      <c r="X8" s="86">
        <f t="shared" si="0"/>
        <v>2042</v>
      </c>
      <c r="Y8" s="86">
        <f t="shared" si="0"/>
        <v>2043</v>
      </c>
      <c r="Z8" s="86">
        <f t="shared" si="0"/>
        <v>2044</v>
      </c>
      <c r="AA8" s="86">
        <f t="shared" si="0"/>
        <v>2045</v>
      </c>
      <c r="AB8" s="86">
        <f t="shared" si="0"/>
        <v>2046</v>
      </c>
      <c r="AC8" s="86">
        <f t="shared" si="0"/>
        <v>2047</v>
      </c>
      <c r="AD8" s="86">
        <f t="shared" si="0"/>
        <v>2048</v>
      </c>
      <c r="AE8" s="86">
        <f t="shared" si="0"/>
        <v>2049</v>
      </c>
      <c r="AF8" s="86">
        <f t="shared" si="0"/>
        <v>2050</v>
      </c>
      <c r="AG8" s="86">
        <f t="shared" si="0"/>
        <v>2051</v>
      </c>
    </row>
    <row r="9" spans="1:43" ht="15" x14ac:dyDescent="0.2">
      <c r="A9" s="16"/>
      <c r="B9" s="16"/>
      <c r="C9" s="16"/>
      <c r="D9" s="16"/>
      <c r="E9" s="16"/>
      <c r="F9" s="116"/>
      <c r="G9" s="16" t="s">
        <v>94</v>
      </c>
      <c r="H9" s="188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6" t="s">
        <v>95</v>
      </c>
      <c r="B11" s="76"/>
      <c r="C11" s="77"/>
      <c r="D11" s="77"/>
      <c r="E11" s="77"/>
      <c r="F11" s="77"/>
      <c r="G11" s="17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/>
      <c r="AI11"/>
      <c r="AJ11"/>
      <c r="AK11"/>
      <c r="AL11"/>
      <c r="AM11"/>
    </row>
    <row r="12" spans="1:43" x14ac:dyDescent="0.2">
      <c r="A12" s="3"/>
      <c r="B12" s="3"/>
      <c r="C12" s="3"/>
      <c r="D12" s="3"/>
      <c r="G12" s="174"/>
      <c r="AH12"/>
      <c r="AI12"/>
      <c r="AJ12"/>
      <c r="AK12"/>
      <c r="AL12"/>
      <c r="AM12"/>
    </row>
    <row r="13" spans="1:43" x14ac:dyDescent="0.2">
      <c r="C13" s="3" t="s">
        <v>88</v>
      </c>
      <c r="D13"/>
      <c r="E13" s="102" t="s">
        <v>96</v>
      </c>
      <c r="G13" s="175"/>
      <c r="H13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0" t="s">
        <v>32</v>
      </c>
      <c r="D14"/>
      <c r="E14" s="122">
        <v>50</v>
      </c>
      <c r="G14" s="176">
        <f>input_dollars</f>
        <v>45291</v>
      </c>
      <c r="H14" s="123"/>
      <c r="I14" s="29">
        <v>6000000</v>
      </c>
      <c r="J14" s="29">
        <v>24800000</v>
      </c>
      <c r="K14" s="29">
        <v>25200000</v>
      </c>
      <c r="L14" s="29">
        <v>6000000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0" t="s">
        <v>97</v>
      </c>
      <c r="D15"/>
      <c r="E15" s="122">
        <v>0</v>
      </c>
      <c r="G15" s="176">
        <f>input_dollars</f>
        <v>45291</v>
      </c>
      <c r="H15" s="2"/>
      <c r="I15" s="29"/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0" t="s">
        <v>97</v>
      </c>
      <c r="D16"/>
      <c r="E16" s="122">
        <v>0</v>
      </c>
      <c r="G16" s="176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15</v>
      </c>
      <c r="G17" s="176">
        <f>input_dollars</f>
        <v>45291</v>
      </c>
      <c r="H17" s="91"/>
      <c r="I17" s="90">
        <f t="shared" ref="I17:Q17" si="1">SUM(I14:I16)</f>
        <v>6000000</v>
      </c>
      <c r="J17" s="90">
        <f t="shared" si="1"/>
        <v>24800000</v>
      </c>
      <c r="K17" s="90">
        <f t="shared" si="1"/>
        <v>25200000</v>
      </c>
      <c r="L17" s="90">
        <f t="shared" si="1"/>
        <v>6000000</v>
      </c>
      <c r="M17" s="90">
        <f t="shared" si="1"/>
        <v>0</v>
      </c>
      <c r="N17" s="90">
        <f t="shared" si="1"/>
        <v>0</v>
      </c>
      <c r="O17" s="90">
        <f t="shared" si="1"/>
        <v>0</v>
      </c>
      <c r="P17" s="90">
        <f t="shared" si="1"/>
        <v>0</v>
      </c>
      <c r="Q17" s="90">
        <f t="shared" si="1"/>
        <v>0</v>
      </c>
      <c r="R17" s="90">
        <f t="shared" ref="R17:AG17" si="2">SUM(R14:R16)</f>
        <v>0</v>
      </c>
      <c r="S17" s="90">
        <f t="shared" si="2"/>
        <v>0</v>
      </c>
      <c r="T17" s="90">
        <f t="shared" si="2"/>
        <v>0</v>
      </c>
      <c r="U17" s="90">
        <f t="shared" si="2"/>
        <v>0</v>
      </c>
      <c r="V17" s="90">
        <f t="shared" si="2"/>
        <v>0</v>
      </c>
      <c r="W17" s="90">
        <f t="shared" si="2"/>
        <v>0</v>
      </c>
      <c r="X17" s="90">
        <f t="shared" si="2"/>
        <v>0</v>
      </c>
      <c r="Y17" s="90">
        <f t="shared" si="2"/>
        <v>0</v>
      </c>
      <c r="Z17" s="90">
        <f t="shared" si="2"/>
        <v>0</v>
      </c>
      <c r="AA17" s="90">
        <f t="shared" si="2"/>
        <v>0</v>
      </c>
      <c r="AB17" s="90">
        <f t="shared" si="2"/>
        <v>0</v>
      </c>
      <c r="AC17" s="90">
        <f t="shared" si="2"/>
        <v>0</v>
      </c>
      <c r="AD17" s="90">
        <f t="shared" si="2"/>
        <v>0</v>
      </c>
      <c r="AE17" s="90">
        <f t="shared" si="2"/>
        <v>0</v>
      </c>
      <c r="AF17" s="90">
        <f t="shared" si="2"/>
        <v>0</v>
      </c>
      <c r="AG17" s="90">
        <f t="shared" si="2"/>
        <v>0</v>
      </c>
      <c r="AH17"/>
      <c r="AI17"/>
      <c r="AJ17"/>
      <c r="AK17"/>
      <c r="AL17"/>
      <c r="AM17"/>
    </row>
    <row r="18" spans="1:43" x14ac:dyDescent="0.2">
      <c r="C18"/>
      <c r="D18"/>
      <c r="E18"/>
      <c r="G18" s="175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16</v>
      </c>
      <c r="D19"/>
      <c r="E19"/>
      <c r="F19" s="91"/>
      <c r="G19" s="176">
        <f>input_dollars</f>
        <v>45291</v>
      </c>
      <c r="H19" s="91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1">
        <v>0</v>
      </c>
      <c r="T19" s="111">
        <v>0</v>
      </c>
      <c r="U19" s="111">
        <v>0</v>
      </c>
      <c r="V19" s="111">
        <v>0</v>
      </c>
      <c r="W19" s="111">
        <v>0</v>
      </c>
      <c r="X19" s="111">
        <v>0</v>
      </c>
      <c r="Y19" s="111">
        <v>0</v>
      </c>
      <c r="Z19" s="111">
        <v>0</v>
      </c>
      <c r="AA19" s="111">
        <v>0</v>
      </c>
      <c r="AB19" s="111">
        <v>0</v>
      </c>
      <c r="AC19" s="111">
        <v>0</v>
      </c>
      <c r="AD19" s="111">
        <v>0</v>
      </c>
      <c r="AE19" s="111">
        <v>0</v>
      </c>
      <c r="AF19" s="111">
        <v>0</v>
      </c>
      <c r="AG19" s="111">
        <v>0</v>
      </c>
      <c r="AH19"/>
      <c r="AI19"/>
      <c r="AJ19"/>
      <c r="AK19"/>
      <c r="AL19"/>
      <c r="AM19"/>
    </row>
    <row r="20" spans="1:43" x14ac:dyDescent="0.2">
      <c r="G20" s="174"/>
      <c r="AH20"/>
      <c r="AI20"/>
      <c r="AJ20"/>
      <c r="AK20"/>
      <c r="AL20"/>
      <c r="AM20"/>
    </row>
    <row r="21" spans="1:43" x14ac:dyDescent="0.2">
      <c r="C21"/>
      <c r="D21"/>
      <c r="E21"/>
      <c r="G21" s="175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6" t="s">
        <v>98</v>
      </c>
      <c r="B22" s="76"/>
      <c r="C22" s="76"/>
      <c r="D22" s="76"/>
      <c r="E22" s="76"/>
      <c r="F22" s="76"/>
      <c r="G22" s="173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5"/>
      <c r="B23" s="95"/>
      <c r="C23" s="95"/>
      <c r="D23" s="95"/>
      <c r="E23" s="95"/>
      <c r="F23" s="95"/>
      <c r="G23" s="177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5"/>
      <c r="B24" s="95"/>
      <c r="C24" s="1" t="s">
        <v>99</v>
      </c>
      <c r="D24" s="95"/>
      <c r="E24" s="95"/>
      <c r="F24" s="95"/>
      <c r="G24" s="177"/>
      <c r="H24" s="95"/>
      <c r="I24" s="140">
        <v>0</v>
      </c>
      <c r="J24" s="140">
        <v>0</v>
      </c>
      <c r="K24" s="140">
        <v>0</v>
      </c>
      <c r="L24" s="140">
        <v>0</v>
      </c>
      <c r="M24" s="140">
        <v>0</v>
      </c>
      <c r="N24" s="140">
        <v>0</v>
      </c>
      <c r="O24" s="140">
        <v>0</v>
      </c>
      <c r="P24" s="140">
        <v>0</v>
      </c>
      <c r="Q24" s="140">
        <v>0</v>
      </c>
      <c r="R24" s="140">
        <v>0</v>
      </c>
      <c r="S24" s="140">
        <v>0</v>
      </c>
      <c r="T24" s="140">
        <v>0</v>
      </c>
      <c r="U24" s="141">
        <v>0</v>
      </c>
      <c r="V24" s="141">
        <v>0</v>
      </c>
      <c r="W24" s="141">
        <v>0</v>
      </c>
      <c r="X24" s="141">
        <v>0</v>
      </c>
      <c r="Y24" s="141">
        <v>0</v>
      </c>
      <c r="Z24" s="141">
        <v>0</v>
      </c>
      <c r="AA24" s="141">
        <v>0</v>
      </c>
      <c r="AB24" s="141">
        <v>0</v>
      </c>
      <c r="AC24" s="141">
        <v>0</v>
      </c>
      <c r="AD24" s="141">
        <v>0</v>
      </c>
      <c r="AE24" s="141">
        <v>0</v>
      </c>
      <c r="AF24" s="141">
        <v>0</v>
      </c>
      <c r="AG24" s="141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5"/>
      <c r="B25" s="95"/>
      <c r="C25" s="1" t="s">
        <v>100</v>
      </c>
      <c r="D25" s="177"/>
      <c r="E25" s="95"/>
      <c r="F25" s="95"/>
      <c r="G25" s="177"/>
      <c r="H25" s="95"/>
      <c r="I25" s="141">
        <v>0</v>
      </c>
      <c r="J25" s="141">
        <v>0</v>
      </c>
      <c r="K25" s="141">
        <v>0</v>
      </c>
      <c r="L25" s="141">
        <v>0</v>
      </c>
      <c r="M25" s="141">
        <v>0</v>
      </c>
      <c r="N25" s="140">
        <v>0</v>
      </c>
      <c r="O25" s="140">
        <v>0</v>
      </c>
      <c r="P25" s="140">
        <v>0</v>
      </c>
      <c r="Q25" s="140">
        <v>0</v>
      </c>
      <c r="R25" s="140">
        <v>0</v>
      </c>
      <c r="S25" s="140">
        <v>0</v>
      </c>
      <c r="T25" s="140">
        <v>0</v>
      </c>
      <c r="U25" s="141">
        <v>0</v>
      </c>
      <c r="V25" s="141">
        <v>0</v>
      </c>
      <c r="W25" s="141">
        <v>0</v>
      </c>
      <c r="X25" s="141">
        <v>0</v>
      </c>
      <c r="Y25" s="141">
        <v>0</v>
      </c>
      <c r="Z25" s="141">
        <v>0</v>
      </c>
      <c r="AA25" s="141">
        <v>0</v>
      </c>
      <c r="AB25" s="141">
        <v>0</v>
      </c>
      <c r="AC25" s="141">
        <v>0</v>
      </c>
      <c r="AD25" s="141">
        <v>0</v>
      </c>
      <c r="AE25" s="141">
        <v>0</v>
      </c>
      <c r="AF25" s="141">
        <v>0</v>
      </c>
      <c r="AG25" s="141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5"/>
      <c r="B26" s="95"/>
      <c r="C26" s="95"/>
      <c r="D26" s="177"/>
      <c r="E26" s="95"/>
      <c r="F26" s="95"/>
      <c r="G26" s="177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/>
      <c r="AI26"/>
      <c r="AJ26"/>
      <c r="AK26"/>
      <c r="AL26"/>
      <c r="AM26"/>
      <c r="AN26"/>
      <c r="AO26"/>
      <c r="AP26"/>
      <c r="AQ26"/>
    </row>
    <row r="27" spans="1:43" ht="12.75" customHeight="1" x14ac:dyDescent="0.2">
      <c r="A27" s="95"/>
      <c r="B27" s="95"/>
      <c r="C27" s="277" t="s">
        <v>250</v>
      </c>
      <c r="D27" s="177"/>
      <c r="E27" s="293">
        <v>2029</v>
      </c>
      <c r="F27" s="95"/>
      <c r="G27" s="177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/>
      <c r="AI27"/>
      <c r="AJ27"/>
      <c r="AK27"/>
      <c r="AL27"/>
      <c r="AM27"/>
      <c r="AN27"/>
      <c r="AO27"/>
      <c r="AP27"/>
      <c r="AQ27"/>
    </row>
    <row r="28" spans="1:43" ht="12.75" customHeight="1" x14ac:dyDescent="0.2">
      <c r="A28" s="95"/>
      <c r="B28" s="95"/>
      <c r="C28" s="284" t="s">
        <v>101</v>
      </c>
      <c r="D28" s="285"/>
      <c r="E28" s="286">
        <v>0.3</v>
      </c>
      <c r="F28" s="284"/>
      <c r="G28" s="287" t="s">
        <v>102</v>
      </c>
      <c r="H28" s="288"/>
      <c r="I28" s="140">
        <v>0.1190198522061041</v>
      </c>
      <c r="J28" s="140">
        <v>1.1632422151797219</v>
      </c>
      <c r="K28" s="140">
        <v>2.4742390238537668</v>
      </c>
      <c r="L28" s="140">
        <v>4.3101283976687697</v>
      </c>
      <c r="M28" s="140">
        <v>0</v>
      </c>
      <c r="N28" s="140">
        <v>0</v>
      </c>
      <c r="O28" s="140">
        <v>0</v>
      </c>
      <c r="P28" s="140">
        <v>0</v>
      </c>
      <c r="Q28" s="140">
        <v>0</v>
      </c>
      <c r="R28" s="140">
        <v>0</v>
      </c>
      <c r="S28" s="140">
        <v>0</v>
      </c>
      <c r="T28" s="140">
        <v>0</v>
      </c>
      <c r="U28" s="140">
        <v>0</v>
      </c>
      <c r="V28" s="140">
        <v>0</v>
      </c>
      <c r="W28" s="140">
        <v>0</v>
      </c>
      <c r="X28" s="140">
        <v>0</v>
      </c>
      <c r="Y28" s="140">
        <v>0</v>
      </c>
      <c r="Z28" s="140">
        <v>0</v>
      </c>
      <c r="AA28" s="140">
        <v>0</v>
      </c>
      <c r="AB28" s="140">
        <v>0</v>
      </c>
      <c r="AC28" s="140">
        <v>0</v>
      </c>
      <c r="AD28" s="140">
        <v>0</v>
      </c>
      <c r="AE28" s="140">
        <v>0</v>
      </c>
      <c r="AF28" s="140">
        <v>0</v>
      </c>
      <c r="AG28" s="140">
        <v>0</v>
      </c>
      <c r="AH28"/>
      <c r="AI28"/>
      <c r="AJ28"/>
      <c r="AK28"/>
      <c r="AL28"/>
      <c r="AM28"/>
      <c r="AN28"/>
      <c r="AO28"/>
      <c r="AP28"/>
      <c r="AQ28"/>
    </row>
    <row r="29" spans="1:43" ht="12.75" customHeight="1" x14ac:dyDescent="0.2">
      <c r="A29" s="95"/>
      <c r="B29" s="95"/>
      <c r="C29" s="284" t="s">
        <v>103</v>
      </c>
      <c r="D29" s="285"/>
      <c r="E29" s="286">
        <v>0.7</v>
      </c>
      <c r="F29" s="284"/>
      <c r="G29" s="287" t="s">
        <v>102</v>
      </c>
      <c r="H29" s="284"/>
      <c r="I29" s="140">
        <v>0</v>
      </c>
      <c r="J29" s="140">
        <v>6.5696234462542052E-2</v>
      </c>
      <c r="K29" s="140">
        <v>0.28731035208258204</v>
      </c>
      <c r="L29" s="140">
        <v>0.73935830204745756</v>
      </c>
      <c r="M29" s="140">
        <v>0</v>
      </c>
      <c r="N29" s="140">
        <v>0</v>
      </c>
      <c r="O29" s="140">
        <v>0</v>
      </c>
      <c r="P29" s="140">
        <v>0</v>
      </c>
      <c r="Q29" s="140">
        <v>0</v>
      </c>
      <c r="R29" s="140">
        <v>0</v>
      </c>
      <c r="S29" s="140">
        <v>0</v>
      </c>
      <c r="T29" s="140">
        <v>0</v>
      </c>
      <c r="U29" s="140">
        <v>0</v>
      </c>
      <c r="V29" s="140">
        <v>0</v>
      </c>
      <c r="W29" s="140">
        <v>0</v>
      </c>
      <c r="X29" s="140">
        <v>0</v>
      </c>
      <c r="Y29" s="140">
        <v>0</v>
      </c>
      <c r="Z29" s="140">
        <v>0</v>
      </c>
      <c r="AA29" s="140">
        <v>0</v>
      </c>
      <c r="AB29" s="140">
        <v>0</v>
      </c>
      <c r="AC29" s="140">
        <v>0</v>
      </c>
      <c r="AD29" s="140">
        <v>0</v>
      </c>
      <c r="AE29" s="140">
        <v>0</v>
      </c>
      <c r="AF29" s="140">
        <v>0</v>
      </c>
      <c r="AG29" s="140">
        <v>0</v>
      </c>
      <c r="AH29"/>
      <c r="AI29"/>
      <c r="AJ29"/>
      <c r="AK29"/>
      <c r="AL29"/>
      <c r="AM29"/>
      <c r="AN29"/>
      <c r="AO29"/>
      <c r="AP29"/>
      <c r="AQ29"/>
    </row>
    <row r="30" spans="1:43" ht="12.75" customHeight="1" x14ac:dyDescent="0.2">
      <c r="A30" s="95"/>
      <c r="B30" s="95"/>
      <c r="C30" s="95"/>
      <c r="D30" s="177"/>
      <c r="E30" s="95"/>
      <c r="F30" s="95"/>
      <c r="G30" s="177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104</v>
      </c>
      <c r="D31" s="174"/>
      <c r="E31"/>
      <c r="G31" s="176" t="s">
        <v>102</v>
      </c>
      <c r="H31"/>
      <c r="I31" s="140">
        <f>SUMPRODUCT(I$28:I$29, $E$28:$E$29)</f>
        <v>3.5705955661831226E-2</v>
      </c>
      <c r="J31" s="140">
        <f t="shared" ref="J31:AG31" si="3">SUMPRODUCT(J$28:J$29, $E$28:$E$29)</f>
        <v>0.39496002867769597</v>
      </c>
      <c r="K31" s="140">
        <f t="shared" si="3"/>
        <v>0.94338895361393749</v>
      </c>
      <c r="L31" s="140">
        <f t="shared" si="3"/>
        <v>1.8105893307338512</v>
      </c>
      <c r="M31" s="140">
        <f t="shared" si="3"/>
        <v>0</v>
      </c>
      <c r="N31" s="140">
        <f t="shared" si="3"/>
        <v>0</v>
      </c>
      <c r="O31" s="140">
        <f t="shared" si="3"/>
        <v>0</v>
      </c>
      <c r="P31" s="140">
        <f t="shared" si="3"/>
        <v>0</v>
      </c>
      <c r="Q31" s="140">
        <f t="shared" si="3"/>
        <v>0</v>
      </c>
      <c r="R31" s="140">
        <f t="shared" si="3"/>
        <v>0</v>
      </c>
      <c r="S31" s="140">
        <f t="shared" si="3"/>
        <v>0</v>
      </c>
      <c r="T31" s="140">
        <f t="shared" si="3"/>
        <v>0</v>
      </c>
      <c r="U31" s="140">
        <f t="shared" si="3"/>
        <v>0</v>
      </c>
      <c r="V31" s="140">
        <f t="shared" si="3"/>
        <v>0</v>
      </c>
      <c r="W31" s="140">
        <f t="shared" si="3"/>
        <v>0</v>
      </c>
      <c r="X31" s="140">
        <f t="shared" si="3"/>
        <v>0</v>
      </c>
      <c r="Y31" s="140">
        <f t="shared" si="3"/>
        <v>0</v>
      </c>
      <c r="Z31" s="140">
        <f t="shared" si="3"/>
        <v>0</v>
      </c>
      <c r="AA31" s="140">
        <f t="shared" si="3"/>
        <v>0</v>
      </c>
      <c r="AB31" s="140">
        <f t="shared" si="3"/>
        <v>0</v>
      </c>
      <c r="AC31" s="140">
        <f t="shared" si="3"/>
        <v>0</v>
      </c>
      <c r="AD31" s="140">
        <f t="shared" si="3"/>
        <v>0</v>
      </c>
      <c r="AE31" s="140">
        <f t="shared" si="3"/>
        <v>0</v>
      </c>
      <c r="AF31" s="140">
        <f t="shared" si="3"/>
        <v>0</v>
      </c>
      <c r="AG31" s="140">
        <f t="shared" si="3"/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105</v>
      </c>
      <c r="D32" s="174" t="s">
        <v>93</v>
      </c>
      <c r="E32" s="97">
        <f>Assumptions!H41*vcr_esc</f>
        <v>33720.051164239951</v>
      </c>
      <c r="F32" s="206" t="str">
        <f>IF(AND(SUM(I31:AG31)&lt;&gt;0, E32=0), "!", "")</f>
        <v/>
      </c>
      <c r="G32" s="176">
        <f>input_dollars</f>
        <v>45291</v>
      </c>
      <c r="H32"/>
      <c r="I32" s="28">
        <f>I31*$E$32</f>
        <v>1204.0066517850321</v>
      </c>
      <c r="J32" s="28">
        <f t="shared" ref="J32:AG32" si="4">J31*$E$32</f>
        <v>13318.072374841586</v>
      </c>
      <c r="K32" s="28">
        <f t="shared" si="4"/>
        <v>31811.12378364076</v>
      </c>
      <c r="L32" s="28">
        <f t="shared" si="4"/>
        <v>61053.16486977243</v>
      </c>
      <c r="M32" s="28">
        <f t="shared" si="4"/>
        <v>0</v>
      </c>
      <c r="N32" s="28">
        <f t="shared" si="4"/>
        <v>0</v>
      </c>
      <c r="O32" s="28">
        <f t="shared" si="4"/>
        <v>0</v>
      </c>
      <c r="P32" s="28">
        <f t="shared" si="4"/>
        <v>0</v>
      </c>
      <c r="Q32" s="28">
        <f t="shared" si="4"/>
        <v>0</v>
      </c>
      <c r="R32" s="28">
        <f t="shared" si="4"/>
        <v>0</v>
      </c>
      <c r="S32" s="28">
        <f t="shared" si="4"/>
        <v>0</v>
      </c>
      <c r="T32" s="28">
        <f t="shared" si="4"/>
        <v>0</v>
      </c>
      <c r="U32" s="28">
        <f t="shared" si="4"/>
        <v>0</v>
      </c>
      <c r="V32" s="28">
        <f t="shared" si="4"/>
        <v>0</v>
      </c>
      <c r="W32" s="28">
        <f t="shared" si="4"/>
        <v>0</v>
      </c>
      <c r="X32" s="28">
        <f t="shared" si="4"/>
        <v>0</v>
      </c>
      <c r="Y32" s="28">
        <f t="shared" si="4"/>
        <v>0</v>
      </c>
      <c r="Z32" s="28">
        <f t="shared" si="4"/>
        <v>0</v>
      </c>
      <c r="AA32" s="28">
        <f t="shared" si="4"/>
        <v>0</v>
      </c>
      <c r="AB32" s="28">
        <f t="shared" si="4"/>
        <v>0</v>
      </c>
      <c r="AC32" s="28">
        <f t="shared" si="4"/>
        <v>0</v>
      </c>
      <c r="AD32" s="28">
        <f t="shared" si="4"/>
        <v>0</v>
      </c>
      <c r="AE32" s="28">
        <f t="shared" si="4"/>
        <v>0</v>
      </c>
      <c r="AF32" s="28">
        <f t="shared" si="4"/>
        <v>0</v>
      </c>
      <c r="AG32" s="28">
        <f t="shared" si="4"/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D33" s="175"/>
      <c r="E33"/>
      <c r="G33" s="176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1" t="s">
        <v>106</v>
      </c>
      <c r="D34" s="174" t="s">
        <v>107</v>
      </c>
      <c r="G34" s="176">
        <f>input_dollars</f>
        <v>45291</v>
      </c>
      <c r="H34" s="123"/>
      <c r="I34" s="142" cm="1">
        <f t="array" ref="I34">SUMPRODUCT((Assumptions!$H$70:$H$71)*(Assumptions!$G$70:$G$71)*(Assumptions!$I$70:$I$71)*(I$24:I$25))</f>
        <v>0</v>
      </c>
      <c r="J34" s="142" cm="1">
        <f t="array" ref="J34">SUMPRODUCT((Assumptions!$H$70:$H$71)*(Assumptions!$G$70:$G$71)*(Assumptions!$I$70:$I$71)*(J$24:J$25))</f>
        <v>0</v>
      </c>
      <c r="K34" s="142" cm="1">
        <f t="array" ref="K34">SUMPRODUCT((Assumptions!$H$70:$H$71)*(Assumptions!$G$70:$G$71)*(Assumptions!$I$70:$I$71)*(K$24:K$25))</f>
        <v>0</v>
      </c>
      <c r="L34" s="142" cm="1">
        <f t="array" ref="L34">SUMPRODUCT((Assumptions!$H$70:$H$71)*(Assumptions!$G$70:$G$71)*(Assumptions!$I$70:$I$71)*(L$24:L$25))</f>
        <v>0</v>
      </c>
      <c r="M34" s="142" cm="1">
        <f t="array" ref="M34">SUMPRODUCT((Assumptions!$H$70:$H$71)*(Assumptions!$G$70:$G$71)*(Assumptions!$I$70:$I$71)*(M$24:M$25))</f>
        <v>0</v>
      </c>
      <c r="N34" s="142" cm="1">
        <f t="array" ref="N34">SUMPRODUCT((Assumptions!$H$70:$H$71)*(Assumptions!$G$70:$G$71)*(Assumptions!$I$70:$I$71)*(N$24:N$25))</f>
        <v>0</v>
      </c>
      <c r="O34" s="142" cm="1">
        <f t="array" ref="O34">SUMPRODUCT((Assumptions!$H$70:$H$71)*(Assumptions!$G$70:$G$71)*(Assumptions!$I$70:$I$71)*(O$24:O$25))</f>
        <v>0</v>
      </c>
      <c r="P34" s="142" cm="1">
        <f t="array" ref="P34">SUMPRODUCT((Assumptions!$H$70:$H$71)*(Assumptions!$G$70:$G$71)*(Assumptions!$I$70:$I$71)*(P$24:P$25))</f>
        <v>0</v>
      </c>
      <c r="Q34" s="142" cm="1">
        <f t="array" ref="Q34">SUMPRODUCT((Assumptions!$H$70:$H$71)*(Assumptions!$G$70:$G$71)*(Assumptions!$I$70:$I$71)*(Q$24:Q$25))</f>
        <v>0</v>
      </c>
      <c r="R34" s="142" cm="1">
        <f t="array" ref="R34">SUMPRODUCT((Assumptions!$H$70:$H$71)*(Assumptions!$G$70:$G$71)*(Assumptions!$I$70:$I$71)*(R$24:R$25))</f>
        <v>0</v>
      </c>
      <c r="S34" s="142" cm="1">
        <f t="array" ref="S34">SUMPRODUCT((Assumptions!$H$70:$H$71)*(Assumptions!$G$70:$G$71)*(Assumptions!$I$70:$I$71)*(S$24:S$25))</f>
        <v>0</v>
      </c>
      <c r="T34" s="142" cm="1">
        <f t="array" ref="T34">SUMPRODUCT((Assumptions!$H$70:$H$71)*(Assumptions!$G$70:$G$71)*(Assumptions!$I$70:$I$71)*(T$24:T$25))</f>
        <v>0</v>
      </c>
      <c r="U34" s="142" cm="1">
        <f t="array" ref="U34">SUMPRODUCT((Assumptions!$H$70:$H$71)*(Assumptions!$G$70:$G$71)*(Assumptions!$I$70:$I$71)*(U$24:U$25))</f>
        <v>0</v>
      </c>
      <c r="V34" s="142" cm="1">
        <f t="array" ref="V34">SUMPRODUCT((Assumptions!$H$70:$H$71)*(Assumptions!$G$70:$G$71)*(Assumptions!$I$70:$I$71)*(V$24:V$25))</f>
        <v>0</v>
      </c>
      <c r="W34" s="142" cm="1">
        <f t="array" ref="W34">SUMPRODUCT((Assumptions!$H$70:$H$71)*(Assumptions!$G$70:$G$71)*(Assumptions!$I$70:$I$71)*(W$24:W$25))</f>
        <v>0</v>
      </c>
      <c r="X34" s="142" cm="1">
        <f t="array" ref="X34">SUMPRODUCT((Assumptions!$H$70:$H$71)*(Assumptions!$G$70:$G$71)*(Assumptions!$I$70:$I$71)*(X$24:X$25))</f>
        <v>0</v>
      </c>
      <c r="Y34" s="142" cm="1">
        <f t="array" ref="Y34">SUMPRODUCT((Assumptions!$H$70:$H$71)*(Assumptions!$G$70:$G$71)*(Assumptions!$I$70:$I$71)*(Y$24:Y$25))</f>
        <v>0</v>
      </c>
      <c r="Z34" s="142" cm="1">
        <f t="array" ref="Z34">SUMPRODUCT((Assumptions!$H$70:$H$71)*(Assumptions!$G$70:$G$71)*(Assumptions!$I$70:$I$71)*(Z$24:Z$25))</f>
        <v>0</v>
      </c>
      <c r="AA34" s="142" cm="1">
        <f t="array" ref="AA34">SUMPRODUCT((Assumptions!$H$70:$H$71)*(Assumptions!$G$70:$G$71)*(Assumptions!$I$70:$I$71)*(AA$24:AA$25))</f>
        <v>0</v>
      </c>
      <c r="AB34" s="142" cm="1">
        <f t="array" ref="AB34">SUMPRODUCT((Assumptions!$H$70:$H$71)*(Assumptions!$G$70:$G$71)*(Assumptions!$I$70:$I$71)*(AB$24:AB$25))</f>
        <v>0</v>
      </c>
      <c r="AC34" s="142" cm="1">
        <f t="array" ref="AC34">SUMPRODUCT((Assumptions!$H$70:$H$71)*(Assumptions!$G$70:$G$71)*(Assumptions!$I$70:$I$71)*(AC$24:AC$25))</f>
        <v>0</v>
      </c>
      <c r="AD34" s="142" cm="1">
        <f t="array" ref="AD34">SUMPRODUCT((Assumptions!$H$70:$H$71)*(Assumptions!$G$70:$G$71)*(Assumptions!$I$70:$I$71)*(AD$24:AD$25))</f>
        <v>0</v>
      </c>
      <c r="AE34" s="142" cm="1">
        <f t="array" ref="AE34">SUMPRODUCT((Assumptions!$H$70:$H$71)*(Assumptions!$G$70:$G$71)*(Assumptions!$I$70:$I$71)*(AE$24:AE$25))</f>
        <v>0</v>
      </c>
      <c r="AF34" s="142" cm="1">
        <f t="array" ref="AF34">SUMPRODUCT((Assumptions!$H$70:$H$71)*(Assumptions!$G$70:$G$71)*(Assumptions!$I$70:$I$71)*(AF$24:AF$25))</f>
        <v>0</v>
      </c>
      <c r="AG34" s="142" cm="1">
        <f t="array" ref="AG34">SUMPRODUCT((Assumptions!$H$70:$H$71)*(Assumptions!$G$70:$G$71)*(Assumptions!$I$70:$I$71)*(AG$24:AG$25))</f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C35" s="1" t="s">
        <v>108</v>
      </c>
      <c r="D35" s="175"/>
      <c r="E35"/>
      <c r="G35" s="176">
        <f>input_dollars</f>
        <v>45291</v>
      </c>
      <c r="H35" s="123"/>
      <c r="I35" s="142" cm="1">
        <f t="array" ref="I35">(1+Assumptions!$G$81)*SUMPRODUCT((Assumptions!$G$78:$G$79)*(I$24:I$25))</f>
        <v>0</v>
      </c>
      <c r="J35" s="142" cm="1">
        <f t="array" ref="J35">(1+Assumptions!$G$81)*SUMPRODUCT((Assumptions!$G$78:$G$79)*(J$24:J$25))</f>
        <v>0</v>
      </c>
      <c r="K35" s="142" cm="1">
        <f t="array" ref="K35">(1+Assumptions!$G$81)*SUMPRODUCT((Assumptions!$G$78:$G$79)*(K$24:K$25))</f>
        <v>0</v>
      </c>
      <c r="L35" s="142" cm="1">
        <f t="array" ref="L35">(1+Assumptions!$G$81)*SUMPRODUCT((Assumptions!$G$78:$G$79)*(L$24:L$25))</f>
        <v>0</v>
      </c>
      <c r="M35" s="142" cm="1">
        <f t="array" ref="M35">(1+Assumptions!$G$81)*SUMPRODUCT((Assumptions!$G$78:$G$79)*(M$24:M$25))</f>
        <v>0</v>
      </c>
      <c r="N35" s="142" cm="1">
        <f t="array" ref="N35">(1+Assumptions!$G$81)*SUMPRODUCT((Assumptions!$G$78:$G$79)*(N$24:N$25))</f>
        <v>0</v>
      </c>
      <c r="O35" s="142" cm="1">
        <f t="array" ref="O35">(1+Assumptions!$G$81)*SUMPRODUCT((Assumptions!$G$78:$G$79)*(O$24:O$25))</f>
        <v>0</v>
      </c>
      <c r="P35" s="142" cm="1">
        <f t="array" ref="P35">(1+Assumptions!$G$81)*SUMPRODUCT((Assumptions!$G$78:$G$79)*(P$24:P$25))</f>
        <v>0</v>
      </c>
      <c r="Q35" s="142" cm="1">
        <f t="array" ref="Q35">(1+Assumptions!$G$81)*SUMPRODUCT((Assumptions!$G$78:$G$79)*(Q$24:Q$25))</f>
        <v>0</v>
      </c>
      <c r="R35" s="142" cm="1">
        <f t="array" ref="R35">(1+Assumptions!$G$81)*SUMPRODUCT((Assumptions!$G$78:$G$79)*(R$24:R$25))</f>
        <v>0</v>
      </c>
      <c r="S35" s="142" cm="1">
        <f t="array" ref="S35">(1+Assumptions!$G$81)*SUMPRODUCT((Assumptions!$G$78:$G$79)*(S$24:S$25))</f>
        <v>0</v>
      </c>
      <c r="T35" s="142" cm="1">
        <f t="array" ref="T35">(1+Assumptions!$G$81)*SUMPRODUCT((Assumptions!$G$78:$G$79)*(T$24:T$25))</f>
        <v>0</v>
      </c>
      <c r="U35" s="142" cm="1">
        <f t="array" ref="U35">(1+Assumptions!$G$81)*SUMPRODUCT((Assumptions!$G$78:$G$79)*(U$24:U$25))</f>
        <v>0</v>
      </c>
      <c r="V35" s="142" cm="1">
        <f t="array" ref="V35">(1+Assumptions!$G$81)*SUMPRODUCT((Assumptions!$G$78:$G$79)*(V$24:V$25))</f>
        <v>0</v>
      </c>
      <c r="W35" s="142" cm="1">
        <f t="array" ref="W35">(1+Assumptions!$G$81)*SUMPRODUCT((Assumptions!$G$78:$G$79)*(W$24:W$25))</f>
        <v>0</v>
      </c>
      <c r="X35" s="142" cm="1">
        <f t="array" ref="X35">(1+Assumptions!$G$81)*SUMPRODUCT((Assumptions!$G$78:$G$79)*(X$24:X$25))</f>
        <v>0</v>
      </c>
      <c r="Y35" s="142" cm="1">
        <f t="array" ref="Y35">(1+Assumptions!$G$81)*SUMPRODUCT((Assumptions!$G$78:$G$79)*(Y$24:Y$25))</f>
        <v>0</v>
      </c>
      <c r="Z35" s="142" cm="1">
        <f t="array" ref="Z35">(1+Assumptions!$G$81)*SUMPRODUCT((Assumptions!$G$78:$G$79)*(Z$24:Z$25))</f>
        <v>0</v>
      </c>
      <c r="AA35" s="142" cm="1">
        <f t="array" ref="AA35">(1+Assumptions!$G$81)*SUMPRODUCT((Assumptions!$G$78:$G$79)*(AA$24:AA$25))</f>
        <v>0</v>
      </c>
      <c r="AB35" s="142" cm="1">
        <f t="array" ref="AB35">(1+Assumptions!$G$81)*SUMPRODUCT((Assumptions!$G$78:$G$79)*(AB$24:AB$25))</f>
        <v>0</v>
      </c>
      <c r="AC35" s="142" cm="1">
        <f t="array" ref="AC35">(1+Assumptions!$G$81)*SUMPRODUCT((Assumptions!$G$78:$G$79)*(AC$24:AC$25))</f>
        <v>0</v>
      </c>
      <c r="AD35" s="142" cm="1">
        <f t="array" ref="AD35">(1+Assumptions!$G$81)*SUMPRODUCT((Assumptions!$G$78:$G$79)*(AD$24:AD$25))</f>
        <v>0</v>
      </c>
      <c r="AE35" s="142" cm="1">
        <f t="array" ref="AE35">(1+Assumptions!$G$81)*SUMPRODUCT((Assumptions!$G$78:$G$79)*(AE$24:AE$25))</f>
        <v>0</v>
      </c>
      <c r="AF35" s="142" cm="1">
        <f t="array" ref="AF35">(1+Assumptions!$G$81)*SUMPRODUCT((Assumptions!$G$78:$G$79)*(AF$24:AF$25))</f>
        <v>0</v>
      </c>
      <c r="AG35" s="142" cm="1">
        <f t="array" ref="AG35">(1+Assumptions!$G$81)*SUMPRODUCT((Assumptions!$G$78:$G$79)*(AG$24:AG$25))</f>
        <v>0</v>
      </c>
      <c r="AH35"/>
      <c r="AI35"/>
      <c r="AJ35"/>
      <c r="AK35"/>
      <c r="AL35"/>
      <c r="AM35"/>
      <c r="AN35"/>
      <c r="AO35"/>
      <c r="AP35"/>
      <c r="AQ35"/>
    </row>
    <row r="36" spans="1:16372" x14ac:dyDescent="0.2">
      <c r="C36" s="1" t="s">
        <v>109</v>
      </c>
      <c r="D36" s="174" t="s">
        <v>107</v>
      </c>
      <c r="E36"/>
      <c r="G36" s="176">
        <f>input_dollars</f>
        <v>45291</v>
      </c>
      <c r="H36"/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111">
        <v>0</v>
      </c>
      <c r="S36" s="111">
        <v>0</v>
      </c>
      <c r="T36" s="111">
        <v>0</v>
      </c>
      <c r="U36" s="111">
        <v>0</v>
      </c>
      <c r="V36" s="111">
        <v>0</v>
      </c>
      <c r="W36" s="111">
        <v>0</v>
      </c>
      <c r="X36" s="111">
        <v>0</v>
      </c>
      <c r="Y36" s="111">
        <v>0</v>
      </c>
      <c r="Z36" s="111">
        <v>0</v>
      </c>
      <c r="AA36" s="111">
        <v>0</v>
      </c>
      <c r="AB36" s="111">
        <v>0</v>
      </c>
      <c r="AC36" s="111">
        <v>0</v>
      </c>
      <c r="AD36" s="111">
        <v>0</v>
      </c>
      <c r="AE36" s="111">
        <v>0</v>
      </c>
      <c r="AF36" s="111">
        <v>0</v>
      </c>
      <c r="AG36" s="111">
        <v>0</v>
      </c>
      <c r="AH36"/>
      <c r="AI36"/>
      <c r="AJ36"/>
      <c r="AK36"/>
      <c r="AL36"/>
      <c r="AM36"/>
      <c r="AN36"/>
      <c r="AO36"/>
      <c r="AP36"/>
      <c r="AQ36"/>
    </row>
    <row r="37" spans="1:16372" x14ac:dyDescent="0.2">
      <c r="C37" s="234" t="s">
        <v>110</v>
      </c>
      <c r="D37" s="187"/>
      <c r="E37"/>
      <c r="G37" s="176">
        <f>input_dollars</f>
        <v>45291</v>
      </c>
      <c r="H37"/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111">
        <v>0</v>
      </c>
      <c r="S37" s="111">
        <v>0</v>
      </c>
      <c r="T37" s="111">
        <v>0</v>
      </c>
      <c r="U37" s="111">
        <v>0</v>
      </c>
      <c r="V37" s="111">
        <v>0</v>
      </c>
      <c r="W37" s="111">
        <v>0</v>
      </c>
      <c r="X37" s="111">
        <v>0</v>
      </c>
      <c r="Y37" s="111">
        <v>0</v>
      </c>
      <c r="Z37" s="111">
        <v>0</v>
      </c>
      <c r="AA37" s="111">
        <v>0</v>
      </c>
      <c r="AB37" s="111">
        <v>0</v>
      </c>
      <c r="AC37" s="111">
        <v>0</v>
      </c>
      <c r="AD37" s="111">
        <v>0</v>
      </c>
      <c r="AE37" s="111">
        <v>0</v>
      </c>
      <c r="AF37" s="111">
        <v>0</v>
      </c>
      <c r="AG37" s="111">
        <v>0</v>
      </c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C38" s="234" t="s">
        <v>110</v>
      </c>
      <c r="D38" s="175"/>
      <c r="E38"/>
      <c r="G38" s="176">
        <f>input_dollars</f>
        <v>45291</v>
      </c>
      <c r="H38"/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29">
        <v>0</v>
      </c>
      <c r="AG38" s="29">
        <v>0</v>
      </c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 s="175"/>
      <c r="E39"/>
      <c r="G39" s="176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</row>
    <row r="40" spans="1:16372" x14ac:dyDescent="0.2">
      <c r="C40" s="3" t="s">
        <v>111</v>
      </c>
      <c r="D40" s="186"/>
      <c r="E40" s="91"/>
      <c r="F40" s="3"/>
      <c r="G40" s="178"/>
      <c r="H40" s="91"/>
      <c r="I40" s="92">
        <f>SUM(I32:I38)</f>
        <v>1204.0066517850321</v>
      </c>
      <c r="J40" s="92">
        <f t="shared" ref="J40:AG40" si="5">SUM(J32:J38)</f>
        <v>13318.072374841586</v>
      </c>
      <c r="K40" s="92">
        <f t="shared" si="5"/>
        <v>31811.12378364076</v>
      </c>
      <c r="L40" s="92">
        <f t="shared" si="5"/>
        <v>61053.16486977243</v>
      </c>
      <c r="M40" s="92">
        <f t="shared" si="5"/>
        <v>0</v>
      </c>
      <c r="N40" s="92">
        <f t="shared" si="5"/>
        <v>0</v>
      </c>
      <c r="O40" s="92">
        <f t="shared" si="5"/>
        <v>0</v>
      </c>
      <c r="P40" s="92">
        <f t="shared" si="5"/>
        <v>0</v>
      </c>
      <c r="Q40" s="92">
        <f t="shared" si="5"/>
        <v>0</v>
      </c>
      <c r="R40" s="92">
        <f t="shared" si="5"/>
        <v>0</v>
      </c>
      <c r="S40" s="92">
        <f t="shared" si="5"/>
        <v>0</v>
      </c>
      <c r="T40" s="92">
        <f t="shared" si="5"/>
        <v>0</v>
      </c>
      <c r="U40" s="92">
        <f t="shared" si="5"/>
        <v>0</v>
      </c>
      <c r="V40" s="92">
        <f t="shared" si="5"/>
        <v>0</v>
      </c>
      <c r="W40" s="92">
        <f t="shared" si="5"/>
        <v>0</v>
      </c>
      <c r="X40" s="92">
        <f t="shared" si="5"/>
        <v>0</v>
      </c>
      <c r="Y40" s="92">
        <f t="shared" si="5"/>
        <v>0</v>
      </c>
      <c r="Z40" s="92">
        <f t="shared" si="5"/>
        <v>0</v>
      </c>
      <c r="AA40" s="92">
        <f t="shared" si="5"/>
        <v>0</v>
      </c>
      <c r="AB40" s="92">
        <f t="shared" si="5"/>
        <v>0</v>
      </c>
      <c r="AC40" s="92">
        <f t="shared" si="5"/>
        <v>0</v>
      </c>
      <c r="AD40" s="92">
        <f t="shared" si="5"/>
        <v>0</v>
      </c>
      <c r="AE40" s="92">
        <f t="shared" si="5"/>
        <v>0</v>
      </c>
      <c r="AF40" s="92">
        <f t="shared" si="5"/>
        <v>0</v>
      </c>
      <c r="AG40" s="92">
        <f t="shared" si="5"/>
        <v>0</v>
      </c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</row>
    <row r="41" spans="1:16372" x14ac:dyDescent="0.2">
      <c r="D41"/>
      <c r="E41"/>
      <c r="G41" s="176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</row>
    <row r="42" spans="1:16372" ht="15" x14ac:dyDescent="0.2">
      <c r="A42" s="76" t="s">
        <v>112</v>
      </c>
      <c r="B42" s="76"/>
      <c r="C42" s="76"/>
      <c r="D42" s="76"/>
      <c r="E42" s="76"/>
      <c r="F42" s="76"/>
      <c r="G42" s="173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/>
      <c r="E43"/>
      <c r="G43" s="176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/>
      <c r="E44"/>
      <c r="G44" s="176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25">
      <c r="C45" s="1" t="s">
        <v>113</v>
      </c>
      <c r="G45" s="174" t="s">
        <v>102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ht="13.5" x14ac:dyDescent="0.25">
      <c r="C46" s="1" t="s">
        <v>114</v>
      </c>
      <c r="G46" s="174" t="s">
        <v>115</v>
      </c>
      <c r="I46" s="74">
        <f t="shared" ref="I46:AG46" si="6">I45*I7</f>
        <v>0</v>
      </c>
      <c r="J46" s="74">
        <f t="shared" si="6"/>
        <v>0</v>
      </c>
      <c r="K46" s="74">
        <f t="shared" si="6"/>
        <v>0</v>
      </c>
      <c r="L46" s="74">
        <f t="shared" si="6"/>
        <v>0</v>
      </c>
      <c r="M46" s="74">
        <f t="shared" si="6"/>
        <v>0</v>
      </c>
      <c r="N46" s="74">
        <f t="shared" si="6"/>
        <v>0</v>
      </c>
      <c r="O46" s="74">
        <f t="shared" si="6"/>
        <v>0</v>
      </c>
      <c r="P46" s="74">
        <f t="shared" si="6"/>
        <v>0</v>
      </c>
      <c r="Q46" s="74">
        <f t="shared" si="6"/>
        <v>0</v>
      </c>
      <c r="R46" s="74">
        <f t="shared" si="6"/>
        <v>0</v>
      </c>
      <c r="S46" s="74">
        <f t="shared" si="6"/>
        <v>0</v>
      </c>
      <c r="T46" s="74">
        <f t="shared" si="6"/>
        <v>0</v>
      </c>
      <c r="U46" s="74">
        <f t="shared" si="6"/>
        <v>0</v>
      </c>
      <c r="V46" s="74">
        <f t="shared" si="6"/>
        <v>0</v>
      </c>
      <c r="W46" s="74">
        <f t="shared" si="6"/>
        <v>0</v>
      </c>
      <c r="X46" s="74">
        <f t="shared" si="6"/>
        <v>0</v>
      </c>
      <c r="Y46" s="74">
        <f t="shared" si="6"/>
        <v>0</v>
      </c>
      <c r="Z46" s="74">
        <f t="shared" si="6"/>
        <v>0</v>
      </c>
      <c r="AA46" s="74">
        <f t="shared" si="6"/>
        <v>0</v>
      </c>
      <c r="AB46" s="74">
        <f t="shared" si="6"/>
        <v>0</v>
      </c>
      <c r="AC46" s="74">
        <f t="shared" si="6"/>
        <v>0</v>
      </c>
      <c r="AD46" s="74">
        <f t="shared" si="6"/>
        <v>0</v>
      </c>
      <c r="AE46" s="74">
        <f t="shared" si="6"/>
        <v>0</v>
      </c>
      <c r="AF46" s="74">
        <f t="shared" si="6"/>
        <v>0</v>
      </c>
      <c r="AG46" s="74">
        <f t="shared" si="6"/>
        <v>0</v>
      </c>
    </row>
    <row r="47" spans="1:16372" x14ac:dyDescent="0.2">
      <c r="D47"/>
      <c r="E47"/>
      <c r="G47" s="176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16372" x14ac:dyDescent="0.2">
      <c r="D48" s="175"/>
      <c r="E48"/>
      <c r="G48" s="176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x14ac:dyDescent="0.2">
      <c r="C49" s="1" t="s">
        <v>116</v>
      </c>
      <c r="D49" s="174" t="s">
        <v>93</v>
      </c>
      <c r="E49" s="97"/>
      <c r="G49" s="176" t="s">
        <v>102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117</v>
      </c>
      <c r="D50" s="174" t="s">
        <v>93</v>
      </c>
      <c r="E50" s="97"/>
      <c r="G50" s="176" t="s">
        <v>102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118</v>
      </c>
      <c r="D51" s="174" t="s">
        <v>93</v>
      </c>
      <c r="E51" s="96"/>
      <c r="G51" s="176" t="s">
        <v>102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119</v>
      </c>
      <c r="D52" s="174" t="s">
        <v>120</v>
      </c>
      <c r="E52" s="96"/>
      <c r="G52" s="176" t="s">
        <v>121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C53" s="1" t="s">
        <v>122</v>
      </c>
      <c r="D53" s="174" t="s">
        <v>123</v>
      </c>
      <c r="E53" s="96"/>
      <c r="G53" s="176" t="s">
        <v>124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</row>
    <row r="54" spans="1:43" x14ac:dyDescent="0.2">
      <c r="C54" s="1" t="s">
        <v>125</v>
      </c>
      <c r="D54" s="174" t="s">
        <v>123</v>
      </c>
      <c r="E54" s="96"/>
      <c r="G54" s="176" t="s">
        <v>124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126</v>
      </c>
      <c r="D55" s="174" t="s">
        <v>120</v>
      </c>
      <c r="E55" s="96"/>
      <c r="G55" s="176" t="s">
        <v>121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C56" s="1" t="s">
        <v>127</v>
      </c>
      <c r="D56" s="174" t="s">
        <v>120</v>
      </c>
      <c r="E56" s="96"/>
      <c r="G56" s="176" t="s">
        <v>121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29">
        <v>0</v>
      </c>
      <c r="AG56" s="29">
        <v>0</v>
      </c>
    </row>
    <row r="57" spans="1:43" x14ac:dyDescent="0.2">
      <c r="D57" s="174"/>
      <c r="G57" s="176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</row>
    <row r="58" spans="1:43" x14ac:dyDescent="0.2">
      <c r="C58" s="1" t="s">
        <v>128</v>
      </c>
      <c r="D58" s="174"/>
      <c r="G58" s="176">
        <f>input_dollars</f>
        <v>45291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29">
        <v>0</v>
      </c>
      <c r="AG58" s="29">
        <v>0</v>
      </c>
    </row>
    <row r="59" spans="1:43" x14ac:dyDescent="0.2">
      <c r="C59" s="1" t="s">
        <v>129</v>
      </c>
      <c r="D59" s="174"/>
      <c r="G59" s="176">
        <f>input_dollars</f>
        <v>45291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29">
        <v>0</v>
      </c>
      <c r="AG59" s="29">
        <v>0</v>
      </c>
    </row>
    <row r="60" spans="1:43" x14ac:dyDescent="0.2">
      <c r="D60" s="174"/>
      <c r="G60" s="174"/>
    </row>
    <row r="61" spans="1:43" x14ac:dyDescent="0.2">
      <c r="C61" s="3" t="s">
        <v>130</v>
      </c>
      <c r="D61" s="186"/>
      <c r="E61" s="91"/>
      <c r="F61" s="3"/>
      <c r="G61" s="176">
        <f>input_dollars</f>
        <v>45291</v>
      </c>
      <c r="H61" s="91"/>
      <c r="I61" s="142" cm="1">
        <f t="array" ref="I61">SUMPRODUCT((I$49:I$56)*($E$49:$E$56))+SUM(I58:I59)+I46</f>
        <v>0</v>
      </c>
      <c r="J61" s="142" cm="1">
        <f t="array" ref="J61">SUMPRODUCT((J$49:J$56)*($E$49:$E$56))+SUM(J58:J59)+J46</f>
        <v>0</v>
      </c>
      <c r="K61" s="142" cm="1">
        <f t="array" ref="K61">SUMPRODUCT((K$49:K$56)*($E$49:$E$56))+SUM(K58:K59)+K46</f>
        <v>0</v>
      </c>
      <c r="L61" s="142" cm="1">
        <f t="array" ref="L61">SUMPRODUCT((L$49:L$56)*($E$49:$E$56))+SUM(L58:L59)+L46</f>
        <v>0</v>
      </c>
      <c r="M61" s="142" cm="1">
        <f t="array" ref="M61">SUMPRODUCT((M$49:M$56)*($E$49:$E$56))+SUM(M58:M59)+M46</f>
        <v>0</v>
      </c>
      <c r="N61" s="142" cm="1">
        <f t="array" ref="N61">SUMPRODUCT((N$49:N$56)*($E$49:$E$56))+SUM(N58:N59)+N46</f>
        <v>0</v>
      </c>
      <c r="O61" s="142" cm="1">
        <f t="array" ref="O61">SUMPRODUCT((O$49:O$56)*($E$49:$E$56))+SUM(O58:O59)+O46</f>
        <v>0</v>
      </c>
      <c r="P61" s="142" cm="1">
        <f t="array" ref="P61">SUMPRODUCT((P$49:P$56)*($E$49:$E$56))+SUM(P58:P59)+P46</f>
        <v>0</v>
      </c>
      <c r="Q61" s="142" cm="1">
        <f t="array" ref="Q61">SUMPRODUCT((Q$49:Q$56)*($E$49:$E$56))+SUM(Q58:Q59)+Q46</f>
        <v>0</v>
      </c>
      <c r="R61" s="142" cm="1">
        <f t="array" ref="R61">SUMPRODUCT((R$49:R$56)*($E$49:$E$56))+SUM(R58:R59)+R46</f>
        <v>0</v>
      </c>
      <c r="S61" s="142" cm="1">
        <f t="array" ref="S61">SUMPRODUCT((S$49:S$56)*($E$49:$E$56))+SUM(S58:S59)+S46</f>
        <v>0</v>
      </c>
      <c r="T61" s="142" cm="1">
        <f t="array" ref="T61">SUMPRODUCT((T$49:T$56)*($E$49:$E$56))+SUM(T58:T59)+T46</f>
        <v>0</v>
      </c>
      <c r="U61" s="142" cm="1">
        <f t="array" ref="U61">SUMPRODUCT((U$49:U$56)*($E$49:$E$56))+SUM(U58:U59)+U46</f>
        <v>0</v>
      </c>
      <c r="V61" s="142" cm="1">
        <f t="array" ref="V61">SUMPRODUCT((V$49:V$56)*($E$49:$E$56))+SUM(V58:V59)+V46</f>
        <v>0</v>
      </c>
      <c r="W61" s="142" cm="1">
        <f t="array" ref="W61">SUMPRODUCT((W$49:W$56)*($E$49:$E$56))+SUM(W58:W59)+W46</f>
        <v>0</v>
      </c>
      <c r="X61" s="142" cm="1">
        <f t="array" ref="X61">SUMPRODUCT((X$49:X$56)*($E$49:$E$56))+SUM(X58:X59)+X46</f>
        <v>0</v>
      </c>
      <c r="Y61" s="142" cm="1">
        <f t="array" ref="Y61">SUMPRODUCT((Y$49:Y$56)*($E$49:$E$56))+SUM(Y58:Y59)+Y46</f>
        <v>0</v>
      </c>
      <c r="Z61" s="142" cm="1">
        <f t="array" ref="Z61">SUMPRODUCT((Z$49:Z$56)*($E$49:$E$56))+SUM(Z58:Z59)+Z46</f>
        <v>0</v>
      </c>
      <c r="AA61" s="142" cm="1">
        <f t="array" ref="AA61">SUMPRODUCT((AA$49:AA$56)*($E$49:$E$56))+SUM(AA58:AA59)+AA46</f>
        <v>0</v>
      </c>
      <c r="AB61" s="142" cm="1">
        <f t="array" ref="AB61">SUMPRODUCT((AB$49:AB$56)*($E$49:$E$56))+SUM(AB58:AB59)+AB46</f>
        <v>0</v>
      </c>
      <c r="AC61" s="142" cm="1">
        <f t="array" ref="AC61">SUMPRODUCT((AC$49:AC$56)*($E$49:$E$56))+SUM(AC58:AC59)+AC46</f>
        <v>0</v>
      </c>
      <c r="AD61" s="142" cm="1">
        <f t="array" ref="AD61">SUMPRODUCT((AD$49:AD$56)*($E$49:$E$56))+SUM(AD58:AD59)+AD46</f>
        <v>0</v>
      </c>
      <c r="AE61" s="142" cm="1">
        <f t="array" ref="AE61">SUMPRODUCT((AE$49:AE$56)*($E$49:$E$56))+SUM(AE58:AE59)+AE46</f>
        <v>0</v>
      </c>
      <c r="AF61" s="142" cm="1">
        <f t="array" ref="AF61">SUMPRODUCT((AF$49:AF$56)*($E$49:$E$56))+SUM(AF58:AF59)+AF46</f>
        <v>0</v>
      </c>
      <c r="AG61" s="142" cm="1">
        <f t="array" ref="AG61">SUMPRODUCT((AG$49:AG$56)*($E$49:$E$56))+SUM(AG58:AG59)+AG46</f>
        <v>0</v>
      </c>
    </row>
    <row r="62" spans="1:43" x14ac:dyDescent="0.2">
      <c r="D62" s="174"/>
      <c r="G62" s="174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</row>
    <row r="63" spans="1:43" x14ac:dyDescent="0.2">
      <c r="G63" s="174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</row>
    <row r="64" spans="1:43" ht="15" x14ac:dyDescent="0.2">
      <c r="A64" s="76" t="s">
        <v>3</v>
      </c>
      <c r="B64" s="76"/>
      <c r="C64" s="76"/>
      <c r="D64" s="76"/>
      <c r="E64" s="76"/>
      <c r="F64" s="76"/>
      <c r="G64" s="173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/>
      <c r="AI64"/>
      <c r="AJ64"/>
      <c r="AK64"/>
      <c r="AL64"/>
      <c r="AM64"/>
      <c r="AN64"/>
      <c r="AO64"/>
      <c r="AP64"/>
      <c r="AQ64"/>
    </row>
    <row r="65" spans="1:43" ht="15" x14ac:dyDescent="0.2">
      <c r="A65" s="95"/>
      <c r="B65" s="95"/>
      <c r="C65" s="95"/>
      <c r="D65" s="95"/>
      <c r="E65" s="95"/>
      <c r="F65" s="95"/>
      <c r="G65" s="177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/>
      <c r="AI65"/>
      <c r="AJ65"/>
      <c r="AK65"/>
      <c r="AL65"/>
      <c r="AM65"/>
      <c r="AN65"/>
      <c r="AO65"/>
      <c r="AP65"/>
      <c r="AQ65"/>
    </row>
    <row r="66" spans="1:43" ht="12.75" customHeight="1" x14ac:dyDescent="0.2">
      <c r="A66" s="95"/>
      <c r="B66" s="95"/>
      <c r="C66" s="95"/>
      <c r="D66" s="95"/>
      <c r="E66" s="95"/>
      <c r="F66"/>
      <c r="G66" s="180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3" x14ac:dyDescent="0.2">
      <c r="F67" s="2"/>
      <c r="G67" s="181"/>
    </row>
    <row r="68" spans="1:43" x14ac:dyDescent="0.2">
      <c r="C68" s="4" t="str">
        <f>'Option1 (base case)'!C68</f>
        <v>Risks mitigated vs base case</v>
      </c>
      <c r="G68" s="179">
        <f>input_dollars</f>
        <v>45291</v>
      </c>
      <c r="I68" s="108">
        <f>(1-INDEX(Data!$C$9:$C$13, MATCH($A$3, options,0)))*('Option1 (base case)'!I40-I40)</f>
        <v>0</v>
      </c>
      <c r="J68" s="108">
        <f>(1-INDEX(Data!$C$9:$C$13, MATCH($A$3, options,0)))*('Option1 (base case)'!J40-J40)</f>
        <v>0</v>
      </c>
      <c r="K68" s="108">
        <f>(1-INDEX(Data!$C$9:$C$13, MATCH($A$3, options,0)))*('Option1 (base case)'!K40-K40)</f>
        <v>0</v>
      </c>
      <c r="L68" s="108">
        <f>(1-INDEX(Data!$C$9:$C$13, MATCH($A$3, options,0)))*('Option1 (base case)'!L40-L40)</f>
        <v>0</v>
      </c>
      <c r="M68" s="108">
        <f>(1-INDEX(Data!$C$9:$C$13, MATCH($A$3, options,0)))*('Option1 (base case)'!M40-M40)</f>
        <v>98949.601350043275</v>
      </c>
      <c r="N68" s="108">
        <f>(1-INDEX(Data!$C$9:$C$13, MATCH($A$3, options,0)))*('Option1 (base case)'!N40-N40)</f>
        <v>154554.95467928209</v>
      </c>
      <c r="O68" s="108">
        <f>(1-INDEX(Data!$C$9:$C$13, MATCH($A$3, options,0)))*('Option1 (base case)'!O40-O40)</f>
        <v>250921.3303309358</v>
      </c>
      <c r="P68" s="108">
        <f>(1-INDEX(Data!$C$9:$C$13, MATCH($A$3, options,0)))*('Option1 (base case)'!P40-P40)</f>
        <v>400395.7796816199</v>
      </c>
      <c r="Q68" s="108">
        <f>(1-INDEX(Data!$C$9:$C$13, MATCH($A$3, options,0)))*('Option1 (base case)'!Q40-Q40)</f>
        <v>565380.87100020947</v>
      </c>
      <c r="R68" s="108">
        <f>(1-INDEX(Data!$C$9:$C$13, MATCH($A$3, options,0)))*('Option1 (base case)'!R40-R40)</f>
        <v>724843.06666136149</v>
      </c>
      <c r="S68" s="108">
        <f>(1-INDEX(Data!$C$9:$C$13, MATCH($A$3, options,0)))*('Option1 (base case)'!S40-S40)</f>
        <v>641694.14495258324</v>
      </c>
      <c r="T68" s="108">
        <f>(1-INDEX(Data!$C$9:$C$13, MATCH($A$3, options,0)))*('Option1 (base case)'!T40-T40)</f>
        <v>641694.14495258324</v>
      </c>
      <c r="U68" s="108">
        <f>(1-INDEX(Data!$C$9:$C$13, MATCH($A$3, options,0)))*('Option1 (base case)'!U40-U40)</f>
        <v>641694.14495258324</v>
      </c>
      <c r="V68" s="108">
        <f>(1-INDEX(Data!$C$9:$C$13, MATCH($A$3, options,0)))*('Option1 (base case)'!V40-V40)</f>
        <v>641694.14495258324</v>
      </c>
      <c r="W68" s="108">
        <f>(1-INDEX(Data!$C$9:$C$13, MATCH($A$3, options,0)))*('Option1 (base case)'!W40-W40)</f>
        <v>641694.14495258324</v>
      </c>
      <c r="X68" s="108">
        <f>(1-INDEX(Data!$C$9:$C$13, MATCH($A$3, options,0)))*('Option1 (base case)'!X40-X40)</f>
        <v>641694.14495258324</v>
      </c>
      <c r="Y68" s="108">
        <f>(1-INDEX(Data!$C$9:$C$13, MATCH($A$3, options,0)))*('Option1 (base case)'!Y40-Y40)</f>
        <v>641694.14495258324</v>
      </c>
      <c r="Z68" s="108">
        <f>(1-INDEX(Data!$C$9:$C$13, MATCH($A$3, options,0)))*('Option1 (base case)'!Z40-Z40)</f>
        <v>641694.14495258324</v>
      </c>
      <c r="AA68" s="108">
        <f>(1-INDEX(Data!$C$9:$C$13, MATCH($A$3, options,0)))*('Option1 (base case)'!AA40-AA40)</f>
        <v>641694.14495258324</v>
      </c>
      <c r="AB68" s="108">
        <f>(1-INDEX(Data!$C$9:$C$13, MATCH($A$3, options,0)))*('Option1 (base case)'!AB40-AB40)</f>
        <v>641694.14495258324</v>
      </c>
      <c r="AC68" s="108">
        <f>(1-INDEX(Data!$C$9:$C$13, MATCH($A$3, options,0)))*('Option1 (base case)'!AC40-AC40)</f>
        <v>641694.14495258324</v>
      </c>
      <c r="AD68" s="108">
        <f>(1-INDEX(Data!$C$9:$C$13, MATCH($A$3, options,0)))*('Option1 (base case)'!AD40-AD40)</f>
        <v>641694.14495258324</v>
      </c>
      <c r="AE68" s="108">
        <f>(1-INDEX(Data!$C$9:$C$13, MATCH($A$3, options,0)))*('Option1 (base case)'!AE40-AE40)</f>
        <v>641694.14495258324</v>
      </c>
      <c r="AF68" s="108">
        <f>(1-INDEX(Data!$C$9:$C$13, MATCH($A$3, options,0)))*('Option1 (base case)'!AF40-AF40)</f>
        <v>641694.14495258324</v>
      </c>
      <c r="AG68" s="108">
        <f>(1-INDEX(Data!$C$9:$C$13, MATCH($A$3, options,0)))*('Option1 (base case)'!AG40-AG40)</f>
        <v>641694.14495258324</v>
      </c>
    </row>
    <row r="69" spans="1:43" x14ac:dyDescent="0.2">
      <c r="G69" s="181"/>
    </row>
    <row r="70" spans="1:43" x14ac:dyDescent="0.2">
      <c r="A70" s="6"/>
      <c r="B70" s="6"/>
      <c r="C70" s="121" t="s">
        <v>15</v>
      </c>
      <c r="D70" s="33"/>
      <c r="F70" s="82"/>
      <c r="G70" s="182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43" x14ac:dyDescent="0.2">
      <c r="A71" s="6"/>
      <c r="B71" s="6"/>
      <c r="C71" s="4" t="str">
        <f>C14</f>
        <v>Rebuild J zone substation</v>
      </c>
      <c r="D71" s="33"/>
      <c r="F71" s="82"/>
      <c r="G71" s="179">
        <f>input_dollars</f>
        <v>45291</v>
      </c>
      <c r="H71" s="28"/>
      <c r="I71" s="28">
        <f t="shared" ref="I71:AG71" si="7">-I14</f>
        <v>-6000000</v>
      </c>
      <c r="J71" s="28">
        <f t="shared" si="7"/>
        <v>-24800000</v>
      </c>
      <c r="K71" s="28">
        <f t="shared" si="7"/>
        <v>-25200000</v>
      </c>
      <c r="L71" s="28">
        <f t="shared" si="7"/>
        <v>-6000000</v>
      </c>
      <c r="M71" s="28">
        <f t="shared" si="7"/>
        <v>0</v>
      </c>
      <c r="N71" s="28">
        <f t="shared" si="7"/>
        <v>0</v>
      </c>
      <c r="O71" s="28">
        <f t="shared" si="7"/>
        <v>0</v>
      </c>
      <c r="P71" s="28">
        <f t="shared" si="7"/>
        <v>0</v>
      </c>
      <c r="Q71" s="28">
        <f t="shared" si="7"/>
        <v>0</v>
      </c>
      <c r="R71" s="28">
        <f t="shared" si="7"/>
        <v>0</v>
      </c>
      <c r="S71" s="28">
        <f t="shared" si="7"/>
        <v>0</v>
      </c>
      <c r="T71" s="28">
        <f t="shared" si="7"/>
        <v>0</v>
      </c>
      <c r="U71" s="28">
        <f t="shared" si="7"/>
        <v>0</v>
      </c>
      <c r="V71" s="28">
        <f t="shared" si="7"/>
        <v>0</v>
      </c>
      <c r="W71" s="28">
        <f t="shared" si="7"/>
        <v>0</v>
      </c>
      <c r="X71" s="28">
        <f t="shared" si="7"/>
        <v>0</v>
      </c>
      <c r="Y71" s="28">
        <f t="shared" si="7"/>
        <v>0</v>
      </c>
      <c r="Z71" s="28">
        <f t="shared" si="7"/>
        <v>0</v>
      </c>
      <c r="AA71" s="28">
        <f t="shared" si="7"/>
        <v>0</v>
      </c>
      <c r="AB71" s="28">
        <f t="shared" si="7"/>
        <v>0</v>
      </c>
      <c r="AC71" s="28">
        <f t="shared" si="7"/>
        <v>0</v>
      </c>
      <c r="AD71" s="28">
        <f t="shared" si="7"/>
        <v>0</v>
      </c>
      <c r="AE71" s="28">
        <f t="shared" si="7"/>
        <v>0</v>
      </c>
      <c r="AF71" s="28">
        <f t="shared" si="7"/>
        <v>0</v>
      </c>
      <c r="AG71" s="28">
        <f t="shared" si="7"/>
        <v>0</v>
      </c>
    </row>
    <row r="72" spans="1:43" x14ac:dyDescent="0.2">
      <c r="A72" s="6"/>
      <c r="B72" s="6"/>
      <c r="C72" s="4" t="str">
        <f>C15</f>
        <v>&lt; Enter description &gt;</v>
      </c>
      <c r="D72" s="33"/>
      <c r="F72" s="82"/>
      <c r="G72" s="179">
        <f>input_dollars</f>
        <v>45291</v>
      </c>
      <c r="H72" s="28"/>
      <c r="I72" s="28">
        <f t="shared" ref="I72:AG72" si="8">-I15</f>
        <v>0</v>
      </c>
      <c r="J72" s="28">
        <f t="shared" si="8"/>
        <v>0</v>
      </c>
      <c r="K72" s="28">
        <f t="shared" si="8"/>
        <v>0</v>
      </c>
      <c r="L72" s="28">
        <f t="shared" si="8"/>
        <v>0</v>
      </c>
      <c r="M72" s="28">
        <f t="shared" si="8"/>
        <v>0</v>
      </c>
      <c r="N72" s="28">
        <f t="shared" si="8"/>
        <v>0</v>
      </c>
      <c r="O72" s="28">
        <f t="shared" si="8"/>
        <v>0</v>
      </c>
      <c r="P72" s="28">
        <f t="shared" si="8"/>
        <v>0</v>
      </c>
      <c r="Q72" s="28">
        <f t="shared" si="8"/>
        <v>0</v>
      </c>
      <c r="R72" s="28">
        <f t="shared" si="8"/>
        <v>0</v>
      </c>
      <c r="S72" s="28">
        <f t="shared" si="8"/>
        <v>0</v>
      </c>
      <c r="T72" s="28">
        <f t="shared" si="8"/>
        <v>0</v>
      </c>
      <c r="U72" s="28">
        <f t="shared" si="8"/>
        <v>0</v>
      </c>
      <c r="V72" s="28">
        <f t="shared" si="8"/>
        <v>0</v>
      </c>
      <c r="W72" s="28">
        <f t="shared" si="8"/>
        <v>0</v>
      </c>
      <c r="X72" s="28">
        <f t="shared" si="8"/>
        <v>0</v>
      </c>
      <c r="Y72" s="28">
        <f t="shared" si="8"/>
        <v>0</v>
      </c>
      <c r="Z72" s="28">
        <f t="shared" si="8"/>
        <v>0</v>
      </c>
      <c r="AA72" s="28">
        <f t="shared" si="8"/>
        <v>0</v>
      </c>
      <c r="AB72" s="28">
        <f t="shared" si="8"/>
        <v>0</v>
      </c>
      <c r="AC72" s="28">
        <f t="shared" si="8"/>
        <v>0</v>
      </c>
      <c r="AD72" s="28">
        <f t="shared" si="8"/>
        <v>0</v>
      </c>
      <c r="AE72" s="28">
        <f t="shared" si="8"/>
        <v>0</v>
      </c>
      <c r="AF72" s="28">
        <f t="shared" si="8"/>
        <v>0</v>
      </c>
      <c r="AG72" s="28">
        <f t="shared" si="8"/>
        <v>0</v>
      </c>
    </row>
    <row r="73" spans="1:43" x14ac:dyDescent="0.2">
      <c r="A73" s="6"/>
      <c r="B73" s="6"/>
      <c r="C73" s="4" t="str">
        <f>C16</f>
        <v>&lt; Enter description &gt;</v>
      </c>
      <c r="D73" s="33"/>
      <c r="F73" s="82"/>
      <c r="G73" s="179">
        <f>input_dollars</f>
        <v>45291</v>
      </c>
      <c r="H73" s="28"/>
      <c r="I73" s="28">
        <f t="shared" ref="I73:AG73" si="9">-I16</f>
        <v>0</v>
      </c>
      <c r="J73" s="28">
        <f t="shared" si="9"/>
        <v>0</v>
      </c>
      <c r="K73" s="28">
        <f t="shared" si="9"/>
        <v>0</v>
      </c>
      <c r="L73" s="28">
        <f t="shared" si="9"/>
        <v>0</v>
      </c>
      <c r="M73" s="28">
        <f t="shared" si="9"/>
        <v>0</v>
      </c>
      <c r="N73" s="28">
        <f t="shared" si="9"/>
        <v>0</v>
      </c>
      <c r="O73" s="28">
        <f t="shared" si="9"/>
        <v>0</v>
      </c>
      <c r="P73" s="28">
        <f t="shared" si="9"/>
        <v>0</v>
      </c>
      <c r="Q73" s="28">
        <f t="shared" si="9"/>
        <v>0</v>
      </c>
      <c r="R73" s="28">
        <f t="shared" si="9"/>
        <v>0</v>
      </c>
      <c r="S73" s="28">
        <f t="shared" si="9"/>
        <v>0</v>
      </c>
      <c r="T73" s="28">
        <f t="shared" si="9"/>
        <v>0</v>
      </c>
      <c r="U73" s="28">
        <f t="shared" si="9"/>
        <v>0</v>
      </c>
      <c r="V73" s="28">
        <f t="shared" si="9"/>
        <v>0</v>
      </c>
      <c r="W73" s="28">
        <f t="shared" si="9"/>
        <v>0</v>
      </c>
      <c r="X73" s="28">
        <f t="shared" si="9"/>
        <v>0</v>
      </c>
      <c r="Y73" s="28">
        <f t="shared" si="9"/>
        <v>0</v>
      </c>
      <c r="Z73" s="28">
        <f t="shared" si="9"/>
        <v>0</v>
      </c>
      <c r="AA73" s="28">
        <f t="shared" si="9"/>
        <v>0</v>
      </c>
      <c r="AB73" s="28">
        <f t="shared" si="9"/>
        <v>0</v>
      </c>
      <c r="AC73" s="28">
        <f t="shared" si="9"/>
        <v>0</v>
      </c>
      <c r="AD73" s="28">
        <f t="shared" si="9"/>
        <v>0</v>
      </c>
      <c r="AE73" s="28">
        <f t="shared" si="9"/>
        <v>0</v>
      </c>
      <c r="AF73" s="28">
        <f t="shared" si="9"/>
        <v>0</v>
      </c>
      <c r="AG73" s="28">
        <f t="shared" si="9"/>
        <v>0</v>
      </c>
    </row>
    <row r="74" spans="1:43" x14ac:dyDescent="0.2">
      <c r="A74" s="6"/>
      <c r="B74" s="6"/>
      <c r="C74" s="4"/>
      <c r="D74" s="33"/>
      <c r="F74" s="82"/>
      <c r="G74" s="183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43" x14ac:dyDescent="0.2">
      <c r="A75" s="6"/>
      <c r="B75" s="6"/>
      <c r="C75" s="121" t="s">
        <v>132</v>
      </c>
      <c r="D75" s="33"/>
      <c r="F75" s="82"/>
      <c r="G75" s="182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43" x14ac:dyDescent="0.2">
      <c r="A76" s="6"/>
      <c r="B76" s="6"/>
      <c r="C76" s="4" t="str">
        <f>C14</f>
        <v>Rebuild J zone substation</v>
      </c>
      <c r="D76" s="33"/>
      <c r="F76" s="82"/>
      <c r="G76" s="179">
        <f>input_dollars</f>
        <v>45291</v>
      </c>
      <c r="H76" s="28"/>
      <c r="I76" s="28" cm="1">
        <f t="array" ref="I76">SUMPRODUCT(($I71:I71))-SUMPRODUCT(($I71:I71)*($I$6:I$6&lt;=(I$6-$E14)))</f>
        <v>-6000000</v>
      </c>
      <c r="J76" s="28" cm="1">
        <f t="array" ref="J76">SUMPRODUCT(($I71:J71))-SUMPRODUCT(($I71:J71)*($I$6:J$6&lt;=(J$6-$E14)))</f>
        <v>-30800000</v>
      </c>
      <c r="K76" s="28" cm="1">
        <f t="array" ref="K76">SUMPRODUCT(($I71:K71))-SUMPRODUCT(($I71:K71)*($I$6:K$6&lt;=(K$6-$E14)))</f>
        <v>-56000000</v>
      </c>
      <c r="L76" s="28" cm="1">
        <f t="array" ref="L76">SUMPRODUCT(($I71:L71))-SUMPRODUCT(($I71:L71)*($I$6:L$6&lt;=(L$6-$E14)))</f>
        <v>-62000000</v>
      </c>
      <c r="M76" s="28" cm="1">
        <f t="array" ref="M76">SUMPRODUCT(($I71:M71))-SUMPRODUCT(($I71:M71)*($I$6:M$6&lt;=(M$6-$E14)))</f>
        <v>-62000000</v>
      </c>
      <c r="N76" s="28" cm="1">
        <f t="array" ref="N76">SUMPRODUCT(($I71:N71))-SUMPRODUCT(($I71:N71)*($I$6:N$6&lt;=(N$6-$E14)))</f>
        <v>-62000000</v>
      </c>
      <c r="O76" s="28" cm="1">
        <f t="array" ref="O76">SUMPRODUCT(($I71:O71))-SUMPRODUCT(($I71:O71)*($I$6:O$6&lt;=(O$6-$E14)))</f>
        <v>-62000000</v>
      </c>
      <c r="P76" s="28" cm="1">
        <f t="array" ref="P76">SUMPRODUCT(($I71:P71))-SUMPRODUCT(($I71:P71)*($I$6:P$6&lt;=(P$6-$E14)))</f>
        <v>-62000000</v>
      </c>
      <c r="Q76" s="28" cm="1">
        <f t="array" ref="Q76">SUMPRODUCT(($I71:Q71))-SUMPRODUCT(($I71:Q71)*($I$6:Q$6&lt;=(Q$6-$E14)))</f>
        <v>-62000000</v>
      </c>
      <c r="R76" s="28" cm="1">
        <f t="array" ref="R76">SUMPRODUCT(($I71:R71))-SUMPRODUCT(($I71:R71)*($I$6:R$6&lt;=(R$6-$E14)))</f>
        <v>-62000000</v>
      </c>
      <c r="S76" s="28" cm="1">
        <f t="array" ref="S76">SUMPRODUCT(($I71:S71))-SUMPRODUCT(($I71:S71)*($I$6:S$6&lt;=(S$6-$E14)))</f>
        <v>-62000000</v>
      </c>
      <c r="T76" s="28" cm="1">
        <f t="array" ref="T76">SUMPRODUCT(($I71:T71))-SUMPRODUCT(($I71:T71)*($I$6:T$6&lt;=(T$6-$E14)))</f>
        <v>-62000000</v>
      </c>
      <c r="U76" s="28" cm="1">
        <f t="array" ref="U76">SUMPRODUCT(($I71:U71))-SUMPRODUCT(($I71:U71)*($I$6:U$6&lt;=(U$6-$E14)))</f>
        <v>-62000000</v>
      </c>
      <c r="V76" s="28" cm="1">
        <f t="array" ref="V76">SUMPRODUCT(($I71:V71))-SUMPRODUCT(($I71:V71)*($I$6:V$6&lt;=(V$6-$E14)))</f>
        <v>-62000000</v>
      </c>
      <c r="W76" s="28" cm="1">
        <f t="array" ref="W76">SUMPRODUCT(($I71:W71))-SUMPRODUCT(($I71:W71)*($I$6:W$6&lt;=(W$6-$E14)))</f>
        <v>-62000000</v>
      </c>
      <c r="X76" s="28" cm="1">
        <f t="array" ref="X76">SUMPRODUCT(($I71:X71))-SUMPRODUCT(($I71:X71)*($I$6:X$6&lt;=(X$6-$E14)))</f>
        <v>-62000000</v>
      </c>
      <c r="Y76" s="28" cm="1">
        <f t="array" ref="Y76">SUMPRODUCT(($I71:Y71))-SUMPRODUCT(($I71:Y71)*($I$6:Y$6&lt;=(Y$6-$E14)))</f>
        <v>-62000000</v>
      </c>
      <c r="Z76" s="28" cm="1">
        <f t="array" ref="Z76">SUMPRODUCT(($I71:Z71))-SUMPRODUCT(($I71:Z71)*($I$6:Z$6&lt;=(Z$6-$E14)))</f>
        <v>-62000000</v>
      </c>
      <c r="AA76" s="28" cm="1">
        <f t="array" ref="AA76">SUMPRODUCT(($I71:AA71))-SUMPRODUCT(($I71:AA71)*($I$6:AA$6&lt;=(AA$6-$E14)))</f>
        <v>-62000000</v>
      </c>
      <c r="AB76" s="28" cm="1">
        <f t="array" ref="AB76">SUMPRODUCT(($I71:AB71))-SUMPRODUCT(($I71:AB71)*($I$6:AB$6&lt;=(AB$6-$E14)))</f>
        <v>-62000000</v>
      </c>
      <c r="AC76" s="28" cm="1">
        <f t="array" ref="AC76">SUMPRODUCT(($I71:AC71))-SUMPRODUCT(($I71:AC71)*($I$6:AC$6&lt;=(AC$6-$E14)))</f>
        <v>-62000000</v>
      </c>
      <c r="AD76" s="28" cm="1">
        <f t="array" ref="AD76">SUMPRODUCT(($I71:AD71))-SUMPRODUCT(($I71:AD71)*($I$6:AD$6&lt;=(AD$6-$E14)))</f>
        <v>-62000000</v>
      </c>
      <c r="AE76" s="28" cm="1">
        <f t="array" ref="AE76">SUMPRODUCT(($I71:AE71))-SUMPRODUCT(($I71:AE71)*($I$6:AE$6&lt;=(AE$6-$E14)))</f>
        <v>-62000000</v>
      </c>
      <c r="AF76" s="28" cm="1">
        <f t="array" ref="AF76">SUMPRODUCT(($I71:AF71))-SUMPRODUCT(($I71:AF71)*($I$6:AF$6&lt;=(AF$6-$E14)))</f>
        <v>-62000000</v>
      </c>
      <c r="AG76" s="28" cm="1">
        <f t="array" ref="AG76">SUMPRODUCT(($I71:AG71))-SUMPRODUCT(($I71:AG71)*($I$6:AG$6&lt;=(AG$6-$E14)))</f>
        <v>-62000000</v>
      </c>
    </row>
    <row r="77" spans="1:43" x14ac:dyDescent="0.2">
      <c r="A77" s="6"/>
      <c r="B77" s="6"/>
      <c r="C77" s="4" t="str">
        <f>C15</f>
        <v>&lt; Enter description &gt;</v>
      </c>
      <c r="D77" s="33"/>
      <c r="F77" s="82"/>
      <c r="G77" s="179">
        <f>input_dollars</f>
        <v>45291</v>
      </c>
      <c r="H77" s="28"/>
      <c r="I77" s="28" cm="1">
        <f t="array" ref="I77">SUMPRODUCT(($I72:I72))-SUMPRODUCT(($I72:I72)*($I$6:I$6&lt;=(I$6-$E15)))</f>
        <v>0</v>
      </c>
      <c r="J77" s="28" cm="1">
        <f t="array" ref="J77">SUMPRODUCT(($I72:J72))-SUMPRODUCT(($I72:J72)*($I$6:J$6&lt;=(J$6-$E15)))</f>
        <v>0</v>
      </c>
      <c r="K77" s="28" cm="1">
        <f t="array" ref="K77">SUMPRODUCT(($I72:K72))-SUMPRODUCT(($I72:K72)*($I$6:K$6&lt;=(K$6-$E15)))</f>
        <v>0</v>
      </c>
      <c r="L77" s="28" cm="1">
        <f t="array" ref="L77">SUMPRODUCT(($I72:L72))-SUMPRODUCT(($I72:L72)*($I$6:L$6&lt;=(L$6-$E15)))</f>
        <v>0</v>
      </c>
      <c r="M77" s="28" cm="1">
        <f t="array" ref="M77">SUMPRODUCT(($I72:M72))-SUMPRODUCT(($I72:M72)*($I$6:M$6&lt;=(M$6-$E15)))</f>
        <v>0</v>
      </c>
      <c r="N77" s="28" cm="1">
        <f t="array" ref="N77">SUMPRODUCT(($I72:N72))-SUMPRODUCT(($I72:N72)*($I$6:N$6&lt;=(N$6-$E15)))</f>
        <v>0</v>
      </c>
      <c r="O77" s="28" cm="1">
        <f t="array" ref="O77">SUMPRODUCT(($I72:O72))-SUMPRODUCT(($I72:O72)*($I$6:O$6&lt;=(O$6-$E15)))</f>
        <v>0</v>
      </c>
      <c r="P77" s="28" cm="1">
        <f t="array" ref="P77">SUMPRODUCT(($I72:P72))-SUMPRODUCT(($I72:P72)*($I$6:P$6&lt;=(P$6-$E15)))</f>
        <v>0</v>
      </c>
      <c r="Q77" s="28" cm="1">
        <f t="array" ref="Q77">SUMPRODUCT(($I72:Q72))-SUMPRODUCT(($I72:Q72)*($I$6:Q$6&lt;=(Q$6-$E15)))</f>
        <v>0</v>
      </c>
      <c r="R77" s="28" cm="1">
        <f t="array" ref="R77">SUMPRODUCT(($I72:R72))-SUMPRODUCT(($I72:R72)*($I$6:R$6&lt;=(R$6-$E15)))</f>
        <v>0</v>
      </c>
      <c r="S77" s="28" cm="1">
        <f t="array" ref="S77">SUMPRODUCT(($I72:S72))-SUMPRODUCT(($I72:S72)*($I$6:S$6&lt;=(S$6-$E15)))</f>
        <v>0</v>
      </c>
      <c r="T77" s="28" cm="1">
        <f t="array" ref="T77">SUMPRODUCT(($I72:T72))-SUMPRODUCT(($I72:T72)*($I$6:T$6&lt;=(T$6-$E15)))</f>
        <v>0</v>
      </c>
      <c r="U77" s="28" cm="1">
        <f t="array" ref="U77">SUMPRODUCT(($I72:U72))-SUMPRODUCT(($I72:U72)*($I$6:U$6&lt;=(U$6-$E15)))</f>
        <v>0</v>
      </c>
      <c r="V77" s="28" cm="1">
        <f t="array" ref="V77">SUMPRODUCT(($I72:V72))-SUMPRODUCT(($I72:V72)*($I$6:V$6&lt;=(V$6-$E15)))</f>
        <v>0</v>
      </c>
      <c r="W77" s="28" cm="1">
        <f t="array" ref="W77">SUMPRODUCT(($I72:W72))-SUMPRODUCT(($I72:W72)*($I$6:W$6&lt;=(W$6-$E15)))</f>
        <v>0</v>
      </c>
      <c r="X77" s="28" cm="1">
        <f t="array" ref="X77">SUMPRODUCT(($I72:X72))-SUMPRODUCT(($I72:X72)*($I$6:X$6&lt;=(X$6-$E15)))</f>
        <v>0</v>
      </c>
      <c r="Y77" s="28" cm="1">
        <f t="array" ref="Y77">SUMPRODUCT(($I72:Y72))-SUMPRODUCT(($I72:Y72)*($I$6:Y$6&lt;=(Y$6-$E15)))</f>
        <v>0</v>
      </c>
      <c r="Z77" s="28" cm="1">
        <f t="array" ref="Z77">SUMPRODUCT(($I72:Z72))-SUMPRODUCT(($I72:Z72)*($I$6:Z$6&lt;=(Z$6-$E15)))</f>
        <v>0</v>
      </c>
      <c r="AA77" s="28" cm="1">
        <f t="array" ref="AA77">SUMPRODUCT(($I72:AA72))-SUMPRODUCT(($I72:AA72)*($I$6:AA$6&lt;=(AA$6-$E15)))</f>
        <v>0</v>
      </c>
      <c r="AB77" s="28" cm="1">
        <f t="array" ref="AB77">SUMPRODUCT(($I72:AB72))-SUMPRODUCT(($I72:AB72)*($I$6:AB$6&lt;=(AB$6-$E15)))</f>
        <v>0</v>
      </c>
      <c r="AC77" s="28" cm="1">
        <f t="array" ref="AC77">SUMPRODUCT(($I72:AC72))-SUMPRODUCT(($I72:AC72)*($I$6:AC$6&lt;=(AC$6-$E15)))</f>
        <v>0</v>
      </c>
      <c r="AD77" s="28" cm="1">
        <f t="array" ref="AD77">SUMPRODUCT(($I72:AD72))-SUMPRODUCT(($I72:AD72)*($I$6:AD$6&lt;=(AD$6-$E15)))</f>
        <v>0</v>
      </c>
      <c r="AE77" s="28" cm="1">
        <f t="array" ref="AE77">SUMPRODUCT(($I72:AE72))-SUMPRODUCT(($I72:AE72)*($I$6:AE$6&lt;=(AE$6-$E15)))</f>
        <v>0</v>
      </c>
      <c r="AF77" s="28" cm="1">
        <f t="array" ref="AF77">SUMPRODUCT(($I72:AF72))-SUMPRODUCT(($I72:AF72)*($I$6:AF$6&lt;=(AF$6-$E15)))</f>
        <v>0</v>
      </c>
      <c r="AG77" s="28" cm="1">
        <f t="array" ref="AG77">SUMPRODUCT(($I72:AG72))-SUMPRODUCT(($I72:AG72)*($I$6:AG$6&lt;=(AG$6-$E15)))</f>
        <v>0</v>
      </c>
    </row>
    <row r="78" spans="1:43" x14ac:dyDescent="0.2">
      <c r="A78" s="6"/>
      <c r="B78" s="6"/>
      <c r="C78" s="4" t="str">
        <f>C16</f>
        <v>&lt; Enter description &gt;</v>
      </c>
      <c r="D78" s="33"/>
      <c r="F78" s="82"/>
      <c r="G78" s="179">
        <f>input_dollars</f>
        <v>45291</v>
      </c>
      <c r="H78" s="28"/>
      <c r="I78" s="28" cm="1">
        <f t="array" ref="I78">SUMPRODUCT(($I73:I73))-SUMPRODUCT(($I73:I73)*($I$6:I$6&lt;=(I$6-$E16)))</f>
        <v>0</v>
      </c>
      <c r="J78" s="28" cm="1">
        <f t="array" ref="J78">SUMPRODUCT(($I73:J73))-SUMPRODUCT(($I73:J73)*($I$6:J$6&lt;=(J$6-$E16)))</f>
        <v>0</v>
      </c>
      <c r="K78" s="28" cm="1">
        <f t="array" ref="K78">SUMPRODUCT(($I73:K73))-SUMPRODUCT(($I73:K73)*($I$6:K$6&lt;=(K$6-$E16)))</f>
        <v>0</v>
      </c>
      <c r="L78" s="28" cm="1">
        <f t="array" ref="L78">SUMPRODUCT(($I73:L73))-SUMPRODUCT(($I73:L73)*($I$6:L$6&lt;=(L$6-$E16)))</f>
        <v>0</v>
      </c>
      <c r="M78" s="28" cm="1">
        <f t="array" ref="M78">SUMPRODUCT(($I73:M73))-SUMPRODUCT(($I73:M73)*($I$6:M$6&lt;=(M$6-$E16)))</f>
        <v>0</v>
      </c>
      <c r="N78" s="28" cm="1">
        <f t="array" ref="N78">SUMPRODUCT(($I73:N73))-SUMPRODUCT(($I73:N73)*($I$6:N$6&lt;=(N$6-$E16)))</f>
        <v>0</v>
      </c>
      <c r="O78" s="28" cm="1">
        <f t="array" ref="O78">SUMPRODUCT(($I73:O73))-SUMPRODUCT(($I73:O73)*($I$6:O$6&lt;=(O$6-$E16)))</f>
        <v>0</v>
      </c>
      <c r="P78" s="28" cm="1">
        <f t="array" ref="P78">SUMPRODUCT(($I73:P73))-SUMPRODUCT(($I73:P73)*($I$6:P$6&lt;=(P$6-$E16)))</f>
        <v>0</v>
      </c>
      <c r="Q78" s="28" cm="1">
        <f t="array" ref="Q78">SUMPRODUCT(($I73:Q73))-SUMPRODUCT(($I73:Q73)*($I$6:Q$6&lt;=(Q$6-$E16)))</f>
        <v>0</v>
      </c>
      <c r="R78" s="28" cm="1">
        <f t="array" ref="R78">SUMPRODUCT(($I73:R73))-SUMPRODUCT(($I73:R73)*($I$6:R$6&lt;=(R$6-$E16)))</f>
        <v>0</v>
      </c>
      <c r="S78" s="28" cm="1">
        <f t="array" ref="S78">SUMPRODUCT(($I73:S73))-SUMPRODUCT(($I73:S73)*($I$6:S$6&lt;=(S$6-$E16)))</f>
        <v>0</v>
      </c>
      <c r="T78" s="28" cm="1">
        <f t="array" ref="T78">SUMPRODUCT(($I73:T73))-SUMPRODUCT(($I73:T73)*($I$6:T$6&lt;=(T$6-$E16)))</f>
        <v>0</v>
      </c>
      <c r="U78" s="28" cm="1">
        <f t="array" ref="U78">SUMPRODUCT(($I73:U73))-SUMPRODUCT(($I73:U73)*($I$6:U$6&lt;=(U$6-$E16)))</f>
        <v>0</v>
      </c>
      <c r="V78" s="28" cm="1">
        <f t="array" ref="V78">SUMPRODUCT(($I73:V73))-SUMPRODUCT(($I73:V73)*($I$6:V$6&lt;=(V$6-$E16)))</f>
        <v>0</v>
      </c>
      <c r="W78" s="28" cm="1">
        <f t="array" ref="W78">SUMPRODUCT(($I73:W73))-SUMPRODUCT(($I73:W73)*($I$6:W$6&lt;=(W$6-$E16)))</f>
        <v>0</v>
      </c>
      <c r="X78" s="28" cm="1">
        <f t="array" ref="X78">SUMPRODUCT(($I73:X73))-SUMPRODUCT(($I73:X73)*($I$6:X$6&lt;=(X$6-$E16)))</f>
        <v>0</v>
      </c>
      <c r="Y78" s="28" cm="1">
        <f t="array" ref="Y78">SUMPRODUCT(($I73:Y73))-SUMPRODUCT(($I73:Y73)*($I$6:Y$6&lt;=(Y$6-$E16)))</f>
        <v>0</v>
      </c>
      <c r="Z78" s="28" cm="1">
        <f t="array" ref="Z78">SUMPRODUCT(($I73:Z73))-SUMPRODUCT(($I73:Z73)*($I$6:Z$6&lt;=(Z$6-$E16)))</f>
        <v>0</v>
      </c>
      <c r="AA78" s="28" cm="1">
        <f t="array" ref="AA78">SUMPRODUCT(($I73:AA73))-SUMPRODUCT(($I73:AA73)*($I$6:AA$6&lt;=(AA$6-$E16)))</f>
        <v>0</v>
      </c>
      <c r="AB78" s="28" cm="1">
        <f t="array" ref="AB78">SUMPRODUCT(($I73:AB73))-SUMPRODUCT(($I73:AB73)*($I$6:AB$6&lt;=(AB$6-$E16)))</f>
        <v>0</v>
      </c>
      <c r="AC78" s="28" cm="1">
        <f t="array" ref="AC78">SUMPRODUCT(($I73:AC73))-SUMPRODUCT(($I73:AC73)*($I$6:AC$6&lt;=(AC$6-$E16)))</f>
        <v>0</v>
      </c>
      <c r="AD78" s="28" cm="1">
        <f t="array" ref="AD78">SUMPRODUCT(($I73:AD73))-SUMPRODUCT(($I73:AD73)*($I$6:AD$6&lt;=(AD$6-$E16)))</f>
        <v>0</v>
      </c>
      <c r="AE78" s="28" cm="1">
        <f t="array" ref="AE78">SUMPRODUCT(($I73:AE73))-SUMPRODUCT(($I73:AE73)*($I$6:AE$6&lt;=(AE$6-$E16)))</f>
        <v>0</v>
      </c>
      <c r="AF78" s="28" cm="1">
        <f t="array" ref="AF78">SUMPRODUCT(($I73:AF73))-SUMPRODUCT(($I73:AF73)*($I$6:AF$6&lt;=(AF$6-$E16)))</f>
        <v>0</v>
      </c>
      <c r="AG78" s="28" cm="1">
        <f t="array" ref="AG78">SUMPRODUCT(($I73:AG73))-SUMPRODUCT(($I73:AG73)*($I$6:AG$6&lt;=(AG$6-$E16)))</f>
        <v>0</v>
      </c>
    </row>
    <row r="79" spans="1:43" x14ac:dyDescent="0.2">
      <c r="A79" s="6"/>
      <c r="B79" s="6"/>
      <c r="C79" s="4"/>
      <c r="D79" s="33"/>
      <c r="F79" s="82"/>
      <c r="G79" s="183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</row>
    <row r="80" spans="1:43" x14ac:dyDescent="0.2">
      <c r="A80" s="6"/>
      <c r="B80" s="6"/>
      <c r="C80" s="121" t="s">
        <v>133</v>
      </c>
      <c r="D80" s="33"/>
      <c r="F80" s="82"/>
      <c r="G80" s="182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</row>
    <row r="81" spans="1:33" x14ac:dyDescent="0.2">
      <c r="A81" s="6"/>
      <c r="B81" s="6"/>
      <c r="C81" s="4" t="str">
        <f>$C$80&amp;" - "&amp;C14</f>
        <v>Annualised capex - Rebuild J zone substation</v>
      </c>
      <c r="D81" s="33"/>
      <c r="F81" s="82"/>
      <c r="G81" s="179">
        <f>input_dollars</f>
        <v>45291</v>
      </c>
      <c r="H81" s="28"/>
      <c r="I81" s="28">
        <f t="shared" ref="I81:AG81" si="10">IF($E14=0,0,-PMT(real_disc, $E14,H76,))</f>
        <v>0</v>
      </c>
      <c r="J81" s="28">
        <f t="shared" si="10"/>
        <v>-255802.25739928786</v>
      </c>
      <c r="K81" s="28">
        <f t="shared" si="10"/>
        <v>-1313118.2546496778</v>
      </c>
      <c r="L81" s="28">
        <f t="shared" si="10"/>
        <v>-2387487.7357266867</v>
      </c>
      <c r="M81" s="28">
        <f t="shared" si="10"/>
        <v>-2643289.9931259747</v>
      </c>
      <c r="N81" s="28">
        <f t="shared" si="10"/>
        <v>-2643289.9931259747</v>
      </c>
      <c r="O81" s="28">
        <f t="shared" si="10"/>
        <v>-2643289.9931259747</v>
      </c>
      <c r="P81" s="28">
        <f t="shared" si="10"/>
        <v>-2643289.9931259747</v>
      </c>
      <c r="Q81" s="28">
        <f t="shared" si="10"/>
        <v>-2643289.9931259747</v>
      </c>
      <c r="R81" s="28">
        <f t="shared" si="10"/>
        <v>-2643289.9931259747</v>
      </c>
      <c r="S81" s="28">
        <f t="shared" si="10"/>
        <v>-2643289.9931259747</v>
      </c>
      <c r="T81" s="28">
        <f t="shared" si="10"/>
        <v>-2643289.9931259747</v>
      </c>
      <c r="U81" s="28">
        <f t="shared" si="10"/>
        <v>-2643289.9931259747</v>
      </c>
      <c r="V81" s="28">
        <f t="shared" si="10"/>
        <v>-2643289.9931259747</v>
      </c>
      <c r="W81" s="28">
        <f t="shared" si="10"/>
        <v>-2643289.9931259747</v>
      </c>
      <c r="X81" s="28">
        <f t="shared" si="10"/>
        <v>-2643289.9931259747</v>
      </c>
      <c r="Y81" s="28">
        <f t="shared" si="10"/>
        <v>-2643289.9931259747</v>
      </c>
      <c r="Z81" s="28">
        <f t="shared" si="10"/>
        <v>-2643289.9931259747</v>
      </c>
      <c r="AA81" s="28">
        <f t="shared" si="10"/>
        <v>-2643289.9931259747</v>
      </c>
      <c r="AB81" s="28">
        <f t="shared" si="10"/>
        <v>-2643289.9931259747</v>
      </c>
      <c r="AC81" s="28">
        <f t="shared" si="10"/>
        <v>-2643289.9931259747</v>
      </c>
      <c r="AD81" s="28">
        <f t="shared" si="10"/>
        <v>-2643289.9931259747</v>
      </c>
      <c r="AE81" s="28">
        <f t="shared" si="10"/>
        <v>-2643289.9931259747</v>
      </c>
      <c r="AF81" s="28">
        <f t="shared" si="10"/>
        <v>-2643289.9931259747</v>
      </c>
      <c r="AG81" s="28">
        <f t="shared" si="10"/>
        <v>-2643289.9931259747</v>
      </c>
    </row>
    <row r="82" spans="1:33" x14ac:dyDescent="0.2">
      <c r="A82" s="6"/>
      <c r="B82" s="6"/>
      <c r="C82" s="4" t="str">
        <f>$C$80&amp;" - "&amp;C15</f>
        <v>Annualised capex - &lt; Enter description &gt;</v>
      </c>
      <c r="D82" s="33"/>
      <c r="F82" s="82"/>
      <c r="G82" s="179">
        <f>input_dollars</f>
        <v>45291</v>
      </c>
      <c r="H82" s="28"/>
      <c r="I82" s="28">
        <f t="shared" ref="I82:AG82" si="11">IF($E15=0,0,-PMT(real_disc, $E15,H77,))</f>
        <v>0</v>
      </c>
      <c r="J82" s="28">
        <f t="shared" si="11"/>
        <v>0</v>
      </c>
      <c r="K82" s="28">
        <f t="shared" si="11"/>
        <v>0</v>
      </c>
      <c r="L82" s="28">
        <f t="shared" si="11"/>
        <v>0</v>
      </c>
      <c r="M82" s="28">
        <f t="shared" si="11"/>
        <v>0</v>
      </c>
      <c r="N82" s="28">
        <f t="shared" si="11"/>
        <v>0</v>
      </c>
      <c r="O82" s="28">
        <f t="shared" si="11"/>
        <v>0</v>
      </c>
      <c r="P82" s="28">
        <f t="shared" si="11"/>
        <v>0</v>
      </c>
      <c r="Q82" s="28">
        <f t="shared" si="11"/>
        <v>0</v>
      </c>
      <c r="R82" s="28">
        <f t="shared" si="11"/>
        <v>0</v>
      </c>
      <c r="S82" s="28">
        <f t="shared" si="11"/>
        <v>0</v>
      </c>
      <c r="T82" s="28">
        <f t="shared" si="11"/>
        <v>0</v>
      </c>
      <c r="U82" s="28">
        <f t="shared" si="11"/>
        <v>0</v>
      </c>
      <c r="V82" s="28">
        <f t="shared" si="11"/>
        <v>0</v>
      </c>
      <c r="W82" s="28">
        <f t="shared" si="11"/>
        <v>0</v>
      </c>
      <c r="X82" s="28">
        <f t="shared" si="11"/>
        <v>0</v>
      </c>
      <c r="Y82" s="28">
        <f t="shared" si="11"/>
        <v>0</v>
      </c>
      <c r="Z82" s="28">
        <f t="shared" si="11"/>
        <v>0</v>
      </c>
      <c r="AA82" s="28">
        <f t="shared" si="11"/>
        <v>0</v>
      </c>
      <c r="AB82" s="28">
        <f t="shared" si="11"/>
        <v>0</v>
      </c>
      <c r="AC82" s="28">
        <f t="shared" si="11"/>
        <v>0</v>
      </c>
      <c r="AD82" s="28">
        <f t="shared" si="11"/>
        <v>0</v>
      </c>
      <c r="AE82" s="28">
        <f t="shared" si="11"/>
        <v>0</v>
      </c>
      <c r="AF82" s="28">
        <f t="shared" si="11"/>
        <v>0</v>
      </c>
      <c r="AG82" s="28">
        <f t="shared" si="11"/>
        <v>0</v>
      </c>
    </row>
    <row r="83" spans="1:33" x14ac:dyDescent="0.2">
      <c r="A83" s="6"/>
      <c r="B83" s="6"/>
      <c r="C83" s="4" t="str">
        <f>$C$80&amp;" - "&amp;C16</f>
        <v>Annualised capex - &lt; Enter description &gt;</v>
      </c>
      <c r="D83" s="33"/>
      <c r="F83" s="82"/>
      <c r="G83" s="179">
        <f>input_dollars</f>
        <v>45291</v>
      </c>
      <c r="H83" s="28"/>
      <c r="I83" s="28">
        <f t="shared" ref="I83:AG83" si="12">IF($E16=0,0,-PMT(real_disc, $E16,H78,))</f>
        <v>0</v>
      </c>
      <c r="J83" s="28">
        <f t="shared" si="12"/>
        <v>0</v>
      </c>
      <c r="K83" s="28">
        <f t="shared" si="12"/>
        <v>0</v>
      </c>
      <c r="L83" s="28">
        <f t="shared" si="12"/>
        <v>0</v>
      </c>
      <c r="M83" s="28">
        <f t="shared" si="12"/>
        <v>0</v>
      </c>
      <c r="N83" s="28">
        <f t="shared" si="12"/>
        <v>0</v>
      </c>
      <c r="O83" s="28">
        <f t="shared" si="12"/>
        <v>0</v>
      </c>
      <c r="P83" s="28">
        <f t="shared" si="12"/>
        <v>0</v>
      </c>
      <c r="Q83" s="28">
        <f t="shared" si="12"/>
        <v>0</v>
      </c>
      <c r="R83" s="28">
        <f t="shared" si="12"/>
        <v>0</v>
      </c>
      <c r="S83" s="28">
        <f t="shared" si="12"/>
        <v>0</v>
      </c>
      <c r="T83" s="28">
        <f t="shared" si="12"/>
        <v>0</v>
      </c>
      <c r="U83" s="28">
        <f t="shared" si="12"/>
        <v>0</v>
      </c>
      <c r="V83" s="28">
        <f t="shared" si="12"/>
        <v>0</v>
      </c>
      <c r="W83" s="28">
        <f t="shared" si="12"/>
        <v>0</v>
      </c>
      <c r="X83" s="28">
        <f t="shared" si="12"/>
        <v>0</v>
      </c>
      <c r="Y83" s="28">
        <f t="shared" si="12"/>
        <v>0</v>
      </c>
      <c r="Z83" s="28">
        <f t="shared" si="12"/>
        <v>0</v>
      </c>
      <c r="AA83" s="28">
        <f t="shared" si="12"/>
        <v>0</v>
      </c>
      <c r="AB83" s="28">
        <f t="shared" si="12"/>
        <v>0</v>
      </c>
      <c r="AC83" s="28">
        <f t="shared" si="12"/>
        <v>0</v>
      </c>
      <c r="AD83" s="28">
        <f t="shared" si="12"/>
        <v>0</v>
      </c>
      <c r="AE83" s="28">
        <f t="shared" si="12"/>
        <v>0</v>
      </c>
      <c r="AF83" s="28">
        <f t="shared" si="12"/>
        <v>0</v>
      </c>
      <c r="AG83" s="28">
        <f t="shared" si="12"/>
        <v>0</v>
      </c>
    </row>
    <row r="84" spans="1:33" x14ac:dyDescent="0.2">
      <c r="A84" s="6"/>
      <c r="B84" s="6"/>
      <c r="C84" s="144" t="s">
        <v>134</v>
      </c>
      <c r="D84" s="144"/>
      <c r="E84" s="145"/>
      <c r="F84" s="146"/>
      <c r="G84" s="184">
        <f>input_dollars</f>
        <v>45291</v>
      </c>
      <c r="H84" s="147"/>
      <c r="I84" s="147">
        <f>SUM(I81:I83)</f>
        <v>0</v>
      </c>
      <c r="J84" s="147">
        <f t="shared" ref="J84:AB84" si="13">SUM(J81:J83)</f>
        <v>-255802.25739928786</v>
      </c>
      <c r="K84" s="147">
        <f t="shared" si="13"/>
        <v>-1313118.2546496778</v>
      </c>
      <c r="L84" s="147">
        <f t="shared" si="13"/>
        <v>-2387487.7357266867</v>
      </c>
      <c r="M84" s="147">
        <f t="shared" si="13"/>
        <v>-2643289.9931259747</v>
      </c>
      <c r="N84" s="147">
        <f t="shared" si="13"/>
        <v>-2643289.9931259747</v>
      </c>
      <c r="O84" s="147">
        <f t="shared" si="13"/>
        <v>-2643289.9931259747</v>
      </c>
      <c r="P84" s="147">
        <f t="shared" si="13"/>
        <v>-2643289.9931259747</v>
      </c>
      <c r="Q84" s="147">
        <f t="shared" si="13"/>
        <v>-2643289.9931259747</v>
      </c>
      <c r="R84" s="147">
        <f t="shared" si="13"/>
        <v>-2643289.9931259747</v>
      </c>
      <c r="S84" s="147">
        <f t="shared" si="13"/>
        <v>-2643289.9931259747</v>
      </c>
      <c r="T84" s="147">
        <f t="shared" si="13"/>
        <v>-2643289.9931259747</v>
      </c>
      <c r="U84" s="147">
        <f t="shared" si="13"/>
        <v>-2643289.9931259747</v>
      </c>
      <c r="V84" s="147">
        <f t="shared" si="13"/>
        <v>-2643289.9931259747</v>
      </c>
      <c r="W84" s="147">
        <f t="shared" si="13"/>
        <v>-2643289.9931259747</v>
      </c>
      <c r="X84" s="147">
        <f t="shared" si="13"/>
        <v>-2643289.9931259747</v>
      </c>
      <c r="Y84" s="147">
        <f t="shared" si="13"/>
        <v>-2643289.9931259747</v>
      </c>
      <c r="Z84" s="147">
        <f t="shared" si="13"/>
        <v>-2643289.9931259747</v>
      </c>
      <c r="AA84" s="147">
        <f t="shared" si="13"/>
        <v>-2643289.9931259747</v>
      </c>
      <c r="AB84" s="147">
        <f t="shared" si="13"/>
        <v>-2643289.9931259747</v>
      </c>
      <c r="AC84" s="147">
        <f>SUM(AC81:AC83)</f>
        <v>-2643289.9931259747</v>
      </c>
      <c r="AD84" s="147">
        <f>SUM(AD81:AD83)</f>
        <v>-2643289.9931259747</v>
      </c>
      <c r="AE84" s="147">
        <f>SUM(AE81:AE83)</f>
        <v>-2643289.9931259747</v>
      </c>
      <c r="AF84" s="147">
        <f>SUM(AF81:AF83)</f>
        <v>-2643289.9931259747</v>
      </c>
      <c r="AG84" s="147">
        <f>SUM(AG81:AG83)</f>
        <v>-2643289.9931259747</v>
      </c>
    </row>
    <row r="85" spans="1:33" x14ac:dyDescent="0.2">
      <c r="A85" s="6"/>
      <c r="B85" s="6"/>
      <c r="C85" s="12"/>
      <c r="D85" s="33"/>
      <c r="F85"/>
      <c r="G85" s="1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x14ac:dyDescent="0.2">
      <c r="A86" s="6"/>
      <c r="B86" s="6"/>
      <c r="C86" s="4" t="s">
        <v>133</v>
      </c>
      <c r="D86" s="33"/>
      <c r="F86" s="82"/>
      <c r="G86" s="179">
        <f t="shared" ref="G86:G91" si="14">input_dollars</f>
        <v>45291</v>
      </c>
      <c r="H86" s="28"/>
      <c r="I86" s="28">
        <f>I84</f>
        <v>0</v>
      </c>
      <c r="J86" s="28">
        <f t="shared" ref="J86:AB86" si="15">J84</f>
        <v>-255802.25739928786</v>
      </c>
      <c r="K86" s="28">
        <f t="shared" si="15"/>
        <v>-1313118.2546496778</v>
      </c>
      <c r="L86" s="28">
        <f t="shared" si="15"/>
        <v>-2387487.7357266867</v>
      </c>
      <c r="M86" s="28">
        <f t="shared" si="15"/>
        <v>-2643289.9931259747</v>
      </c>
      <c r="N86" s="28">
        <f t="shared" si="15"/>
        <v>-2643289.9931259747</v>
      </c>
      <c r="O86" s="28">
        <f t="shared" si="15"/>
        <v>-2643289.9931259747</v>
      </c>
      <c r="P86" s="28">
        <f t="shared" si="15"/>
        <v>-2643289.9931259747</v>
      </c>
      <c r="Q86" s="28">
        <f t="shared" si="15"/>
        <v>-2643289.9931259747</v>
      </c>
      <c r="R86" s="28">
        <f t="shared" si="15"/>
        <v>-2643289.9931259747</v>
      </c>
      <c r="S86" s="28">
        <f t="shared" si="15"/>
        <v>-2643289.9931259747</v>
      </c>
      <c r="T86" s="28">
        <f t="shared" si="15"/>
        <v>-2643289.9931259747</v>
      </c>
      <c r="U86" s="28">
        <f t="shared" si="15"/>
        <v>-2643289.9931259747</v>
      </c>
      <c r="V86" s="28">
        <f t="shared" si="15"/>
        <v>-2643289.9931259747</v>
      </c>
      <c r="W86" s="28">
        <f t="shared" si="15"/>
        <v>-2643289.9931259747</v>
      </c>
      <c r="X86" s="28">
        <f t="shared" si="15"/>
        <v>-2643289.9931259747</v>
      </c>
      <c r="Y86" s="28">
        <f t="shared" si="15"/>
        <v>-2643289.9931259747</v>
      </c>
      <c r="Z86" s="28">
        <f t="shared" si="15"/>
        <v>-2643289.9931259747</v>
      </c>
      <c r="AA86" s="28">
        <f t="shared" si="15"/>
        <v>-2643289.9931259747</v>
      </c>
      <c r="AB86" s="28">
        <f t="shared" si="15"/>
        <v>-2643289.9931259747</v>
      </c>
      <c r="AC86" s="28">
        <f>AC84</f>
        <v>-2643289.9931259747</v>
      </c>
      <c r="AD86" s="28">
        <f>AD84</f>
        <v>-2643289.9931259747</v>
      </c>
      <c r="AE86" s="28">
        <f>AE84</f>
        <v>-2643289.9931259747</v>
      </c>
      <c r="AF86" s="28">
        <f>AF84</f>
        <v>-2643289.9931259747</v>
      </c>
      <c r="AG86" s="28">
        <f>AG84</f>
        <v>-2643289.9931259747</v>
      </c>
    </row>
    <row r="87" spans="1:33" x14ac:dyDescent="0.2">
      <c r="A87" s="6"/>
      <c r="B87" s="6"/>
      <c r="C87" s="4" t="s">
        <v>16</v>
      </c>
      <c r="D87" s="33"/>
      <c r="F87" s="82"/>
      <c r="G87" s="179">
        <f t="shared" si="14"/>
        <v>45291</v>
      </c>
      <c r="H87" s="28"/>
      <c r="I87" s="28">
        <f t="shared" ref="I87:AG87" si="16">-I19</f>
        <v>0</v>
      </c>
      <c r="J87" s="28">
        <f t="shared" si="16"/>
        <v>0</v>
      </c>
      <c r="K87" s="28">
        <f t="shared" si="16"/>
        <v>0</v>
      </c>
      <c r="L87" s="28">
        <f t="shared" si="16"/>
        <v>0</v>
      </c>
      <c r="M87" s="28">
        <f t="shared" si="16"/>
        <v>0</v>
      </c>
      <c r="N87" s="28">
        <f t="shared" si="16"/>
        <v>0</v>
      </c>
      <c r="O87" s="28">
        <f t="shared" si="16"/>
        <v>0</v>
      </c>
      <c r="P87" s="28">
        <f t="shared" si="16"/>
        <v>0</v>
      </c>
      <c r="Q87" s="28">
        <f t="shared" si="16"/>
        <v>0</v>
      </c>
      <c r="R87" s="28">
        <f t="shared" si="16"/>
        <v>0</v>
      </c>
      <c r="S87" s="28">
        <f t="shared" si="16"/>
        <v>0</v>
      </c>
      <c r="T87" s="28">
        <f t="shared" si="16"/>
        <v>0</v>
      </c>
      <c r="U87" s="28">
        <f t="shared" si="16"/>
        <v>0</v>
      </c>
      <c r="V87" s="28">
        <f t="shared" si="16"/>
        <v>0</v>
      </c>
      <c r="W87" s="28">
        <f t="shared" si="16"/>
        <v>0</v>
      </c>
      <c r="X87" s="28">
        <f t="shared" si="16"/>
        <v>0</v>
      </c>
      <c r="Y87" s="28">
        <f t="shared" si="16"/>
        <v>0</v>
      </c>
      <c r="Z87" s="28">
        <f t="shared" si="16"/>
        <v>0</v>
      </c>
      <c r="AA87" s="28">
        <f t="shared" si="16"/>
        <v>0</v>
      </c>
      <c r="AB87" s="28">
        <f t="shared" si="16"/>
        <v>0</v>
      </c>
      <c r="AC87" s="28">
        <f t="shared" si="16"/>
        <v>0</v>
      </c>
      <c r="AD87" s="28">
        <f t="shared" si="16"/>
        <v>0</v>
      </c>
      <c r="AE87" s="28">
        <f t="shared" si="16"/>
        <v>0</v>
      </c>
      <c r="AF87" s="28">
        <f t="shared" si="16"/>
        <v>0</v>
      </c>
      <c r="AG87" s="28">
        <f t="shared" si="16"/>
        <v>0</v>
      </c>
    </row>
    <row r="88" spans="1:33" x14ac:dyDescent="0.2">
      <c r="A88" s="6"/>
      <c r="B88" s="6"/>
      <c r="C88" s="4" t="s">
        <v>135</v>
      </c>
      <c r="D88" s="33"/>
      <c r="F88" s="82"/>
      <c r="G88" s="179">
        <f t="shared" si="14"/>
        <v>45291</v>
      </c>
      <c r="H88" s="28"/>
      <c r="I88" s="28">
        <f>I68</f>
        <v>0</v>
      </c>
      <c r="J88" s="28">
        <f t="shared" ref="J88:AB88" si="17">J68</f>
        <v>0</v>
      </c>
      <c r="K88" s="28">
        <f t="shared" si="17"/>
        <v>0</v>
      </c>
      <c r="L88" s="28">
        <f t="shared" si="17"/>
        <v>0</v>
      </c>
      <c r="M88" s="28">
        <f t="shared" si="17"/>
        <v>98949.601350043275</v>
      </c>
      <c r="N88" s="28">
        <f t="shared" si="17"/>
        <v>154554.95467928209</v>
      </c>
      <c r="O88" s="28">
        <f t="shared" si="17"/>
        <v>250921.3303309358</v>
      </c>
      <c r="P88" s="28">
        <f t="shared" si="17"/>
        <v>400395.7796816199</v>
      </c>
      <c r="Q88" s="28">
        <f t="shared" si="17"/>
        <v>565380.87100020947</v>
      </c>
      <c r="R88" s="28">
        <f t="shared" si="17"/>
        <v>724843.06666136149</v>
      </c>
      <c r="S88" s="28">
        <f t="shared" si="17"/>
        <v>641694.14495258324</v>
      </c>
      <c r="T88" s="28">
        <f t="shared" si="17"/>
        <v>641694.14495258324</v>
      </c>
      <c r="U88" s="28">
        <f t="shared" si="17"/>
        <v>641694.14495258324</v>
      </c>
      <c r="V88" s="28">
        <f t="shared" si="17"/>
        <v>641694.14495258324</v>
      </c>
      <c r="W88" s="28">
        <f t="shared" si="17"/>
        <v>641694.14495258324</v>
      </c>
      <c r="X88" s="28">
        <f t="shared" si="17"/>
        <v>641694.14495258324</v>
      </c>
      <c r="Y88" s="28">
        <f t="shared" si="17"/>
        <v>641694.14495258324</v>
      </c>
      <c r="Z88" s="28">
        <f t="shared" si="17"/>
        <v>641694.14495258324</v>
      </c>
      <c r="AA88" s="28">
        <f t="shared" si="17"/>
        <v>641694.14495258324</v>
      </c>
      <c r="AB88" s="28">
        <f t="shared" si="17"/>
        <v>641694.14495258324</v>
      </c>
      <c r="AC88" s="28">
        <f>AC68</f>
        <v>641694.14495258324</v>
      </c>
      <c r="AD88" s="28">
        <f>AD68</f>
        <v>641694.14495258324</v>
      </c>
      <c r="AE88" s="28">
        <f>AE68</f>
        <v>641694.14495258324</v>
      </c>
      <c r="AF88" s="28">
        <f>AF68</f>
        <v>641694.14495258324</v>
      </c>
      <c r="AG88" s="28">
        <f>AG68</f>
        <v>641694.14495258324</v>
      </c>
    </row>
    <row r="89" spans="1:33" x14ac:dyDescent="0.2">
      <c r="A89" s="6"/>
      <c r="B89" s="6"/>
      <c r="C89" s="4" t="s">
        <v>136</v>
      </c>
      <c r="D89" s="33"/>
      <c r="F89" s="82"/>
      <c r="G89" s="179">
        <f t="shared" si="14"/>
        <v>45291</v>
      </c>
      <c r="H89" s="28"/>
      <c r="I89" s="28">
        <f t="shared" ref="I89:AG89" si="18">I61</f>
        <v>0</v>
      </c>
      <c r="J89" s="28">
        <f t="shared" si="18"/>
        <v>0</v>
      </c>
      <c r="K89" s="28">
        <f t="shared" si="18"/>
        <v>0</v>
      </c>
      <c r="L89" s="28">
        <f t="shared" si="18"/>
        <v>0</v>
      </c>
      <c r="M89" s="28">
        <f t="shared" si="18"/>
        <v>0</v>
      </c>
      <c r="N89" s="28">
        <f t="shared" si="18"/>
        <v>0</v>
      </c>
      <c r="O89" s="28">
        <f t="shared" si="18"/>
        <v>0</v>
      </c>
      <c r="P89" s="28">
        <f t="shared" si="18"/>
        <v>0</v>
      </c>
      <c r="Q89" s="28">
        <f t="shared" si="18"/>
        <v>0</v>
      </c>
      <c r="R89" s="28">
        <f t="shared" si="18"/>
        <v>0</v>
      </c>
      <c r="S89" s="28">
        <f t="shared" si="18"/>
        <v>0</v>
      </c>
      <c r="T89" s="28">
        <f t="shared" si="18"/>
        <v>0</v>
      </c>
      <c r="U89" s="28">
        <f t="shared" si="18"/>
        <v>0</v>
      </c>
      <c r="V89" s="28">
        <f t="shared" si="18"/>
        <v>0</v>
      </c>
      <c r="W89" s="28">
        <f t="shared" si="18"/>
        <v>0</v>
      </c>
      <c r="X89" s="28">
        <f t="shared" si="18"/>
        <v>0</v>
      </c>
      <c r="Y89" s="28">
        <f t="shared" si="18"/>
        <v>0</v>
      </c>
      <c r="Z89" s="28">
        <f t="shared" si="18"/>
        <v>0</v>
      </c>
      <c r="AA89" s="28">
        <f t="shared" si="18"/>
        <v>0</v>
      </c>
      <c r="AB89" s="28">
        <f t="shared" si="18"/>
        <v>0</v>
      </c>
      <c r="AC89" s="28">
        <f t="shared" si="18"/>
        <v>0</v>
      </c>
      <c r="AD89" s="28">
        <f t="shared" si="18"/>
        <v>0</v>
      </c>
      <c r="AE89" s="28">
        <f t="shared" si="18"/>
        <v>0</v>
      </c>
      <c r="AF89" s="28">
        <f t="shared" si="18"/>
        <v>0</v>
      </c>
      <c r="AG89" s="28">
        <f t="shared" si="18"/>
        <v>0</v>
      </c>
    </row>
    <row r="90" spans="1:33" x14ac:dyDescent="0.2">
      <c r="A90" s="6"/>
      <c r="B90" s="6"/>
      <c r="C90" s="4"/>
      <c r="D90" s="33"/>
      <c r="F90" s="28"/>
      <c r="G90" s="179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</row>
    <row r="91" spans="1:33" x14ac:dyDescent="0.2">
      <c r="A91" s="6"/>
      <c r="B91" s="6"/>
      <c r="C91" s="148" t="s">
        <v>137</v>
      </c>
      <c r="D91" s="149"/>
      <c r="E91" s="145"/>
      <c r="F91" s="150"/>
      <c r="G91" s="184">
        <f t="shared" si="14"/>
        <v>45291</v>
      </c>
      <c r="H91" s="150"/>
      <c r="I91" s="150">
        <f t="shared" ref="I91:AB91" si="19">SUM(I86:I90)</f>
        <v>0</v>
      </c>
      <c r="J91" s="150">
        <f t="shared" si="19"/>
        <v>-255802.25739928786</v>
      </c>
      <c r="K91" s="150">
        <f t="shared" si="19"/>
        <v>-1313118.2546496778</v>
      </c>
      <c r="L91" s="150">
        <f t="shared" si="19"/>
        <v>-2387487.7357266867</v>
      </c>
      <c r="M91" s="150">
        <f t="shared" si="19"/>
        <v>-2544340.3917759312</v>
      </c>
      <c r="N91" s="150">
        <f t="shared" si="19"/>
        <v>-2488735.0384466927</v>
      </c>
      <c r="O91" s="150">
        <f t="shared" si="19"/>
        <v>-2392368.6627950389</v>
      </c>
      <c r="P91" s="150">
        <f t="shared" si="19"/>
        <v>-2242894.2134443549</v>
      </c>
      <c r="Q91" s="150">
        <f t="shared" si="19"/>
        <v>-2077909.1221257653</v>
      </c>
      <c r="R91" s="150">
        <f t="shared" si="19"/>
        <v>-1918446.9264646131</v>
      </c>
      <c r="S91" s="150">
        <f t="shared" si="19"/>
        <v>-2001595.8481733915</v>
      </c>
      <c r="T91" s="150">
        <f t="shared" si="19"/>
        <v>-2001595.8481733915</v>
      </c>
      <c r="U91" s="150">
        <f t="shared" si="19"/>
        <v>-2001595.8481733915</v>
      </c>
      <c r="V91" s="150">
        <f t="shared" si="19"/>
        <v>-2001595.8481733915</v>
      </c>
      <c r="W91" s="150">
        <f t="shared" si="19"/>
        <v>-2001595.8481733915</v>
      </c>
      <c r="X91" s="150">
        <f t="shared" si="19"/>
        <v>-2001595.8481733915</v>
      </c>
      <c r="Y91" s="150">
        <f t="shared" si="19"/>
        <v>-2001595.8481733915</v>
      </c>
      <c r="Z91" s="150">
        <f t="shared" si="19"/>
        <v>-2001595.8481733915</v>
      </c>
      <c r="AA91" s="150">
        <f t="shared" si="19"/>
        <v>-2001595.8481733915</v>
      </c>
      <c r="AB91" s="150">
        <f t="shared" si="19"/>
        <v>-2001595.8481733915</v>
      </c>
      <c r="AC91" s="150">
        <f>SUM(AC86:AC90)</f>
        <v>-2001595.8481733915</v>
      </c>
      <c r="AD91" s="150">
        <f>SUM(AD86:AD90)</f>
        <v>-2001595.8481733915</v>
      </c>
      <c r="AE91" s="150">
        <f>SUM(AE86:AE90)</f>
        <v>-2001595.8481733915</v>
      </c>
      <c r="AF91" s="150">
        <f>SUM(AF86:AF90)</f>
        <v>-2001595.8481733915</v>
      </c>
      <c r="AG91" s="150">
        <f>SUM(AG86:AG90)</f>
        <v>-2001595.8481733915</v>
      </c>
    </row>
    <row r="92" spans="1:33" x14ac:dyDescent="0.2">
      <c r="A92" s="6"/>
      <c r="B92" s="6"/>
      <c r="C92" s="12"/>
      <c r="D92" s="33"/>
      <c r="F92" s="115"/>
      <c r="G92" s="17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</row>
    <row r="93" spans="1:33" x14ac:dyDescent="0.2">
      <c r="A93" s="6"/>
      <c r="B93" s="6"/>
      <c r="C93" s="12"/>
      <c r="D93" s="33"/>
      <c r="F93" s="115"/>
      <c r="G93" s="17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</row>
    <row r="94" spans="1:33" x14ac:dyDescent="0.2">
      <c r="A94" s="6"/>
      <c r="B94" s="6"/>
      <c r="C94" s="198" t="s">
        <v>141</v>
      </c>
      <c r="D94" s="71"/>
      <c r="E94" s="199"/>
      <c r="F94" s="200"/>
      <c r="G94" s="201" cm="1">
        <f t="array" ref="G94">IF(SUM($I17:$AG17)=0,0,(INDEX(I$6:AG$6,MATCH(TRUE,INDEX($I17:$AG17&lt;&gt;0,),0))))</f>
        <v>1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x14ac:dyDescent="0.2">
      <c r="C95" s="71"/>
      <c r="D95" s="202"/>
      <c r="E95" s="199"/>
      <c r="F95" s="199"/>
      <c r="G95" s="201"/>
    </row>
    <row r="96" spans="1:33" x14ac:dyDescent="0.2">
      <c r="C96" s="203" t="s">
        <v>142</v>
      </c>
      <c r="D96" s="204"/>
      <c r="E96" s="204"/>
      <c r="F96" s="204"/>
      <c r="G96" s="205">
        <f>IF(_xlfn.MINIFS($G$94:$G$95, $G$94:$G$95, "&gt;"&amp;0)=0, $A$4, _xlfn.MINIFS($G$94:$G$95, $G$94:$G$95, "&gt;"&amp;0))</f>
        <v>1</v>
      </c>
    </row>
    <row r="98" spans="1:43" x14ac:dyDescent="0.2">
      <c r="G98" s="10"/>
    </row>
    <row r="106" spans="1:43" ht="15" x14ac:dyDescent="0.2">
      <c r="A106" s="76" t="s">
        <v>20</v>
      </c>
      <c r="B106" s="76"/>
      <c r="C106" s="76"/>
      <c r="D106" s="76"/>
      <c r="E106" s="76"/>
      <c r="F106" s="76"/>
      <c r="G106" s="173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/>
      <c r="AI106"/>
      <c r="AJ106"/>
      <c r="AK106"/>
      <c r="AL106"/>
      <c r="AM106"/>
      <c r="AN106"/>
      <c r="AO106"/>
      <c r="AP106"/>
      <c r="AQ106"/>
    </row>
    <row r="108" spans="1:43" x14ac:dyDescent="0.2">
      <c r="I108" s="208"/>
      <c r="J108" s="208"/>
      <c r="K108" s="208"/>
      <c r="L108" s="208"/>
      <c r="M108" s="208"/>
      <c r="N108" s="208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spans="1:43" x14ac:dyDescent="0.2"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spans="1:43" x14ac:dyDescent="0.2">
      <c r="A110" s="1" t="s">
        <v>7</v>
      </c>
      <c r="C110" s="1" t="s">
        <v>137</v>
      </c>
      <c r="D110"/>
      <c r="E110"/>
      <c r="F110"/>
      <c r="G110" s="33" t="str">
        <f>PROPER($A$3)&amp;A110</f>
        <v>Option 4NPV</v>
      </c>
      <c r="I110" s="28">
        <f>I91</f>
        <v>0</v>
      </c>
      <c r="J110" s="28">
        <f t="shared" ref="J110:AG110" si="20">J91</f>
        <v>-255802.25739928786</v>
      </c>
      <c r="K110" s="28">
        <f t="shared" si="20"/>
        <v>-1313118.2546496778</v>
      </c>
      <c r="L110" s="28">
        <f t="shared" si="20"/>
        <v>-2387487.7357266867</v>
      </c>
      <c r="M110" s="28">
        <f t="shared" si="20"/>
        <v>-2544340.3917759312</v>
      </c>
      <c r="N110" s="28">
        <f t="shared" si="20"/>
        <v>-2488735.0384466927</v>
      </c>
      <c r="O110" s="28">
        <f t="shared" si="20"/>
        <v>-2392368.6627950389</v>
      </c>
      <c r="P110" s="28">
        <f t="shared" si="20"/>
        <v>-2242894.2134443549</v>
      </c>
      <c r="Q110" s="28">
        <f t="shared" si="20"/>
        <v>-2077909.1221257653</v>
      </c>
      <c r="R110" s="28">
        <f t="shared" si="20"/>
        <v>-1918446.9264646131</v>
      </c>
      <c r="S110" s="28">
        <f t="shared" si="20"/>
        <v>-2001595.8481733915</v>
      </c>
      <c r="T110" s="28">
        <f t="shared" si="20"/>
        <v>-2001595.8481733915</v>
      </c>
      <c r="U110" s="28">
        <f t="shared" si="20"/>
        <v>-2001595.8481733915</v>
      </c>
      <c r="V110" s="28">
        <f t="shared" si="20"/>
        <v>-2001595.8481733915</v>
      </c>
      <c r="W110" s="28">
        <f t="shared" si="20"/>
        <v>-2001595.8481733915</v>
      </c>
      <c r="X110" s="28">
        <f t="shared" si="20"/>
        <v>-2001595.8481733915</v>
      </c>
      <c r="Y110" s="28">
        <f t="shared" si="20"/>
        <v>-2001595.8481733915</v>
      </c>
      <c r="Z110" s="28">
        <f t="shared" si="20"/>
        <v>-2001595.8481733915</v>
      </c>
      <c r="AA110" s="28">
        <f t="shared" si="20"/>
        <v>-2001595.8481733915</v>
      </c>
      <c r="AB110" s="28">
        <f t="shared" si="20"/>
        <v>-2001595.8481733915</v>
      </c>
      <c r="AC110" s="28">
        <f t="shared" si="20"/>
        <v>-2001595.8481733915</v>
      </c>
      <c r="AD110" s="28">
        <f t="shared" si="20"/>
        <v>-2001595.8481733915</v>
      </c>
      <c r="AE110" s="28">
        <f t="shared" si="20"/>
        <v>-2001595.8481733915</v>
      </c>
      <c r="AF110" s="28">
        <f t="shared" si="20"/>
        <v>-2001595.8481733915</v>
      </c>
      <c r="AG110" s="28">
        <f t="shared" si="20"/>
        <v>-2001595.8481733915</v>
      </c>
    </row>
    <row r="111" spans="1:43" x14ac:dyDescent="0.2">
      <c r="C111" s="1" t="s">
        <v>134</v>
      </c>
      <c r="D111"/>
      <c r="E111"/>
      <c r="F111"/>
      <c r="G111"/>
      <c r="I111" s="28">
        <f>I86</f>
        <v>0</v>
      </c>
      <c r="J111" s="28">
        <f t="shared" ref="J111:AG111" si="21">J86</f>
        <v>-255802.25739928786</v>
      </c>
      <c r="K111" s="28">
        <f t="shared" si="21"/>
        <v>-1313118.2546496778</v>
      </c>
      <c r="L111" s="28">
        <f t="shared" si="21"/>
        <v>-2387487.7357266867</v>
      </c>
      <c r="M111" s="28">
        <f t="shared" si="21"/>
        <v>-2643289.9931259747</v>
      </c>
      <c r="N111" s="28">
        <f t="shared" si="21"/>
        <v>-2643289.9931259747</v>
      </c>
      <c r="O111" s="28">
        <f t="shared" si="21"/>
        <v>-2643289.9931259747</v>
      </c>
      <c r="P111" s="28">
        <f t="shared" si="21"/>
        <v>-2643289.9931259747</v>
      </c>
      <c r="Q111" s="28">
        <f t="shared" si="21"/>
        <v>-2643289.9931259747</v>
      </c>
      <c r="R111" s="28">
        <f t="shared" si="21"/>
        <v>-2643289.9931259747</v>
      </c>
      <c r="S111" s="28">
        <f t="shared" si="21"/>
        <v>-2643289.9931259747</v>
      </c>
      <c r="T111" s="28">
        <f t="shared" si="21"/>
        <v>-2643289.9931259747</v>
      </c>
      <c r="U111" s="28">
        <f t="shared" si="21"/>
        <v>-2643289.9931259747</v>
      </c>
      <c r="V111" s="28">
        <f t="shared" si="21"/>
        <v>-2643289.9931259747</v>
      </c>
      <c r="W111" s="28">
        <f t="shared" si="21"/>
        <v>-2643289.9931259747</v>
      </c>
      <c r="X111" s="28">
        <f t="shared" si="21"/>
        <v>-2643289.9931259747</v>
      </c>
      <c r="Y111" s="28">
        <f t="shared" si="21"/>
        <v>-2643289.9931259747</v>
      </c>
      <c r="Z111" s="28">
        <f t="shared" si="21"/>
        <v>-2643289.9931259747</v>
      </c>
      <c r="AA111" s="28">
        <f t="shared" si="21"/>
        <v>-2643289.9931259747</v>
      </c>
      <c r="AB111" s="28">
        <f t="shared" si="21"/>
        <v>-2643289.9931259747</v>
      </c>
      <c r="AC111" s="28">
        <f t="shared" si="21"/>
        <v>-2643289.9931259747</v>
      </c>
      <c r="AD111" s="28">
        <f t="shared" si="21"/>
        <v>-2643289.9931259747</v>
      </c>
      <c r="AE111" s="28">
        <f t="shared" si="21"/>
        <v>-2643289.9931259747</v>
      </c>
      <c r="AF111" s="28">
        <f t="shared" si="21"/>
        <v>-2643289.9931259747</v>
      </c>
      <c r="AG111" s="28">
        <f t="shared" si="21"/>
        <v>-2643289.9931259747</v>
      </c>
    </row>
    <row r="112" spans="1:43" x14ac:dyDescent="0.2">
      <c r="C112" s="1" t="s">
        <v>89</v>
      </c>
      <c r="D112"/>
      <c r="E112"/>
      <c r="F112"/>
      <c r="G112"/>
      <c r="I112" s="28">
        <f>SUM(I88:I89)</f>
        <v>0</v>
      </c>
      <c r="J112" s="28">
        <f t="shared" ref="J112:AG112" si="22">SUM(J88:J89)</f>
        <v>0</v>
      </c>
      <c r="K112" s="28">
        <f t="shared" si="22"/>
        <v>0</v>
      </c>
      <c r="L112" s="28">
        <f t="shared" si="22"/>
        <v>0</v>
      </c>
      <c r="M112" s="28">
        <f t="shared" si="22"/>
        <v>98949.601350043275</v>
      </c>
      <c r="N112" s="28">
        <f t="shared" si="22"/>
        <v>154554.95467928209</v>
      </c>
      <c r="O112" s="28">
        <f t="shared" si="22"/>
        <v>250921.3303309358</v>
      </c>
      <c r="P112" s="28">
        <f t="shared" si="22"/>
        <v>400395.7796816199</v>
      </c>
      <c r="Q112" s="28">
        <f t="shared" si="22"/>
        <v>565380.87100020947</v>
      </c>
      <c r="R112" s="28">
        <f t="shared" si="22"/>
        <v>724843.06666136149</v>
      </c>
      <c r="S112" s="28">
        <f t="shared" si="22"/>
        <v>641694.14495258324</v>
      </c>
      <c r="T112" s="28">
        <f t="shared" si="22"/>
        <v>641694.14495258324</v>
      </c>
      <c r="U112" s="28">
        <f t="shared" si="22"/>
        <v>641694.14495258324</v>
      </c>
      <c r="V112" s="28">
        <f t="shared" si="22"/>
        <v>641694.14495258324</v>
      </c>
      <c r="W112" s="28">
        <f t="shared" si="22"/>
        <v>641694.14495258324</v>
      </c>
      <c r="X112" s="28">
        <f t="shared" si="22"/>
        <v>641694.14495258324</v>
      </c>
      <c r="Y112" s="28">
        <f t="shared" si="22"/>
        <v>641694.14495258324</v>
      </c>
      <c r="Z112" s="28">
        <f t="shared" si="22"/>
        <v>641694.14495258324</v>
      </c>
      <c r="AA112" s="28">
        <f t="shared" si="22"/>
        <v>641694.14495258324</v>
      </c>
      <c r="AB112" s="28">
        <f t="shared" si="22"/>
        <v>641694.14495258324</v>
      </c>
      <c r="AC112" s="28">
        <f t="shared" si="22"/>
        <v>641694.14495258324</v>
      </c>
      <c r="AD112" s="28">
        <f t="shared" si="22"/>
        <v>641694.14495258324</v>
      </c>
      <c r="AE112" s="28">
        <f t="shared" si="22"/>
        <v>641694.14495258324</v>
      </c>
      <c r="AF112" s="28">
        <f t="shared" si="22"/>
        <v>641694.14495258324</v>
      </c>
      <c r="AG112" s="28">
        <f t="shared" si="22"/>
        <v>641694.14495258324</v>
      </c>
    </row>
    <row r="113" spans="1:33" x14ac:dyDescent="0.2">
      <c r="D113" s="248" t="str">
        <f>Assumptions!G110</f>
        <v>Capex</v>
      </c>
      <c r="E113" s="248" t="str">
        <f>Assumptions!H110</f>
        <v>Total benefits</v>
      </c>
      <c r="I113" s="208"/>
      <c r="J113" s="208"/>
      <c r="K113" s="208"/>
      <c r="L113" s="208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spans="1:33" x14ac:dyDescent="0.2">
      <c r="A114" s="1" t="str">
        <f>"sens"&amp;Assumptions!B111</f>
        <v>sens1</v>
      </c>
      <c r="C114" s="247" t="str">
        <f>Assumptions!C111</f>
        <v>Capex 10% higher</v>
      </c>
      <c r="D114" s="248">
        <f>Assumptions!G111</f>
        <v>0.1</v>
      </c>
      <c r="E114" s="248">
        <f>Assumptions!H111</f>
        <v>0</v>
      </c>
      <c r="G114" s="33" t="str">
        <f>PROPER($A$3)&amp;A114</f>
        <v>Option 4sens1</v>
      </c>
      <c r="I114" s="28" cm="1">
        <f t="array" ref="I114">I$110+IF($C114&lt;&gt;0,SUMPRODUCT((I$111:I$112)*TRANSPOSE(($D114:$E114))),0)</f>
        <v>0</v>
      </c>
      <c r="J114" s="28" cm="1">
        <f t="array" ref="J114">J$110+IF($C114&lt;&gt;0,SUMPRODUCT((J$111:J$112)*TRANSPOSE(($D114:$E114))),0)</f>
        <v>-281382.48313921667</v>
      </c>
      <c r="K114" s="28" cm="1">
        <f t="array" ref="K114">K$110+IF($C114&lt;&gt;0,SUMPRODUCT((K$111:K$112)*TRANSPOSE(($D114:$E114))),0)</f>
        <v>-1444430.0801146457</v>
      </c>
      <c r="L114" s="28" cm="1">
        <f t="array" ref="L114">L$110+IF($C114&lt;&gt;0,SUMPRODUCT((L$111:L$112)*TRANSPOSE(($D114:$E114))),0)</f>
        <v>-2626236.5092993556</v>
      </c>
      <c r="M114" s="28" cm="1">
        <f t="array" ref="M114">M$110+IF($C114&lt;&gt;0,SUMPRODUCT((M$111:M$112)*TRANSPOSE(($D114:$E114))),0)</f>
        <v>-2808669.3910885286</v>
      </c>
      <c r="N114" s="28" cm="1">
        <f t="array" ref="N114">N$110+IF($C114&lt;&gt;0,SUMPRODUCT((N$111:N$112)*TRANSPOSE(($D114:$E114))),0)</f>
        <v>-2753064.0377592901</v>
      </c>
      <c r="O114" s="28" cm="1">
        <f t="array" ref="O114">O$110+IF($C114&lt;&gt;0,SUMPRODUCT((O$111:O$112)*TRANSPOSE(($D114:$E114))),0)</f>
        <v>-2656697.6621076362</v>
      </c>
      <c r="P114" s="28" cm="1">
        <f t="array" ref="P114">P$110+IF($C114&lt;&gt;0,SUMPRODUCT((P$111:P$112)*TRANSPOSE(($D114:$E114))),0)</f>
        <v>-2507223.2127569523</v>
      </c>
      <c r="Q114" s="28" cm="1">
        <f t="array" ref="Q114">Q$110+IF($C114&lt;&gt;0,SUMPRODUCT((Q$111:Q$112)*TRANSPOSE(($D114:$E114))),0)</f>
        <v>-2342238.1214383626</v>
      </c>
      <c r="R114" s="28" cm="1">
        <f t="array" ref="R114">R$110+IF($C114&lt;&gt;0,SUMPRODUCT((R$111:R$112)*TRANSPOSE(($D114:$E114))),0)</f>
        <v>-2182775.9257772104</v>
      </c>
      <c r="S114" s="28" cm="1">
        <f t="array" ref="S114">S$110+IF($C114&lt;&gt;0,SUMPRODUCT((S$111:S$112)*TRANSPOSE(($D114:$E114))),0)</f>
        <v>-2265924.8474859889</v>
      </c>
      <c r="T114" s="28" cm="1">
        <f t="array" ref="T114">T$110+IF($C114&lt;&gt;0,SUMPRODUCT((T$111:T$112)*TRANSPOSE(($D114:$E114))),0)</f>
        <v>-2265924.8474859889</v>
      </c>
      <c r="U114" s="28" cm="1">
        <f t="array" ref="U114">U$110+IF($C114&lt;&gt;0,SUMPRODUCT((U$111:U$112)*TRANSPOSE(($D114:$E114))),0)</f>
        <v>-2265924.8474859889</v>
      </c>
      <c r="V114" s="28" cm="1">
        <f t="array" ref="V114">V$110+IF($C114&lt;&gt;0,SUMPRODUCT((V$111:V$112)*TRANSPOSE(($D114:$E114))),0)</f>
        <v>-2265924.8474859889</v>
      </c>
      <c r="W114" s="28" cm="1">
        <f t="array" ref="W114">W$110+IF($C114&lt;&gt;0,SUMPRODUCT((W$111:W$112)*TRANSPOSE(($D114:$E114))),0)</f>
        <v>-2265924.8474859889</v>
      </c>
      <c r="X114" s="28" cm="1">
        <f t="array" ref="X114">X$110+IF($C114&lt;&gt;0,SUMPRODUCT((X$111:X$112)*TRANSPOSE(($D114:$E114))),0)</f>
        <v>-2265924.8474859889</v>
      </c>
      <c r="Y114" s="28" cm="1">
        <f t="array" ref="Y114">Y$110+IF($C114&lt;&gt;0,SUMPRODUCT((Y$111:Y$112)*TRANSPOSE(($D114:$E114))),0)</f>
        <v>-2265924.8474859889</v>
      </c>
      <c r="Z114" s="28" cm="1">
        <f t="array" ref="Z114">Z$110+IF($C114&lt;&gt;0,SUMPRODUCT((Z$111:Z$112)*TRANSPOSE(($D114:$E114))),0)</f>
        <v>-2265924.8474859889</v>
      </c>
      <c r="AA114" s="28" cm="1">
        <f t="array" ref="AA114">AA$110+IF($C114&lt;&gt;0,SUMPRODUCT((AA$111:AA$112)*TRANSPOSE(($D114:$E114))),0)</f>
        <v>-2265924.8474859889</v>
      </c>
      <c r="AB114" s="28" cm="1">
        <f t="array" ref="AB114">AB$110+IF($C114&lt;&gt;0,SUMPRODUCT((AB$111:AB$112)*TRANSPOSE(($D114:$E114))),0)</f>
        <v>-2265924.8474859889</v>
      </c>
      <c r="AC114" s="28" cm="1">
        <f t="array" ref="AC114">AC$110+IF($C114&lt;&gt;0,SUMPRODUCT((AC$111:AC$112)*TRANSPOSE(($D114:$E114))),0)</f>
        <v>-2265924.8474859889</v>
      </c>
      <c r="AD114" s="28" cm="1">
        <f t="array" ref="AD114">AD$110+IF($C114&lt;&gt;0,SUMPRODUCT((AD$111:AD$112)*TRANSPOSE(($D114:$E114))),0)</f>
        <v>-2265924.8474859889</v>
      </c>
      <c r="AE114" s="28" cm="1">
        <f t="array" ref="AE114">AE$110+IF($C114&lt;&gt;0,SUMPRODUCT((AE$111:AE$112)*TRANSPOSE(($D114:$E114))),0)</f>
        <v>-2265924.8474859889</v>
      </c>
      <c r="AF114" s="28" cm="1">
        <f t="array" ref="AF114">AF$110+IF($C114&lt;&gt;0,SUMPRODUCT((AF$111:AF$112)*TRANSPOSE(($D114:$E114))),0)</f>
        <v>-2265924.8474859889</v>
      </c>
      <c r="AG114" s="28" cm="1">
        <f t="array" ref="AG114">AG$110+IF($C114&lt;&gt;0,SUMPRODUCT((AG$111:AG$112)*TRANSPOSE(($D114:$E114))),0)</f>
        <v>-2265924.8474859889</v>
      </c>
    </row>
    <row r="115" spans="1:33" x14ac:dyDescent="0.2">
      <c r="A115" s="1" t="str">
        <f>"sens"&amp;Assumptions!B112</f>
        <v>sens2</v>
      </c>
      <c r="C115" s="247" t="str">
        <f>Assumptions!C112</f>
        <v>Capex 10% lower</v>
      </c>
      <c r="D115" s="248">
        <f>Assumptions!G112</f>
        <v>-0.1</v>
      </c>
      <c r="E115" s="248">
        <f>Assumptions!H112</f>
        <v>0</v>
      </c>
      <c r="G115" s="33" t="str">
        <f t="shared" ref="G115:G121" si="23">PROPER($A$3)&amp;A115</f>
        <v>Option 4sens2</v>
      </c>
      <c r="I115" s="28" cm="1">
        <f t="array" ref="I115">I$110+IF($C115&lt;&gt;0,SUMPRODUCT((I$111:I$112)*TRANSPOSE(($D115:$E115))),0)</f>
        <v>0</v>
      </c>
      <c r="J115" s="28" cm="1">
        <f t="array" ref="J115">J$110+IF($C115&lt;&gt;0,SUMPRODUCT((J$111:J$112)*TRANSPOSE(($D115:$E115))),0)</f>
        <v>-230222.03165935908</v>
      </c>
      <c r="K115" s="28" cm="1">
        <f t="array" ref="K115">K$110+IF($C115&lt;&gt;0,SUMPRODUCT((K$111:K$112)*TRANSPOSE(($D115:$E115))),0)</f>
        <v>-1181806.4291847099</v>
      </c>
      <c r="L115" s="28" cm="1">
        <f t="array" ref="L115">L$110+IF($C115&lt;&gt;0,SUMPRODUCT((L$111:L$112)*TRANSPOSE(($D115:$E115))),0)</f>
        <v>-2148738.9621540178</v>
      </c>
      <c r="M115" s="28" cm="1">
        <f t="array" ref="M115">M$110+IF($C115&lt;&gt;0,SUMPRODUCT((M$111:M$112)*TRANSPOSE(($D115:$E115))),0)</f>
        <v>-2280011.3924633339</v>
      </c>
      <c r="N115" s="28" cm="1">
        <f t="array" ref="N115">N$110+IF($C115&lt;&gt;0,SUMPRODUCT((N$111:N$112)*TRANSPOSE(($D115:$E115))),0)</f>
        <v>-2224406.0391340954</v>
      </c>
      <c r="O115" s="28" cm="1">
        <f t="array" ref="O115">O$110+IF($C115&lt;&gt;0,SUMPRODUCT((O$111:O$112)*TRANSPOSE(($D115:$E115))),0)</f>
        <v>-2128039.6634824416</v>
      </c>
      <c r="P115" s="28" cm="1">
        <f t="array" ref="P115">P$110+IF($C115&lt;&gt;0,SUMPRODUCT((P$111:P$112)*TRANSPOSE(($D115:$E115))),0)</f>
        <v>-1978565.2141317574</v>
      </c>
      <c r="Q115" s="28" cm="1">
        <f t="array" ref="Q115">Q$110+IF($C115&lt;&gt;0,SUMPRODUCT((Q$111:Q$112)*TRANSPOSE(($D115:$E115))),0)</f>
        <v>-1813580.1228131677</v>
      </c>
      <c r="R115" s="28" cm="1">
        <f t="array" ref="R115">R$110+IF($C115&lt;&gt;0,SUMPRODUCT((R$111:R$112)*TRANSPOSE(($D115:$E115))),0)</f>
        <v>-1654117.9271520155</v>
      </c>
      <c r="S115" s="28" cm="1">
        <f t="array" ref="S115">S$110+IF($C115&lt;&gt;0,SUMPRODUCT((S$111:S$112)*TRANSPOSE(($D115:$E115))),0)</f>
        <v>-1737266.848860794</v>
      </c>
      <c r="T115" s="28" cm="1">
        <f t="array" ref="T115">T$110+IF($C115&lt;&gt;0,SUMPRODUCT((T$111:T$112)*TRANSPOSE(($D115:$E115))),0)</f>
        <v>-1737266.848860794</v>
      </c>
      <c r="U115" s="28" cm="1">
        <f t="array" ref="U115">U$110+IF($C115&lt;&gt;0,SUMPRODUCT((U$111:U$112)*TRANSPOSE(($D115:$E115))),0)</f>
        <v>-1737266.848860794</v>
      </c>
      <c r="V115" s="28" cm="1">
        <f t="array" ref="V115">V$110+IF($C115&lt;&gt;0,SUMPRODUCT((V$111:V$112)*TRANSPOSE(($D115:$E115))),0)</f>
        <v>-1737266.848860794</v>
      </c>
      <c r="W115" s="28" cm="1">
        <f t="array" ref="W115">W$110+IF($C115&lt;&gt;0,SUMPRODUCT((W$111:W$112)*TRANSPOSE(($D115:$E115))),0)</f>
        <v>-1737266.848860794</v>
      </c>
      <c r="X115" s="28" cm="1">
        <f t="array" ref="X115">X$110+IF($C115&lt;&gt;0,SUMPRODUCT((X$111:X$112)*TRANSPOSE(($D115:$E115))),0)</f>
        <v>-1737266.848860794</v>
      </c>
      <c r="Y115" s="28" cm="1">
        <f t="array" ref="Y115">Y$110+IF($C115&lt;&gt;0,SUMPRODUCT((Y$111:Y$112)*TRANSPOSE(($D115:$E115))),0)</f>
        <v>-1737266.848860794</v>
      </c>
      <c r="Z115" s="28" cm="1">
        <f t="array" ref="Z115">Z$110+IF($C115&lt;&gt;0,SUMPRODUCT((Z$111:Z$112)*TRANSPOSE(($D115:$E115))),0)</f>
        <v>-1737266.848860794</v>
      </c>
      <c r="AA115" s="28" cm="1">
        <f t="array" ref="AA115">AA$110+IF($C115&lt;&gt;0,SUMPRODUCT((AA$111:AA$112)*TRANSPOSE(($D115:$E115))),0)</f>
        <v>-1737266.848860794</v>
      </c>
      <c r="AB115" s="28" cm="1">
        <f t="array" ref="AB115">AB$110+IF($C115&lt;&gt;0,SUMPRODUCT((AB$111:AB$112)*TRANSPOSE(($D115:$E115))),0)</f>
        <v>-1737266.848860794</v>
      </c>
      <c r="AC115" s="28" cm="1">
        <f t="array" ref="AC115">AC$110+IF($C115&lt;&gt;0,SUMPRODUCT((AC$111:AC$112)*TRANSPOSE(($D115:$E115))),0)</f>
        <v>-1737266.848860794</v>
      </c>
      <c r="AD115" s="28" cm="1">
        <f t="array" ref="AD115">AD$110+IF($C115&lt;&gt;0,SUMPRODUCT((AD$111:AD$112)*TRANSPOSE(($D115:$E115))),0)</f>
        <v>-1737266.848860794</v>
      </c>
      <c r="AE115" s="28" cm="1">
        <f t="array" ref="AE115">AE$110+IF($C115&lt;&gt;0,SUMPRODUCT((AE$111:AE$112)*TRANSPOSE(($D115:$E115))),0)</f>
        <v>-1737266.848860794</v>
      </c>
      <c r="AF115" s="28" cm="1">
        <f t="array" ref="AF115">AF$110+IF($C115&lt;&gt;0,SUMPRODUCT((AF$111:AF$112)*TRANSPOSE(($D115:$E115))),0)</f>
        <v>-1737266.848860794</v>
      </c>
      <c r="AG115" s="28" cm="1">
        <f t="array" ref="AG115">AG$110+IF($C115&lt;&gt;0,SUMPRODUCT((AG$111:AG$112)*TRANSPOSE(($D115:$E115))),0)</f>
        <v>-1737266.848860794</v>
      </c>
    </row>
    <row r="116" spans="1:33" x14ac:dyDescent="0.2">
      <c r="A116" s="1" t="str">
        <f>"sens"&amp;Assumptions!B113</f>
        <v>sens3</v>
      </c>
      <c r="C116" s="247" t="str">
        <f>Assumptions!C113</f>
        <v>Total benefits 10% higher</v>
      </c>
      <c r="D116" s="248">
        <f>Assumptions!G113</f>
        <v>0</v>
      </c>
      <c r="E116" s="248">
        <f>Assumptions!H113</f>
        <v>0.1</v>
      </c>
      <c r="G116" s="33" t="str">
        <f t="shared" si="23"/>
        <v>Option 4sens3</v>
      </c>
      <c r="I116" s="28" cm="1">
        <f t="array" ref="I116">I$110+IF($C116&lt;&gt;0,SUMPRODUCT((I$111:I$112)*TRANSPOSE(($D116:$E116))),0)</f>
        <v>0</v>
      </c>
      <c r="J116" s="28" cm="1">
        <f t="array" ref="J116">J$110+IF($C116&lt;&gt;0,SUMPRODUCT((J$111:J$112)*TRANSPOSE(($D116:$E116))),0)</f>
        <v>-255802.25739928786</v>
      </c>
      <c r="K116" s="28" cm="1">
        <f t="array" ref="K116">K$110+IF($C116&lt;&gt;0,SUMPRODUCT((K$111:K$112)*TRANSPOSE(($D116:$E116))),0)</f>
        <v>-1313118.2546496778</v>
      </c>
      <c r="L116" s="28" cm="1">
        <f t="array" ref="L116">L$110+IF($C116&lt;&gt;0,SUMPRODUCT((L$111:L$112)*TRANSPOSE(($D116:$E116))),0)</f>
        <v>-2387487.7357266867</v>
      </c>
      <c r="M116" s="28" cm="1">
        <f t="array" ref="M116">M$110+IF($C116&lt;&gt;0,SUMPRODUCT((M$111:M$112)*TRANSPOSE(($D116:$E116))),0)</f>
        <v>-2534445.4316409267</v>
      </c>
      <c r="N116" s="28" cm="1">
        <f t="array" ref="N116">N$110+IF($C116&lt;&gt;0,SUMPRODUCT((N$111:N$112)*TRANSPOSE(($D116:$E116))),0)</f>
        <v>-2473279.5429787645</v>
      </c>
      <c r="O116" s="28" cm="1">
        <f t="array" ref="O116">O$110+IF($C116&lt;&gt;0,SUMPRODUCT((O$111:O$112)*TRANSPOSE(($D116:$E116))),0)</f>
        <v>-2367276.5297619454</v>
      </c>
      <c r="P116" s="28" cm="1">
        <f t="array" ref="P116">P$110+IF($C116&lt;&gt;0,SUMPRODUCT((P$111:P$112)*TRANSPOSE(($D116:$E116))),0)</f>
        <v>-2202854.6354761929</v>
      </c>
      <c r="Q116" s="28" cm="1">
        <f t="array" ref="Q116">Q$110+IF($C116&lt;&gt;0,SUMPRODUCT((Q$111:Q$112)*TRANSPOSE(($D116:$E116))),0)</f>
        <v>-2021371.0350257445</v>
      </c>
      <c r="R116" s="28" cm="1">
        <f t="array" ref="R116">R$110+IF($C116&lt;&gt;0,SUMPRODUCT((R$111:R$112)*TRANSPOSE(($D116:$E116))),0)</f>
        <v>-1845962.6197984768</v>
      </c>
      <c r="S116" s="28" cm="1">
        <f t="array" ref="S116">S$110+IF($C116&lt;&gt;0,SUMPRODUCT((S$111:S$112)*TRANSPOSE(($D116:$E116))),0)</f>
        <v>-1937426.4336781332</v>
      </c>
      <c r="T116" s="28" cm="1">
        <f t="array" ref="T116">T$110+IF($C116&lt;&gt;0,SUMPRODUCT((T$111:T$112)*TRANSPOSE(($D116:$E116))),0)</f>
        <v>-1937426.4336781332</v>
      </c>
      <c r="U116" s="28" cm="1">
        <f t="array" ref="U116">U$110+IF($C116&lt;&gt;0,SUMPRODUCT((U$111:U$112)*TRANSPOSE(($D116:$E116))),0)</f>
        <v>-1937426.4336781332</v>
      </c>
      <c r="V116" s="28" cm="1">
        <f t="array" ref="V116">V$110+IF($C116&lt;&gt;0,SUMPRODUCT((V$111:V$112)*TRANSPOSE(($D116:$E116))),0)</f>
        <v>-1937426.4336781332</v>
      </c>
      <c r="W116" s="28" cm="1">
        <f t="array" ref="W116">W$110+IF($C116&lt;&gt;0,SUMPRODUCT((W$111:W$112)*TRANSPOSE(($D116:$E116))),0)</f>
        <v>-1937426.4336781332</v>
      </c>
      <c r="X116" s="28" cm="1">
        <f t="array" ref="X116">X$110+IF($C116&lt;&gt;0,SUMPRODUCT((X$111:X$112)*TRANSPOSE(($D116:$E116))),0)</f>
        <v>-1937426.4336781332</v>
      </c>
      <c r="Y116" s="28" cm="1">
        <f t="array" ref="Y116">Y$110+IF($C116&lt;&gt;0,SUMPRODUCT((Y$111:Y$112)*TRANSPOSE(($D116:$E116))),0)</f>
        <v>-1937426.4336781332</v>
      </c>
      <c r="Z116" s="28" cm="1">
        <f t="array" ref="Z116">Z$110+IF($C116&lt;&gt;0,SUMPRODUCT((Z$111:Z$112)*TRANSPOSE(($D116:$E116))),0)</f>
        <v>-1937426.4336781332</v>
      </c>
      <c r="AA116" s="28" cm="1">
        <f t="array" ref="AA116">AA$110+IF($C116&lt;&gt;0,SUMPRODUCT((AA$111:AA$112)*TRANSPOSE(($D116:$E116))),0)</f>
        <v>-1937426.4336781332</v>
      </c>
      <c r="AB116" s="28" cm="1">
        <f t="array" ref="AB116">AB$110+IF($C116&lt;&gt;0,SUMPRODUCT((AB$111:AB$112)*TRANSPOSE(($D116:$E116))),0)</f>
        <v>-1937426.4336781332</v>
      </c>
      <c r="AC116" s="28" cm="1">
        <f t="array" ref="AC116">AC$110+IF($C116&lt;&gt;0,SUMPRODUCT((AC$111:AC$112)*TRANSPOSE(($D116:$E116))),0)</f>
        <v>-1937426.4336781332</v>
      </c>
      <c r="AD116" s="28" cm="1">
        <f t="array" ref="AD116">AD$110+IF($C116&lt;&gt;0,SUMPRODUCT((AD$111:AD$112)*TRANSPOSE(($D116:$E116))),0)</f>
        <v>-1937426.4336781332</v>
      </c>
      <c r="AE116" s="28" cm="1">
        <f t="array" ref="AE116">AE$110+IF($C116&lt;&gt;0,SUMPRODUCT((AE$111:AE$112)*TRANSPOSE(($D116:$E116))),0)</f>
        <v>-1937426.4336781332</v>
      </c>
      <c r="AF116" s="28" cm="1">
        <f t="array" ref="AF116">AF$110+IF($C116&lt;&gt;0,SUMPRODUCT((AF$111:AF$112)*TRANSPOSE(($D116:$E116))),0)</f>
        <v>-1937426.4336781332</v>
      </c>
      <c r="AG116" s="28" cm="1">
        <f t="array" ref="AG116">AG$110+IF($C116&lt;&gt;0,SUMPRODUCT((AG$111:AG$112)*TRANSPOSE(($D116:$E116))),0)</f>
        <v>-1937426.4336781332</v>
      </c>
    </row>
    <row r="117" spans="1:33" x14ac:dyDescent="0.2">
      <c r="A117" s="1" t="str">
        <f>"sens"&amp;Assumptions!B114</f>
        <v>sens4</v>
      </c>
      <c r="C117" s="247" t="str">
        <f>Assumptions!C114</f>
        <v>Total benefits 10% lower</v>
      </c>
      <c r="D117" s="248">
        <f>Assumptions!G114</f>
        <v>0</v>
      </c>
      <c r="E117" s="248">
        <f>Assumptions!H114</f>
        <v>-0.1</v>
      </c>
      <c r="G117" s="33" t="str">
        <f t="shared" si="23"/>
        <v>Option 4sens4</v>
      </c>
      <c r="I117" s="28" cm="1">
        <f t="array" ref="I117">I$110+IF($C117&lt;&gt;0,SUMPRODUCT((I$111:I$112)*TRANSPOSE(($D117:$E117))),0)</f>
        <v>0</v>
      </c>
      <c r="J117" s="28" cm="1">
        <f t="array" ref="J117">J$110+IF($C117&lt;&gt;0,SUMPRODUCT((J$111:J$112)*TRANSPOSE(($D117:$E117))),0)</f>
        <v>-255802.25739928786</v>
      </c>
      <c r="K117" s="28" cm="1">
        <f t="array" ref="K117">K$110+IF($C117&lt;&gt;0,SUMPRODUCT((K$111:K$112)*TRANSPOSE(($D117:$E117))),0)</f>
        <v>-1313118.2546496778</v>
      </c>
      <c r="L117" s="28" cm="1">
        <f t="array" ref="L117">L$110+IF($C117&lt;&gt;0,SUMPRODUCT((L$111:L$112)*TRANSPOSE(($D117:$E117))),0)</f>
        <v>-2387487.7357266867</v>
      </c>
      <c r="M117" s="28" cm="1">
        <f t="array" ref="M117">M$110+IF($C117&lt;&gt;0,SUMPRODUCT((M$111:M$112)*TRANSPOSE(($D117:$E117))),0)</f>
        <v>-2554235.3519109357</v>
      </c>
      <c r="N117" s="28" cm="1">
        <f t="array" ref="N117">N$110+IF($C117&lt;&gt;0,SUMPRODUCT((N$111:N$112)*TRANSPOSE(($D117:$E117))),0)</f>
        <v>-2504190.533914621</v>
      </c>
      <c r="O117" s="28" cm="1">
        <f t="array" ref="O117">O$110+IF($C117&lt;&gt;0,SUMPRODUCT((O$111:O$112)*TRANSPOSE(($D117:$E117))),0)</f>
        <v>-2417460.7958281324</v>
      </c>
      <c r="P117" s="28" cm="1">
        <f t="array" ref="P117">P$110+IF($C117&lt;&gt;0,SUMPRODUCT((P$111:P$112)*TRANSPOSE(($D117:$E117))),0)</f>
        <v>-2282933.791412517</v>
      </c>
      <c r="Q117" s="28" cm="1">
        <f t="array" ref="Q117">Q$110+IF($C117&lt;&gt;0,SUMPRODUCT((Q$111:Q$112)*TRANSPOSE(($D117:$E117))),0)</f>
        <v>-2134447.2092257864</v>
      </c>
      <c r="R117" s="28" cm="1">
        <f t="array" ref="R117">R$110+IF($C117&lt;&gt;0,SUMPRODUCT((R$111:R$112)*TRANSPOSE(($D117:$E117))),0)</f>
        <v>-1990931.2331307493</v>
      </c>
      <c r="S117" s="28" cm="1">
        <f t="array" ref="S117">S$110+IF($C117&lt;&gt;0,SUMPRODUCT((S$111:S$112)*TRANSPOSE(($D117:$E117))),0)</f>
        <v>-2065765.2626686499</v>
      </c>
      <c r="T117" s="28" cm="1">
        <f t="array" ref="T117">T$110+IF($C117&lt;&gt;0,SUMPRODUCT((T$111:T$112)*TRANSPOSE(($D117:$E117))),0)</f>
        <v>-2065765.2626686499</v>
      </c>
      <c r="U117" s="28" cm="1">
        <f t="array" ref="U117">U$110+IF($C117&lt;&gt;0,SUMPRODUCT((U$111:U$112)*TRANSPOSE(($D117:$E117))),0)</f>
        <v>-2065765.2626686499</v>
      </c>
      <c r="V117" s="28" cm="1">
        <f t="array" ref="V117">V$110+IF($C117&lt;&gt;0,SUMPRODUCT((V$111:V$112)*TRANSPOSE(($D117:$E117))),0)</f>
        <v>-2065765.2626686499</v>
      </c>
      <c r="W117" s="28" cm="1">
        <f t="array" ref="W117">W$110+IF($C117&lt;&gt;0,SUMPRODUCT((W$111:W$112)*TRANSPOSE(($D117:$E117))),0)</f>
        <v>-2065765.2626686499</v>
      </c>
      <c r="X117" s="28" cm="1">
        <f t="array" ref="X117">X$110+IF($C117&lt;&gt;0,SUMPRODUCT((X$111:X$112)*TRANSPOSE(($D117:$E117))),0)</f>
        <v>-2065765.2626686499</v>
      </c>
      <c r="Y117" s="28" cm="1">
        <f t="array" ref="Y117">Y$110+IF($C117&lt;&gt;0,SUMPRODUCT((Y$111:Y$112)*TRANSPOSE(($D117:$E117))),0)</f>
        <v>-2065765.2626686499</v>
      </c>
      <c r="Z117" s="28" cm="1">
        <f t="array" ref="Z117">Z$110+IF($C117&lt;&gt;0,SUMPRODUCT((Z$111:Z$112)*TRANSPOSE(($D117:$E117))),0)</f>
        <v>-2065765.2626686499</v>
      </c>
      <c r="AA117" s="28" cm="1">
        <f t="array" ref="AA117">AA$110+IF($C117&lt;&gt;0,SUMPRODUCT((AA$111:AA$112)*TRANSPOSE(($D117:$E117))),0)</f>
        <v>-2065765.2626686499</v>
      </c>
      <c r="AB117" s="28" cm="1">
        <f t="array" ref="AB117">AB$110+IF($C117&lt;&gt;0,SUMPRODUCT((AB$111:AB$112)*TRANSPOSE(($D117:$E117))),0)</f>
        <v>-2065765.2626686499</v>
      </c>
      <c r="AC117" s="28" cm="1">
        <f t="array" ref="AC117">AC$110+IF($C117&lt;&gt;0,SUMPRODUCT((AC$111:AC$112)*TRANSPOSE(($D117:$E117))),0)</f>
        <v>-2065765.2626686499</v>
      </c>
      <c r="AD117" s="28" cm="1">
        <f t="array" ref="AD117">AD$110+IF($C117&lt;&gt;0,SUMPRODUCT((AD$111:AD$112)*TRANSPOSE(($D117:$E117))),0)</f>
        <v>-2065765.2626686499</v>
      </c>
      <c r="AE117" s="28" cm="1">
        <f t="array" ref="AE117">AE$110+IF($C117&lt;&gt;0,SUMPRODUCT((AE$111:AE$112)*TRANSPOSE(($D117:$E117))),0)</f>
        <v>-2065765.2626686499</v>
      </c>
      <c r="AF117" s="28" cm="1">
        <f t="array" ref="AF117">AF$110+IF($C117&lt;&gt;0,SUMPRODUCT((AF$111:AF$112)*TRANSPOSE(($D117:$E117))),0)</f>
        <v>-2065765.2626686499</v>
      </c>
      <c r="AG117" s="28" cm="1">
        <f t="array" ref="AG117">AG$110+IF($C117&lt;&gt;0,SUMPRODUCT((AG$111:AG$112)*TRANSPOSE(($D117:$E117))),0)</f>
        <v>-2065765.2626686499</v>
      </c>
    </row>
    <row r="118" spans="1:33" x14ac:dyDescent="0.2">
      <c r="A118" s="1" t="str">
        <f>"sens"&amp;Assumptions!B115</f>
        <v>sens5</v>
      </c>
      <c r="C118" s="247" t="str">
        <f>Assumptions!C115</f>
        <v>Capex 10% higher &amp; Total benefits 10% lower</v>
      </c>
      <c r="D118" s="248">
        <f>Assumptions!G115</f>
        <v>0.1</v>
      </c>
      <c r="E118" s="248">
        <f>Assumptions!H115</f>
        <v>-0.1</v>
      </c>
      <c r="G118" s="33" t="str">
        <f t="shared" si="23"/>
        <v>Option 4sens5</v>
      </c>
      <c r="I118" s="28" cm="1">
        <f t="array" ref="I118">I$110+IF($C118&lt;&gt;0,SUMPRODUCT((I$111:I$112)*TRANSPOSE(($D118:$E118))),0)</f>
        <v>0</v>
      </c>
      <c r="J118" s="28" cm="1">
        <f t="array" ref="J118">J$110+IF($C118&lt;&gt;0,SUMPRODUCT((J$111:J$112)*TRANSPOSE(($D118:$E118))),0)</f>
        <v>-281382.48313921667</v>
      </c>
      <c r="K118" s="28" cm="1">
        <f t="array" ref="K118">K$110+IF($C118&lt;&gt;0,SUMPRODUCT((K$111:K$112)*TRANSPOSE(($D118:$E118))),0)</f>
        <v>-1444430.0801146457</v>
      </c>
      <c r="L118" s="28" cm="1">
        <f t="array" ref="L118">L$110+IF($C118&lt;&gt;0,SUMPRODUCT((L$111:L$112)*TRANSPOSE(($D118:$E118))),0)</f>
        <v>-2626236.5092993556</v>
      </c>
      <c r="M118" s="28" cm="1">
        <f t="array" ref="M118">M$110+IF($C118&lt;&gt;0,SUMPRODUCT((M$111:M$112)*TRANSPOSE(($D118:$E118))),0)</f>
        <v>-2818564.351223533</v>
      </c>
      <c r="N118" s="28" cm="1">
        <f t="array" ref="N118">N$110+IF($C118&lt;&gt;0,SUMPRODUCT((N$111:N$112)*TRANSPOSE(($D118:$E118))),0)</f>
        <v>-2768519.5332272183</v>
      </c>
      <c r="O118" s="28" cm="1">
        <f t="array" ref="O118">O$110+IF($C118&lt;&gt;0,SUMPRODUCT((O$111:O$112)*TRANSPOSE(($D118:$E118))),0)</f>
        <v>-2681789.7951407302</v>
      </c>
      <c r="P118" s="28" cm="1">
        <f t="array" ref="P118">P$110+IF($C118&lt;&gt;0,SUMPRODUCT((P$111:P$112)*TRANSPOSE(($D118:$E118))),0)</f>
        <v>-2547262.7907251143</v>
      </c>
      <c r="Q118" s="28" cm="1">
        <f t="array" ref="Q118">Q$110+IF($C118&lt;&gt;0,SUMPRODUCT((Q$111:Q$112)*TRANSPOSE(($D118:$E118))),0)</f>
        <v>-2398776.2085383837</v>
      </c>
      <c r="R118" s="28" cm="1">
        <f t="array" ref="R118">R$110+IF($C118&lt;&gt;0,SUMPRODUCT((R$111:R$112)*TRANSPOSE(($D118:$E118))),0)</f>
        <v>-2255260.2324433466</v>
      </c>
      <c r="S118" s="28" cm="1">
        <f t="array" ref="S118">S$110+IF($C118&lt;&gt;0,SUMPRODUCT((S$111:S$112)*TRANSPOSE(($D118:$E118))),0)</f>
        <v>-2330094.2619812475</v>
      </c>
      <c r="T118" s="28" cm="1">
        <f t="array" ref="T118">T$110+IF($C118&lt;&gt;0,SUMPRODUCT((T$111:T$112)*TRANSPOSE(($D118:$E118))),0)</f>
        <v>-2330094.2619812475</v>
      </c>
      <c r="U118" s="28" cm="1">
        <f t="array" ref="U118">U$110+IF($C118&lt;&gt;0,SUMPRODUCT((U$111:U$112)*TRANSPOSE(($D118:$E118))),0)</f>
        <v>-2330094.2619812475</v>
      </c>
      <c r="V118" s="28" cm="1">
        <f t="array" ref="V118">V$110+IF($C118&lt;&gt;0,SUMPRODUCT((V$111:V$112)*TRANSPOSE(($D118:$E118))),0)</f>
        <v>-2330094.2619812475</v>
      </c>
      <c r="W118" s="28" cm="1">
        <f t="array" ref="W118">W$110+IF($C118&lt;&gt;0,SUMPRODUCT((W$111:W$112)*TRANSPOSE(($D118:$E118))),0)</f>
        <v>-2330094.2619812475</v>
      </c>
      <c r="X118" s="28" cm="1">
        <f t="array" ref="X118">X$110+IF($C118&lt;&gt;0,SUMPRODUCT((X$111:X$112)*TRANSPOSE(($D118:$E118))),0)</f>
        <v>-2330094.2619812475</v>
      </c>
      <c r="Y118" s="28" cm="1">
        <f t="array" ref="Y118">Y$110+IF($C118&lt;&gt;0,SUMPRODUCT((Y$111:Y$112)*TRANSPOSE(($D118:$E118))),0)</f>
        <v>-2330094.2619812475</v>
      </c>
      <c r="Z118" s="28" cm="1">
        <f t="array" ref="Z118">Z$110+IF($C118&lt;&gt;0,SUMPRODUCT((Z$111:Z$112)*TRANSPOSE(($D118:$E118))),0)</f>
        <v>-2330094.2619812475</v>
      </c>
      <c r="AA118" s="28" cm="1">
        <f t="array" ref="AA118">AA$110+IF($C118&lt;&gt;0,SUMPRODUCT((AA$111:AA$112)*TRANSPOSE(($D118:$E118))),0)</f>
        <v>-2330094.2619812475</v>
      </c>
      <c r="AB118" s="28" cm="1">
        <f t="array" ref="AB118">AB$110+IF($C118&lt;&gt;0,SUMPRODUCT((AB$111:AB$112)*TRANSPOSE(($D118:$E118))),0)</f>
        <v>-2330094.2619812475</v>
      </c>
      <c r="AC118" s="28" cm="1">
        <f t="array" ref="AC118">AC$110+IF($C118&lt;&gt;0,SUMPRODUCT((AC$111:AC$112)*TRANSPOSE(($D118:$E118))),0)</f>
        <v>-2330094.2619812475</v>
      </c>
      <c r="AD118" s="28" cm="1">
        <f t="array" ref="AD118">AD$110+IF($C118&lt;&gt;0,SUMPRODUCT((AD$111:AD$112)*TRANSPOSE(($D118:$E118))),0)</f>
        <v>-2330094.2619812475</v>
      </c>
      <c r="AE118" s="28" cm="1">
        <f t="array" ref="AE118">AE$110+IF($C118&lt;&gt;0,SUMPRODUCT((AE$111:AE$112)*TRANSPOSE(($D118:$E118))),0)</f>
        <v>-2330094.2619812475</v>
      </c>
      <c r="AF118" s="28" cm="1">
        <f t="array" ref="AF118">AF$110+IF($C118&lt;&gt;0,SUMPRODUCT((AF$111:AF$112)*TRANSPOSE(($D118:$E118))),0)</f>
        <v>-2330094.2619812475</v>
      </c>
      <c r="AG118" s="28" cm="1">
        <f t="array" ref="AG118">AG$110+IF($C118&lt;&gt;0,SUMPRODUCT((AG$111:AG$112)*TRANSPOSE(($D118:$E118))),0)</f>
        <v>-2330094.2619812475</v>
      </c>
    </row>
    <row r="119" spans="1:33" x14ac:dyDescent="0.2">
      <c r="A119" s="1" t="str">
        <f>"sens"&amp;Assumptions!B116</f>
        <v>sens</v>
      </c>
      <c r="C119" s="247">
        <f>Assumptions!C116</f>
        <v>0</v>
      </c>
      <c r="D119" s="248">
        <f>Assumptions!G116</f>
        <v>0</v>
      </c>
      <c r="E119" s="248">
        <f>Assumptions!H116</f>
        <v>0</v>
      </c>
      <c r="G119" s="33" t="str">
        <f t="shared" si="23"/>
        <v>Option 4sens</v>
      </c>
      <c r="I119" s="28" cm="1">
        <f t="array" ref="I119">I$110+IF($C119&lt;&gt;0,SUMPRODUCT((I$111:I$112)*TRANSPOSE(($D119:$E119))),0)</f>
        <v>0</v>
      </c>
      <c r="J119" s="28" cm="1">
        <f t="array" ref="J119">J$110+IF($C119&lt;&gt;0,SUMPRODUCT((J$111:J$112)*TRANSPOSE(($D119:$E119))),0)</f>
        <v>-255802.25739928786</v>
      </c>
      <c r="K119" s="28" cm="1">
        <f t="array" ref="K119">K$110+IF($C119&lt;&gt;0,SUMPRODUCT((K$111:K$112)*TRANSPOSE(($D119:$E119))),0)</f>
        <v>-1313118.2546496778</v>
      </c>
      <c r="L119" s="28" cm="1">
        <f t="array" ref="L119">L$110+IF($C119&lt;&gt;0,SUMPRODUCT((L$111:L$112)*TRANSPOSE(($D119:$E119))),0)</f>
        <v>-2387487.7357266867</v>
      </c>
      <c r="M119" s="28" cm="1">
        <f t="array" ref="M119">M$110+IF($C119&lt;&gt;0,SUMPRODUCT((M$111:M$112)*TRANSPOSE(($D119:$E119))),0)</f>
        <v>-2544340.3917759312</v>
      </c>
      <c r="N119" s="28" cm="1">
        <f t="array" ref="N119">N$110+IF($C119&lt;&gt;0,SUMPRODUCT((N$111:N$112)*TRANSPOSE(($D119:$E119))),0)</f>
        <v>-2488735.0384466927</v>
      </c>
      <c r="O119" s="28" cm="1">
        <f t="array" ref="O119">O$110+IF($C119&lt;&gt;0,SUMPRODUCT((O$111:O$112)*TRANSPOSE(($D119:$E119))),0)</f>
        <v>-2392368.6627950389</v>
      </c>
      <c r="P119" s="28" cm="1">
        <f t="array" ref="P119">P$110+IF($C119&lt;&gt;0,SUMPRODUCT((P$111:P$112)*TRANSPOSE(($D119:$E119))),0)</f>
        <v>-2242894.2134443549</v>
      </c>
      <c r="Q119" s="28" cm="1">
        <f t="array" ref="Q119">Q$110+IF($C119&lt;&gt;0,SUMPRODUCT((Q$111:Q$112)*TRANSPOSE(($D119:$E119))),0)</f>
        <v>-2077909.1221257653</v>
      </c>
      <c r="R119" s="28" cm="1">
        <f t="array" ref="R119">R$110+IF($C119&lt;&gt;0,SUMPRODUCT((R$111:R$112)*TRANSPOSE(($D119:$E119))),0)</f>
        <v>-1918446.9264646131</v>
      </c>
      <c r="S119" s="28" cm="1">
        <f t="array" ref="S119">S$110+IF($C119&lt;&gt;0,SUMPRODUCT((S$111:S$112)*TRANSPOSE(($D119:$E119))),0)</f>
        <v>-2001595.8481733915</v>
      </c>
      <c r="T119" s="28" cm="1">
        <f t="array" ref="T119">T$110+IF($C119&lt;&gt;0,SUMPRODUCT((T$111:T$112)*TRANSPOSE(($D119:$E119))),0)</f>
        <v>-2001595.8481733915</v>
      </c>
      <c r="U119" s="28" cm="1">
        <f t="array" ref="U119">U$110+IF($C119&lt;&gt;0,SUMPRODUCT((U$111:U$112)*TRANSPOSE(($D119:$E119))),0)</f>
        <v>-2001595.8481733915</v>
      </c>
      <c r="V119" s="28" cm="1">
        <f t="array" ref="V119">V$110+IF($C119&lt;&gt;0,SUMPRODUCT((V$111:V$112)*TRANSPOSE(($D119:$E119))),0)</f>
        <v>-2001595.8481733915</v>
      </c>
      <c r="W119" s="28" cm="1">
        <f t="array" ref="W119">W$110+IF($C119&lt;&gt;0,SUMPRODUCT((W$111:W$112)*TRANSPOSE(($D119:$E119))),0)</f>
        <v>-2001595.8481733915</v>
      </c>
      <c r="X119" s="28" cm="1">
        <f t="array" ref="X119">X$110+IF($C119&lt;&gt;0,SUMPRODUCT((X$111:X$112)*TRANSPOSE(($D119:$E119))),0)</f>
        <v>-2001595.8481733915</v>
      </c>
      <c r="Y119" s="28" cm="1">
        <f t="array" ref="Y119">Y$110+IF($C119&lt;&gt;0,SUMPRODUCT((Y$111:Y$112)*TRANSPOSE(($D119:$E119))),0)</f>
        <v>-2001595.8481733915</v>
      </c>
      <c r="Z119" s="28" cm="1">
        <f t="array" ref="Z119">Z$110+IF($C119&lt;&gt;0,SUMPRODUCT((Z$111:Z$112)*TRANSPOSE(($D119:$E119))),0)</f>
        <v>-2001595.8481733915</v>
      </c>
      <c r="AA119" s="28" cm="1">
        <f t="array" ref="AA119">AA$110+IF($C119&lt;&gt;0,SUMPRODUCT((AA$111:AA$112)*TRANSPOSE(($D119:$E119))),0)</f>
        <v>-2001595.8481733915</v>
      </c>
      <c r="AB119" s="28" cm="1">
        <f t="array" ref="AB119">AB$110+IF($C119&lt;&gt;0,SUMPRODUCT((AB$111:AB$112)*TRANSPOSE(($D119:$E119))),0)</f>
        <v>-2001595.8481733915</v>
      </c>
      <c r="AC119" s="28" cm="1">
        <f t="array" ref="AC119">AC$110+IF($C119&lt;&gt;0,SUMPRODUCT((AC$111:AC$112)*TRANSPOSE(($D119:$E119))),0)</f>
        <v>-2001595.8481733915</v>
      </c>
      <c r="AD119" s="28" cm="1">
        <f t="array" ref="AD119">AD$110+IF($C119&lt;&gt;0,SUMPRODUCT((AD$111:AD$112)*TRANSPOSE(($D119:$E119))),0)</f>
        <v>-2001595.8481733915</v>
      </c>
      <c r="AE119" s="28" cm="1">
        <f t="array" ref="AE119">AE$110+IF($C119&lt;&gt;0,SUMPRODUCT((AE$111:AE$112)*TRANSPOSE(($D119:$E119))),0)</f>
        <v>-2001595.8481733915</v>
      </c>
      <c r="AF119" s="28" cm="1">
        <f t="array" ref="AF119">AF$110+IF($C119&lt;&gt;0,SUMPRODUCT((AF$111:AF$112)*TRANSPOSE(($D119:$E119))),0)</f>
        <v>-2001595.8481733915</v>
      </c>
      <c r="AG119" s="28" cm="1">
        <f t="array" ref="AG119">AG$110+IF($C119&lt;&gt;0,SUMPRODUCT((AG$111:AG$112)*TRANSPOSE(($D119:$E119))),0)</f>
        <v>-2001595.8481733915</v>
      </c>
    </row>
    <row r="120" spans="1:33" x14ac:dyDescent="0.2">
      <c r="A120" s="1" t="str">
        <f>"sens"&amp;Assumptions!B117</f>
        <v>sens</v>
      </c>
      <c r="C120" s="247">
        <f>Assumptions!C117</f>
        <v>0</v>
      </c>
      <c r="D120" s="248">
        <f>Assumptions!G117</f>
        <v>0</v>
      </c>
      <c r="E120" s="248">
        <f>Assumptions!H117</f>
        <v>0</v>
      </c>
      <c r="G120" s="33" t="str">
        <f t="shared" si="23"/>
        <v>Option 4sens</v>
      </c>
      <c r="I120" s="28" cm="1">
        <f t="array" ref="I120">I$110+IF($C120&lt;&gt;0,SUMPRODUCT((I$111:I$112)*TRANSPOSE(($D120:$E120))),0)</f>
        <v>0</v>
      </c>
      <c r="J120" s="28" cm="1">
        <f t="array" ref="J120">J$110+IF($C120&lt;&gt;0,SUMPRODUCT((J$111:J$112)*TRANSPOSE(($D120:$E120))),0)</f>
        <v>-255802.25739928786</v>
      </c>
      <c r="K120" s="28" cm="1">
        <f t="array" ref="K120">K$110+IF($C120&lt;&gt;0,SUMPRODUCT((K$111:K$112)*TRANSPOSE(($D120:$E120))),0)</f>
        <v>-1313118.2546496778</v>
      </c>
      <c r="L120" s="28" cm="1">
        <f t="array" ref="L120">L$110+IF($C120&lt;&gt;0,SUMPRODUCT((L$111:L$112)*TRANSPOSE(($D120:$E120))),0)</f>
        <v>-2387487.7357266867</v>
      </c>
      <c r="M120" s="28" cm="1">
        <f t="array" ref="M120">M$110+IF($C120&lt;&gt;0,SUMPRODUCT((M$111:M$112)*TRANSPOSE(($D120:$E120))),0)</f>
        <v>-2544340.3917759312</v>
      </c>
      <c r="N120" s="28" cm="1">
        <f t="array" ref="N120">N$110+IF($C120&lt;&gt;0,SUMPRODUCT((N$111:N$112)*TRANSPOSE(($D120:$E120))),0)</f>
        <v>-2488735.0384466927</v>
      </c>
      <c r="O120" s="28" cm="1">
        <f t="array" ref="O120">O$110+IF($C120&lt;&gt;0,SUMPRODUCT((O$111:O$112)*TRANSPOSE(($D120:$E120))),0)</f>
        <v>-2392368.6627950389</v>
      </c>
      <c r="P120" s="28" cm="1">
        <f t="array" ref="P120">P$110+IF($C120&lt;&gt;0,SUMPRODUCT((P$111:P$112)*TRANSPOSE(($D120:$E120))),0)</f>
        <v>-2242894.2134443549</v>
      </c>
      <c r="Q120" s="28" cm="1">
        <f t="array" ref="Q120">Q$110+IF($C120&lt;&gt;0,SUMPRODUCT((Q$111:Q$112)*TRANSPOSE(($D120:$E120))),0)</f>
        <v>-2077909.1221257653</v>
      </c>
      <c r="R120" s="28" cm="1">
        <f t="array" ref="R120">R$110+IF($C120&lt;&gt;0,SUMPRODUCT((R$111:R$112)*TRANSPOSE(($D120:$E120))),0)</f>
        <v>-1918446.9264646131</v>
      </c>
      <c r="S120" s="28" cm="1">
        <f t="array" ref="S120">S$110+IF($C120&lt;&gt;0,SUMPRODUCT((S$111:S$112)*TRANSPOSE(($D120:$E120))),0)</f>
        <v>-2001595.8481733915</v>
      </c>
      <c r="T120" s="28" cm="1">
        <f t="array" ref="T120">T$110+IF($C120&lt;&gt;0,SUMPRODUCT((T$111:T$112)*TRANSPOSE(($D120:$E120))),0)</f>
        <v>-2001595.8481733915</v>
      </c>
      <c r="U120" s="28" cm="1">
        <f t="array" ref="U120">U$110+IF($C120&lt;&gt;0,SUMPRODUCT((U$111:U$112)*TRANSPOSE(($D120:$E120))),0)</f>
        <v>-2001595.8481733915</v>
      </c>
      <c r="V120" s="28" cm="1">
        <f t="array" ref="V120">V$110+IF($C120&lt;&gt;0,SUMPRODUCT((V$111:V$112)*TRANSPOSE(($D120:$E120))),0)</f>
        <v>-2001595.8481733915</v>
      </c>
      <c r="W120" s="28" cm="1">
        <f t="array" ref="W120">W$110+IF($C120&lt;&gt;0,SUMPRODUCT((W$111:W$112)*TRANSPOSE(($D120:$E120))),0)</f>
        <v>-2001595.8481733915</v>
      </c>
      <c r="X120" s="28" cm="1">
        <f t="array" ref="X120">X$110+IF($C120&lt;&gt;0,SUMPRODUCT((X$111:X$112)*TRANSPOSE(($D120:$E120))),0)</f>
        <v>-2001595.8481733915</v>
      </c>
      <c r="Y120" s="28" cm="1">
        <f t="array" ref="Y120">Y$110+IF($C120&lt;&gt;0,SUMPRODUCT((Y$111:Y$112)*TRANSPOSE(($D120:$E120))),0)</f>
        <v>-2001595.8481733915</v>
      </c>
      <c r="Z120" s="28" cm="1">
        <f t="array" ref="Z120">Z$110+IF($C120&lt;&gt;0,SUMPRODUCT((Z$111:Z$112)*TRANSPOSE(($D120:$E120))),0)</f>
        <v>-2001595.8481733915</v>
      </c>
      <c r="AA120" s="28" cm="1">
        <f t="array" ref="AA120">AA$110+IF($C120&lt;&gt;0,SUMPRODUCT((AA$111:AA$112)*TRANSPOSE(($D120:$E120))),0)</f>
        <v>-2001595.8481733915</v>
      </c>
      <c r="AB120" s="28" cm="1">
        <f t="array" ref="AB120">AB$110+IF($C120&lt;&gt;0,SUMPRODUCT((AB$111:AB$112)*TRANSPOSE(($D120:$E120))),0)</f>
        <v>-2001595.8481733915</v>
      </c>
      <c r="AC120" s="28" cm="1">
        <f t="array" ref="AC120">AC$110+IF($C120&lt;&gt;0,SUMPRODUCT((AC$111:AC$112)*TRANSPOSE(($D120:$E120))),0)</f>
        <v>-2001595.8481733915</v>
      </c>
      <c r="AD120" s="28" cm="1">
        <f t="array" ref="AD120">AD$110+IF($C120&lt;&gt;0,SUMPRODUCT((AD$111:AD$112)*TRANSPOSE(($D120:$E120))),0)</f>
        <v>-2001595.8481733915</v>
      </c>
      <c r="AE120" s="28" cm="1">
        <f t="array" ref="AE120">AE$110+IF($C120&lt;&gt;0,SUMPRODUCT((AE$111:AE$112)*TRANSPOSE(($D120:$E120))),0)</f>
        <v>-2001595.8481733915</v>
      </c>
      <c r="AF120" s="28" cm="1">
        <f t="array" ref="AF120">AF$110+IF($C120&lt;&gt;0,SUMPRODUCT((AF$111:AF$112)*TRANSPOSE(($D120:$E120))),0)</f>
        <v>-2001595.8481733915</v>
      </c>
      <c r="AG120" s="28" cm="1">
        <f t="array" ref="AG120">AG$110+IF($C120&lt;&gt;0,SUMPRODUCT((AG$111:AG$112)*TRANSPOSE(($D120:$E120))),0)</f>
        <v>-2001595.8481733915</v>
      </c>
    </row>
    <row r="121" spans="1:33" x14ac:dyDescent="0.2">
      <c r="A121" s="1" t="str">
        <f>"sens"&amp;Assumptions!B118</f>
        <v>sens</v>
      </c>
      <c r="C121" s="247">
        <f>Assumptions!C118</f>
        <v>0</v>
      </c>
      <c r="D121" s="248">
        <f>Assumptions!G118</f>
        <v>0</v>
      </c>
      <c r="E121" s="248">
        <f>Assumptions!H118</f>
        <v>0</v>
      </c>
      <c r="G121" s="33" t="str">
        <f t="shared" si="23"/>
        <v>Option 4sens</v>
      </c>
      <c r="I121" s="28" cm="1">
        <f t="array" ref="I121">I$110+IF($C121&lt;&gt;0,SUMPRODUCT((I$111:I$112)*TRANSPOSE(($D121:$E121))),0)</f>
        <v>0</v>
      </c>
      <c r="J121" s="28" cm="1">
        <f t="array" ref="J121">J$110+IF($C121&lt;&gt;0,SUMPRODUCT((J$111:J$112)*TRANSPOSE(($D121:$E121))),0)</f>
        <v>-255802.25739928786</v>
      </c>
      <c r="K121" s="28" cm="1">
        <f t="array" ref="K121">K$110+IF($C121&lt;&gt;0,SUMPRODUCT((K$111:K$112)*TRANSPOSE(($D121:$E121))),0)</f>
        <v>-1313118.2546496778</v>
      </c>
      <c r="L121" s="28" cm="1">
        <f t="array" ref="L121">L$110+IF($C121&lt;&gt;0,SUMPRODUCT((L$111:L$112)*TRANSPOSE(($D121:$E121))),0)</f>
        <v>-2387487.7357266867</v>
      </c>
      <c r="M121" s="28" cm="1">
        <f t="array" ref="M121">M$110+IF($C121&lt;&gt;0,SUMPRODUCT((M$111:M$112)*TRANSPOSE(($D121:$E121))),0)</f>
        <v>-2544340.3917759312</v>
      </c>
      <c r="N121" s="28" cm="1">
        <f t="array" ref="N121">N$110+IF($C121&lt;&gt;0,SUMPRODUCT((N$111:N$112)*TRANSPOSE(($D121:$E121))),0)</f>
        <v>-2488735.0384466927</v>
      </c>
      <c r="O121" s="28" cm="1">
        <f t="array" ref="O121">O$110+IF($C121&lt;&gt;0,SUMPRODUCT((O$111:O$112)*TRANSPOSE(($D121:$E121))),0)</f>
        <v>-2392368.6627950389</v>
      </c>
      <c r="P121" s="28" cm="1">
        <f t="array" ref="P121">P$110+IF($C121&lt;&gt;0,SUMPRODUCT((P$111:P$112)*TRANSPOSE(($D121:$E121))),0)</f>
        <v>-2242894.2134443549</v>
      </c>
      <c r="Q121" s="28" cm="1">
        <f t="array" ref="Q121">Q$110+IF($C121&lt;&gt;0,SUMPRODUCT((Q$111:Q$112)*TRANSPOSE(($D121:$E121))),0)</f>
        <v>-2077909.1221257653</v>
      </c>
      <c r="R121" s="28" cm="1">
        <f t="array" ref="R121">R$110+IF($C121&lt;&gt;0,SUMPRODUCT((R$111:R$112)*TRANSPOSE(($D121:$E121))),0)</f>
        <v>-1918446.9264646131</v>
      </c>
      <c r="S121" s="28" cm="1">
        <f t="array" ref="S121">S$110+IF($C121&lt;&gt;0,SUMPRODUCT((S$111:S$112)*TRANSPOSE(($D121:$E121))),0)</f>
        <v>-2001595.8481733915</v>
      </c>
      <c r="T121" s="28" cm="1">
        <f t="array" ref="T121">T$110+IF($C121&lt;&gt;0,SUMPRODUCT((T$111:T$112)*TRANSPOSE(($D121:$E121))),0)</f>
        <v>-2001595.8481733915</v>
      </c>
      <c r="U121" s="28" cm="1">
        <f t="array" ref="U121">U$110+IF($C121&lt;&gt;0,SUMPRODUCT((U$111:U$112)*TRANSPOSE(($D121:$E121))),0)</f>
        <v>-2001595.8481733915</v>
      </c>
      <c r="V121" s="28" cm="1">
        <f t="array" ref="V121">V$110+IF($C121&lt;&gt;0,SUMPRODUCT((V$111:V$112)*TRANSPOSE(($D121:$E121))),0)</f>
        <v>-2001595.8481733915</v>
      </c>
      <c r="W121" s="28" cm="1">
        <f t="array" ref="W121">W$110+IF($C121&lt;&gt;0,SUMPRODUCT((W$111:W$112)*TRANSPOSE(($D121:$E121))),0)</f>
        <v>-2001595.8481733915</v>
      </c>
      <c r="X121" s="28" cm="1">
        <f t="array" ref="X121">X$110+IF($C121&lt;&gt;0,SUMPRODUCT((X$111:X$112)*TRANSPOSE(($D121:$E121))),0)</f>
        <v>-2001595.8481733915</v>
      </c>
      <c r="Y121" s="28" cm="1">
        <f t="array" ref="Y121">Y$110+IF($C121&lt;&gt;0,SUMPRODUCT((Y$111:Y$112)*TRANSPOSE(($D121:$E121))),0)</f>
        <v>-2001595.8481733915</v>
      </c>
      <c r="Z121" s="28" cm="1">
        <f t="array" ref="Z121">Z$110+IF($C121&lt;&gt;0,SUMPRODUCT((Z$111:Z$112)*TRANSPOSE(($D121:$E121))),0)</f>
        <v>-2001595.8481733915</v>
      </c>
      <c r="AA121" s="28" cm="1">
        <f t="array" ref="AA121">AA$110+IF($C121&lt;&gt;0,SUMPRODUCT((AA$111:AA$112)*TRANSPOSE(($D121:$E121))),0)</f>
        <v>-2001595.8481733915</v>
      </c>
      <c r="AB121" s="28" cm="1">
        <f t="array" ref="AB121">AB$110+IF($C121&lt;&gt;0,SUMPRODUCT((AB$111:AB$112)*TRANSPOSE(($D121:$E121))),0)</f>
        <v>-2001595.8481733915</v>
      </c>
      <c r="AC121" s="28" cm="1">
        <f t="array" ref="AC121">AC$110+IF($C121&lt;&gt;0,SUMPRODUCT((AC$111:AC$112)*TRANSPOSE(($D121:$E121))),0)</f>
        <v>-2001595.8481733915</v>
      </c>
      <c r="AD121" s="28" cm="1">
        <f t="array" ref="AD121">AD$110+IF($C121&lt;&gt;0,SUMPRODUCT((AD$111:AD$112)*TRANSPOSE(($D121:$E121))),0)</f>
        <v>-2001595.8481733915</v>
      </c>
      <c r="AE121" s="28" cm="1">
        <f t="array" ref="AE121">AE$110+IF($C121&lt;&gt;0,SUMPRODUCT((AE$111:AE$112)*TRANSPOSE(($D121:$E121))),0)</f>
        <v>-2001595.8481733915</v>
      </c>
      <c r="AF121" s="28" cm="1">
        <f t="array" ref="AF121">AF$110+IF($C121&lt;&gt;0,SUMPRODUCT((AF$111:AF$112)*TRANSPOSE(($D121:$E121))),0)</f>
        <v>-2001595.8481733915</v>
      </c>
      <c r="AG121" s="28" cm="1">
        <f t="array" ref="AG121">AG$110+IF($C121&lt;&gt;0,SUMPRODUCT((AG$111:AG$112)*TRANSPOSE(($D121:$E121))),0)</f>
        <v>-2001595.8481733915</v>
      </c>
    </row>
  </sheetData>
  <conditionalFormatting sqref="E14:E16">
    <cfRule type="expression" dxfId="6" priority="54">
      <formula>AND(SUM($I14:$AB14)&lt;&gt;0, E14=0)</formula>
    </cfRule>
  </conditionalFormatting>
  <conditionalFormatting sqref="E27">
    <cfRule type="expression" dxfId="5" priority="1">
      <formula>AND(SUM($I27:$AF27)&lt;&gt;0, E27=0)</formula>
    </cfRule>
  </conditionalFormatting>
  <conditionalFormatting sqref="E32">
    <cfRule type="expression" dxfId="4" priority="2">
      <formula>AND(SUM($I$31:$AG$31)&gt;0, $E$32=0)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9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21"/>
  <sheetViews>
    <sheetView showGridLines="0" zoomScale="90" zoomScaleNormal="90" workbookViewId="0">
      <pane xSplit="7" ySplit="10" topLeftCell="H11" activePane="bottomRight" state="frozen"/>
      <selection activeCell="I31" sqref="I31"/>
      <selection pane="topRight" activeCell="I31" sqref="I31"/>
      <selection pane="bottomLeft" activeCell="I31" sqref="I31"/>
      <selection pane="bottomRight" activeCell="H11" sqref="H11"/>
    </sheetView>
  </sheetViews>
  <sheetFormatPr defaultColWidth="8" defaultRowHeight="12.75" outlineLevelRow="1" x14ac:dyDescent="0.2"/>
  <cols>
    <col min="1" max="1" width="5.5" style="1" customWidth="1"/>
    <col min="2" max="2" width="4.125" style="1" customWidth="1"/>
    <col min="3" max="3" width="24.375" style="1" customWidth="1"/>
    <col min="4" max="4" width="12.375" style="1" customWidth="1"/>
    <col min="5" max="5" width="12.5" style="1" customWidth="1"/>
    <col min="6" max="6" width="3.875" style="1" customWidth="1"/>
    <col min="7" max="7" width="9.875" style="1" customWidth="1"/>
    <col min="8" max="8" width="8.625" style="1" customWidth="1"/>
    <col min="9" max="33" width="12.125" style="1" customWidth="1"/>
    <col min="34" max="16384" width="8" style="1"/>
  </cols>
  <sheetData>
    <row r="1" spans="1:43" ht="18.75" x14ac:dyDescent="0.3">
      <c r="A1" s="13" t="str">
        <f>bus</f>
        <v>CitiPower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75" x14ac:dyDescent="0.3">
      <c r="A2" s="49" t="str">
        <f>proj</f>
        <v>CBD security of supply</v>
      </c>
      <c r="B2" s="4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75" x14ac:dyDescent="0.25">
      <c r="A3" s="172" t="s">
        <v>145</v>
      </c>
      <c r="B3" s="5"/>
      <c r="C3" s="297">
        <f>INDEX(Assumptions!$E$14:$E$18, MATCH(A3,_xlfn.ANCHORARRAY( Assumptions!$C$14),0))</f>
        <v>0</v>
      </c>
    </row>
    <row r="4" spans="1:43" x14ac:dyDescent="0.2">
      <c r="A4" s="1" t="str">
        <f>(INDEX(Data!$D$9:$D$13, MATCH(A3, options,0)))</f>
        <v>Not used</v>
      </c>
      <c r="B4" s="158"/>
      <c r="C4" s="206"/>
    </row>
    <row r="5" spans="1:43" hidden="1" outlineLevel="1" x14ac:dyDescent="0.2">
      <c r="C5" s="84"/>
      <c r="D5" s="83"/>
      <c r="E5" s="85"/>
      <c r="F5" s="85"/>
      <c r="G5" s="83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</row>
    <row r="6" spans="1:43" hidden="1" outlineLevel="1" x14ac:dyDescent="0.2">
      <c r="A6" s="83" t="str">
        <f>'Option1 (base case)'!A6</f>
        <v>Count</v>
      </c>
      <c r="B6" s="83"/>
      <c r="C6" s="84"/>
      <c r="D6" s="83"/>
      <c r="E6" s="85"/>
      <c r="F6" s="85"/>
      <c r="G6" s="83"/>
      <c r="H6" s="86"/>
      <c r="I6" s="86">
        <f>'Option1 (base case)'!I6</f>
        <v>1</v>
      </c>
      <c r="J6" s="86">
        <f>'Option1 (base case)'!J6</f>
        <v>2</v>
      </c>
      <c r="K6" s="86">
        <f>'Option1 (base case)'!K6</f>
        <v>3</v>
      </c>
      <c r="L6" s="86">
        <f>'Option1 (base case)'!L6</f>
        <v>4</v>
      </c>
      <c r="M6" s="86">
        <f>'Option1 (base case)'!M6</f>
        <v>5</v>
      </c>
      <c r="N6" s="86">
        <f>'Option1 (base case)'!N6</f>
        <v>6</v>
      </c>
      <c r="O6" s="86">
        <f>'Option1 (base case)'!O6</f>
        <v>7</v>
      </c>
      <c r="P6" s="86">
        <f>'Option1 (base case)'!P6</f>
        <v>8</v>
      </c>
      <c r="Q6" s="86">
        <f>'Option1 (base case)'!Q6</f>
        <v>9</v>
      </c>
      <c r="R6" s="86">
        <f>'Option1 (base case)'!R6</f>
        <v>10</v>
      </c>
      <c r="S6" s="86">
        <f>'Option1 (base case)'!S6</f>
        <v>11</v>
      </c>
      <c r="T6" s="86">
        <f>'Option1 (base case)'!T6</f>
        <v>12</v>
      </c>
      <c r="U6" s="86">
        <f>'Option1 (base case)'!U6</f>
        <v>13</v>
      </c>
      <c r="V6" s="86">
        <f>'Option1 (base case)'!V6</f>
        <v>14</v>
      </c>
      <c r="W6" s="86">
        <f>'Option1 (base case)'!W6</f>
        <v>15</v>
      </c>
      <c r="X6" s="86">
        <f>'Option1 (base case)'!X6</f>
        <v>16</v>
      </c>
      <c r="Y6" s="86">
        <f>'Option1 (base case)'!Y6</f>
        <v>17</v>
      </c>
      <c r="Z6" s="86">
        <f>'Option1 (base case)'!Z6</f>
        <v>18</v>
      </c>
      <c r="AA6" s="86">
        <f>'Option1 (base case)'!AA6</f>
        <v>19</v>
      </c>
      <c r="AB6" s="86">
        <f>'Option1 (base case)'!AB6</f>
        <v>20</v>
      </c>
      <c r="AC6" s="86">
        <f>'Option1 (base case)'!AC6</f>
        <v>21</v>
      </c>
      <c r="AD6" s="86">
        <f>'Option1 (base case)'!AD6</f>
        <v>22</v>
      </c>
      <c r="AE6" s="86">
        <f>'Option1 (base case)'!AE6</f>
        <v>23</v>
      </c>
      <c r="AF6" s="86">
        <f>'Option1 (base case)'!AF6</f>
        <v>24</v>
      </c>
      <c r="AG6" s="86">
        <f>'Option1 (base case)'!AG6</f>
        <v>25</v>
      </c>
    </row>
    <row r="7" spans="1:43" hidden="1" outlineLevel="1" x14ac:dyDescent="0.2">
      <c r="A7" s="83" t="str">
        <f>'Option1 (base case)'!A7</f>
        <v>Value of CO2 reductions</v>
      </c>
      <c r="B7" s="83"/>
      <c r="G7" s="133" t="s">
        <v>93</v>
      </c>
      <c r="I7" s="84">
        <f>'Option1 (base case)'!I7</f>
        <v>24.730486797759085</v>
      </c>
      <c r="J7" s="84">
        <f>'Option1 (base case)'!J7</f>
        <v>22.340740091772258</v>
      </c>
      <c r="K7" s="84">
        <f>'Option1 (base case)'!K7</f>
        <v>20.196329122153124</v>
      </c>
      <c r="L7" s="84">
        <f>'Option1 (base case)'!L7</f>
        <v>18.06294207659629</v>
      </c>
      <c r="M7" s="84">
        <f>'Option1 (base case)'!M7</f>
        <v>15.913397615084225</v>
      </c>
      <c r="N7" s="84">
        <f>'Option1 (base case)'!N7</f>
        <v>13.715069432539002</v>
      </c>
      <c r="O7" s="84">
        <f>'Option1 (base case)'!O7</f>
        <v>13.715069432539002</v>
      </c>
      <c r="P7" s="84">
        <f>'Option1 (base case)'!P7</f>
        <v>13.715069432539002</v>
      </c>
      <c r="Q7" s="84">
        <f>'Option1 (base case)'!Q7</f>
        <v>13.715069432539002</v>
      </c>
      <c r="R7" s="84">
        <f>'Option1 (base case)'!R7</f>
        <v>13.715069432539002</v>
      </c>
      <c r="S7" s="84">
        <f>'Option1 (base case)'!S7</f>
        <v>13.715069432539002</v>
      </c>
      <c r="T7" s="84">
        <f>'Option1 (base case)'!T7</f>
        <v>13.715069432539002</v>
      </c>
      <c r="U7" s="84">
        <f>'Option1 (base case)'!U7</f>
        <v>13.715069432539002</v>
      </c>
      <c r="V7" s="84">
        <f>'Option1 (base case)'!V7</f>
        <v>13.715069432539002</v>
      </c>
      <c r="W7" s="84">
        <f>'Option1 (base case)'!W7</f>
        <v>13.715069432539002</v>
      </c>
      <c r="X7" s="84">
        <f>'Option1 (base case)'!X7</f>
        <v>13.715069432539002</v>
      </c>
      <c r="Y7" s="84">
        <f>'Option1 (base case)'!Y7</f>
        <v>13.715069432539002</v>
      </c>
      <c r="Z7" s="84">
        <f>'Option1 (base case)'!Z7</f>
        <v>13.715069432539002</v>
      </c>
      <c r="AA7" s="84">
        <f>'Option1 (base case)'!AA7</f>
        <v>13.715069432539002</v>
      </c>
      <c r="AB7" s="84">
        <f>'Option1 (base case)'!AB7</f>
        <v>13.715069432539002</v>
      </c>
      <c r="AC7" s="84">
        <f>'Option1 (base case)'!AC7</f>
        <v>13.715069432539002</v>
      </c>
      <c r="AD7" s="84">
        <f>'Option1 (base case)'!AD7</f>
        <v>13.715069432539002</v>
      </c>
      <c r="AE7" s="84">
        <f>'Option1 (base case)'!AE7</f>
        <v>13.715069432539002</v>
      </c>
      <c r="AF7" s="84">
        <f>'Option1 (base case)'!AF7</f>
        <v>13.715069432539002</v>
      </c>
      <c r="AG7" s="84">
        <f>'Option1 (base case)'!AG7</f>
        <v>13.715069432539002</v>
      </c>
    </row>
    <row r="8" spans="1:43" ht="12.75" customHeight="1" collapsed="1" x14ac:dyDescent="0.2">
      <c r="C8" s="84"/>
      <c r="D8" s="83"/>
      <c r="E8" s="85"/>
      <c r="F8" s="85"/>
      <c r="G8" s="83"/>
      <c r="H8" s="86"/>
      <c r="I8" s="86">
        <f>_xlfn.NUMBERVALUE(LEFT(I$9,4))+1</f>
        <v>2027</v>
      </c>
      <c r="J8" s="86">
        <f t="shared" ref="J8:AG8" si="0">_xlfn.NUMBERVALUE(LEFT(J$9,4))+1</f>
        <v>2028</v>
      </c>
      <c r="K8" s="86">
        <f t="shared" si="0"/>
        <v>2029</v>
      </c>
      <c r="L8" s="86">
        <f t="shared" si="0"/>
        <v>2030</v>
      </c>
      <c r="M8" s="86">
        <f t="shared" si="0"/>
        <v>2031</v>
      </c>
      <c r="N8" s="86">
        <f t="shared" si="0"/>
        <v>2032</v>
      </c>
      <c r="O8" s="86">
        <f t="shared" si="0"/>
        <v>2033</v>
      </c>
      <c r="P8" s="86">
        <f t="shared" si="0"/>
        <v>2034</v>
      </c>
      <c r="Q8" s="86">
        <f t="shared" si="0"/>
        <v>2035</v>
      </c>
      <c r="R8" s="86">
        <f t="shared" si="0"/>
        <v>2036</v>
      </c>
      <c r="S8" s="86">
        <f t="shared" si="0"/>
        <v>2037</v>
      </c>
      <c r="T8" s="86">
        <f t="shared" si="0"/>
        <v>2038</v>
      </c>
      <c r="U8" s="86">
        <f t="shared" si="0"/>
        <v>2039</v>
      </c>
      <c r="V8" s="86">
        <f t="shared" si="0"/>
        <v>2040</v>
      </c>
      <c r="W8" s="86">
        <f t="shared" si="0"/>
        <v>2041</v>
      </c>
      <c r="X8" s="86">
        <f t="shared" si="0"/>
        <v>2042</v>
      </c>
      <c r="Y8" s="86">
        <f t="shared" si="0"/>
        <v>2043</v>
      </c>
      <c r="Z8" s="86">
        <f t="shared" si="0"/>
        <v>2044</v>
      </c>
      <c r="AA8" s="86">
        <f t="shared" si="0"/>
        <v>2045</v>
      </c>
      <c r="AB8" s="86">
        <f t="shared" si="0"/>
        <v>2046</v>
      </c>
      <c r="AC8" s="86">
        <f t="shared" si="0"/>
        <v>2047</v>
      </c>
      <c r="AD8" s="86">
        <f t="shared" si="0"/>
        <v>2048</v>
      </c>
      <c r="AE8" s="86">
        <f t="shared" si="0"/>
        <v>2049</v>
      </c>
      <c r="AF8" s="86">
        <f t="shared" si="0"/>
        <v>2050</v>
      </c>
      <c r="AG8" s="86">
        <f t="shared" si="0"/>
        <v>2051</v>
      </c>
    </row>
    <row r="9" spans="1:43" ht="15" x14ac:dyDescent="0.2">
      <c r="A9" s="16"/>
      <c r="B9" s="16"/>
      <c r="C9" s="16"/>
      <c r="D9" s="16"/>
      <c r="E9" s="16"/>
      <c r="F9" s="116"/>
      <c r="G9" s="16" t="s">
        <v>94</v>
      </c>
      <c r="H9" s="188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2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5" x14ac:dyDescent="0.2">
      <c r="A11" s="76" t="s">
        <v>95</v>
      </c>
      <c r="B11" s="76"/>
      <c r="C11" s="77"/>
      <c r="D11" s="77"/>
      <c r="E11" s="77"/>
      <c r="F11" s="77"/>
      <c r="G11" s="17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</row>
    <row r="12" spans="1:43" x14ac:dyDescent="0.2">
      <c r="A12" s="3"/>
      <c r="B12" s="3"/>
      <c r="C12" s="3"/>
      <c r="D12" s="3"/>
      <c r="G12" s="174"/>
      <c r="AH12"/>
      <c r="AI12"/>
      <c r="AJ12"/>
      <c r="AK12"/>
    </row>
    <row r="13" spans="1:43" x14ac:dyDescent="0.2">
      <c r="C13" s="3" t="s">
        <v>88</v>
      </c>
      <c r="D13"/>
      <c r="E13" s="102" t="s">
        <v>96</v>
      </c>
      <c r="G13" s="175"/>
      <c r="H13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x14ac:dyDescent="0.2">
      <c r="C14" s="50" t="s">
        <v>97</v>
      </c>
      <c r="D14"/>
      <c r="E14" s="122">
        <v>0</v>
      </c>
      <c r="G14" s="176">
        <f>input_dollars</f>
        <v>45291</v>
      </c>
      <c r="H14" s="123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x14ac:dyDescent="0.2">
      <c r="C15" s="50" t="s">
        <v>97</v>
      </c>
      <c r="D15"/>
      <c r="E15" s="122">
        <v>0</v>
      </c>
      <c r="G15" s="176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x14ac:dyDescent="0.2">
      <c r="C16" s="50" t="s">
        <v>97</v>
      </c>
      <c r="D16"/>
      <c r="E16" s="122">
        <v>0</v>
      </c>
      <c r="G16" s="176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x14ac:dyDescent="0.2">
      <c r="C17" s="1" t="s">
        <v>15</v>
      </c>
      <c r="G17" s="176">
        <f>input_dollars</f>
        <v>45291</v>
      </c>
      <c r="H17" s="91"/>
      <c r="I17" s="90">
        <f t="shared" ref="I17:Q17" si="1">SUM(I14:I16)</f>
        <v>0</v>
      </c>
      <c r="J17" s="90">
        <f t="shared" si="1"/>
        <v>0</v>
      </c>
      <c r="K17" s="90">
        <f>SUM(K14:K16)</f>
        <v>0</v>
      </c>
      <c r="L17" s="90">
        <f t="shared" si="1"/>
        <v>0</v>
      </c>
      <c r="M17" s="90">
        <f t="shared" si="1"/>
        <v>0</v>
      </c>
      <c r="N17" s="90">
        <f t="shared" si="1"/>
        <v>0</v>
      </c>
      <c r="O17" s="90">
        <f t="shared" si="1"/>
        <v>0</v>
      </c>
      <c r="P17" s="90">
        <f t="shared" si="1"/>
        <v>0</v>
      </c>
      <c r="Q17" s="90">
        <f t="shared" si="1"/>
        <v>0</v>
      </c>
      <c r="R17" s="90">
        <f t="shared" ref="R17:AG17" si="2">SUM(R14:R16)</f>
        <v>0</v>
      </c>
      <c r="S17" s="90">
        <f t="shared" si="2"/>
        <v>0</v>
      </c>
      <c r="T17" s="90">
        <f t="shared" si="2"/>
        <v>0</v>
      </c>
      <c r="U17" s="90">
        <f t="shared" si="2"/>
        <v>0</v>
      </c>
      <c r="V17" s="90">
        <f t="shared" si="2"/>
        <v>0</v>
      </c>
      <c r="W17" s="90">
        <f t="shared" si="2"/>
        <v>0</v>
      </c>
      <c r="X17" s="90">
        <f t="shared" si="2"/>
        <v>0</v>
      </c>
      <c r="Y17" s="90">
        <f t="shared" si="2"/>
        <v>0</v>
      </c>
      <c r="Z17" s="90">
        <f t="shared" si="2"/>
        <v>0</v>
      </c>
      <c r="AA17" s="90">
        <f t="shared" si="2"/>
        <v>0</v>
      </c>
      <c r="AB17" s="90">
        <f t="shared" si="2"/>
        <v>0</v>
      </c>
      <c r="AC17" s="90">
        <f t="shared" si="2"/>
        <v>0</v>
      </c>
      <c r="AD17" s="90">
        <f t="shared" si="2"/>
        <v>0</v>
      </c>
      <c r="AE17" s="90">
        <f t="shared" si="2"/>
        <v>0</v>
      </c>
      <c r="AF17" s="90">
        <f t="shared" si="2"/>
        <v>0</v>
      </c>
      <c r="AG17" s="90">
        <f t="shared" si="2"/>
        <v>0</v>
      </c>
      <c r="AH17"/>
      <c r="AI17"/>
      <c r="AJ17"/>
      <c r="AK17"/>
    </row>
    <row r="18" spans="1:43" x14ac:dyDescent="0.2">
      <c r="C18"/>
      <c r="D18"/>
      <c r="E18"/>
      <c r="G18" s="175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x14ac:dyDescent="0.2">
      <c r="C19" s="1" t="s">
        <v>16</v>
      </c>
      <c r="D19"/>
      <c r="E19"/>
      <c r="F19" s="91"/>
      <c r="G19" s="176">
        <f>input_dollars</f>
        <v>45291</v>
      </c>
      <c r="H19" s="91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1">
        <v>0</v>
      </c>
      <c r="S19" s="111">
        <v>0</v>
      </c>
      <c r="T19" s="111">
        <v>0</v>
      </c>
      <c r="U19" s="111">
        <v>0</v>
      </c>
      <c r="V19" s="111">
        <v>0</v>
      </c>
      <c r="W19" s="111">
        <v>0</v>
      </c>
      <c r="X19" s="111">
        <v>0</v>
      </c>
      <c r="Y19" s="111">
        <v>0</v>
      </c>
      <c r="Z19" s="111">
        <v>0</v>
      </c>
      <c r="AA19" s="111">
        <v>0</v>
      </c>
      <c r="AB19" s="111">
        <v>0</v>
      </c>
      <c r="AC19" s="111">
        <v>0</v>
      </c>
      <c r="AD19" s="111">
        <v>0</v>
      </c>
      <c r="AE19" s="111">
        <v>0</v>
      </c>
      <c r="AF19" s="111">
        <v>0</v>
      </c>
      <c r="AG19" s="111">
        <v>0</v>
      </c>
      <c r="AH19"/>
      <c r="AI19"/>
      <c r="AJ19"/>
      <c r="AK19"/>
    </row>
    <row r="20" spans="1:43" x14ac:dyDescent="0.2">
      <c r="G20" s="174"/>
      <c r="AH20"/>
      <c r="AI20"/>
      <c r="AJ20"/>
      <c r="AK20"/>
    </row>
    <row r="21" spans="1:43" x14ac:dyDescent="0.2">
      <c r="C21"/>
      <c r="D21"/>
      <c r="E21"/>
      <c r="G21" s="175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5" x14ac:dyDescent="0.2">
      <c r="A22" s="76" t="s">
        <v>98</v>
      </c>
      <c r="B22" s="76"/>
      <c r="C22" s="76"/>
      <c r="D22" s="76"/>
      <c r="E22" s="76"/>
      <c r="F22" s="76"/>
      <c r="G22" s="173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2">
      <c r="A23" s="95"/>
      <c r="B23" s="95"/>
      <c r="C23" s="95"/>
      <c r="D23" s="95"/>
      <c r="E23" s="95"/>
      <c r="F23" s="95"/>
      <c r="G23" s="177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2">
      <c r="A24" s="95"/>
      <c r="B24" s="95"/>
      <c r="C24" s="1" t="s">
        <v>99</v>
      </c>
      <c r="D24" s="95"/>
      <c r="E24" s="95"/>
      <c r="F24" s="95"/>
      <c r="G24" s="177"/>
      <c r="H24" s="95"/>
      <c r="I24" s="141">
        <v>0</v>
      </c>
      <c r="J24" s="141">
        <v>0</v>
      </c>
      <c r="K24" s="141">
        <v>0</v>
      </c>
      <c r="L24" s="141">
        <v>0</v>
      </c>
      <c r="M24" s="141">
        <v>0</v>
      </c>
      <c r="N24" s="141">
        <v>0</v>
      </c>
      <c r="O24" s="141">
        <v>0</v>
      </c>
      <c r="P24" s="141">
        <v>0</v>
      </c>
      <c r="Q24" s="141">
        <v>0</v>
      </c>
      <c r="R24" s="141">
        <v>0</v>
      </c>
      <c r="S24" s="141">
        <v>0</v>
      </c>
      <c r="T24" s="141">
        <v>0</v>
      </c>
      <c r="U24" s="141">
        <v>0</v>
      </c>
      <c r="V24" s="141">
        <v>0</v>
      </c>
      <c r="W24" s="141">
        <v>0</v>
      </c>
      <c r="X24" s="141">
        <v>0</v>
      </c>
      <c r="Y24" s="141">
        <v>0</v>
      </c>
      <c r="Z24" s="141">
        <v>0</v>
      </c>
      <c r="AA24" s="141">
        <v>0</v>
      </c>
      <c r="AB24" s="141">
        <v>0</v>
      </c>
      <c r="AC24" s="141">
        <v>0</v>
      </c>
      <c r="AD24" s="141">
        <v>0</v>
      </c>
      <c r="AE24" s="141">
        <v>0</v>
      </c>
      <c r="AF24" s="141">
        <v>0</v>
      </c>
      <c r="AG24" s="141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2">
      <c r="A25" s="95"/>
      <c r="B25" s="95"/>
      <c r="C25" s="1" t="s">
        <v>100</v>
      </c>
      <c r="D25" s="177"/>
      <c r="E25" s="95"/>
      <c r="F25" s="95"/>
      <c r="G25" s="177"/>
      <c r="H25" s="95"/>
      <c r="I25" s="141">
        <v>0</v>
      </c>
      <c r="J25" s="141">
        <v>0</v>
      </c>
      <c r="K25" s="141">
        <v>0</v>
      </c>
      <c r="L25" s="141">
        <v>0</v>
      </c>
      <c r="M25" s="141">
        <v>0</v>
      </c>
      <c r="N25" s="141">
        <v>0</v>
      </c>
      <c r="O25" s="141">
        <v>0</v>
      </c>
      <c r="P25" s="141">
        <v>0</v>
      </c>
      <c r="Q25" s="141">
        <v>0</v>
      </c>
      <c r="R25" s="141">
        <v>0</v>
      </c>
      <c r="S25" s="141">
        <v>0</v>
      </c>
      <c r="T25" s="141">
        <v>0</v>
      </c>
      <c r="U25" s="141">
        <v>0</v>
      </c>
      <c r="V25" s="141">
        <v>0</v>
      </c>
      <c r="W25" s="141">
        <v>0</v>
      </c>
      <c r="X25" s="141">
        <v>0</v>
      </c>
      <c r="Y25" s="141">
        <v>0</v>
      </c>
      <c r="Z25" s="141">
        <v>0</v>
      </c>
      <c r="AA25" s="141">
        <v>0</v>
      </c>
      <c r="AB25" s="141">
        <v>0</v>
      </c>
      <c r="AC25" s="141">
        <v>0</v>
      </c>
      <c r="AD25" s="141">
        <v>0</v>
      </c>
      <c r="AE25" s="141">
        <v>0</v>
      </c>
      <c r="AF25" s="141">
        <v>0</v>
      </c>
      <c r="AG25" s="141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2">
      <c r="A26" s="95"/>
      <c r="B26" s="95"/>
      <c r="C26" s="95"/>
      <c r="D26" s="177"/>
      <c r="E26" s="95"/>
      <c r="F26" s="95"/>
      <c r="G26" s="177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/>
      <c r="AI26"/>
      <c r="AJ26"/>
      <c r="AK26"/>
      <c r="AL26"/>
      <c r="AM26"/>
      <c r="AN26"/>
      <c r="AO26"/>
      <c r="AP26"/>
      <c r="AQ26"/>
    </row>
    <row r="27" spans="1:43" ht="12.75" customHeight="1" x14ac:dyDescent="0.2">
      <c r="A27" s="95"/>
      <c r="B27" s="95"/>
      <c r="C27" s="277" t="s">
        <v>250</v>
      </c>
      <c r="D27" s="177"/>
      <c r="E27" s="293">
        <v>2027</v>
      </c>
      <c r="F27" s="95"/>
      <c r="G27" s="177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/>
      <c r="AI27"/>
      <c r="AJ27"/>
      <c r="AK27"/>
      <c r="AL27"/>
      <c r="AM27"/>
      <c r="AN27"/>
      <c r="AO27"/>
      <c r="AP27"/>
      <c r="AQ27"/>
    </row>
    <row r="28" spans="1:43" ht="12.75" customHeight="1" x14ac:dyDescent="0.2">
      <c r="A28" s="95"/>
      <c r="B28" s="95"/>
      <c r="C28" s="284" t="s">
        <v>101</v>
      </c>
      <c r="D28" s="285"/>
      <c r="E28" s="286">
        <v>0.3</v>
      </c>
      <c r="F28" s="284"/>
      <c r="G28" s="287" t="s">
        <v>102</v>
      </c>
      <c r="H28" s="288"/>
      <c r="I28" s="140">
        <v>0</v>
      </c>
      <c r="J28" s="140">
        <v>0</v>
      </c>
      <c r="K28" s="140">
        <v>0</v>
      </c>
      <c r="L28" s="140">
        <v>0</v>
      </c>
      <c r="M28" s="140">
        <v>0</v>
      </c>
      <c r="N28" s="140">
        <v>0</v>
      </c>
      <c r="O28" s="140">
        <v>0</v>
      </c>
      <c r="P28" s="140">
        <v>0</v>
      </c>
      <c r="Q28" s="140">
        <v>0</v>
      </c>
      <c r="R28" s="140">
        <v>0</v>
      </c>
      <c r="S28" s="140">
        <v>0</v>
      </c>
      <c r="T28" s="140">
        <v>0</v>
      </c>
      <c r="U28" s="140">
        <v>0</v>
      </c>
      <c r="V28" s="140">
        <v>0</v>
      </c>
      <c r="W28" s="140">
        <v>0</v>
      </c>
      <c r="X28" s="140">
        <v>0</v>
      </c>
      <c r="Y28" s="140">
        <v>0</v>
      </c>
      <c r="Z28" s="140">
        <v>0</v>
      </c>
      <c r="AA28" s="140">
        <v>0</v>
      </c>
      <c r="AB28" s="140">
        <v>0</v>
      </c>
      <c r="AC28" s="140">
        <v>0</v>
      </c>
      <c r="AD28" s="140">
        <v>0</v>
      </c>
      <c r="AE28" s="140">
        <v>0</v>
      </c>
      <c r="AF28" s="140">
        <v>0</v>
      </c>
      <c r="AG28" s="140">
        <v>0</v>
      </c>
      <c r="AH28"/>
      <c r="AI28"/>
      <c r="AJ28"/>
      <c r="AK28"/>
      <c r="AL28"/>
      <c r="AM28"/>
      <c r="AN28"/>
      <c r="AO28"/>
      <c r="AP28"/>
      <c r="AQ28"/>
    </row>
    <row r="29" spans="1:43" ht="12.75" customHeight="1" x14ac:dyDescent="0.2">
      <c r="A29" s="95"/>
      <c r="B29" s="95"/>
      <c r="C29" s="284" t="s">
        <v>103</v>
      </c>
      <c r="D29" s="285"/>
      <c r="E29" s="286">
        <v>0.7</v>
      </c>
      <c r="F29" s="284"/>
      <c r="G29" s="287" t="s">
        <v>102</v>
      </c>
      <c r="H29" s="284"/>
      <c r="I29" s="140">
        <v>0</v>
      </c>
      <c r="J29" s="140">
        <v>0</v>
      </c>
      <c r="K29" s="140">
        <v>0</v>
      </c>
      <c r="L29" s="140">
        <v>0</v>
      </c>
      <c r="M29" s="140">
        <v>0</v>
      </c>
      <c r="N29" s="140">
        <v>0</v>
      </c>
      <c r="O29" s="140">
        <v>0</v>
      </c>
      <c r="P29" s="140">
        <v>0</v>
      </c>
      <c r="Q29" s="140">
        <v>0</v>
      </c>
      <c r="R29" s="140">
        <v>0</v>
      </c>
      <c r="S29" s="140">
        <v>0</v>
      </c>
      <c r="T29" s="140">
        <v>0</v>
      </c>
      <c r="U29" s="140">
        <v>0</v>
      </c>
      <c r="V29" s="140">
        <v>0</v>
      </c>
      <c r="W29" s="140">
        <v>0</v>
      </c>
      <c r="X29" s="140">
        <v>0</v>
      </c>
      <c r="Y29" s="140">
        <v>0</v>
      </c>
      <c r="Z29" s="140">
        <v>0</v>
      </c>
      <c r="AA29" s="140">
        <v>0</v>
      </c>
      <c r="AB29" s="140">
        <v>0</v>
      </c>
      <c r="AC29" s="140">
        <v>0</v>
      </c>
      <c r="AD29" s="140">
        <v>0</v>
      </c>
      <c r="AE29" s="140">
        <v>0</v>
      </c>
      <c r="AF29" s="140">
        <v>0</v>
      </c>
      <c r="AG29" s="140">
        <v>0</v>
      </c>
      <c r="AH29"/>
      <c r="AI29"/>
      <c r="AJ29"/>
      <c r="AK29"/>
      <c r="AL29"/>
      <c r="AM29"/>
      <c r="AN29"/>
      <c r="AO29"/>
      <c r="AP29"/>
      <c r="AQ29"/>
    </row>
    <row r="30" spans="1:43" ht="12.75" customHeight="1" x14ac:dyDescent="0.2">
      <c r="A30" s="95"/>
      <c r="B30" s="95"/>
      <c r="C30" s="95"/>
      <c r="D30" s="177"/>
      <c r="E30" s="95"/>
      <c r="F30" s="95"/>
      <c r="G30" s="177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/>
      <c r="AI30"/>
      <c r="AJ30"/>
      <c r="AK30"/>
      <c r="AL30"/>
      <c r="AM30"/>
      <c r="AN30"/>
      <c r="AO30"/>
      <c r="AP30"/>
      <c r="AQ30"/>
    </row>
    <row r="31" spans="1:43" x14ac:dyDescent="0.2">
      <c r="C31" s="1" t="s">
        <v>104</v>
      </c>
      <c r="D31" s="174"/>
      <c r="E31"/>
      <c r="G31" s="176" t="s">
        <v>102</v>
      </c>
      <c r="H31"/>
      <c r="I31" s="140">
        <f>SUMPRODUCT(I$28:I$29, $E$28:$E$29)</f>
        <v>0</v>
      </c>
      <c r="J31" s="140">
        <f t="shared" ref="J31:AG31" si="3">SUMPRODUCT(J$28:J$29, $E$28:$E$29)</f>
        <v>0</v>
      </c>
      <c r="K31" s="140">
        <f t="shared" si="3"/>
        <v>0</v>
      </c>
      <c r="L31" s="140">
        <f t="shared" si="3"/>
        <v>0</v>
      </c>
      <c r="M31" s="140">
        <f t="shared" si="3"/>
        <v>0</v>
      </c>
      <c r="N31" s="140">
        <f t="shared" si="3"/>
        <v>0</v>
      </c>
      <c r="O31" s="140">
        <f t="shared" si="3"/>
        <v>0</v>
      </c>
      <c r="P31" s="140">
        <f t="shared" si="3"/>
        <v>0</v>
      </c>
      <c r="Q31" s="140">
        <f t="shared" si="3"/>
        <v>0</v>
      </c>
      <c r="R31" s="140">
        <f t="shared" si="3"/>
        <v>0</v>
      </c>
      <c r="S31" s="140">
        <f t="shared" si="3"/>
        <v>0</v>
      </c>
      <c r="T31" s="140">
        <f t="shared" si="3"/>
        <v>0</v>
      </c>
      <c r="U31" s="140">
        <f t="shared" si="3"/>
        <v>0</v>
      </c>
      <c r="V31" s="140">
        <f t="shared" si="3"/>
        <v>0</v>
      </c>
      <c r="W31" s="140">
        <f t="shared" si="3"/>
        <v>0</v>
      </c>
      <c r="X31" s="140">
        <f t="shared" si="3"/>
        <v>0</v>
      </c>
      <c r="Y31" s="140">
        <f t="shared" si="3"/>
        <v>0</v>
      </c>
      <c r="Z31" s="140">
        <f t="shared" si="3"/>
        <v>0</v>
      </c>
      <c r="AA31" s="140">
        <f t="shared" si="3"/>
        <v>0</v>
      </c>
      <c r="AB31" s="140">
        <f t="shared" si="3"/>
        <v>0</v>
      </c>
      <c r="AC31" s="140">
        <f t="shared" si="3"/>
        <v>0</v>
      </c>
      <c r="AD31" s="140">
        <f t="shared" si="3"/>
        <v>0</v>
      </c>
      <c r="AE31" s="140">
        <f t="shared" si="3"/>
        <v>0</v>
      </c>
      <c r="AF31" s="140">
        <f t="shared" si="3"/>
        <v>0</v>
      </c>
      <c r="AG31" s="140">
        <f t="shared" si="3"/>
        <v>0</v>
      </c>
      <c r="AH31"/>
      <c r="AI31"/>
      <c r="AJ31"/>
      <c r="AK31"/>
      <c r="AL31"/>
      <c r="AM31"/>
      <c r="AN31"/>
      <c r="AO31"/>
      <c r="AP31"/>
      <c r="AQ31"/>
    </row>
    <row r="32" spans="1:43" x14ac:dyDescent="0.2">
      <c r="C32" s="1" t="s">
        <v>105</v>
      </c>
      <c r="D32" s="174" t="s">
        <v>93</v>
      </c>
      <c r="E32" s="97">
        <f>Assumptions!H41*vcr_esc</f>
        <v>33720.051164239951</v>
      </c>
      <c r="F32" s="206" t="str">
        <f>IF(AND(SUM(I31:AG31)&lt;&gt;0, E32=0), "!", "")</f>
        <v/>
      </c>
      <c r="G32" s="176">
        <f>input_dollars</f>
        <v>45291</v>
      </c>
      <c r="H32"/>
      <c r="I32" s="28">
        <f>I31*$E$32</f>
        <v>0</v>
      </c>
      <c r="J32" s="28">
        <f t="shared" ref="J32:AG32" si="4">J31*$E$32</f>
        <v>0</v>
      </c>
      <c r="K32" s="28">
        <f t="shared" si="4"/>
        <v>0</v>
      </c>
      <c r="L32" s="28">
        <f t="shared" si="4"/>
        <v>0</v>
      </c>
      <c r="M32" s="28">
        <f t="shared" si="4"/>
        <v>0</v>
      </c>
      <c r="N32" s="28">
        <f t="shared" si="4"/>
        <v>0</v>
      </c>
      <c r="O32" s="28">
        <f t="shared" si="4"/>
        <v>0</v>
      </c>
      <c r="P32" s="28">
        <f t="shared" si="4"/>
        <v>0</v>
      </c>
      <c r="Q32" s="28">
        <f t="shared" si="4"/>
        <v>0</v>
      </c>
      <c r="R32" s="28">
        <f t="shared" si="4"/>
        <v>0</v>
      </c>
      <c r="S32" s="28">
        <f t="shared" si="4"/>
        <v>0</v>
      </c>
      <c r="T32" s="28">
        <f t="shared" si="4"/>
        <v>0</v>
      </c>
      <c r="U32" s="28">
        <f t="shared" si="4"/>
        <v>0</v>
      </c>
      <c r="V32" s="28">
        <f t="shared" si="4"/>
        <v>0</v>
      </c>
      <c r="W32" s="28">
        <f t="shared" si="4"/>
        <v>0</v>
      </c>
      <c r="X32" s="28">
        <f t="shared" si="4"/>
        <v>0</v>
      </c>
      <c r="Y32" s="28">
        <f t="shared" si="4"/>
        <v>0</v>
      </c>
      <c r="Z32" s="28">
        <f t="shared" si="4"/>
        <v>0</v>
      </c>
      <c r="AA32" s="28">
        <f t="shared" si="4"/>
        <v>0</v>
      </c>
      <c r="AB32" s="28">
        <f t="shared" si="4"/>
        <v>0</v>
      </c>
      <c r="AC32" s="28">
        <f t="shared" si="4"/>
        <v>0</v>
      </c>
      <c r="AD32" s="28">
        <f t="shared" si="4"/>
        <v>0</v>
      </c>
      <c r="AE32" s="28">
        <f t="shared" si="4"/>
        <v>0</v>
      </c>
      <c r="AF32" s="28">
        <f t="shared" si="4"/>
        <v>0</v>
      </c>
      <c r="AG32" s="28">
        <f t="shared" si="4"/>
        <v>0</v>
      </c>
      <c r="AH32"/>
      <c r="AI32"/>
      <c r="AJ32"/>
      <c r="AK32"/>
      <c r="AL32"/>
      <c r="AM32"/>
      <c r="AN32"/>
      <c r="AO32"/>
      <c r="AP32"/>
      <c r="AQ32"/>
    </row>
    <row r="33" spans="1:16372" x14ac:dyDescent="0.2">
      <c r="D33" s="175"/>
      <c r="E33"/>
      <c r="G33" s="176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16372" x14ac:dyDescent="0.2">
      <c r="C34" s="1" t="s">
        <v>106</v>
      </c>
      <c r="D34" s="174" t="s">
        <v>107</v>
      </c>
      <c r="G34" s="176">
        <f>input_dollars</f>
        <v>45291</v>
      </c>
      <c r="H34" s="123"/>
      <c r="I34" s="142" cm="1">
        <f t="array" ref="I34">SUMPRODUCT((Assumptions!$H$70:$H$71)*(Assumptions!$G$70:$G$71)*(Assumptions!$I$70:$I$71)*(I$24:I$25))</f>
        <v>0</v>
      </c>
      <c r="J34" s="142" cm="1">
        <f t="array" ref="J34">SUMPRODUCT((Assumptions!$H$70:$H$71)*(Assumptions!$G$70:$G$71)*(Assumptions!$I$70:$I$71)*(J$24:J$25))</f>
        <v>0</v>
      </c>
      <c r="K34" s="142" cm="1">
        <f t="array" ref="K34">SUMPRODUCT((Assumptions!$H$70:$H$71)*(Assumptions!$G$70:$G$71)*(Assumptions!$I$70:$I$71)*(K$24:K$25))</f>
        <v>0</v>
      </c>
      <c r="L34" s="142" cm="1">
        <f t="array" ref="L34">SUMPRODUCT((Assumptions!$H$70:$H$71)*(Assumptions!$G$70:$G$71)*(Assumptions!$I$70:$I$71)*(L$24:L$25))</f>
        <v>0</v>
      </c>
      <c r="M34" s="142" cm="1">
        <f t="array" ref="M34">SUMPRODUCT((Assumptions!$H$70:$H$71)*(Assumptions!$G$70:$G$71)*(Assumptions!$I$70:$I$71)*(M$24:M$25))</f>
        <v>0</v>
      </c>
      <c r="N34" s="142" cm="1">
        <f t="array" ref="N34">SUMPRODUCT((Assumptions!$H$70:$H$71)*(Assumptions!$G$70:$G$71)*(Assumptions!$I$70:$I$71)*(N$24:N$25))</f>
        <v>0</v>
      </c>
      <c r="O34" s="142" cm="1">
        <f t="array" ref="O34">SUMPRODUCT((Assumptions!$H$70:$H$71)*(Assumptions!$G$70:$G$71)*(Assumptions!$I$70:$I$71)*(O$24:O$25))</f>
        <v>0</v>
      </c>
      <c r="P34" s="142" cm="1">
        <f t="array" ref="P34">SUMPRODUCT((Assumptions!$H$70:$H$71)*(Assumptions!$G$70:$G$71)*(Assumptions!$I$70:$I$71)*(P$24:P$25))</f>
        <v>0</v>
      </c>
      <c r="Q34" s="142" cm="1">
        <f t="array" ref="Q34">SUMPRODUCT((Assumptions!$H$70:$H$71)*(Assumptions!$G$70:$G$71)*(Assumptions!$I$70:$I$71)*(Q$24:Q$25))</f>
        <v>0</v>
      </c>
      <c r="R34" s="142" cm="1">
        <f t="array" ref="R34">SUMPRODUCT((Assumptions!$H$70:$H$71)*(Assumptions!$G$70:$G$71)*(Assumptions!$I$70:$I$71)*(R$24:R$25))</f>
        <v>0</v>
      </c>
      <c r="S34" s="142" cm="1">
        <f t="array" ref="S34">SUMPRODUCT((Assumptions!$H$70:$H$71)*(Assumptions!$G$70:$G$71)*(Assumptions!$I$70:$I$71)*(S$24:S$25))</f>
        <v>0</v>
      </c>
      <c r="T34" s="142" cm="1">
        <f t="array" ref="T34">SUMPRODUCT((Assumptions!$H$70:$H$71)*(Assumptions!$G$70:$G$71)*(Assumptions!$I$70:$I$71)*(T$24:T$25))</f>
        <v>0</v>
      </c>
      <c r="U34" s="142" cm="1">
        <f t="array" ref="U34">SUMPRODUCT((Assumptions!$H$70:$H$71)*(Assumptions!$G$70:$G$71)*(Assumptions!$I$70:$I$71)*(U$24:U$25))</f>
        <v>0</v>
      </c>
      <c r="V34" s="142" cm="1">
        <f t="array" ref="V34">SUMPRODUCT((Assumptions!$H$70:$H$71)*(Assumptions!$G$70:$G$71)*(Assumptions!$I$70:$I$71)*(V$24:V$25))</f>
        <v>0</v>
      </c>
      <c r="W34" s="142" cm="1">
        <f t="array" ref="W34">SUMPRODUCT((Assumptions!$H$70:$H$71)*(Assumptions!$G$70:$G$71)*(Assumptions!$I$70:$I$71)*(W$24:W$25))</f>
        <v>0</v>
      </c>
      <c r="X34" s="142" cm="1">
        <f t="array" ref="X34">SUMPRODUCT((Assumptions!$H$70:$H$71)*(Assumptions!$G$70:$G$71)*(Assumptions!$I$70:$I$71)*(X$24:X$25))</f>
        <v>0</v>
      </c>
      <c r="Y34" s="142" cm="1">
        <f t="array" ref="Y34">SUMPRODUCT((Assumptions!$H$70:$H$71)*(Assumptions!$G$70:$G$71)*(Assumptions!$I$70:$I$71)*(Y$24:Y$25))</f>
        <v>0</v>
      </c>
      <c r="Z34" s="142" cm="1">
        <f t="array" ref="Z34">SUMPRODUCT((Assumptions!$H$70:$H$71)*(Assumptions!$G$70:$G$71)*(Assumptions!$I$70:$I$71)*(Z$24:Z$25))</f>
        <v>0</v>
      </c>
      <c r="AA34" s="142" cm="1">
        <f t="array" ref="AA34">SUMPRODUCT((Assumptions!$H$70:$H$71)*(Assumptions!$G$70:$G$71)*(Assumptions!$I$70:$I$71)*(AA$24:AA$25))</f>
        <v>0</v>
      </c>
      <c r="AB34" s="142" cm="1">
        <f t="array" ref="AB34">SUMPRODUCT((Assumptions!$H$70:$H$71)*(Assumptions!$G$70:$G$71)*(Assumptions!$I$70:$I$71)*(AB$24:AB$25))</f>
        <v>0</v>
      </c>
      <c r="AC34" s="142" cm="1">
        <f t="array" ref="AC34">SUMPRODUCT((Assumptions!$H$70:$H$71)*(Assumptions!$G$70:$G$71)*(Assumptions!$I$70:$I$71)*(AC$24:AC$25))</f>
        <v>0</v>
      </c>
      <c r="AD34" s="142" cm="1">
        <f t="array" ref="AD34">SUMPRODUCT((Assumptions!$H$70:$H$71)*(Assumptions!$G$70:$G$71)*(Assumptions!$I$70:$I$71)*(AD$24:AD$25))</f>
        <v>0</v>
      </c>
      <c r="AE34" s="142" cm="1">
        <f t="array" ref="AE34">SUMPRODUCT((Assumptions!$H$70:$H$71)*(Assumptions!$G$70:$G$71)*(Assumptions!$I$70:$I$71)*(AE$24:AE$25))</f>
        <v>0</v>
      </c>
      <c r="AF34" s="142" cm="1">
        <f t="array" ref="AF34">SUMPRODUCT((Assumptions!$H$70:$H$71)*(Assumptions!$G$70:$G$71)*(Assumptions!$I$70:$I$71)*(AF$24:AF$25))</f>
        <v>0</v>
      </c>
      <c r="AG34" s="142" cm="1">
        <f t="array" ref="AG34">SUMPRODUCT((Assumptions!$H$70:$H$71)*(Assumptions!$G$70:$G$71)*(Assumptions!$I$70:$I$71)*(AG$24:AG$25))</f>
        <v>0</v>
      </c>
      <c r="AH34"/>
      <c r="AI34"/>
      <c r="AJ34"/>
      <c r="AK34"/>
      <c r="AL34"/>
      <c r="AM34"/>
      <c r="AN34"/>
      <c r="AO34"/>
      <c r="AP34"/>
      <c r="AQ34"/>
    </row>
    <row r="35" spans="1:16372" x14ac:dyDescent="0.2">
      <c r="C35" s="1" t="s">
        <v>108</v>
      </c>
      <c r="D35" s="175"/>
      <c r="E35"/>
      <c r="G35" s="176">
        <f>input_dollars</f>
        <v>45291</v>
      </c>
      <c r="H35" s="123"/>
      <c r="I35" s="142" cm="1">
        <f t="array" ref="I35">(1+Assumptions!$G$81)*SUMPRODUCT((Assumptions!$G$78:$G$79)*(I$24:I$25))</f>
        <v>0</v>
      </c>
      <c r="J35" s="142" cm="1">
        <f t="array" ref="J35">(1+Assumptions!$G$81)*SUMPRODUCT((Assumptions!$G$78:$G$79)*(J$24:J$25))</f>
        <v>0</v>
      </c>
      <c r="K35" s="142" cm="1">
        <f t="array" ref="K35">(1+Assumptions!$G$81)*SUMPRODUCT((Assumptions!$G$78:$G$79)*(K$24:K$25))</f>
        <v>0</v>
      </c>
      <c r="L35" s="142" cm="1">
        <f t="array" ref="L35">(1+Assumptions!$G$81)*SUMPRODUCT((Assumptions!$G$78:$G$79)*(L$24:L$25))</f>
        <v>0</v>
      </c>
      <c r="M35" s="142" cm="1">
        <f t="array" ref="M35">(1+Assumptions!$G$81)*SUMPRODUCT((Assumptions!$G$78:$G$79)*(M$24:M$25))</f>
        <v>0</v>
      </c>
      <c r="N35" s="142" cm="1">
        <f t="array" ref="N35">(1+Assumptions!$G$81)*SUMPRODUCT((Assumptions!$G$78:$G$79)*(N$24:N$25))</f>
        <v>0</v>
      </c>
      <c r="O35" s="142" cm="1">
        <f t="array" ref="O35">(1+Assumptions!$G$81)*SUMPRODUCT((Assumptions!$G$78:$G$79)*(O$24:O$25))</f>
        <v>0</v>
      </c>
      <c r="P35" s="142" cm="1">
        <f t="array" ref="P35">(1+Assumptions!$G$81)*SUMPRODUCT((Assumptions!$G$78:$G$79)*(P$24:P$25))</f>
        <v>0</v>
      </c>
      <c r="Q35" s="142" cm="1">
        <f t="array" ref="Q35">(1+Assumptions!$G$81)*SUMPRODUCT((Assumptions!$G$78:$G$79)*(Q$24:Q$25))</f>
        <v>0</v>
      </c>
      <c r="R35" s="142" cm="1">
        <f t="array" ref="R35">(1+Assumptions!$G$81)*SUMPRODUCT((Assumptions!$G$78:$G$79)*(R$24:R$25))</f>
        <v>0</v>
      </c>
      <c r="S35" s="142" cm="1">
        <f t="array" ref="S35">(1+Assumptions!$G$81)*SUMPRODUCT((Assumptions!$G$78:$G$79)*(S$24:S$25))</f>
        <v>0</v>
      </c>
      <c r="T35" s="142" cm="1">
        <f t="array" ref="T35">(1+Assumptions!$G$81)*SUMPRODUCT((Assumptions!$G$78:$G$79)*(T$24:T$25))</f>
        <v>0</v>
      </c>
      <c r="U35" s="142" cm="1">
        <f t="array" ref="U35">(1+Assumptions!$G$81)*SUMPRODUCT((Assumptions!$G$78:$G$79)*(U$24:U$25))</f>
        <v>0</v>
      </c>
      <c r="V35" s="142" cm="1">
        <f t="array" ref="V35">(1+Assumptions!$G$81)*SUMPRODUCT((Assumptions!$G$78:$G$79)*(V$24:V$25))</f>
        <v>0</v>
      </c>
      <c r="W35" s="142" cm="1">
        <f t="array" ref="W35">(1+Assumptions!$G$81)*SUMPRODUCT((Assumptions!$G$78:$G$79)*(W$24:W$25))</f>
        <v>0</v>
      </c>
      <c r="X35" s="142" cm="1">
        <f t="array" ref="X35">(1+Assumptions!$G$81)*SUMPRODUCT((Assumptions!$G$78:$G$79)*(X$24:X$25))</f>
        <v>0</v>
      </c>
      <c r="Y35" s="142" cm="1">
        <f t="array" ref="Y35">(1+Assumptions!$G$81)*SUMPRODUCT((Assumptions!$G$78:$G$79)*(Y$24:Y$25))</f>
        <v>0</v>
      </c>
      <c r="Z35" s="142" cm="1">
        <f t="array" ref="Z35">(1+Assumptions!$G$81)*SUMPRODUCT((Assumptions!$G$78:$G$79)*(Z$24:Z$25))</f>
        <v>0</v>
      </c>
      <c r="AA35" s="142" cm="1">
        <f t="array" ref="AA35">(1+Assumptions!$G$81)*SUMPRODUCT((Assumptions!$G$78:$G$79)*(AA$24:AA$25))</f>
        <v>0</v>
      </c>
      <c r="AB35" s="142" cm="1">
        <f t="array" ref="AB35">(1+Assumptions!$G$81)*SUMPRODUCT((Assumptions!$G$78:$G$79)*(AB$24:AB$25))</f>
        <v>0</v>
      </c>
      <c r="AC35" s="142" cm="1">
        <f t="array" ref="AC35">(1+Assumptions!$G$81)*SUMPRODUCT((Assumptions!$G$78:$G$79)*(AC$24:AC$25))</f>
        <v>0</v>
      </c>
      <c r="AD35" s="142" cm="1">
        <f t="array" ref="AD35">(1+Assumptions!$G$81)*SUMPRODUCT((Assumptions!$G$78:$G$79)*(AD$24:AD$25))</f>
        <v>0</v>
      </c>
      <c r="AE35" s="142" cm="1">
        <f t="array" ref="AE35">(1+Assumptions!$G$81)*SUMPRODUCT((Assumptions!$G$78:$G$79)*(AE$24:AE$25))</f>
        <v>0</v>
      </c>
      <c r="AF35" s="142" cm="1">
        <f t="array" ref="AF35">(1+Assumptions!$G$81)*SUMPRODUCT((Assumptions!$G$78:$G$79)*(AF$24:AF$25))</f>
        <v>0</v>
      </c>
      <c r="AG35" s="142" cm="1">
        <f t="array" ref="AG35">(1+Assumptions!$G$81)*SUMPRODUCT((Assumptions!$G$78:$G$79)*(AG$24:AG$25))</f>
        <v>0</v>
      </c>
      <c r="AH35"/>
      <c r="AI35"/>
      <c r="AJ35"/>
      <c r="AK35"/>
      <c r="AL35"/>
      <c r="AM35"/>
      <c r="AN35"/>
      <c r="AO35"/>
      <c r="AP35"/>
      <c r="AQ35"/>
    </row>
    <row r="36" spans="1:16372" x14ac:dyDescent="0.2">
      <c r="C36" s="1" t="s">
        <v>109</v>
      </c>
      <c r="D36" s="174" t="s">
        <v>107</v>
      </c>
      <c r="E36"/>
      <c r="G36" s="176">
        <f>input_dollars</f>
        <v>45291</v>
      </c>
      <c r="H36"/>
      <c r="I36" s="29">
        <v>0</v>
      </c>
      <c r="J36" s="29">
        <v>0</v>
      </c>
      <c r="K36" s="29">
        <v>0</v>
      </c>
      <c r="L36" s="29">
        <v>0</v>
      </c>
      <c r="M36" s="29">
        <v>0</v>
      </c>
      <c r="N36" s="29">
        <v>0</v>
      </c>
      <c r="O36" s="29">
        <v>0</v>
      </c>
      <c r="P36" s="29">
        <v>0</v>
      </c>
      <c r="Q36" s="29">
        <v>0</v>
      </c>
      <c r="R36" s="111">
        <v>0</v>
      </c>
      <c r="S36" s="111">
        <v>0</v>
      </c>
      <c r="T36" s="111">
        <v>0</v>
      </c>
      <c r="U36" s="111">
        <v>0</v>
      </c>
      <c r="V36" s="111">
        <v>0</v>
      </c>
      <c r="W36" s="111">
        <v>0</v>
      </c>
      <c r="X36" s="111">
        <v>0</v>
      </c>
      <c r="Y36" s="111">
        <v>0</v>
      </c>
      <c r="Z36" s="111">
        <v>0</v>
      </c>
      <c r="AA36" s="111">
        <v>0</v>
      </c>
      <c r="AB36" s="111">
        <v>0</v>
      </c>
      <c r="AC36" s="111">
        <v>0</v>
      </c>
      <c r="AD36" s="111">
        <v>0</v>
      </c>
      <c r="AE36" s="111">
        <v>0</v>
      </c>
      <c r="AF36" s="111">
        <v>0</v>
      </c>
      <c r="AG36" s="111">
        <v>0</v>
      </c>
      <c r="AH36"/>
      <c r="AI36"/>
      <c r="AJ36"/>
      <c r="AK36"/>
      <c r="AL36"/>
      <c r="AM36"/>
      <c r="AN36"/>
      <c r="AO36"/>
      <c r="AP36"/>
      <c r="AQ36"/>
    </row>
    <row r="37" spans="1:16372" x14ac:dyDescent="0.2">
      <c r="C37" s="234" t="s">
        <v>110</v>
      </c>
      <c r="D37" s="187"/>
      <c r="E37"/>
      <c r="G37" s="176">
        <f>input_dollars</f>
        <v>45291</v>
      </c>
      <c r="H37"/>
      <c r="I37" s="29">
        <v>0</v>
      </c>
      <c r="J37" s="29">
        <v>0</v>
      </c>
      <c r="K37" s="29">
        <v>0</v>
      </c>
      <c r="L37" s="29">
        <v>0</v>
      </c>
      <c r="M37" s="29">
        <v>0</v>
      </c>
      <c r="N37" s="29">
        <v>0</v>
      </c>
      <c r="O37" s="29">
        <v>0</v>
      </c>
      <c r="P37" s="29">
        <v>0</v>
      </c>
      <c r="Q37" s="29">
        <v>0</v>
      </c>
      <c r="R37" s="111">
        <v>0</v>
      </c>
      <c r="S37" s="111">
        <v>0</v>
      </c>
      <c r="T37" s="111">
        <v>0</v>
      </c>
      <c r="U37" s="111">
        <v>0</v>
      </c>
      <c r="V37" s="111">
        <v>0</v>
      </c>
      <c r="W37" s="111">
        <v>0</v>
      </c>
      <c r="X37" s="111">
        <v>0</v>
      </c>
      <c r="Y37" s="111">
        <v>0</v>
      </c>
      <c r="Z37" s="111">
        <v>0</v>
      </c>
      <c r="AA37" s="111">
        <v>0</v>
      </c>
      <c r="AB37" s="111">
        <v>0</v>
      </c>
      <c r="AC37" s="111">
        <v>0</v>
      </c>
      <c r="AD37" s="111">
        <v>0</v>
      </c>
      <c r="AE37" s="111">
        <v>0</v>
      </c>
      <c r="AF37" s="111">
        <v>0</v>
      </c>
      <c r="AG37" s="111">
        <v>0</v>
      </c>
      <c r="AH37"/>
      <c r="AI37"/>
      <c r="AJ37"/>
      <c r="AK37"/>
      <c r="AL37"/>
      <c r="AM37"/>
      <c r="AN37"/>
      <c r="AO37"/>
      <c r="AP37"/>
      <c r="AQ37"/>
    </row>
    <row r="38" spans="1:16372" x14ac:dyDescent="0.2">
      <c r="C38" s="234" t="s">
        <v>110</v>
      </c>
      <c r="D38" s="175"/>
      <c r="E38"/>
      <c r="G38" s="176">
        <f>input_dollars</f>
        <v>45291</v>
      </c>
      <c r="H38"/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  <c r="AE38" s="29">
        <v>0</v>
      </c>
      <c r="AF38" s="29">
        <v>0</v>
      </c>
      <c r="AG38" s="29">
        <v>0</v>
      </c>
      <c r="AH38"/>
      <c r="AI38"/>
      <c r="AJ38"/>
      <c r="AK38"/>
      <c r="AL38"/>
      <c r="AM38"/>
      <c r="AN38"/>
      <c r="AO38"/>
      <c r="AP38"/>
      <c r="AQ38"/>
    </row>
    <row r="39" spans="1:16372" x14ac:dyDescent="0.2">
      <c r="D39" s="175"/>
      <c r="E39"/>
      <c r="G39" s="176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</row>
    <row r="40" spans="1:16372" x14ac:dyDescent="0.2">
      <c r="C40" s="3" t="s">
        <v>111</v>
      </c>
      <c r="D40" s="186"/>
      <c r="E40" s="91"/>
      <c r="F40" s="3"/>
      <c r="G40" s="178"/>
      <c r="H40" s="91"/>
      <c r="I40" s="92">
        <f>SUM(I32:I38)</f>
        <v>0</v>
      </c>
      <c r="J40" s="92">
        <f t="shared" ref="J40:AG40" si="5">SUM(J32:J38)</f>
        <v>0</v>
      </c>
      <c r="K40" s="92">
        <f t="shared" si="5"/>
        <v>0</v>
      </c>
      <c r="L40" s="92">
        <f t="shared" si="5"/>
        <v>0</v>
      </c>
      <c r="M40" s="92">
        <f t="shared" si="5"/>
        <v>0</v>
      </c>
      <c r="N40" s="92">
        <f t="shared" si="5"/>
        <v>0</v>
      </c>
      <c r="O40" s="92">
        <f t="shared" si="5"/>
        <v>0</v>
      </c>
      <c r="P40" s="92">
        <f t="shared" si="5"/>
        <v>0</v>
      </c>
      <c r="Q40" s="92">
        <f t="shared" si="5"/>
        <v>0</v>
      </c>
      <c r="R40" s="92">
        <f t="shared" si="5"/>
        <v>0</v>
      </c>
      <c r="S40" s="92">
        <f t="shared" si="5"/>
        <v>0</v>
      </c>
      <c r="T40" s="92">
        <f t="shared" si="5"/>
        <v>0</v>
      </c>
      <c r="U40" s="92">
        <f t="shared" si="5"/>
        <v>0</v>
      </c>
      <c r="V40" s="92">
        <f t="shared" si="5"/>
        <v>0</v>
      </c>
      <c r="W40" s="92">
        <f t="shared" si="5"/>
        <v>0</v>
      </c>
      <c r="X40" s="92">
        <f t="shared" si="5"/>
        <v>0</v>
      </c>
      <c r="Y40" s="92">
        <f t="shared" si="5"/>
        <v>0</v>
      </c>
      <c r="Z40" s="92">
        <f t="shared" si="5"/>
        <v>0</v>
      </c>
      <c r="AA40" s="92">
        <f t="shared" si="5"/>
        <v>0</v>
      </c>
      <c r="AB40" s="92">
        <f t="shared" si="5"/>
        <v>0</v>
      </c>
      <c r="AC40" s="92">
        <f t="shared" si="5"/>
        <v>0</v>
      </c>
      <c r="AD40" s="92">
        <f t="shared" si="5"/>
        <v>0</v>
      </c>
      <c r="AE40" s="92">
        <f t="shared" si="5"/>
        <v>0</v>
      </c>
      <c r="AF40" s="92">
        <f t="shared" si="5"/>
        <v>0</v>
      </c>
      <c r="AG40" s="92">
        <f t="shared" si="5"/>
        <v>0</v>
      </c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</row>
    <row r="41" spans="1:16372" x14ac:dyDescent="0.2">
      <c r="D41"/>
      <c r="E41"/>
      <c r="G41" s="176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</row>
    <row r="42" spans="1:16372" ht="15" x14ac:dyDescent="0.2">
      <c r="A42" s="76" t="s">
        <v>112</v>
      </c>
      <c r="B42" s="76"/>
      <c r="C42" s="76"/>
      <c r="D42" s="76"/>
      <c r="E42" s="76"/>
      <c r="F42" s="76"/>
      <c r="G42" s="173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/>
      <c r="AI42"/>
      <c r="AJ42"/>
      <c r="AK42"/>
      <c r="AL42"/>
      <c r="AM42"/>
      <c r="AN42"/>
      <c r="AO42"/>
      <c r="AP42"/>
      <c r="AQ42"/>
    </row>
    <row r="43" spans="1:16372" x14ac:dyDescent="0.2">
      <c r="D43"/>
      <c r="E43"/>
      <c r="G43" s="176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x14ac:dyDescent="0.2">
      <c r="D44"/>
      <c r="E44"/>
      <c r="G44" s="176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25">
      <c r="C45" s="1" t="s">
        <v>113</v>
      </c>
      <c r="G45" s="174" t="s">
        <v>102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  <c r="AI45"/>
      <c r="AJ45"/>
      <c r="AK45"/>
    </row>
    <row r="46" spans="1:16372" ht="13.5" x14ac:dyDescent="0.25">
      <c r="C46" s="1" t="s">
        <v>114</v>
      </c>
      <c r="G46" s="174" t="s">
        <v>115</v>
      </c>
      <c r="I46" s="74">
        <f t="shared" ref="I46:AG46" si="6">I45*I7</f>
        <v>0</v>
      </c>
      <c r="J46" s="74">
        <f t="shared" si="6"/>
        <v>0</v>
      </c>
      <c r="K46" s="74">
        <f t="shared" si="6"/>
        <v>0</v>
      </c>
      <c r="L46" s="74">
        <f t="shared" si="6"/>
        <v>0</v>
      </c>
      <c r="M46" s="74">
        <f t="shared" si="6"/>
        <v>0</v>
      </c>
      <c r="N46" s="74">
        <f t="shared" si="6"/>
        <v>0</v>
      </c>
      <c r="O46" s="74">
        <f t="shared" si="6"/>
        <v>0</v>
      </c>
      <c r="P46" s="74">
        <f t="shared" si="6"/>
        <v>0</v>
      </c>
      <c r="Q46" s="74">
        <f t="shared" si="6"/>
        <v>0</v>
      </c>
      <c r="R46" s="74">
        <f t="shared" si="6"/>
        <v>0</v>
      </c>
      <c r="S46" s="74">
        <f t="shared" si="6"/>
        <v>0</v>
      </c>
      <c r="T46" s="74">
        <f t="shared" si="6"/>
        <v>0</v>
      </c>
      <c r="U46" s="74">
        <f t="shared" si="6"/>
        <v>0</v>
      </c>
      <c r="V46" s="74">
        <f t="shared" si="6"/>
        <v>0</v>
      </c>
      <c r="W46" s="74">
        <f t="shared" si="6"/>
        <v>0</v>
      </c>
      <c r="X46" s="74">
        <f t="shared" si="6"/>
        <v>0</v>
      </c>
      <c r="Y46" s="74">
        <f t="shared" si="6"/>
        <v>0</v>
      </c>
      <c r="Z46" s="74">
        <f t="shared" si="6"/>
        <v>0</v>
      </c>
      <c r="AA46" s="74">
        <f t="shared" si="6"/>
        <v>0</v>
      </c>
      <c r="AB46" s="74">
        <f t="shared" si="6"/>
        <v>0</v>
      </c>
      <c r="AC46" s="74">
        <f t="shared" si="6"/>
        <v>0</v>
      </c>
      <c r="AD46" s="74">
        <f t="shared" si="6"/>
        <v>0</v>
      </c>
      <c r="AE46" s="74">
        <f t="shared" si="6"/>
        <v>0</v>
      </c>
      <c r="AF46" s="74">
        <f t="shared" si="6"/>
        <v>0</v>
      </c>
      <c r="AG46" s="74">
        <f t="shared" si="6"/>
        <v>0</v>
      </c>
      <c r="AH46"/>
      <c r="AI46"/>
      <c r="AJ46"/>
      <c r="AK46"/>
    </row>
    <row r="47" spans="1:16372" x14ac:dyDescent="0.2">
      <c r="D47"/>
      <c r="E47"/>
      <c r="G47" s="176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16372" x14ac:dyDescent="0.2">
      <c r="D48" s="175"/>
      <c r="E48"/>
      <c r="G48" s="176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x14ac:dyDescent="0.2">
      <c r="C49" s="1" t="s">
        <v>116</v>
      </c>
      <c r="D49" s="174" t="s">
        <v>93</v>
      </c>
      <c r="E49" s="97"/>
      <c r="G49" s="176" t="s">
        <v>102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2">
      <c r="C50" s="1" t="s">
        <v>117</v>
      </c>
      <c r="D50" s="174" t="s">
        <v>93</v>
      </c>
      <c r="E50" s="97"/>
      <c r="G50" s="176" t="s">
        <v>102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2">
      <c r="C51" s="1" t="s">
        <v>118</v>
      </c>
      <c r="D51" s="174" t="s">
        <v>93</v>
      </c>
      <c r="E51" s="96"/>
      <c r="G51" s="176" t="s">
        <v>102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2">
      <c r="C52" s="1" t="s">
        <v>119</v>
      </c>
      <c r="D52" s="174" t="s">
        <v>120</v>
      </c>
      <c r="E52" s="96"/>
      <c r="G52" s="176" t="s">
        <v>121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2">
      <c r="C53" s="1" t="s">
        <v>122</v>
      </c>
      <c r="D53" s="174" t="s">
        <v>123</v>
      </c>
      <c r="E53" s="96"/>
      <c r="G53" s="176" t="s">
        <v>124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  <c r="AE53" s="29">
        <v>0</v>
      </c>
      <c r="AF53" s="29">
        <v>0</v>
      </c>
      <c r="AG53" s="29">
        <v>0</v>
      </c>
    </row>
    <row r="54" spans="1:43" x14ac:dyDescent="0.2">
      <c r="C54" s="1" t="s">
        <v>125</v>
      </c>
      <c r="D54" s="174" t="s">
        <v>123</v>
      </c>
      <c r="E54" s="96"/>
      <c r="G54" s="176" t="s">
        <v>124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2">
      <c r="C55" s="1" t="s">
        <v>126</v>
      </c>
      <c r="D55" s="174" t="s">
        <v>120</v>
      </c>
      <c r="E55" s="96"/>
      <c r="G55" s="176" t="s">
        <v>121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2">
      <c r="C56" s="1" t="s">
        <v>127</v>
      </c>
      <c r="D56" s="174" t="s">
        <v>120</v>
      </c>
      <c r="E56" s="96"/>
      <c r="G56" s="176" t="s">
        <v>121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0</v>
      </c>
      <c r="O56" s="29">
        <v>0</v>
      </c>
      <c r="P56" s="29">
        <v>0</v>
      </c>
      <c r="Q56" s="29">
        <v>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  <c r="AE56" s="29">
        <v>0</v>
      </c>
      <c r="AF56" s="29">
        <v>0</v>
      </c>
      <c r="AG56" s="29">
        <v>0</v>
      </c>
    </row>
    <row r="57" spans="1:43" x14ac:dyDescent="0.2">
      <c r="D57" s="174"/>
      <c r="G57" s="176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</row>
    <row r="58" spans="1:43" x14ac:dyDescent="0.2">
      <c r="C58" s="1" t="s">
        <v>128</v>
      </c>
      <c r="D58" s="174"/>
      <c r="G58" s="176">
        <f>input_dollars</f>
        <v>45291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  <c r="AE58" s="29">
        <v>0</v>
      </c>
      <c r="AF58" s="29">
        <v>0</v>
      </c>
      <c r="AG58" s="29">
        <v>0</v>
      </c>
    </row>
    <row r="59" spans="1:43" x14ac:dyDescent="0.2">
      <c r="C59" s="1" t="s">
        <v>129</v>
      </c>
      <c r="D59" s="174"/>
      <c r="G59" s="176">
        <f>input_dollars</f>
        <v>45291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0</v>
      </c>
      <c r="O59" s="29">
        <v>0</v>
      </c>
      <c r="P59" s="29">
        <v>0</v>
      </c>
      <c r="Q59" s="29">
        <v>0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  <c r="AE59" s="29">
        <v>0</v>
      </c>
      <c r="AF59" s="29">
        <v>0</v>
      </c>
      <c r="AG59" s="29">
        <v>0</v>
      </c>
    </row>
    <row r="60" spans="1:43" x14ac:dyDescent="0.2">
      <c r="D60" s="174"/>
      <c r="G60" s="174"/>
    </row>
    <row r="61" spans="1:43" x14ac:dyDescent="0.2">
      <c r="C61" s="3" t="s">
        <v>130</v>
      </c>
      <c r="D61" s="186"/>
      <c r="E61" s="91"/>
      <c r="F61" s="3"/>
      <c r="G61" s="179">
        <f>input_dollars</f>
        <v>45291</v>
      </c>
      <c r="H61" s="91"/>
      <c r="I61" s="142" cm="1">
        <f t="array" ref="I61">SUMPRODUCT((I$49:I$56)*($E$49:$E$56))+SUM(I58:I59)+I46</f>
        <v>0</v>
      </c>
      <c r="J61" s="142" cm="1">
        <f t="array" ref="J61">SUMPRODUCT((J$49:J$56)*($E$49:$E$56))+SUM(J58:J59)+J46</f>
        <v>0</v>
      </c>
      <c r="K61" s="142" cm="1">
        <f t="array" ref="K61">SUMPRODUCT((K$49:K$56)*($E$49:$E$56))+SUM(K58:K59)+K46</f>
        <v>0</v>
      </c>
      <c r="L61" s="142" cm="1">
        <f t="array" ref="L61">SUMPRODUCT((L$49:L$56)*($E$49:$E$56))+SUM(L58:L59)+L46</f>
        <v>0</v>
      </c>
      <c r="M61" s="142" cm="1">
        <f t="array" ref="M61">SUMPRODUCT((M$49:M$56)*($E$49:$E$56))+SUM(M58:M59)+M46</f>
        <v>0</v>
      </c>
      <c r="N61" s="142" cm="1">
        <f t="array" ref="N61">SUMPRODUCT((N$49:N$56)*($E$49:$E$56))+SUM(N58:N59)+N46</f>
        <v>0</v>
      </c>
      <c r="O61" s="142" cm="1">
        <f t="array" ref="O61">SUMPRODUCT((O$49:O$56)*($E$49:$E$56))+SUM(O58:O59)+O46</f>
        <v>0</v>
      </c>
      <c r="P61" s="142" cm="1">
        <f t="array" ref="P61">SUMPRODUCT((P$49:P$56)*($E$49:$E$56))+SUM(P58:P59)+P46</f>
        <v>0</v>
      </c>
      <c r="Q61" s="142" cm="1">
        <f t="array" ref="Q61">SUMPRODUCT((Q$49:Q$56)*($E$49:$E$56))+SUM(Q58:Q59)+Q46</f>
        <v>0</v>
      </c>
      <c r="R61" s="142" cm="1">
        <f t="array" ref="R61">SUMPRODUCT((R$49:R$56)*($E$49:$E$56))+SUM(R58:R59)+R46</f>
        <v>0</v>
      </c>
      <c r="S61" s="142" cm="1">
        <f t="array" ref="S61">SUMPRODUCT((S$49:S$56)*($E$49:$E$56))+SUM(S58:S59)+S46</f>
        <v>0</v>
      </c>
      <c r="T61" s="142" cm="1">
        <f t="array" ref="T61">SUMPRODUCT((T$49:T$56)*($E$49:$E$56))+SUM(T58:T59)+T46</f>
        <v>0</v>
      </c>
      <c r="U61" s="142" cm="1">
        <f t="array" ref="U61">SUMPRODUCT((U$49:U$56)*($E$49:$E$56))+SUM(U58:U59)+U46</f>
        <v>0</v>
      </c>
      <c r="V61" s="142" cm="1">
        <f t="array" ref="V61">SUMPRODUCT((V$49:V$56)*($E$49:$E$56))+SUM(V58:V59)+V46</f>
        <v>0</v>
      </c>
      <c r="W61" s="142" cm="1">
        <f t="array" ref="W61">SUMPRODUCT((W$49:W$56)*($E$49:$E$56))+SUM(W58:W59)+W46</f>
        <v>0</v>
      </c>
      <c r="X61" s="142" cm="1">
        <f t="array" ref="X61">SUMPRODUCT((X$49:X$56)*($E$49:$E$56))+SUM(X58:X59)+X46</f>
        <v>0</v>
      </c>
      <c r="Y61" s="142" cm="1">
        <f t="array" ref="Y61">SUMPRODUCT((Y$49:Y$56)*($E$49:$E$56))+SUM(Y58:Y59)+Y46</f>
        <v>0</v>
      </c>
      <c r="Z61" s="142" cm="1">
        <f t="array" ref="Z61">SUMPRODUCT((Z$49:Z$56)*($E$49:$E$56))+SUM(Z58:Z59)+Z46</f>
        <v>0</v>
      </c>
      <c r="AA61" s="142" cm="1">
        <f t="array" ref="AA61">SUMPRODUCT((AA$49:AA$56)*($E$49:$E$56))+SUM(AA58:AA59)+AA46</f>
        <v>0</v>
      </c>
      <c r="AB61" s="142" cm="1">
        <f t="array" ref="AB61">SUMPRODUCT((AB$49:AB$56)*($E$49:$E$56))+SUM(AB58:AB59)+AB46</f>
        <v>0</v>
      </c>
      <c r="AC61" s="142" cm="1">
        <f t="array" ref="AC61">SUMPRODUCT((AC$49:AC$56)*($E$49:$E$56))+SUM(AC58:AC59)+AC46</f>
        <v>0</v>
      </c>
      <c r="AD61" s="142" cm="1">
        <f t="array" ref="AD61">SUMPRODUCT((AD$49:AD$56)*($E$49:$E$56))+SUM(AD58:AD59)+AD46</f>
        <v>0</v>
      </c>
      <c r="AE61" s="142" cm="1">
        <f t="array" ref="AE61">SUMPRODUCT((AE$49:AE$56)*($E$49:$E$56))+SUM(AE58:AE59)+AE46</f>
        <v>0</v>
      </c>
      <c r="AF61" s="142" cm="1">
        <f t="array" ref="AF61">SUMPRODUCT((AF$49:AF$56)*($E$49:$E$56))+SUM(AF58:AF59)+AF46</f>
        <v>0</v>
      </c>
      <c r="AG61" s="142" cm="1">
        <f t="array" ref="AG61">SUMPRODUCT((AG$49:AG$56)*($E$49:$E$56))+SUM(AG58:AG59)+AG46</f>
        <v>0</v>
      </c>
    </row>
    <row r="62" spans="1:43" x14ac:dyDescent="0.2">
      <c r="D62" s="174"/>
      <c r="G62" s="174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</row>
    <row r="63" spans="1:43" x14ac:dyDescent="0.2">
      <c r="G63" s="174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</row>
    <row r="64" spans="1:43" ht="15" x14ac:dyDescent="0.2">
      <c r="A64" s="76" t="s">
        <v>3</v>
      </c>
      <c r="B64" s="76"/>
      <c r="C64" s="76"/>
      <c r="D64" s="76"/>
      <c r="E64" s="76"/>
      <c r="F64" s="76"/>
      <c r="G64" s="173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/>
      <c r="AI64"/>
      <c r="AJ64"/>
      <c r="AK64"/>
      <c r="AL64"/>
      <c r="AM64"/>
      <c r="AN64"/>
      <c r="AO64"/>
      <c r="AP64"/>
      <c r="AQ64"/>
    </row>
    <row r="65" spans="1:43" ht="15" x14ac:dyDescent="0.2">
      <c r="A65" s="95"/>
      <c r="B65" s="95"/>
      <c r="C65" s="95"/>
      <c r="D65" s="95"/>
      <c r="E65" s="95"/>
      <c r="F65" s="95"/>
      <c r="G65" s="177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/>
      <c r="AI65"/>
      <c r="AJ65"/>
      <c r="AK65"/>
      <c r="AL65"/>
      <c r="AM65"/>
      <c r="AN65"/>
      <c r="AO65"/>
      <c r="AP65"/>
      <c r="AQ65"/>
    </row>
    <row r="66" spans="1:43" ht="12.75" customHeight="1" x14ac:dyDescent="0.2">
      <c r="A66" s="95"/>
      <c r="B66" s="95"/>
      <c r="C66" s="95"/>
      <c r="D66" s="95"/>
      <c r="E66" s="95"/>
      <c r="F66"/>
      <c r="G66" s="180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  <row r="67" spans="1:43" x14ac:dyDescent="0.2">
      <c r="F67" s="2"/>
      <c r="G67" s="181"/>
    </row>
    <row r="68" spans="1:43" x14ac:dyDescent="0.2">
      <c r="C68" s="4" t="str">
        <f>'Option1 (base case)'!C68</f>
        <v>Risks mitigated vs base case</v>
      </c>
      <c r="G68" s="179">
        <f>input_dollars</f>
        <v>45291</v>
      </c>
      <c r="I68" s="108">
        <f>(1-INDEX(Data!$C$9:$C$13, MATCH($A$3, options,0)))*('Option1 (base case)'!I40-I40)</f>
        <v>0</v>
      </c>
      <c r="J68" s="108">
        <f>(1-INDEX(Data!$C$9:$C$13, MATCH($A$3, options,0)))*('Option1 (base case)'!J40-J40)</f>
        <v>0</v>
      </c>
      <c r="K68" s="108">
        <f>(1-INDEX(Data!$C$9:$C$13, MATCH($A$3, options,0)))*('Option1 (base case)'!K40-K40)</f>
        <v>0</v>
      </c>
      <c r="L68" s="108">
        <f>(1-INDEX(Data!$C$9:$C$13, MATCH($A$3, options,0)))*('Option1 (base case)'!L40-L40)</f>
        <v>0</v>
      </c>
      <c r="M68" s="108">
        <f>(1-INDEX(Data!$C$9:$C$13, MATCH($A$3, options,0)))*('Option1 (base case)'!M40-M40)</f>
        <v>0</v>
      </c>
      <c r="N68" s="108">
        <f>(1-INDEX(Data!$C$9:$C$13, MATCH($A$3, options,0)))*('Option1 (base case)'!N40-N40)</f>
        <v>0</v>
      </c>
      <c r="O68" s="108">
        <f>(1-INDEX(Data!$C$9:$C$13, MATCH($A$3, options,0)))*('Option1 (base case)'!O40-O40)</f>
        <v>0</v>
      </c>
      <c r="P68" s="108">
        <f>(1-INDEX(Data!$C$9:$C$13, MATCH($A$3, options,0)))*('Option1 (base case)'!P40-P40)</f>
        <v>0</v>
      </c>
      <c r="Q68" s="108">
        <f>(1-INDEX(Data!$C$9:$C$13, MATCH($A$3, options,0)))*('Option1 (base case)'!Q40-Q40)</f>
        <v>0</v>
      </c>
      <c r="R68" s="108">
        <f>(1-INDEX(Data!$C$9:$C$13, MATCH($A$3, options,0)))*('Option1 (base case)'!R40-R40)</f>
        <v>0</v>
      </c>
      <c r="S68" s="108">
        <f>(1-INDEX(Data!$C$9:$C$13, MATCH($A$3, options,0)))*('Option1 (base case)'!S40-S40)</f>
        <v>0</v>
      </c>
      <c r="T68" s="108">
        <f>(1-INDEX(Data!$C$9:$C$13, MATCH($A$3, options,0)))*('Option1 (base case)'!T40-T40)</f>
        <v>0</v>
      </c>
      <c r="U68" s="108">
        <f>(1-INDEX(Data!$C$9:$C$13, MATCH($A$3, options,0)))*('Option1 (base case)'!U40-U40)</f>
        <v>0</v>
      </c>
      <c r="V68" s="108">
        <f>(1-INDEX(Data!$C$9:$C$13, MATCH($A$3, options,0)))*('Option1 (base case)'!V40-V40)</f>
        <v>0</v>
      </c>
      <c r="W68" s="108">
        <f>(1-INDEX(Data!$C$9:$C$13, MATCH($A$3, options,0)))*('Option1 (base case)'!W40-W40)</f>
        <v>0</v>
      </c>
      <c r="X68" s="108">
        <f>(1-INDEX(Data!$C$9:$C$13, MATCH($A$3, options,0)))*('Option1 (base case)'!X40-X40)</f>
        <v>0</v>
      </c>
      <c r="Y68" s="108">
        <f>(1-INDEX(Data!$C$9:$C$13, MATCH($A$3, options,0)))*('Option1 (base case)'!Y40-Y40)</f>
        <v>0</v>
      </c>
      <c r="Z68" s="108">
        <f>(1-INDEX(Data!$C$9:$C$13, MATCH($A$3, options,0)))*('Option1 (base case)'!Z40-Z40)</f>
        <v>0</v>
      </c>
      <c r="AA68" s="108">
        <f>(1-INDEX(Data!$C$9:$C$13, MATCH($A$3, options,0)))*('Option1 (base case)'!AA40-AA40)</f>
        <v>0</v>
      </c>
      <c r="AB68" s="108">
        <f>(1-INDEX(Data!$C$9:$C$13, MATCH($A$3, options,0)))*('Option1 (base case)'!AB40-AB40)</f>
        <v>0</v>
      </c>
      <c r="AC68" s="108">
        <f>(1-INDEX(Data!$C$9:$C$13, MATCH($A$3, options,0)))*('Option1 (base case)'!AC40-AC40)</f>
        <v>0</v>
      </c>
      <c r="AD68" s="108">
        <f>(1-INDEX(Data!$C$9:$C$13, MATCH($A$3, options,0)))*('Option1 (base case)'!AD40-AD40)</f>
        <v>0</v>
      </c>
      <c r="AE68" s="108">
        <f>(1-INDEX(Data!$C$9:$C$13, MATCH($A$3, options,0)))*('Option1 (base case)'!AE40-AE40)</f>
        <v>0</v>
      </c>
      <c r="AF68" s="108">
        <f>(1-INDEX(Data!$C$9:$C$13, MATCH($A$3, options,0)))*('Option1 (base case)'!AF40-AF40)</f>
        <v>0</v>
      </c>
      <c r="AG68" s="108">
        <f>(1-INDEX(Data!$C$9:$C$13, MATCH($A$3, options,0)))*('Option1 (base case)'!AG40-AG40)</f>
        <v>0</v>
      </c>
    </row>
    <row r="69" spans="1:43" x14ac:dyDescent="0.2">
      <c r="G69" s="181"/>
    </row>
    <row r="70" spans="1:43" x14ac:dyDescent="0.2">
      <c r="A70" s="6"/>
      <c r="B70" s="6"/>
      <c r="C70" s="121" t="s">
        <v>15</v>
      </c>
      <c r="D70" s="33"/>
      <c r="F70" s="82"/>
      <c r="G70" s="182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43" x14ac:dyDescent="0.2">
      <c r="A71" s="6"/>
      <c r="B71" s="6"/>
      <c r="C71" s="4" t="str">
        <f>C14</f>
        <v>&lt; Enter description &gt;</v>
      </c>
      <c r="D71" s="33"/>
      <c r="F71" s="82"/>
      <c r="G71" s="179">
        <f>input_dollars</f>
        <v>45291</v>
      </c>
      <c r="H71" s="28"/>
      <c r="I71" s="28">
        <f t="shared" ref="I71:AG71" si="7">-I14</f>
        <v>0</v>
      </c>
      <c r="J71" s="28">
        <f t="shared" si="7"/>
        <v>0</v>
      </c>
      <c r="K71" s="28">
        <f t="shared" si="7"/>
        <v>0</v>
      </c>
      <c r="L71" s="28">
        <f t="shared" si="7"/>
        <v>0</v>
      </c>
      <c r="M71" s="28">
        <f t="shared" si="7"/>
        <v>0</v>
      </c>
      <c r="N71" s="28">
        <f t="shared" si="7"/>
        <v>0</v>
      </c>
      <c r="O71" s="28">
        <f t="shared" si="7"/>
        <v>0</v>
      </c>
      <c r="P71" s="28">
        <f t="shared" si="7"/>
        <v>0</v>
      </c>
      <c r="Q71" s="28">
        <f t="shared" si="7"/>
        <v>0</v>
      </c>
      <c r="R71" s="28">
        <f t="shared" si="7"/>
        <v>0</v>
      </c>
      <c r="S71" s="28">
        <f t="shared" si="7"/>
        <v>0</v>
      </c>
      <c r="T71" s="28">
        <f t="shared" si="7"/>
        <v>0</v>
      </c>
      <c r="U71" s="28">
        <f t="shared" si="7"/>
        <v>0</v>
      </c>
      <c r="V71" s="28">
        <f t="shared" si="7"/>
        <v>0</v>
      </c>
      <c r="W71" s="28">
        <f t="shared" si="7"/>
        <v>0</v>
      </c>
      <c r="X71" s="28">
        <f t="shared" si="7"/>
        <v>0</v>
      </c>
      <c r="Y71" s="28">
        <f t="shared" si="7"/>
        <v>0</v>
      </c>
      <c r="Z71" s="28">
        <f t="shared" si="7"/>
        <v>0</v>
      </c>
      <c r="AA71" s="28">
        <f t="shared" si="7"/>
        <v>0</v>
      </c>
      <c r="AB71" s="28">
        <f t="shared" si="7"/>
        <v>0</v>
      </c>
      <c r="AC71" s="28">
        <f t="shared" si="7"/>
        <v>0</v>
      </c>
      <c r="AD71" s="28">
        <f t="shared" si="7"/>
        <v>0</v>
      </c>
      <c r="AE71" s="28">
        <f t="shared" si="7"/>
        <v>0</v>
      </c>
      <c r="AF71" s="28">
        <f t="shared" si="7"/>
        <v>0</v>
      </c>
      <c r="AG71" s="28">
        <f t="shared" si="7"/>
        <v>0</v>
      </c>
    </row>
    <row r="72" spans="1:43" x14ac:dyDescent="0.2">
      <c r="A72" s="6"/>
      <c r="B72" s="6"/>
      <c r="C72" s="4" t="str">
        <f>C15</f>
        <v>&lt; Enter description &gt;</v>
      </c>
      <c r="D72" s="33"/>
      <c r="F72" s="82"/>
      <c r="G72" s="179">
        <f>input_dollars</f>
        <v>45291</v>
      </c>
      <c r="H72" s="28"/>
      <c r="I72" s="28">
        <f t="shared" ref="I72:AG72" si="8">-I15</f>
        <v>0</v>
      </c>
      <c r="J72" s="28">
        <f t="shared" si="8"/>
        <v>0</v>
      </c>
      <c r="K72" s="28">
        <f t="shared" si="8"/>
        <v>0</v>
      </c>
      <c r="L72" s="28">
        <f t="shared" si="8"/>
        <v>0</v>
      </c>
      <c r="M72" s="28">
        <f t="shared" si="8"/>
        <v>0</v>
      </c>
      <c r="N72" s="28">
        <f t="shared" si="8"/>
        <v>0</v>
      </c>
      <c r="O72" s="28">
        <f t="shared" si="8"/>
        <v>0</v>
      </c>
      <c r="P72" s="28">
        <f t="shared" si="8"/>
        <v>0</v>
      </c>
      <c r="Q72" s="28">
        <f t="shared" si="8"/>
        <v>0</v>
      </c>
      <c r="R72" s="28">
        <f t="shared" si="8"/>
        <v>0</v>
      </c>
      <c r="S72" s="28">
        <f t="shared" si="8"/>
        <v>0</v>
      </c>
      <c r="T72" s="28">
        <f t="shared" si="8"/>
        <v>0</v>
      </c>
      <c r="U72" s="28">
        <f t="shared" si="8"/>
        <v>0</v>
      </c>
      <c r="V72" s="28">
        <f t="shared" si="8"/>
        <v>0</v>
      </c>
      <c r="W72" s="28">
        <f t="shared" si="8"/>
        <v>0</v>
      </c>
      <c r="X72" s="28">
        <f t="shared" si="8"/>
        <v>0</v>
      </c>
      <c r="Y72" s="28">
        <f t="shared" si="8"/>
        <v>0</v>
      </c>
      <c r="Z72" s="28">
        <f t="shared" si="8"/>
        <v>0</v>
      </c>
      <c r="AA72" s="28">
        <f t="shared" si="8"/>
        <v>0</v>
      </c>
      <c r="AB72" s="28">
        <f t="shared" si="8"/>
        <v>0</v>
      </c>
      <c r="AC72" s="28">
        <f t="shared" si="8"/>
        <v>0</v>
      </c>
      <c r="AD72" s="28">
        <f t="shared" si="8"/>
        <v>0</v>
      </c>
      <c r="AE72" s="28">
        <f t="shared" si="8"/>
        <v>0</v>
      </c>
      <c r="AF72" s="28">
        <f t="shared" si="8"/>
        <v>0</v>
      </c>
      <c r="AG72" s="28">
        <f t="shared" si="8"/>
        <v>0</v>
      </c>
    </row>
    <row r="73" spans="1:43" x14ac:dyDescent="0.2">
      <c r="A73" s="6"/>
      <c r="B73" s="6"/>
      <c r="C73" s="4" t="str">
        <f>C16</f>
        <v>&lt; Enter description &gt;</v>
      </c>
      <c r="D73" s="33"/>
      <c r="F73" s="82"/>
      <c r="G73" s="179">
        <f>input_dollars</f>
        <v>45291</v>
      </c>
      <c r="H73" s="28"/>
      <c r="I73" s="28">
        <f t="shared" ref="I73:AG73" si="9">-I16</f>
        <v>0</v>
      </c>
      <c r="J73" s="28">
        <f t="shared" si="9"/>
        <v>0</v>
      </c>
      <c r="K73" s="28">
        <f t="shared" si="9"/>
        <v>0</v>
      </c>
      <c r="L73" s="28">
        <f t="shared" si="9"/>
        <v>0</v>
      </c>
      <c r="M73" s="28">
        <f t="shared" si="9"/>
        <v>0</v>
      </c>
      <c r="N73" s="28">
        <f t="shared" si="9"/>
        <v>0</v>
      </c>
      <c r="O73" s="28">
        <f t="shared" si="9"/>
        <v>0</v>
      </c>
      <c r="P73" s="28">
        <f t="shared" si="9"/>
        <v>0</v>
      </c>
      <c r="Q73" s="28">
        <f t="shared" si="9"/>
        <v>0</v>
      </c>
      <c r="R73" s="28">
        <f t="shared" si="9"/>
        <v>0</v>
      </c>
      <c r="S73" s="28">
        <f t="shared" si="9"/>
        <v>0</v>
      </c>
      <c r="T73" s="28">
        <f t="shared" si="9"/>
        <v>0</v>
      </c>
      <c r="U73" s="28">
        <f t="shared" si="9"/>
        <v>0</v>
      </c>
      <c r="V73" s="28">
        <f t="shared" si="9"/>
        <v>0</v>
      </c>
      <c r="W73" s="28">
        <f t="shared" si="9"/>
        <v>0</v>
      </c>
      <c r="X73" s="28">
        <f t="shared" si="9"/>
        <v>0</v>
      </c>
      <c r="Y73" s="28">
        <f t="shared" si="9"/>
        <v>0</v>
      </c>
      <c r="Z73" s="28">
        <f t="shared" si="9"/>
        <v>0</v>
      </c>
      <c r="AA73" s="28">
        <f t="shared" si="9"/>
        <v>0</v>
      </c>
      <c r="AB73" s="28">
        <f t="shared" si="9"/>
        <v>0</v>
      </c>
      <c r="AC73" s="28">
        <f t="shared" si="9"/>
        <v>0</v>
      </c>
      <c r="AD73" s="28">
        <f t="shared" si="9"/>
        <v>0</v>
      </c>
      <c r="AE73" s="28">
        <f t="shared" si="9"/>
        <v>0</v>
      </c>
      <c r="AF73" s="28">
        <f t="shared" si="9"/>
        <v>0</v>
      </c>
      <c r="AG73" s="28">
        <f t="shared" si="9"/>
        <v>0</v>
      </c>
    </row>
    <row r="74" spans="1:43" x14ac:dyDescent="0.2">
      <c r="A74" s="6"/>
      <c r="B74" s="6"/>
      <c r="C74" s="4"/>
      <c r="D74" s="33"/>
      <c r="F74" s="82"/>
      <c r="G74" s="183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</row>
    <row r="75" spans="1:43" x14ac:dyDescent="0.2">
      <c r="A75" s="6"/>
      <c r="B75" s="6"/>
      <c r="C75" s="121" t="s">
        <v>132</v>
      </c>
      <c r="D75" s="33"/>
      <c r="F75" s="82"/>
      <c r="G75" s="182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43" x14ac:dyDescent="0.2">
      <c r="A76" s="6"/>
      <c r="B76" s="6"/>
      <c r="C76" s="4" t="str">
        <f>C14</f>
        <v>&lt; Enter description &gt;</v>
      </c>
      <c r="D76" s="33"/>
      <c r="F76" s="82"/>
      <c r="G76" s="179">
        <f>input_dollars</f>
        <v>45291</v>
      </c>
      <c r="H76" s="28"/>
      <c r="I76" s="28" cm="1">
        <f t="array" ref="I76">SUMPRODUCT(($I71:I71))-SUMPRODUCT(($I71:I71)*($I$6:I$6&lt;=(I$6-$E14)))</f>
        <v>0</v>
      </c>
      <c r="J76" s="28" cm="1">
        <f t="array" ref="J76">SUMPRODUCT(($I71:J71))-SUMPRODUCT(($I71:J71)*($I$6:J$6&lt;=(J$6-$E14)))</f>
        <v>0</v>
      </c>
      <c r="K76" s="28" cm="1">
        <f t="array" ref="K76">SUMPRODUCT(($I71:K71))-SUMPRODUCT(($I71:K71)*($I$6:K$6&lt;=(K$6-$E14)))</f>
        <v>0</v>
      </c>
      <c r="L76" s="28" cm="1">
        <f t="array" ref="L76">SUMPRODUCT(($I71:L71))-SUMPRODUCT(($I71:L71)*($I$6:L$6&lt;=(L$6-$E14)))</f>
        <v>0</v>
      </c>
      <c r="M76" s="28" cm="1">
        <f t="array" ref="M76">SUMPRODUCT(($I71:M71))-SUMPRODUCT(($I71:M71)*($I$6:M$6&lt;=(M$6-$E14)))</f>
        <v>0</v>
      </c>
      <c r="N76" s="28" cm="1">
        <f t="array" ref="N76">SUMPRODUCT(($I71:N71))-SUMPRODUCT(($I71:N71)*($I$6:N$6&lt;=(N$6-$E14)))</f>
        <v>0</v>
      </c>
      <c r="O76" s="28" cm="1">
        <f t="array" ref="O76">SUMPRODUCT(($I71:O71))-SUMPRODUCT(($I71:O71)*($I$6:O$6&lt;=(O$6-$E14)))</f>
        <v>0</v>
      </c>
      <c r="P76" s="28" cm="1">
        <f t="array" ref="P76">SUMPRODUCT(($I71:P71))-SUMPRODUCT(($I71:P71)*($I$6:P$6&lt;=(P$6-$E14)))</f>
        <v>0</v>
      </c>
      <c r="Q76" s="28" cm="1">
        <f t="array" ref="Q76">SUMPRODUCT(($I71:Q71))-SUMPRODUCT(($I71:Q71)*($I$6:Q$6&lt;=(Q$6-$E14)))</f>
        <v>0</v>
      </c>
      <c r="R76" s="28" cm="1">
        <f t="array" ref="R76">SUMPRODUCT(($I71:R71))-SUMPRODUCT(($I71:R71)*($I$6:R$6&lt;=(R$6-$E14)))</f>
        <v>0</v>
      </c>
      <c r="S76" s="28" cm="1">
        <f t="array" ref="S76">SUMPRODUCT(($I71:S71))-SUMPRODUCT(($I71:S71)*($I$6:S$6&lt;=(S$6-$E14)))</f>
        <v>0</v>
      </c>
      <c r="T76" s="28" cm="1">
        <f t="array" ref="T76">SUMPRODUCT(($I71:T71))-SUMPRODUCT(($I71:T71)*($I$6:T$6&lt;=(T$6-$E14)))</f>
        <v>0</v>
      </c>
      <c r="U76" s="28" cm="1">
        <f t="array" ref="U76">SUMPRODUCT(($I71:U71))-SUMPRODUCT(($I71:U71)*($I$6:U$6&lt;=(U$6-$E14)))</f>
        <v>0</v>
      </c>
      <c r="V76" s="28" cm="1">
        <f t="array" ref="V76">SUMPRODUCT(($I71:V71))-SUMPRODUCT(($I71:V71)*($I$6:V$6&lt;=(V$6-$E14)))</f>
        <v>0</v>
      </c>
      <c r="W76" s="28" cm="1">
        <f t="array" ref="W76">SUMPRODUCT(($I71:W71))-SUMPRODUCT(($I71:W71)*($I$6:W$6&lt;=(W$6-$E14)))</f>
        <v>0</v>
      </c>
      <c r="X76" s="28" cm="1">
        <f t="array" ref="X76">SUMPRODUCT(($I71:X71))-SUMPRODUCT(($I71:X71)*($I$6:X$6&lt;=(X$6-$E14)))</f>
        <v>0</v>
      </c>
      <c r="Y76" s="28" cm="1">
        <f t="array" ref="Y76">SUMPRODUCT(($I71:Y71))-SUMPRODUCT(($I71:Y71)*($I$6:Y$6&lt;=(Y$6-$E14)))</f>
        <v>0</v>
      </c>
      <c r="Z76" s="28" cm="1">
        <f t="array" ref="Z76">SUMPRODUCT(($I71:Z71))-SUMPRODUCT(($I71:Z71)*($I$6:Z$6&lt;=(Z$6-$E14)))</f>
        <v>0</v>
      </c>
      <c r="AA76" s="28" cm="1">
        <f t="array" ref="AA76">SUMPRODUCT(($I71:AA71))-SUMPRODUCT(($I71:AA71)*($I$6:AA$6&lt;=(AA$6-$E14)))</f>
        <v>0</v>
      </c>
      <c r="AB76" s="28" cm="1">
        <f t="array" ref="AB76">SUMPRODUCT(($I71:AB71))-SUMPRODUCT(($I71:AB71)*($I$6:AB$6&lt;=(AB$6-$E14)))</f>
        <v>0</v>
      </c>
      <c r="AC76" s="28" cm="1">
        <f t="array" ref="AC76">SUMPRODUCT(($I71:AC71))-SUMPRODUCT(($I71:AC71)*($I$6:AC$6&lt;=(AC$6-$E14)))</f>
        <v>0</v>
      </c>
      <c r="AD76" s="28" cm="1">
        <f t="array" ref="AD76">SUMPRODUCT(($I71:AD71))-SUMPRODUCT(($I71:AD71)*($I$6:AD$6&lt;=(AD$6-$E14)))</f>
        <v>0</v>
      </c>
      <c r="AE76" s="28" cm="1">
        <f t="array" ref="AE76">SUMPRODUCT(($I71:AE71))-SUMPRODUCT(($I71:AE71)*($I$6:AE$6&lt;=(AE$6-$E14)))</f>
        <v>0</v>
      </c>
      <c r="AF76" s="28" cm="1">
        <f t="array" ref="AF76">SUMPRODUCT(($I71:AF71))-SUMPRODUCT(($I71:AF71)*($I$6:AF$6&lt;=(AF$6-$E14)))</f>
        <v>0</v>
      </c>
      <c r="AG76" s="28" cm="1">
        <f t="array" ref="AG76">SUMPRODUCT(($I71:AG71))-SUMPRODUCT(($I71:AG71)*($I$6:AG$6&lt;=(AG$6-$E14)))</f>
        <v>0</v>
      </c>
    </row>
    <row r="77" spans="1:43" x14ac:dyDescent="0.2">
      <c r="A77" s="6"/>
      <c r="B77" s="6"/>
      <c r="C77" s="4" t="str">
        <f>C15</f>
        <v>&lt; Enter description &gt;</v>
      </c>
      <c r="D77" s="33"/>
      <c r="F77" s="82"/>
      <c r="G77" s="179">
        <f>input_dollars</f>
        <v>45291</v>
      </c>
      <c r="H77" s="28"/>
      <c r="I77" s="28" cm="1">
        <f t="array" ref="I77">SUMPRODUCT(($I72:I72))-SUMPRODUCT(($I72:I72)*($I$6:I$6&lt;=(I$6-$E15)))</f>
        <v>0</v>
      </c>
      <c r="J77" s="28" cm="1">
        <f t="array" ref="J77">SUMPRODUCT(($I72:J72))-SUMPRODUCT(($I72:J72)*($I$6:J$6&lt;=(J$6-$E15)))</f>
        <v>0</v>
      </c>
      <c r="K77" s="28" cm="1">
        <f t="array" ref="K77">SUMPRODUCT(($I72:K72))-SUMPRODUCT(($I72:K72)*($I$6:K$6&lt;=(K$6-$E15)))</f>
        <v>0</v>
      </c>
      <c r="L77" s="28" cm="1">
        <f t="array" ref="L77">SUMPRODUCT(($I72:L72))-SUMPRODUCT(($I72:L72)*($I$6:L$6&lt;=(L$6-$E15)))</f>
        <v>0</v>
      </c>
      <c r="M77" s="28" cm="1">
        <f t="array" ref="M77">SUMPRODUCT(($I72:M72))-SUMPRODUCT(($I72:M72)*($I$6:M$6&lt;=(M$6-$E15)))</f>
        <v>0</v>
      </c>
      <c r="N77" s="28" cm="1">
        <f t="array" ref="N77">SUMPRODUCT(($I72:N72))-SUMPRODUCT(($I72:N72)*($I$6:N$6&lt;=(N$6-$E15)))</f>
        <v>0</v>
      </c>
      <c r="O77" s="28" cm="1">
        <f t="array" ref="O77">SUMPRODUCT(($I72:O72))-SUMPRODUCT(($I72:O72)*($I$6:O$6&lt;=(O$6-$E15)))</f>
        <v>0</v>
      </c>
      <c r="P77" s="28" cm="1">
        <f t="array" ref="P77">SUMPRODUCT(($I72:P72))-SUMPRODUCT(($I72:P72)*($I$6:P$6&lt;=(P$6-$E15)))</f>
        <v>0</v>
      </c>
      <c r="Q77" s="28" cm="1">
        <f t="array" ref="Q77">SUMPRODUCT(($I72:Q72))-SUMPRODUCT(($I72:Q72)*($I$6:Q$6&lt;=(Q$6-$E15)))</f>
        <v>0</v>
      </c>
      <c r="R77" s="28" cm="1">
        <f t="array" ref="R77">SUMPRODUCT(($I72:R72))-SUMPRODUCT(($I72:R72)*($I$6:R$6&lt;=(R$6-$E15)))</f>
        <v>0</v>
      </c>
      <c r="S77" s="28" cm="1">
        <f t="array" ref="S77">SUMPRODUCT(($I72:S72))-SUMPRODUCT(($I72:S72)*($I$6:S$6&lt;=(S$6-$E15)))</f>
        <v>0</v>
      </c>
      <c r="T77" s="28" cm="1">
        <f t="array" ref="T77">SUMPRODUCT(($I72:T72))-SUMPRODUCT(($I72:T72)*($I$6:T$6&lt;=(T$6-$E15)))</f>
        <v>0</v>
      </c>
      <c r="U77" s="28" cm="1">
        <f t="array" ref="U77">SUMPRODUCT(($I72:U72))-SUMPRODUCT(($I72:U72)*($I$6:U$6&lt;=(U$6-$E15)))</f>
        <v>0</v>
      </c>
      <c r="V77" s="28" cm="1">
        <f t="array" ref="V77">SUMPRODUCT(($I72:V72))-SUMPRODUCT(($I72:V72)*($I$6:V$6&lt;=(V$6-$E15)))</f>
        <v>0</v>
      </c>
      <c r="W77" s="28" cm="1">
        <f t="array" ref="W77">SUMPRODUCT(($I72:W72))-SUMPRODUCT(($I72:W72)*($I$6:W$6&lt;=(W$6-$E15)))</f>
        <v>0</v>
      </c>
      <c r="X77" s="28" cm="1">
        <f t="array" ref="X77">SUMPRODUCT(($I72:X72))-SUMPRODUCT(($I72:X72)*($I$6:X$6&lt;=(X$6-$E15)))</f>
        <v>0</v>
      </c>
      <c r="Y77" s="28" cm="1">
        <f t="array" ref="Y77">SUMPRODUCT(($I72:Y72))-SUMPRODUCT(($I72:Y72)*($I$6:Y$6&lt;=(Y$6-$E15)))</f>
        <v>0</v>
      </c>
      <c r="Z77" s="28" cm="1">
        <f t="array" ref="Z77">SUMPRODUCT(($I72:Z72))-SUMPRODUCT(($I72:Z72)*($I$6:Z$6&lt;=(Z$6-$E15)))</f>
        <v>0</v>
      </c>
      <c r="AA77" s="28" cm="1">
        <f t="array" ref="AA77">SUMPRODUCT(($I72:AA72))-SUMPRODUCT(($I72:AA72)*($I$6:AA$6&lt;=(AA$6-$E15)))</f>
        <v>0</v>
      </c>
      <c r="AB77" s="28" cm="1">
        <f t="array" ref="AB77">SUMPRODUCT(($I72:AB72))-SUMPRODUCT(($I72:AB72)*($I$6:AB$6&lt;=(AB$6-$E15)))</f>
        <v>0</v>
      </c>
      <c r="AC77" s="28" cm="1">
        <f t="array" ref="AC77">SUMPRODUCT(($I72:AC72))-SUMPRODUCT(($I72:AC72)*($I$6:AC$6&lt;=(AC$6-$E15)))</f>
        <v>0</v>
      </c>
      <c r="AD77" s="28" cm="1">
        <f t="array" ref="AD77">SUMPRODUCT(($I72:AD72))-SUMPRODUCT(($I72:AD72)*($I$6:AD$6&lt;=(AD$6-$E15)))</f>
        <v>0</v>
      </c>
      <c r="AE77" s="28" cm="1">
        <f t="array" ref="AE77">SUMPRODUCT(($I72:AE72))-SUMPRODUCT(($I72:AE72)*($I$6:AE$6&lt;=(AE$6-$E15)))</f>
        <v>0</v>
      </c>
      <c r="AF77" s="28" cm="1">
        <f t="array" ref="AF77">SUMPRODUCT(($I72:AF72))-SUMPRODUCT(($I72:AF72)*($I$6:AF$6&lt;=(AF$6-$E15)))</f>
        <v>0</v>
      </c>
      <c r="AG77" s="28" cm="1">
        <f t="array" ref="AG77">SUMPRODUCT(($I72:AG72))-SUMPRODUCT(($I72:AG72)*($I$6:AG$6&lt;=(AG$6-$E15)))</f>
        <v>0</v>
      </c>
    </row>
    <row r="78" spans="1:43" x14ac:dyDescent="0.2">
      <c r="A78" s="6"/>
      <c r="B78" s="6"/>
      <c r="C78" s="4" t="str">
        <f>C16</f>
        <v>&lt; Enter description &gt;</v>
      </c>
      <c r="D78" s="33"/>
      <c r="F78" s="82"/>
      <c r="G78" s="179">
        <f>input_dollars</f>
        <v>45291</v>
      </c>
      <c r="H78" s="28"/>
      <c r="I78" s="28" cm="1">
        <f t="array" ref="I78">SUMPRODUCT(($I73:I73))-SUMPRODUCT(($I73:I73)*($I$6:I$6&lt;=(I$6-$E16)))</f>
        <v>0</v>
      </c>
      <c r="J78" s="28" cm="1">
        <f t="array" ref="J78">SUMPRODUCT(($I73:J73))-SUMPRODUCT(($I73:J73)*($I$6:J$6&lt;=(J$6-$E16)))</f>
        <v>0</v>
      </c>
      <c r="K78" s="28" cm="1">
        <f t="array" ref="K78">SUMPRODUCT(($I73:K73))-SUMPRODUCT(($I73:K73)*($I$6:K$6&lt;=(K$6-$E16)))</f>
        <v>0</v>
      </c>
      <c r="L78" s="28" cm="1">
        <f t="array" ref="L78">SUMPRODUCT(($I73:L73))-SUMPRODUCT(($I73:L73)*($I$6:L$6&lt;=(L$6-$E16)))</f>
        <v>0</v>
      </c>
      <c r="M78" s="28" cm="1">
        <f t="array" ref="M78">SUMPRODUCT(($I73:M73))-SUMPRODUCT(($I73:M73)*($I$6:M$6&lt;=(M$6-$E16)))</f>
        <v>0</v>
      </c>
      <c r="N78" s="28" cm="1">
        <f t="array" ref="N78">SUMPRODUCT(($I73:N73))-SUMPRODUCT(($I73:N73)*($I$6:N$6&lt;=(N$6-$E16)))</f>
        <v>0</v>
      </c>
      <c r="O78" s="28" cm="1">
        <f t="array" ref="O78">SUMPRODUCT(($I73:O73))-SUMPRODUCT(($I73:O73)*($I$6:O$6&lt;=(O$6-$E16)))</f>
        <v>0</v>
      </c>
      <c r="P78" s="28" cm="1">
        <f t="array" ref="P78">SUMPRODUCT(($I73:P73))-SUMPRODUCT(($I73:P73)*($I$6:P$6&lt;=(P$6-$E16)))</f>
        <v>0</v>
      </c>
      <c r="Q78" s="28" cm="1">
        <f t="array" ref="Q78">SUMPRODUCT(($I73:Q73))-SUMPRODUCT(($I73:Q73)*($I$6:Q$6&lt;=(Q$6-$E16)))</f>
        <v>0</v>
      </c>
      <c r="R78" s="28" cm="1">
        <f t="array" ref="R78">SUMPRODUCT(($I73:R73))-SUMPRODUCT(($I73:R73)*($I$6:R$6&lt;=(R$6-$E16)))</f>
        <v>0</v>
      </c>
      <c r="S78" s="28" cm="1">
        <f t="array" ref="S78">SUMPRODUCT(($I73:S73))-SUMPRODUCT(($I73:S73)*($I$6:S$6&lt;=(S$6-$E16)))</f>
        <v>0</v>
      </c>
      <c r="T78" s="28" cm="1">
        <f t="array" ref="T78">SUMPRODUCT(($I73:T73))-SUMPRODUCT(($I73:T73)*($I$6:T$6&lt;=(T$6-$E16)))</f>
        <v>0</v>
      </c>
      <c r="U78" s="28" cm="1">
        <f t="array" ref="U78">SUMPRODUCT(($I73:U73))-SUMPRODUCT(($I73:U73)*($I$6:U$6&lt;=(U$6-$E16)))</f>
        <v>0</v>
      </c>
      <c r="V78" s="28" cm="1">
        <f t="array" ref="V78">SUMPRODUCT(($I73:V73))-SUMPRODUCT(($I73:V73)*($I$6:V$6&lt;=(V$6-$E16)))</f>
        <v>0</v>
      </c>
      <c r="W78" s="28" cm="1">
        <f t="array" ref="W78">SUMPRODUCT(($I73:W73))-SUMPRODUCT(($I73:W73)*($I$6:W$6&lt;=(W$6-$E16)))</f>
        <v>0</v>
      </c>
      <c r="X78" s="28" cm="1">
        <f t="array" ref="X78">SUMPRODUCT(($I73:X73))-SUMPRODUCT(($I73:X73)*($I$6:X$6&lt;=(X$6-$E16)))</f>
        <v>0</v>
      </c>
      <c r="Y78" s="28" cm="1">
        <f t="array" ref="Y78">SUMPRODUCT(($I73:Y73))-SUMPRODUCT(($I73:Y73)*($I$6:Y$6&lt;=(Y$6-$E16)))</f>
        <v>0</v>
      </c>
      <c r="Z78" s="28" cm="1">
        <f t="array" ref="Z78">SUMPRODUCT(($I73:Z73))-SUMPRODUCT(($I73:Z73)*($I$6:Z$6&lt;=(Z$6-$E16)))</f>
        <v>0</v>
      </c>
      <c r="AA78" s="28" cm="1">
        <f t="array" ref="AA78">SUMPRODUCT(($I73:AA73))-SUMPRODUCT(($I73:AA73)*($I$6:AA$6&lt;=(AA$6-$E16)))</f>
        <v>0</v>
      </c>
      <c r="AB78" s="28" cm="1">
        <f t="array" ref="AB78">SUMPRODUCT(($I73:AB73))-SUMPRODUCT(($I73:AB73)*($I$6:AB$6&lt;=(AB$6-$E16)))</f>
        <v>0</v>
      </c>
      <c r="AC78" s="28" cm="1">
        <f t="array" ref="AC78">SUMPRODUCT(($I73:AC73))-SUMPRODUCT(($I73:AC73)*($I$6:AC$6&lt;=(AC$6-$E16)))</f>
        <v>0</v>
      </c>
      <c r="AD78" s="28" cm="1">
        <f t="array" ref="AD78">SUMPRODUCT(($I73:AD73))-SUMPRODUCT(($I73:AD73)*($I$6:AD$6&lt;=(AD$6-$E16)))</f>
        <v>0</v>
      </c>
      <c r="AE78" s="28" cm="1">
        <f t="array" ref="AE78">SUMPRODUCT(($I73:AE73))-SUMPRODUCT(($I73:AE73)*($I$6:AE$6&lt;=(AE$6-$E16)))</f>
        <v>0</v>
      </c>
      <c r="AF78" s="28" cm="1">
        <f t="array" ref="AF78">SUMPRODUCT(($I73:AF73))-SUMPRODUCT(($I73:AF73)*($I$6:AF$6&lt;=(AF$6-$E16)))</f>
        <v>0</v>
      </c>
      <c r="AG78" s="28" cm="1">
        <f t="array" ref="AG78">SUMPRODUCT(($I73:AG73))-SUMPRODUCT(($I73:AG73)*($I$6:AG$6&lt;=(AG$6-$E16)))</f>
        <v>0</v>
      </c>
    </row>
    <row r="79" spans="1:43" x14ac:dyDescent="0.2">
      <c r="A79" s="6"/>
      <c r="B79" s="6"/>
      <c r="C79" s="4"/>
      <c r="D79" s="33"/>
      <c r="F79" s="82"/>
      <c r="G79" s="183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</row>
    <row r="80" spans="1:43" x14ac:dyDescent="0.2">
      <c r="A80" s="6"/>
      <c r="B80" s="6"/>
      <c r="C80" s="121" t="s">
        <v>133</v>
      </c>
      <c r="D80" s="33"/>
      <c r="F80" s="82"/>
      <c r="G80" s="182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</row>
    <row r="81" spans="1:33" x14ac:dyDescent="0.2">
      <c r="A81" s="6"/>
      <c r="B81" s="6"/>
      <c r="C81" s="4" t="str">
        <f>$C$80&amp;" - "&amp;C14</f>
        <v>Annualised capex - &lt; Enter description &gt;</v>
      </c>
      <c r="D81" s="33"/>
      <c r="F81" s="82"/>
      <c r="G81" s="179">
        <f>input_dollars</f>
        <v>45291</v>
      </c>
      <c r="H81" s="28"/>
      <c r="I81" s="28">
        <f t="shared" ref="I81:AG81" si="10">IF($E14=0,0,-PMT(real_disc, $E14,H76,))</f>
        <v>0</v>
      </c>
      <c r="J81" s="28">
        <f t="shared" si="10"/>
        <v>0</v>
      </c>
      <c r="K81" s="28">
        <f t="shared" si="10"/>
        <v>0</v>
      </c>
      <c r="L81" s="28">
        <f t="shared" si="10"/>
        <v>0</v>
      </c>
      <c r="M81" s="28">
        <f t="shared" si="10"/>
        <v>0</v>
      </c>
      <c r="N81" s="28">
        <f t="shared" si="10"/>
        <v>0</v>
      </c>
      <c r="O81" s="28">
        <f t="shared" si="10"/>
        <v>0</v>
      </c>
      <c r="P81" s="28">
        <f t="shared" si="10"/>
        <v>0</v>
      </c>
      <c r="Q81" s="28">
        <f t="shared" si="10"/>
        <v>0</v>
      </c>
      <c r="R81" s="28">
        <f t="shared" si="10"/>
        <v>0</v>
      </c>
      <c r="S81" s="28">
        <f t="shared" si="10"/>
        <v>0</v>
      </c>
      <c r="T81" s="28">
        <f t="shared" si="10"/>
        <v>0</v>
      </c>
      <c r="U81" s="28">
        <f t="shared" si="10"/>
        <v>0</v>
      </c>
      <c r="V81" s="28">
        <f t="shared" si="10"/>
        <v>0</v>
      </c>
      <c r="W81" s="28">
        <f t="shared" si="10"/>
        <v>0</v>
      </c>
      <c r="X81" s="28">
        <f t="shared" si="10"/>
        <v>0</v>
      </c>
      <c r="Y81" s="28">
        <f t="shared" si="10"/>
        <v>0</v>
      </c>
      <c r="Z81" s="28">
        <f t="shared" si="10"/>
        <v>0</v>
      </c>
      <c r="AA81" s="28">
        <f t="shared" si="10"/>
        <v>0</v>
      </c>
      <c r="AB81" s="28">
        <f t="shared" si="10"/>
        <v>0</v>
      </c>
      <c r="AC81" s="28">
        <f t="shared" si="10"/>
        <v>0</v>
      </c>
      <c r="AD81" s="28">
        <f t="shared" si="10"/>
        <v>0</v>
      </c>
      <c r="AE81" s="28">
        <f t="shared" si="10"/>
        <v>0</v>
      </c>
      <c r="AF81" s="28">
        <f t="shared" si="10"/>
        <v>0</v>
      </c>
      <c r="AG81" s="28">
        <f t="shared" si="10"/>
        <v>0</v>
      </c>
    </row>
    <row r="82" spans="1:33" x14ac:dyDescent="0.2">
      <c r="A82" s="6"/>
      <c r="B82" s="6"/>
      <c r="C82" s="4" t="str">
        <f>$C$80&amp;" - "&amp;C15</f>
        <v>Annualised capex - &lt; Enter description &gt;</v>
      </c>
      <c r="D82" s="33"/>
      <c r="F82" s="82"/>
      <c r="G82" s="179">
        <f>input_dollars</f>
        <v>45291</v>
      </c>
      <c r="H82" s="28"/>
      <c r="I82" s="28">
        <f t="shared" ref="I82:AG82" si="11">IF($E15=0,0,-PMT(real_disc, $E15,H77,))</f>
        <v>0</v>
      </c>
      <c r="J82" s="28">
        <f t="shared" si="11"/>
        <v>0</v>
      </c>
      <c r="K82" s="28">
        <f t="shared" si="11"/>
        <v>0</v>
      </c>
      <c r="L82" s="28">
        <f t="shared" si="11"/>
        <v>0</v>
      </c>
      <c r="M82" s="28">
        <f t="shared" si="11"/>
        <v>0</v>
      </c>
      <c r="N82" s="28">
        <f t="shared" si="11"/>
        <v>0</v>
      </c>
      <c r="O82" s="28">
        <f t="shared" si="11"/>
        <v>0</v>
      </c>
      <c r="P82" s="28">
        <f t="shared" si="11"/>
        <v>0</v>
      </c>
      <c r="Q82" s="28">
        <f t="shared" si="11"/>
        <v>0</v>
      </c>
      <c r="R82" s="28">
        <f t="shared" si="11"/>
        <v>0</v>
      </c>
      <c r="S82" s="28">
        <f t="shared" si="11"/>
        <v>0</v>
      </c>
      <c r="T82" s="28">
        <f t="shared" si="11"/>
        <v>0</v>
      </c>
      <c r="U82" s="28">
        <f t="shared" si="11"/>
        <v>0</v>
      </c>
      <c r="V82" s="28">
        <f t="shared" si="11"/>
        <v>0</v>
      </c>
      <c r="W82" s="28">
        <f t="shared" si="11"/>
        <v>0</v>
      </c>
      <c r="X82" s="28">
        <f t="shared" si="11"/>
        <v>0</v>
      </c>
      <c r="Y82" s="28">
        <f t="shared" si="11"/>
        <v>0</v>
      </c>
      <c r="Z82" s="28">
        <f t="shared" si="11"/>
        <v>0</v>
      </c>
      <c r="AA82" s="28">
        <f t="shared" si="11"/>
        <v>0</v>
      </c>
      <c r="AB82" s="28">
        <f t="shared" si="11"/>
        <v>0</v>
      </c>
      <c r="AC82" s="28">
        <f t="shared" si="11"/>
        <v>0</v>
      </c>
      <c r="AD82" s="28">
        <f t="shared" si="11"/>
        <v>0</v>
      </c>
      <c r="AE82" s="28">
        <f t="shared" si="11"/>
        <v>0</v>
      </c>
      <c r="AF82" s="28">
        <f t="shared" si="11"/>
        <v>0</v>
      </c>
      <c r="AG82" s="28">
        <f t="shared" si="11"/>
        <v>0</v>
      </c>
    </row>
    <row r="83" spans="1:33" x14ac:dyDescent="0.2">
      <c r="A83" s="6"/>
      <c r="B83" s="6"/>
      <c r="C83" s="4" t="str">
        <f>$C$80&amp;" - "&amp;C16</f>
        <v>Annualised capex - &lt; Enter description &gt;</v>
      </c>
      <c r="D83" s="33"/>
      <c r="F83" s="82"/>
      <c r="G83" s="179">
        <f>input_dollars</f>
        <v>45291</v>
      </c>
      <c r="H83" s="28"/>
      <c r="I83" s="28">
        <f t="shared" ref="I83:AG83" si="12">IF($E16=0,0,-PMT(real_disc, $E16,H78,))</f>
        <v>0</v>
      </c>
      <c r="J83" s="28">
        <f t="shared" si="12"/>
        <v>0</v>
      </c>
      <c r="K83" s="28">
        <f t="shared" si="12"/>
        <v>0</v>
      </c>
      <c r="L83" s="28">
        <f t="shared" si="12"/>
        <v>0</v>
      </c>
      <c r="M83" s="28">
        <f t="shared" si="12"/>
        <v>0</v>
      </c>
      <c r="N83" s="28">
        <f t="shared" si="12"/>
        <v>0</v>
      </c>
      <c r="O83" s="28">
        <f t="shared" si="12"/>
        <v>0</v>
      </c>
      <c r="P83" s="28">
        <f t="shared" si="12"/>
        <v>0</v>
      </c>
      <c r="Q83" s="28">
        <f t="shared" si="12"/>
        <v>0</v>
      </c>
      <c r="R83" s="28">
        <f t="shared" si="12"/>
        <v>0</v>
      </c>
      <c r="S83" s="28">
        <f t="shared" si="12"/>
        <v>0</v>
      </c>
      <c r="T83" s="28">
        <f t="shared" si="12"/>
        <v>0</v>
      </c>
      <c r="U83" s="28">
        <f t="shared" si="12"/>
        <v>0</v>
      </c>
      <c r="V83" s="28">
        <f t="shared" si="12"/>
        <v>0</v>
      </c>
      <c r="W83" s="28">
        <f t="shared" si="12"/>
        <v>0</v>
      </c>
      <c r="X83" s="28">
        <f t="shared" si="12"/>
        <v>0</v>
      </c>
      <c r="Y83" s="28">
        <f t="shared" si="12"/>
        <v>0</v>
      </c>
      <c r="Z83" s="28">
        <f t="shared" si="12"/>
        <v>0</v>
      </c>
      <c r="AA83" s="28">
        <f t="shared" si="12"/>
        <v>0</v>
      </c>
      <c r="AB83" s="28">
        <f t="shared" si="12"/>
        <v>0</v>
      </c>
      <c r="AC83" s="28">
        <f t="shared" si="12"/>
        <v>0</v>
      </c>
      <c r="AD83" s="28">
        <f t="shared" si="12"/>
        <v>0</v>
      </c>
      <c r="AE83" s="28">
        <f t="shared" si="12"/>
        <v>0</v>
      </c>
      <c r="AF83" s="28">
        <f t="shared" si="12"/>
        <v>0</v>
      </c>
      <c r="AG83" s="28">
        <f t="shared" si="12"/>
        <v>0</v>
      </c>
    </row>
    <row r="84" spans="1:33" x14ac:dyDescent="0.2">
      <c r="A84" s="6"/>
      <c r="B84" s="6"/>
      <c r="C84" s="144" t="s">
        <v>134</v>
      </c>
      <c r="D84" s="144"/>
      <c r="E84" s="145"/>
      <c r="F84" s="146"/>
      <c r="G84" s="184">
        <f>input_dollars</f>
        <v>45291</v>
      </c>
      <c r="H84" s="147"/>
      <c r="I84" s="147">
        <f>SUM(I81:I83)</f>
        <v>0</v>
      </c>
      <c r="J84" s="147">
        <f t="shared" ref="J84:AB84" si="13">SUM(J81:J83)</f>
        <v>0</v>
      </c>
      <c r="K84" s="147">
        <f t="shared" si="13"/>
        <v>0</v>
      </c>
      <c r="L84" s="147">
        <f t="shared" si="13"/>
        <v>0</v>
      </c>
      <c r="M84" s="147">
        <f t="shared" si="13"/>
        <v>0</v>
      </c>
      <c r="N84" s="147">
        <f t="shared" si="13"/>
        <v>0</v>
      </c>
      <c r="O84" s="147">
        <f t="shared" si="13"/>
        <v>0</v>
      </c>
      <c r="P84" s="147">
        <f t="shared" si="13"/>
        <v>0</v>
      </c>
      <c r="Q84" s="147">
        <f t="shared" si="13"/>
        <v>0</v>
      </c>
      <c r="R84" s="147">
        <f t="shared" si="13"/>
        <v>0</v>
      </c>
      <c r="S84" s="147">
        <f t="shared" si="13"/>
        <v>0</v>
      </c>
      <c r="T84" s="147">
        <f t="shared" si="13"/>
        <v>0</v>
      </c>
      <c r="U84" s="147">
        <f t="shared" si="13"/>
        <v>0</v>
      </c>
      <c r="V84" s="147">
        <f t="shared" si="13"/>
        <v>0</v>
      </c>
      <c r="W84" s="147">
        <f t="shared" si="13"/>
        <v>0</v>
      </c>
      <c r="X84" s="147">
        <f t="shared" si="13"/>
        <v>0</v>
      </c>
      <c r="Y84" s="147">
        <f t="shared" si="13"/>
        <v>0</v>
      </c>
      <c r="Z84" s="147">
        <f t="shared" si="13"/>
        <v>0</v>
      </c>
      <c r="AA84" s="147">
        <f t="shared" si="13"/>
        <v>0</v>
      </c>
      <c r="AB84" s="147">
        <f t="shared" si="13"/>
        <v>0</v>
      </c>
      <c r="AC84" s="147">
        <f>SUM(AC81:AC83)</f>
        <v>0</v>
      </c>
      <c r="AD84" s="147">
        <f>SUM(AD81:AD83)</f>
        <v>0</v>
      </c>
      <c r="AE84" s="147">
        <f>SUM(AE81:AE83)</f>
        <v>0</v>
      </c>
      <c r="AF84" s="147">
        <f>SUM(AF81:AF83)</f>
        <v>0</v>
      </c>
      <c r="AG84" s="147">
        <f>SUM(AG81:AG83)</f>
        <v>0</v>
      </c>
    </row>
    <row r="85" spans="1:33" x14ac:dyDescent="0.2">
      <c r="A85" s="6"/>
      <c r="B85" s="6"/>
      <c r="C85" s="12"/>
      <c r="D85" s="33"/>
      <c r="F85"/>
      <c r="G85" s="1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x14ac:dyDescent="0.2">
      <c r="A86" s="6"/>
      <c r="B86" s="6"/>
      <c r="C86" s="4" t="s">
        <v>133</v>
      </c>
      <c r="D86" s="33"/>
      <c r="F86" s="82"/>
      <c r="G86" s="179">
        <f t="shared" ref="G86:G91" si="14">input_dollars</f>
        <v>45291</v>
      </c>
      <c r="H86" s="28"/>
      <c r="I86" s="28">
        <f>I84</f>
        <v>0</v>
      </c>
      <c r="J86" s="28">
        <f t="shared" ref="J86:AB86" si="15">J84</f>
        <v>0</v>
      </c>
      <c r="K86" s="28">
        <f t="shared" si="15"/>
        <v>0</v>
      </c>
      <c r="L86" s="28">
        <f t="shared" si="15"/>
        <v>0</v>
      </c>
      <c r="M86" s="28">
        <f t="shared" si="15"/>
        <v>0</v>
      </c>
      <c r="N86" s="28">
        <f t="shared" si="15"/>
        <v>0</v>
      </c>
      <c r="O86" s="28">
        <f t="shared" si="15"/>
        <v>0</v>
      </c>
      <c r="P86" s="28">
        <f t="shared" si="15"/>
        <v>0</v>
      </c>
      <c r="Q86" s="28">
        <f t="shared" si="15"/>
        <v>0</v>
      </c>
      <c r="R86" s="28">
        <f t="shared" si="15"/>
        <v>0</v>
      </c>
      <c r="S86" s="28">
        <f t="shared" si="15"/>
        <v>0</v>
      </c>
      <c r="T86" s="28">
        <f t="shared" si="15"/>
        <v>0</v>
      </c>
      <c r="U86" s="28">
        <f t="shared" si="15"/>
        <v>0</v>
      </c>
      <c r="V86" s="28">
        <f t="shared" si="15"/>
        <v>0</v>
      </c>
      <c r="W86" s="28">
        <f t="shared" si="15"/>
        <v>0</v>
      </c>
      <c r="X86" s="28">
        <f t="shared" si="15"/>
        <v>0</v>
      </c>
      <c r="Y86" s="28">
        <f t="shared" si="15"/>
        <v>0</v>
      </c>
      <c r="Z86" s="28">
        <f t="shared" si="15"/>
        <v>0</v>
      </c>
      <c r="AA86" s="28">
        <f t="shared" si="15"/>
        <v>0</v>
      </c>
      <c r="AB86" s="28">
        <f t="shared" si="15"/>
        <v>0</v>
      </c>
      <c r="AC86" s="28">
        <f>AC84</f>
        <v>0</v>
      </c>
      <c r="AD86" s="28">
        <f>AD84</f>
        <v>0</v>
      </c>
      <c r="AE86" s="28">
        <f>AE84</f>
        <v>0</v>
      </c>
      <c r="AF86" s="28">
        <f>AF84</f>
        <v>0</v>
      </c>
      <c r="AG86" s="28">
        <f>AG84</f>
        <v>0</v>
      </c>
    </row>
    <row r="87" spans="1:33" x14ac:dyDescent="0.2">
      <c r="A87" s="6"/>
      <c r="B87" s="6"/>
      <c r="C87" s="4" t="s">
        <v>16</v>
      </c>
      <c r="D87" s="33"/>
      <c r="F87" s="82"/>
      <c r="G87" s="179">
        <f t="shared" si="14"/>
        <v>45291</v>
      </c>
      <c r="H87" s="28"/>
      <c r="I87" s="28">
        <f t="shared" ref="I87:AG87" si="16">-I19</f>
        <v>0</v>
      </c>
      <c r="J87" s="28">
        <f t="shared" si="16"/>
        <v>0</v>
      </c>
      <c r="K87" s="28">
        <f t="shared" si="16"/>
        <v>0</v>
      </c>
      <c r="L87" s="28">
        <f t="shared" si="16"/>
        <v>0</v>
      </c>
      <c r="M87" s="28">
        <f t="shared" si="16"/>
        <v>0</v>
      </c>
      <c r="N87" s="28">
        <f t="shared" si="16"/>
        <v>0</v>
      </c>
      <c r="O87" s="28">
        <f t="shared" si="16"/>
        <v>0</v>
      </c>
      <c r="P87" s="28">
        <f t="shared" si="16"/>
        <v>0</v>
      </c>
      <c r="Q87" s="28">
        <f t="shared" si="16"/>
        <v>0</v>
      </c>
      <c r="R87" s="28">
        <f t="shared" si="16"/>
        <v>0</v>
      </c>
      <c r="S87" s="28">
        <f t="shared" si="16"/>
        <v>0</v>
      </c>
      <c r="T87" s="28">
        <f t="shared" si="16"/>
        <v>0</v>
      </c>
      <c r="U87" s="28">
        <f t="shared" si="16"/>
        <v>0</v>
      </c>
      <c r="V87" s="28">
        <f t="shared" si="16"/>
        <v>0</v>
      </c>
      <c r="W87" s="28">
        <f t="shared" si="16"/>
        <v>0</v>
      </c>
      <c r="X87" s="28">
        <f t="shared" si="16"/>
        <v>0</v>
      </c>
      <c r="Y87" s="28">
        <f t="shared" si="16"/>
        <v>0</v>
      </c>
      <c r="Z87" s="28">
        <f t="shared" si="16"/>
        <v>0</v>
      </c>
      <c r="AA87" s="28">
        <f t="shared" si="16"/>
        <v>0</v>
      </c>
      <c r="AB87" s="28">
        <f t="shared" si="16"/>
        <v>0</v>
      </c>
      <c r="AC87" s="28">
        <f t="shared" si="16"/>
        <v>0</v>
      </c>
      <c r="AD87" s="28">
        <f t="shared" si="16"/>
        <v>0</v>
      </c>
      <c r="AE87" s="28">
        <f t="shared" si="16"/>
        <v>0</v>
      </c>
      <c r="AF87" s="28">
        <f t="shared" si="16"/>
        <v>0</v>
      </c>
      <c r="AG87" s="28">
        <f t="shared" si="16"/>
        <v>0</v>
      </c>
    </row>
    <row r="88" spans="1:33" x14ac:dyDescent="0.2">
      <c r="A88" s="6"/>
      <c r="B88" s="6"/>
      <c r="C88" s="4" t="s">
        <v>135</v>
      </c>
      <c r="D88" s="33"/>
      <c r="F88" s="82"/>
      <c r="G88" s="179">
        <f t="shared" si="14"/>
        <v>45291</v>
      </c>
      <c r="H88" s="28"/>
      <c r="I88" s="28">
        <f>I68</f>
        <v>0</v>
      </c>
      <c r="J88" s="28">
        <f t="shared" ref="J88:AB88" si="17">J68</f>
        <v>0</v>
      </c>
      <c r="K88" s="28">
        <f t="shared" si="17"/>
        <v>0</v>
      </c>
      <c r="L88" s="28">
        <f t="shared" si="17"/>
        <v>0</v>
      </c>
      <c r="M88" s="28">
        <f t="shared" si="17"/>
        <v>0</v>
      </c>
      <c r="N88" s="28">
        <f t="shared" si="17"/>
        <v>0</v>
      </c>
      <c r="O88" s="28">
        <f t="shared" si="17"/>
        <v>0</v>
      </c>
      <c r="P88" s="28">
        <f t="shared" si="17"/>
        <v>0</v>
      </c>
      <c r="Q88" s="28">
        <f t="shared" si="17"/>
        <v>0</v>
      </c>
      <c r="R88" s="28">
        <f t="shared" si="17"/>
        <v>0</v>
      </c>
      <c r="S88" s="28">
        <f t="shared" si="17"/>
        <v>0</v>
      </c>
      <c r="T88" s="28">
        <f t="shared" si="17"/>
        <v>0</v>
      </c>
      <c r="U88" s="28">
        <f t="shared" si="17"/>
        <v>0</v>
      </c>
      <c r="V88" s="28">
        <f t="shared" si="17"/>
        <v>0</v>
      </c>
      <c r="W88" s="28">
        <f t="shared" si="17"/>
        <v>0</v>
      </c>
      <c r="X88" s="28">
        <f t="shared" si="17"/>
        <v>0</v>
      </c>
      <c r="Y88" s="28">
        <f t="shared" si="17"/>
        <v>0</v>
      </c>
      <c r="Z88" s="28">
        <f t="shared" si="17"/>
        <v>0</v>
      </c>
      <c r="AA88" s="28">
        <f t="shared" si="17"/>
        <v>0</v>
      </c>
      <c r="AB88" s="28">
        <f t="shared" si="17"/>
        <v>0</v>
      </c>
      <c r="AC88" s="28">
        <f>AC68</f>
        <v>0</v>
      </c>
      <c r="AD88" s="28">
        <f>AD68</f>
        <v>0</v>
      </c>
      <c r="AE88" s="28">
        <f>AE68</f>
        <v>0</v>
      </c>
      <c r="AF88" s="28">
        <f>AF68</f>
        <v>0</v>
      </c>
      <c r="AG88" s="28">
        <f>AG68</f>
        <v>0</v>
      </c>
    </row>
    <row r="89" spans="1:33" x14ac:dyDescent="0.2">
      <c r="A89" s="6"/>
      <c r="B89" s="6"/>
      <c r="C89" s="4" t="s">
        <v>136</v>
      </c>
      <c r="D89" s="33"/>
      <c r="F89" s="82"/>
      <c r="G89" s="179">
        <f t="shared" si="14"/>
        <v>45291</v>
      </c>
      <c r="H89" s="28"/>
      <c r="I89" s="28">
        <f t="shared" ref="I89:AG89" si="18">I61</f>
        <v>0</v>
      </c>
      <c r="J89" s="28">
        <f t="shared" si="18"/>
        <v>0</v>
      </c>
      <c r="K89" s="28">
        <f t="shared" si="18"/>
        <v>0</v>
      </c>
      <c r="L89" s="28">
        <f t="shared" si="18"/>
        <v>0</v>
      </c>
      <c r="M89" s="28">
        <f t="shared" si="18"/>
        <v>0</v>
      </c>
      <c r="N89" s="28">
        <f t="shared" si="18"/>
        <v>0</v>
      </c>
      <c r="O89" s="28">
        <f t="shared" si="18"/>
        <v>0</v>
      </c>
      <c r="P89" s="28">
        <f t="shared" si="18"/>
        <v>0</v>
      </c>
      <c r="Q89" s="28">
        <f t="shared" si="18"/>
        <v>0</v>
      </c>
      <c r="R89" s="28">
        <f t="shared" si="18"/>
        <v>0</v>
      </c>
      <c r="S89" s="28">
        <f t="shared" si="18"/>
        <v>0</v>
      </c>
      <c r="T89" s="28">
        <f t="shared" si="18"/>
        <v>0</v>
      </c>
      <c r="U89" s="28">
        <f t="shared" si="18"/>
        <v>0</v>
      </c>
      <c r="V89" s="28">
        <f t="shared" si="18"/>
        <v>0</v>
      </c>
      <c r="W89" s="28">
        <f t="shared" si="18"/>
        <v>0</v>
      </c>
      <c r="X89" s="28">
        <f t="shared" si="18"/>
        <v>0</v>
      </c>
      <c r="Y89" s="28">
        <f t="shared" si="18"/>
        <v>0</v>
      </c>
      <c r="Z89" s="28">
        <f t="shared" si="18"/>
        <v>0</v>
      </c>
      <c r="AA89" s="28">
        <f t="shared" si="18"/>
        <v>0</v>
      </c>
      <c r="AB89" s="28">
        <f t="shared" si="18"/>
        <v>0</v>
      </c>
      <c r="AC89" s="28">
        <f t="shared" si="18"/>
        <v>0</v>
      </c>
      <c r="AD89" s="28">
        <f t="shared" si="18"/>
        <v>0</v>
      </c>
      <c r="AE89" s="28">
        <f t="shared" si="18"/>
        <v>0</v>
      </c>
      <c r="AF89" s="28">
        <f t="shared" si="18"/>
        <v>0</v>
      </c>
      <c r="AG89" s="28">
        <f t="shared" si="18"/>
        <v>0</v>
      </c>
    </row>
    <row r="90" spans="1:33" x14ac:dyDescent="0.2">
      <c r="A90" s="6"/>
      <c r="B90" s="6"/>
      <c r="C90" s="4"/>
      <c r="D90" s="33"/>
      <c r="F90" s="28"/>
      <c r="G90" s="179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</row>
    <row r="91" spans="1:33" x14ac:dyDescent="0.2">
      <c r="A91" s="6"/>
      <c r="B91" s="6"/>
      <c r="C91" s="148" t="s">
        <v>137</v>
      </c>
      <c r="D91" s="149"/>
      <c r="E91" s="145"/>
      <c r="F91" s="150"/>
      <c r="G91" s="184">
        <f t="shared" si="14"/>
        <v>45291</v>
      </c>
      <c r="H91" s="150"/>
      <c r="I91" s="150">
        <f t="shared" ref="I91:AB91" si="19">SUM(I86:I90)</f>
        <v>0</v>
      </c>
      <c r="J91" s="150">
        <f t="shared" si="19"/>
        <v>0</v>
      </c>
      <c r="K91" s="150">
        <f t="shared" si="19"/>
        <v>0</v>
      </c>
      <c r="L91" s="150">
        <f t="shared" si="19"/>
        <v>0</v>
      </c>
      <c r="M91" s="150">
        <f t="shared" si="19"/>
        <v>0</v>
      </c>
      <c r="N91" s="150">
        <f t="shared" si="19"/>
        <v>0</v>
      </c>
      <c r="O91" s="150">
        <f t="shared" si="19"/>
        <v>0</v>
      </c>
      <c r="P91" s="150">
        <f t="shared" si="19"/>
        <v>0</v>
      </c>
      <c r="Q91" s="150">
        <f t="shared" si="19"/>
        <v>0</v>
      </c>
      <c r="R91" s="150">
        <f t="shared" si="19"/>
        <v>0</v>
      </c>
      <c r="S91" s="150">
        <f t="shared" si="19"/>
        <v>0</v>
      </c>
      <c r="T91" s="150">
        <f t="shared" si="19"/>
        <v>0</v>
      </c>
      <c r="U91" s="150">
        <f t="shared" si="19"/>
        <v>0</v>
      </c>
      <c r="V91" s="150">
        <f t="shared" si="19"/>
        <v>0</v>
      </c>
      <c r="W91" s="150">
        <f t="shared" si="19"/>
        <v>0</v>
      </c>
      <c r="X91" s="150">
        <f t="shared" si="19"/>
        <v>0</v>
      </c>
      <c r="Y91" s="150">
        <f t="shared" si="19"/>
        <v>0</v>
      </c>
      <c r="Z91" s="150">
        <f t="shared" si="19"/>
        <v>0</v>
      </c>
      <c r="AA91" s="150">
        <f t="shared" si="19"/>
        <v>0</v>
      </c>
      <c r="AB91" s="150">
        <f t="shared" si="19"/>
        <v>0</v>
      </c>
      <c r="AC91" s="150">
        <f>SUM(AC86:AC90)</f>
        <v>0</v>
      </c>
      <c r="AD91" s="150">
        <f>SUM(AD86:AD90)</f>
        <v>0</v>
      </c>
      <c r="AE91" s="150">
        <f>SUM(AE86:AE90)</f>
        <v>0</v>
      </c>
      <c r="AF91" s="150">
        <f>SUM(AF86:AF90)</f>
        <v>0</v>
      </c>
      <c r="AG91" s="150">
        <f>SUM(AG86:AG90)</f>
        <v>0</v>
      </c>
    </row>
    <row r="92" spans="1:33" x14ac:dyDescent="0.2">
      <c r="A92" s="6"/>
      <c r="B92" s="6"/>
      <c r="C92" s="12"/>
      <c r="D92" s="33"/>
      <c r="F92" s="115"/>
      <c r="G92" s="179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</row>
    <row r="93" spans="1:33" x14ac:dyDescent="0.2">
      <c r="A93" s="6"/>
      <c r="B93" s="6"/>
      <c r="C93" s="12"/>
      <c r="D93" s="33"/>
      <c r="F93" s="115"/>
      <c r="G93" s="179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</row>
    <row r="94" spans="1:33" x14ac:dyDescent="0.2">
      <c r="A94" s="6"/>
      <c r="B94" s="6"/>
      <c r="C94" s="198" t="s">
        <v>141</v>
      </c>
      <c r="D94" s="71"/>
      <c r="E94" s="199"/>
      <c r="F94" s="200"/>
      <c r="G94" s="201" cm="1">
        <f t="array" ref="G94">IF(SUM($I17:$AG17)=0,0,(INDEX(I$6:AG$6,MATCH(TRUE,INDEX($I17:$AG17&lt;&gt;0,),0))))</f>
        <v>0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x14ac:dyDescent="0.2">
      <c r="C95" s="71"/>
      <c r="D95" s="202"/>
      <c r="E95" s="199"/>
      <c r="F95" s="199"/>
      <c r="G95" s="201"/>
    </row>
    <row r="96" spans="1:33" x14ac:dyDescent="0.2">
      <c r="C96" s="203" t="s">
        <v>142</v>
      </c>
      <c r="D96" s="204"/>
      <c r="E96" s="204"/>
      <c r="F96" s="204"/>
      <c r="G96" s="205" t="str">
        <f>IF(_xlfn.MINIFS($G$94:$G$95, $G$94:$G$95, "&gt;"&amp;0)=0, $A$4, _xlfn.MINIFS($G$94:$G$95, $G$94:$G$95, "&gt;"&amp;0))</f>
        <v>Not used</v>
      </c>
    </row>
    <row r="98" spans="1:43" x14ac:dyDescent="0.2">
      <c r="G98" s="10"/>
    </row>
    <row r="106" spans="1:43" ht="15" x14ac:dyDescent="0.2">
      <c r="A106" s="76" t="s">
        <v>20</v>
      </c>
      <c r="B106" s="76"/>
      <c r="C106" s="76"/>
      <c r="D106" s="76"/>
      <c r="E106" s="76"/>
      <c r="F106" s="76"/>
      <c r="G106" s="173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/>
      <c r="AI106"/>
      <c r="AJ106"/>
      <c r="AK106"/>
      <c r="AL106"/>
      <c r="AM106"/>
      <c r="AN106"/>
      <c r="AO106"/>
      <c r="AP106"/>
      <c r="AQ106"/>
    </row>
    <row r="108" spans="1:43" x14ac:dyDescent="0.2">
      <c r="I108" s="208"/>
      <c r="J108" s="208"/>
      <c r="K108" s="208"/>
      <c r="L108" s="208"/>
      <c r="M108" s="208"/>
      <c r="N108" s="208"/>
      <c r="O108" s="208"/>
      <c r="P108" s="208"/>
      <c r="Q108" s="208"/>
      <c r="R108" s="208"/>
      <c r="S108" s="208"/>
      <c r="T108" s="208"/>
      <c r="U108" s="208"/>
      <c r="V108" s="208"/>
      <c r="W108" s="208"/>
      <c r="X108" s="208"/>
      <c r="Y108" s="208"/>
      <c r="Z108" s="208"/>
    </row>
    <row r="109" spans="1:43" x14ac:dyDescent="0.2"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</row>
    <row r="110" spans="1:43" x14ac:dyDescent="0.2">
      <c r="A110" s="1" t="s">
        <v>7</v>
      </c>
      <c r="C110" s="1" t="s">
        <v>137</v>
      </c>
      <c r="D110"/>
      <c r="E110"/>
      <c r="F110"/>
      <c r="G110" s="33" t="str">
        <f>PROPER($A$3)&amp;A110</f>
        <v>Option 5NPV</v>
      </c>
      <c r="I110" s="28">
        <f>I91</f>
        <v>0</v>
      </c>
      <c r="J110" s="28">
        <f t="shared" ref="J110:AG110" si="20">J91</f>
        <v>0</v>
      </c>
      <c r="K110" s="28">
        <f t="shared" si="20"/>
        <v>0</v>
      </c>
      <c r="L110" s="28">
        <f t="shared" si="20"/>
        <v>0</v>
      </c>
      <c r="M110" s="28">
        <f t="shared" si="20"/>
        <v>0</v>
      </c>
      <c r="N110" s="28">
        <f t="shared" si="20"/>
        <v>0</v>
      </c>
      <c r="O110" s="28">
        <f t="shared" si="20"/>
        <v>0</v>
      </c>
      <c r="P110" s="28">
        <f t="shared" si="20"/>
        <v>0</v>
      </c>
      <c r="Q110" s="28">
        <f t="shared" si="20"/>
        <v>0</v>
      </c>
      <c r="R110" s="28">
        <f t="shared" si="20"/>
        <v>0</v>
      </c>
      <c r="S110" s="28">
        <f t="shared" si="20"/>
        <v>0</v>
      </c>
      <c r="T110" s="28">
        <f t="shared" si="20"/>
        <v>0</v>
      </c>
      <c r="U110" s="28">
        <f t="shared" si="20"/>
        <v>0</v>
      </c>
      <c r="V110" s="28">
        <f t="shared" si="20"/>
        <v>0</v>
      </c>
      <c r="W110" s="28">
        <f t="shared" si="20"/>
        <v>0</v>
      </c>
      <c r="X110" s="28">
        <f t="shared" si="20"/>
        <v>0</v>
      </c>
      <c r="Y110" s="28">
        <f t="shared" si="20"/>
        <v>0</v>
      </c>
      <c r="Z110" s="28">
        <f t="shared" si="20"/>
        <v>0</v>
      </c>
      <c r="AA110" s="28">
        <f t="shared" si="20"/>
        <v>0</v>
      </c>
      <c r="AB110" s="28">
        <f t="shared" si="20"/>
        <v>0</v>
      </c>
      <c r="AC110" s="28">
        <f t="shared" si="20"/>
        <v>0</v>
      </c>
      <c r="AD110" s="28">
        <f t="shared" si="20"/>
        <v>0</v>
      </c>
      <c r="AE110" s="28">
        <f t="shared" si="20"/>
        <v>0</v>
      </c>
      <c r="AF110" s="28">
        <f t="shared" si="20"/>
        <v>0</v>
      </c>
      <c r="AG110" s="28">
        <f t="shared" si="20"/>
        <v>0</v>
      </c>
    </row>
    <row r="111" spans="1:43" x14ac:dyDescent="0.2">
      <c r="C111" s="1" t="s">
        <v>134</v>
      </c>
      <c r="D111"/>
      <c r="E111"/>
      <c r="F111"/>
      <c r="G111"/>
      <c r="I111" s="28">
        <f>I86</f>
        <v>0</v>
      </c>
      <c r="J111" s="28">
        <f t="shared" ref="J111:AG111" si="21">J86</f>
        <v>0</v>
      </c>
      <c r="K111" s="28">
        <f t="shared" si="21"/>
        <v>0</v>
      </c>
      <c r="L111" s="28">
        <f t="shared" si="21"/>
        <v>0</v>
      </c>
      <c r="M111" s="28">
        <f t="shared" si="21"/>
        <v>0</v>
      </c>
      <c r="N111" s="28">
        <f t="shared" si="21"/>
        <v>0</v>
      </c>
      <c r="O111" s="28">
        <f t="shared" si="21"/>
        <v>0</v>
      </c>
      <c r="P111" s="28">
        <f t="shared" si="21"/>
        <v>0</v>
      </c>
      <c r="Q111" s="28">
        <f t="shared" si="21"/>
        <v>0</v>
      </c>
      <c r="R111" s="28">
        <f t="shared" si="21"/>
        <v>0</v>
      </c>
      <c r="S111" s="28">
        <f t="shared" si="21"/>
        <v>0</v>
      </c>
      <c r="T111" s="28">
        <f t="shared" si="21"/>
        <v>0</v>
      </c>
      <c r="U111" s="28">
        <f t="shared" si="21"/>
        <v>0</v>
      </c>
      <c r="V111" s="28">
        <f t="shared" si="21"/>
        <v>0</v>
      </c>
      <c r="W111" s="28">
        <f t="shared" si="21"/>
        <v>0</v>
      </c>
      <c r="X111" s="28">
        <f t="shared" si="21"/>
        <v>0</v>
      </c>
      <c r="Y111" s="28">
        <f t="shared" si="21"/>
        <v>0</v>
      </c>
      <c r="Z111" s="28">
        <f t="shared" si="21"/>
        <v>0</v>
      </c>
      <c r="AA111" s="28">
        <f t="shared" si="21"/>
        <v>0</v>
      </c>
      <c r="AB111" s="28">
        <f t="shared" si="21"/>
        <v>0</v>
      </c>
      <c r="AC111" s="28">
        <f t="shared" si="21"/>
        <v>0</v>
      </c>
      <c r="AD111" s="28">
        <f t="shared" si="21"/>
        <v>0</v>
      </c>
      <c r="AE111" s="28">
        <f t="shared" si="21"/>
        <v>0</v>
      </c>
      <c r="AF111" s="28">
        <f t="shared" si="21"/>
        <v>0</v>
      </c>
      <c r="AG111" s="28">
        <f t="shared" si="21"/>
        <v>0</v>
      </c>
    </row>
    <row r="112" spans="1:43" x14ac:dyDescent="0.2">
      <c r="C112" s="1" t="s">
        <v>89</v>
      </c>
      <c r="D112"/>
      <c r="E112"/>
      <c r="F112"/>
      <c r="G112"/>
      <c r="I112" s="28">
        <f>SUM(I88:I89)</f>
        <v>0</v>
      </c>
      <c r="J112" s="28">
        <f t="shared" ref="J112:AG112" si="22">SUM(J88:J89)</f>
        <v>0</v>
      </c>
      <c r="K112" s="28">
        <f t="shared" si="22"/>
        <v>0</v>
      </c>
      <c r="L112" s="28">
        <f t="shared" si="22"/>
        <v>0</v>
      </c>
      <c r="M112" s="28">
        <f t="shared" si="22"/>
        <v>0</v>
      </c>
      <c r="N112" s="28">
        <f t="shared" si="22"/>
        <v>0</v>
      </c>
      <c r="O112" s="28">
        <f t="shared" si="22"/>
        <v>0</v>
      </c>
      <c r="P112" s="28">
        <f t="shared" si="22"/>
        <v>0</v>
      </c>
      <c r="Q112" s="28">
        <f t="shared" si="22"/>
        <v>0</v>
      </c>
      <c r="R112" s="28">
        <f t="shared" si="22"/>
        <v>0</v>
      </c>
      <c r="S112" s="28">
        <f t="shared" si="22"/>
        <v>0</v>
      </c>
      <c r="T112" s="28">
        <f t="shared" si="22"/>
        <v>0</v>
      </c>
      <c r="U112" s="28">
        <f t="shared" si="22"/>
        <v>0</v>
      </c>
      <c r="V112" s="28">
        <f t="shared" si="22"/>
        <v>0</v>
      </c>
      <c r="W112" s="28">
        <f t="shared" si="22"/>
        <v>0</v>
      </c>
      <c r="X112" s="28">
        <f t="shared" si="22"/>
        <v>0</v>
      </c>
      <c r="Y112" s="28">
        <f t="shared" si="22"/>
        <v>0</v>
      </c>
      <c r="Z112" s="28">
        <f t="shared" si="22"/>
        <v>0</v>
      </c>
      <c r="AA112" s="28">
        <f t="shared" si="22"/>
        <v>0</v>
      </c>
      <c r="AB112" s="28">
        <f t="shared" si="22"/>
        <v>0</v>
      </c>
      <c r="AC112" s="28">
        <f t="shared" si="22"/>
        <v>0</v>
      </c>
      <c r="AD112" s="28">
        <f t="shared" si="22"/>
        <v>0</v>
      </c>
      <c r="AE112" s="28">
        <f t="shared" si="22"/>
        <v>0</v>
      </c>
      <c r="AF112" s="28">
        <f t="shared" si="22"/>
        <v>0</v>
      </c>
      <c r="AG112" s="28">
        <f t="shared" si="22"/>
        <v>0</v>
      </c>
    </row>
    <row r="113" spans="1:33" x14ac:dyDescent="0.2">
      <c r="D113" s="248" t="str">
        <f>Assumptions!G110</f>
        <v>Capex</v>
      </c>
      <c r="E113" s="248" t="str">
        <f>Assumptions!H110</f>
        <v>Total benefits</v>
      </c>
      <c r="I113" s="208"/>
      <c r="J113" s="208"/>
      <c r="K113" s="208"/>
      <c r="L113" s="208"/>
      <c r="M113" s="208"/>
      <c r="N113" s="208"/>
      <c r="O113" s="208"/>
      <c r="P113" s="208"/>
      <c r="Q113" s="208"/>
      <c r="R113" s="208"/>
      <c r="S113" s="208"/>
      <c r="T113" s="208"/>
      <c r="U113" s="208"/>
      <c r="V113" s="208"/>
      <c r="W113" s="208"/>
      <c r="X113" s="208"/>
      <c r="Y113" s="208"/>
      <c r="Z113" s="208"/>
    </row>
    <row r="114" spans="1:33" x14ac:dyDescent="0.2">
      <c r="A114" s="1" t="str">
        <f>"sens"&amp;Assumptions!B111</f>
        <v>sens1</v>
      </c>
      <c r="C114" s="247" t="str">
        <f>Assumptions!C111</f>
        <v>Capex 10% higher</v>
      </c>
      <c r="D114" s="248">
        <f>Assumptions!G111</f>
        <v>0.1</v>
      </c>
      <c r="E114" s="248">
        <f>Assumptions!H111</f>
        <v>0</v>
      </c>
      <c r="G114" s="33" t="str">
        <f>PROPER($A$3)&amp;A114</f>
        <v>Option 5sens1</v>
      </c>
      <c r="I114" s="28" cm="1">
        <f t="array" ref="I114">I$110+IF($C114&lt;&gt;0,SUMPRODUCT((I$111:I$112)*TRANSPOSE(($D114:$E114))),0)</f>
        <v>0</v>
      </c>
      <c r="J114" s="28" cm="1">
        <f t="array" ref="J114">J$110+IF($C114&lt;&gt;0,SUMPRODUCT((J$111:J$112)*TRANSPOSE(($D114:$E114))),0)</f>
        <v>0</v>
      </c>
      <c r="K114" s="28" cm="1">
        <f t="array" ref="K114">K$110+IF($C114&lt;&gt;0,SUMPRODUCT((K$111:K$112)*TRANSPOSE(($D114:$E114))),0)</f>
        <v>0</v>
      </c>
      <c r="L114" s="28" cm="1">
        <f t="array" ref="L114">L$110+IF($C114&lt;&gt;0,SUMPRODUCT((L$111:L$112)*TRANSPOSE(($D114:$E114))),0)</f>
        <v>0</v>
      </c>
      <c r="M114" s="28" cm="1">
        <f t="array" ref="M114">M$110+IF($C114&lt;&gt;0,SUMPRODUCT((M$111:M$112)*TRANSPOSE(($D114:$E114))),0)</f>
        <v>0</v>
      </c>
      <c r="N114" s="28" cm="1">
        <f t="array" ref="N114">N$110+IF($C114&lt;&gt;0,SUMPRODUCT((N$111:N$112)*TRANSPOSE(($D114:$E114))),0)</f>
        <v>0</v>
      </c>
      <c r="O114" s="28" cm="1">
        <f t="array" ref="O114">O$110+IF($C114&lt;&gt;0,SUMPRODUCT((O$111:O$112)*TRANSPOSE(($D114:$E114))),0)</f>
        <v>0</v>
      </c>
      <c r="P114" s="28" cm="1">
        <f t="array" ref="P114">P$110+IF($C114&lt;&gt;0,SUMPRODUCT((P$111:P$112)*TRANSPOSE(($D114:$E114))),0)</f>
        <v>0</v>
      </c>
      <c r="Q114" s="28" cm="1">
        <f t="array" ref="Q114">Q$110+IF($C114&lt;&gt;0,SUMPRODUCT((Q$111:Q$112)*TRANSPOSE(($D114:$E114))),0)</f>
        <v>0</v>
      </c>
      <c r="R114" s="28" cm="1">
        <f t="array" ref="R114">R$110+IF($C114&lt;&gt;0,SUMPRODUCT((R$111:R$112)*TRANSPOSE(($D114:$E114))),0)</f>
        <v>0</v>
      </c>
      <c r="S114" s="28" cm="1">
        <f t="array" ref="S114">S$110+IF($C114&lt;&gt;0,SUMPRODUCT((S$111:S$112)*TRANSPOSE(($D114:$E114))),0)</f>
        <v>0</v>
      </c>
      <c r="T114" s="28" cm="1">
        <f t="array" ref="T114">T$110+IF($C114&lt;&gt;0,SUMPRODUCT((T$111:T$112)*TRANSPOSE(($D114:$E114))),0)</f>
        <v>0</v>
      </c>
      <c r="U114" s="28" cm="1">
        <f t="array" ref="U114">U$110+IF($C114&lt;&gt;0,SUMPRODUCT((U$111:U$112)*TRANSPOSE(($D114:$E114))),0)</f>
        <v>0</v>
      </c>
      <c r="V114" s="28" cm="1">
        <f t="array" ref="V114">V$110+IF($C114&lt;&gt;0,SUMPRODUCT((V$111:V$112)*TRANSPOSE(($D114:$E114))),0)</f>
        <v>0</v>
      </c>
      <c r="W114" s="28" cm="1">
        <f t="array" ref="W114">W$110+IF($C114&lt;&gt;0,SUMPRODUCT((W$111:W$112)*TRANSPOSE(($D114:$E114))),0)</f>
        <v>0</v>
      </c>
      <c r="X114" s="28" cm="1">
        <f t="array" ref="X114">X$110+IF($C114&lt;&gt;0,SUMPRODUCT((X$111:X$112)*TRANSPOSE(($D114:$E114))),0)</f>
        <v>0</v>
      </c>
      <c r="Y114" s="28" cm="1">
        <f t="array" ref="Y114">Y$110+IF($C114&lt;&gt;0,SUMPRODUCT((Y$111:Y$112)*TRANSPOSE(($D114:$E114))),0)</f>
        <v>0</v>
      </c>
      <c r="Z114" s="28" cm="1">
        <f t="array" ref="Z114">Z$110+IF($C114&lt;&gt;0,SUMPRODUCT((Z$111:Z$112)*TRANSPOSE(($D114:$E114))),0)</f>
        <v>0</v>
      </c>
      <c r="AA114" s="28" cm="1">
        <f t="array" ref="AA114">AA$110+IF($C114&lt;&gt;0,SUMPRODUCT((AA$111:AA$112)*TRANSPOSE(($D114:$E114))),0)</f>
        <v>0</v>
      </c>
      <c r="AB114" s="28" cm="1">
        <f t="array" ref="AB114">AB$110+IF($C114&lt;&gt;0,SUMPRODUCT((AB$111:AB$112)*TRANSPOSE(($D114:$E114))),0)</f>
        <v>0</v>
      </c>
      <c r="AC114" s="28" cm="1">
        <f t="array" ref="AC114">AC$110+IF($C114&lt;&gt;0,SUMPRODUCT((AC$111:AC$112)*TRANSPOSE(($D114:$E114))),0)</f>
        <v>0</v>
      </c>
      <c r="AD114" s="28" cm="1">
        <f t="array" ref="AD114">AD$110+IF($C114&lt;&gt;0,SUMPRODUCT((AD$111:AD$112)*TRANSPOSE(($D114:$E114))),0)</f>
        <v>0</v>
      </c>
      <c r="AE114" s="28" cm="1">
        <f t="array" ref="AE114">AE$110+IF($C114&lt;&gt;0,SUMPRODUCT((AE$111:AE$112)*TRANSPOSE(($D114:$E114))),0)</f>
        <v>0</v>
      </c>
      <c r="AF114" s="28" cm="1">
        <f t="array" ref="AF114">AF$110+IF($C114&lt;&gt;0,SUMPRODUCT((AF$111:AF$112)*TRANSPOSE(($D114:$E114))),0)</f>
        <v>0</v>
      </c>
      <c r="AG114" s="28" cm="1">
        <f t="array" ref="AG114">AG$110+IF($C114&lt;&gt;0,SUMPRODUCT((AG$111:AG$112)*TRANSPOSE(($D114:$E114))),0)</f>
        <v>0</v>
      </c>
    </row>
    <row r="115" spans="1:33" x14ac:dyDescent="0.2">
      <c r="A115" s="1" t="str">
        <f>"sens"&amp;Assumptions!B112</f>
        <v>sens2</v>
      </c>
      <c r="C115" s="247" t="str">
        <f>Assumptions!C112</f>
        <v>Capex 10% lower</v>
      </c>
      <c r="D115" s="248">
        <f>Assumptions!G112</f>
        <v>-0.1</v>
      </c>
      <c r="E115" s="248">
        <f>Assumptions!H112</f>
        <v>0</v>
      </c>
      <c r="G115" s="33" t="str">
        <f t="shared" ref="G115:G121" si="23">PROPER($A$3)&amp;A115</f>
        <v>Option 5sens2</v>
      </c>
      <c r="I115" s="28" cm="1">
        <f t="array" ref="I115">I$110+IF($C115&lt;&gt;0,SUMPRODUCT((I$111:I$112)*TRANSPOSE(($D115:$E115))),0)</f>
        <v>0</v>
      </c>
      <c r="J115" s="28" cm="1">
        <f t="array" ref="J115">J$110+IF($C115&lt;&gt;0,SUMPRODUCT((J$111:J$112)*TRANSPOSE(($D115:$E115))),0)</f>
        <v>0</v>
      </c>
      <c r="K115" s="28" cm="1">
        <f t="array" ref="K115">K$110+IF($C115&lt;&gt;0,SUMPRODUCT((K$111:K$112)*TRANSPOSE(($D115:$E115))),0)</f>
        <v>0</v>
      </c>
      <c r="L115" s="28" cm="1">
        <f t="array" ref="L115">L$110+IF($C115&lt;&gt;0,SUMPRODUCT((L$111:L$112)*TRANSPOSE(($D115:$E115))),0)</f>
        <v>0</v>
      </c>
      <c r="M115" s="28" cm="1">
        <f t="array" ref="M115">M$110+IF($C115&lt;&gt;0,SUMPRODUCT((M$111:M$112)*TRANSPOSE(($D115:$E115))),0)</f>
        <v>0</v>
      </c>
      <c r="N115" s="28" cm="1">
        <f t="array" ref="N115">N$110+IF($C115&lt;&gt;0,SUMPRODUCT((N$111:N$112)*TRANSPOSE(($D115:$E115))),0)</f>
        <v>0</v>
      </c>
      <c r="O115" s="28" cm="1">
        <f t="array" ref="O115">O$110+IF($C115&lt;&gt;0,SUMPRODUCT((O$111:O$112)*TRANSPOSE(($D115:$E115))),0)</f>
        <v>0</v>
      </c>
      <c r="P115" s="28" cm="1">
        <f t="array" ref="P115">P$110+IF($C115&lt;&gt;0,SUMPRODUCT((P$111:P$112)*TRANSPOSE(($D115:$E115))),0)</f>
        <v>0</v>
      </c>
      <c r="Q115" s="28" cm="1">
        <f t="array" ref="Q115">Q$110+IF($C115&lt;&gt;0,SUMPRODUCT((Q$111:Q$112)*TRANSPOSE(($D115:$E115))),0)</f>
        <v>0</v>
      </c>
      <c r="R115" s="28" cm="1">
        <f t="array" ref="R115">R$110+IF($C115&lt;&gt;0,SUMPRODUCT((R$111:R$112)*TRANSPOSE(($D115:$E115))),0)</f>
        <v>0</v>
      </c>
      <c r="S115" s="28" cm="1">
        <f t="array" ref="S115">S$110+IF($C115&lt;&gt;0,SUMPRODUCT((S$111:S$112)*TRANSPOSE(($D115:$E115))),0)</f>
        <v>0</v>
      </c>
      <c r="T115" s="28" cm="1">
        <f t="array" ref="T115">T$110+IF($C115&lt;&gt;0,SUMPRODUCT((T$111:T$112)*TRANSPOSE(($D115:$E115))),0)</f>
        <v>0</v>
      </c>
      <c r="U115" s="28" cm="1">
        <f t="array" ref="U115">U$110+IF($C115&lt;&gt;0,SUMPRODUCT((U$111:U$112)*TRANSPOSE(($D115:$E115))),0)</f>
        <v>0</v>
      </c>
      <c r="V115" s="28" cm="1">
        <f t="array" ref="V115">V$110+IF($C115&lt;&gt;0,SUMPRODUCT((V$111:V$112)*TRANSPOSE(($D115:$E115))),0)</f>
        <v>0</v>
      </c>
      <c r="W115" s="28" cm="1">
        <f t="array" ref="W115">W$110+IF($C115&lt;&gt;0,SUMPRODUCT((W$111:W$112)*TRANSPOSE(($D115:$E115))),0)</f>
        <v>0</v>
      </c>
      <c r="X115" s="28" cm="1">
        <f t="array" ref="X115">X$110+IF($C115&lt;&gt;0,SUMPRODUCT((X$111:X$112)*TRANSPOSE(($D115:$E115))),0)</f>
        <v>0</v>
      </c>
      <c r="Y115" s="28" cm="1">
        <f t="array" ref="Y115">Y$110+IF($C115&lt;&gt;0,SUMPRODUCT((Y$111:Y$112)*TRANSPOSE(($D115:$E115))),0)</f>
        <v>0</v>
      </c>
      <c r="Z115" s="28" cm="1">
        <f t="array" ref="Z115">Z$110+IF($C115&lt;&gt;0,SUMPRODUCT((Z$111:Z$112)*TRANSPOSE(($D115:$E115))),0)</f>
        <v>0</v>
      </c>
      <c r="AA115" s="28" cm="1">
        <f t="array" ref="AA115">AA$110+IF($C115&lt;&gt;0,SUMPRODUCT((AA$111:AA$112)*TRANSPOSE(($D115:$E115))),0)</f>
        <v>0</v>
      </c>
      <c r="AB115" s="28" cm="1">
        <f t="array" ref="AB115">AB$110+IF($C115&lt;&gt;0,SUMPRODUCT((AB$111:AB$112)*TRANSPOSE(($D115:$E115))),0)</f>
        <v>0</v>
      </c>
      <c r="AC115" s="28" cm="1">
        <f t="array" ref="AC115">AC$110+IF($C115&lt;&gt;0,SUMPRODUCT((AC$111:AC$112)*TRANSPOSE(($D115:$E115))),0)</f>
        <v>0</v>
      </c>
      <c r="AD115" s="28" cm="1">
        <f t="array" ref="AD115">AD$110+IF($C115&lt;&gt;0,SUMPRODUCT((AD$111:AD$112)*TRANSPOSE(($D115:$E115))),0)</f>
        <v>0</v>
      </c>
      <c r="AE115" s="28" cm="1">
        <f t="array" ref="AE115">AE$110+IF($C115&lt;&gt;0,SUMPRODUCT((AE$111:AE$112)*TRANSPOSE(($D115:$E115))),0)</f>
        <v>0</v>
      </c>
      <c r="AF115" s="28" cm="1">
        <f t="array" ref="AF115">AF$110+IF($C115&lt;&gt;0,SUMPRODUCT((AF$111:AF$112)*TRANSPOSE(($D115:$E115))),0)</f>
        <v>0</v>
      </c>
      <c r="AG115" s="28" cm="1">
        <f t="array" ref="AG115">AG$110+IF($C115&lt;&gt;0,SUMPRODUCT((AG$111:AG$112)*TRANSPOSE(($D115:$E115))),0)</f>
        <v>0</v>
      </c>
    </row>
    <row r="116" spans="1:33" x14ac:dyDescent="0.2">
      <c r="A116" s="1" t="str">
        <f>"sens"&amp;Assumptions!B113</f>
        <v>sens3</v>
      </c>
      <c r="C116" s="247" t="str">
        <f>Assumptions!C113</f>
        <v>Total benefits 10% higher</v>
      </c>
      <c r="D116" s="248">
        <f>Assumptions!G113</f>
        <v>0</v>
      </c>
      <c r="E116" s="248">
        <f>Assumptions!H113</f>
        <v>0.1</v>
      </c>
      <c r="G116" s="33" t="str">
        <f t="shared" si="23"/>
        <v>Option 5sens3</v>
      </c>
      <c r="I116" s="28" cm="1">
        <f t="array" ref="I116">I$110+IF($C116&lt;&gt;0,SUMPRODUCT((I$111:I$112)*TRANSPOSE(($D116:$E116))),0)</f>
        <v>0</v>
      </c>
      <c r="J116" s="28" cm="1">
        <f t="array" ref="J116">J$110+IF($C116&lt;&gt;0,SUMPRODUCT((J$111:J$112)*TRANSPOSE(($D116:$E116))),0)</f>
        <v>0</v>
      </c>
      <c r="K116" s="28" cm="1">
        <f t="array" ref="K116">K$110+IF($C116&lt;&gt;0,SUMPRODUCT((K$111:K$112)*TRANSPOSE(($D116:$E116))),0)</f>
        <v>0</v>
      </c>
      <c r="L116" s="28" cm="1">
        <f t="array" ref="L116">L$110+IF($C116&lt;&gt;0,SUMPRODUCT((L$111:L$112)*TRANSPOSE(($D116:$E116))),0)</f>
        <v>0</v>
      </c>
      <c r="M116" s="28" cm="1">
        <f t="array" ref="M116">M$110+IF($C116&lt;&gt;0,SUMPRODUCT((M$111:M$112)*TRANSPOSE(($D116:$E116))),0)</f>
        <v>0</v>
      </c>
      <c r="N116" s="28" cm="1">
        <f t="array" ref="N116">N$110+IF($C116&lt;&gt;0,SUMPRODUCT((N$111:N$112)*TRANSPOSE(($D116:$E116))),0)</f>
        <v>0</v>
      </c>
      <c r="O116" s="28" cm="1">
        <f t="array" ref="O116">O$110+IF($C116&lt;&gt;0,SUMPRODUCT((O$111:O$112)*TRANSPOSE(($D116:$E116))),0)</f>
        <v>0</v>
      </c>
      <c r="P116" s="28" cm="1">
        <f t="array" ref="P116">P$110+IF($C116&lt;&gt;0,SUMPRODUCT((P$111:P$112)*TRANSPOSE(($D116:$E116))),0)</f>
        <v>0</v>
      </c>
      <c r="Q116" s="28" cm="1">
        <f t="array" ref="Q116">Q$110+IF($C116&lt;&gt;0,SUMPRODUCT((Q$111:Q$112)*TRANSPOSE(($D116:$E116))),0)</f>
        <v>0</v>
      </c>
      <c r="R116" s="28" cm="1">
        <f t="array" ref="R116">R$110+IF($C116&lt;&gt;0,SUMPRODUCT((R$111:R$112)*TRANSPOSE(($D116:$E116))),0)</f>
        <v>0</v>
      </c>
      <c r="S116" s="28" cm="1">
        <f t="array" ref="S116">S$110+IF($C116&lt;&gt;0,SUMPRODUCT((S$111:S$112)*TRANSPOSE(($D116:$E116))),0)</f>
        <v>0</v>
      </c>
      <c r="T116" s="28" cm="1">
        <f t="array" ref="T116">T$110+IF($C116&lt;&gt;0,SUMPRODUCT((T$111:T$112)*TRANSPOSE(($D116:$E116))),0)</f>
        <v>0</v>
      </c>
      <c r="U116" s="28" cm="1">
        <f t="array" ref="U116">U$110+IF($C116&lt;&gt;0,SUMPRODUCT((U$111:U$112)*TRANSPOSE(($D116:$E116))),0)</f>
        <v>0</v>
      </c>
      <c r="V116" s="28" cm="1">
        <f t="array" ref="V116">V$110+IF($C116&lt;&gt;0,SUMPRODUCT((V$111:V$112)*TRANSPOSE(($D116:$E116))),0)</f>
        <v>0</v>
      </c>
      <c r="W116" s="28" cm="1">
        <f t="array" ref="W116">W$110+IF($C116&lt;&gt;0,SUMPRODUCT((W$111:W$112)*TRANSPOSE(($D116:$E116))),0)</f>
        <v>0</v>
      </c>
      <c r="X116" s="28" cm="1">
        <f t="array" ref="X116">X$110+IF($C116&lt;&gt;0,SUMPRODUCT((X$111:X$112)*TRANSPOSE(($D116:$E116))),0)</f>
        <v>0</v>
      </c>
      <c r="Y116" s="28" cm="1">
        <f t="array" ref="Y116">Y$110+IF($C116&lt;&gt;0,SUMPRODUCT((Y$111:Y$112)*TRANSPOSE(($D116:$E116))),0)</f>
        <v>0</v>
      </c>
      <c r="Z116" s="28" cm="1">
        <f t="array" ref="Z116">Z$110+IF($C116&lt;&gt;0,SUMPRODUCT((Z$111:Z$112)*TRANSPOSE(($D116:$E116))),0)</f>
        <v>0</v>
      </c>
      <c r="AA116" s="28" cm="1">
        <f t="array" ref="AA116">AA$110+IF($C116&lt;&gt;0,SUMPRODUCT((AA$111:AA$112)*TRANSPOSE(($D116:$E116))),0)</f>
        <v>0</v>
      </c>
      <c r="AB116" s="28" cm="1">
        <f t="array" ref="AB116">AB$110+IF($C116&lt;&gt;0,SUMPRODUCT((AB$111:AB$112)*TRANSPOSE(($D116:$E116))),0)</f>
        <v>0</v>
      </c>
      <c r="AC116" s="28" cm="1">
        <f t="array" ref="AC116">AC$110+IF($C116&lt;&gt;0,SUMPRODUCT((AC$111:AC$112)*TRANSPOSE(($D116:$E116))),0)</f>
        <v>0</v>
      </c>
      <c r="AD116" s="28" cm="1">
        <f t="array" ref="AD116">AD$110+IF($C116&lt;&gt;0,SUMPRODUCT((AD$111:AD$112)*TRANSPOSE(($D116:$E116))),0)</f>
        <v>0</v>
      </c>
      <c r="AE116" s="28" cm="1">
        <f t="array" ref="AE116">AE$110+IF($C116&lt;&gt;0,SUMPRODUCT((AE$111:AE$112)*TRANSPOSE(($D116:$E116))),0)</f>
        <v>0</v>
      </c>
      <c r="AF116" s="28" cm="1">
        <f t="array" ref="AF116">AF$110+IF($C116&lt;&gt;0,SUMPRODUCT((AF$111:AF$112)*TRANSPOSE(($D116:$E116))),0)</f>
        <v>0</v>
      </c>
      <c r="AG116" s="28" cm="1">
        <f t="array" ref="AG116">AG$110+IF($C116&lt;&gt;0,SUMPRODUCT((AG$111:AG$112)*TRANSPOSE(($D116:$E116))),0)</f>
        <v>0</v>
      </c>
    </row>
    <row r="117" spans="1:33" x14ac:dyDescent="0.2">
      <c r="A117" s="1" t="str">
        <f>"sens"&amp;Assumptions!B114</f>
        <v>sens4</v>
      </c>
      <c r="C117" s="247" t="str">
        <f>Assumptions!C114</f>
        <v>Total benefits 10% lower</v>
      </c>
      <c r="D117" s="248">
        <f>Assumptions!G114</f>
        <v>0</v>
      </c>
      <c r="E117" s="248">
        <f>Assumptions!H114</f>
        <v>-0.1</v>
      </c>
      <c r="G117" s="33" t="str">
        <f t="shared" si="23"/>
        <v>Option 5sens4</v>
      </c>
      <c r="I117" s="28" cm="1">
        <f t="array" ref="I117">I$110+IF($C117&lt;&gt;0,SUMPRODUCT((I$111:I$112)*TRANSPOSE(($D117:$E117))),0)</f>
        <v>0</v>
      </c>
      <c r="J117" s="28" cm="1">
        <f t="array" ref="J117">J$110+IF($C117&lt;&gt;0,SUMPRODUCT((J$111:J$112)*TRANSPOSE(($D117:$E117))),0)</f>
        <v>0</v>
      </c>
      <c r="K117" s="28" cm="1">
        <f t="array" ref="K117">K$110+IF($C117&lt;&gt;0,SUMPRODUCT((K$111:K$112)*TRANSPOSE(($D117:$E117))),0)</f>
        <v>0</v>
      </c>
      <c r="L117" s="28" cm="1">
        <f t="array" ref="L117">L$110+IF($C117&lt;&gt;0,SUMPRODUCT((L$111:L$112)*TRANSPOSE(($D117:$E117))),0)</f>
        <v>0</v>
      </c>
      <c r="M117" s="28" cm="1">
        <f t="array" ref="M117">M$110+IF($C117&lt;&gt;0,SUMPRODUCT((M$111:M$112)*TRANSPOSE(($D117:$E117))),0)</f>
        <v>0</v>
      </c>
      <c r="N117" s="28" cm="1">
        <f t="array" ref="N117">N$110+IF($C117&lt;&gt;0,SUMPRODUCT((N$111:N$112)*TRANSPOSE(($D117:$E117))),0)</f>
        <v>0</v>
      </c>
      <c r="O117" s="28" cm="1">
        <f t="array" ref="O117">O$110+IF($C117&lt;&gt;0,SUMPRODUCT((O$111:O$112)*TRANSPOSE(($D117:$E117))),0)</f>
        <v>0</v>
      </c>
      <c r="P117" s="28" cm="1">
        <f t="array" ref="P117">P$110+IF($C117&lt;&gt;0,SUMPRODUCT((P$111:P$112)*TRANSPOSE(($D117:$E117))),0)</f>
        <v>0</v>
      </c>
      <c r="Q117" s="28" cm="1">
        <f t="array" ref="Q117">Q$110+IF($C117&lt;&gt;0,SUMPRODUCT((Q$111:Q$112)*TRANSPOSE(($D117:$E117))),0)</f>
        <v>0</v>
      </c>
      <c r="R117" s="28" cm="1">
        <f t="array" ref="R117">R$110+IF($C117&lt;&gt;0,SUMPRODUCT((R$111:R$112)*TRANSPOSE(($D117:$E117))),0)</f>
        <v>0</v>
      </c>
      <c r="S117" s="28" cm="1">
        <f t="array" ref="S117">S$110+IF($C117&lt;&gt;0,SUMPRODUCT((S$111:S$112)*TRANSPOSE(($D117:$E117))),0)</f>
        <v>0</v>
      </c>
      <c r="T117" s="28" cm="1">
        <f t="array" ref="T117">T$110+IF($C117&lt;&gt;0,SUMPRODUCT((T$111:T$112)*TRANSPOSE(($D117:$E117))),0)</f>
        <v>0</v>
      </c>
      <c r="U117" s="28" cm="1">
        <f t="array" ref="U117">U$110+IF($C117&lt;&gt;0,SUMPRODUCT((U$111:U$112)*TRANSPOSE(($D117:$E117))),0)</f>
        <v>0</v>
      </c>
      <c r="V117" s="28" cm="1">
        <f t="array" ref="V117">V$110+IF($C117&lt;&gt;0,SUMPRODUCT((V$111:V$112)*TRANSPOSE(($D117:$E117))),0)</f>
        <v>0</v>
      </c>
      <c r="W117" s="28" cm="1">
        <f t="array" ref="W117">W$110+IF($C117&lt;&gt;0,SUMPRODUCT((W$111:W$112)*TRANSPOSE(($D117:$E117))),0)</f>
        <v>0</v>
      </c>
      <c r="X117" s="28" cm="1">
        <f t="array" ref="X117">X$110+IF($C117&lt;&gt;0,SUMPRODUCT((X$111:X$112)*TRANSPOSE(($D117:$E117))),0)</f>
        <v>0</v>
      </c>
      <c r="Y117" s="28" cm="1">
        <f t="array" ref="Y117">Y$110+IF($C117&lt;&gt;0,SUMPRODUCT((Y$111:Y$112)*TRANSPOSE(($D117:$E117))),0)</f>
        <v>0</v>
      </c>
      <c r="Z117" s="28" cm="1">
        <f t="array" ref="Z117">Z$110+IF($C117&lt;&gt;0,SUMPRODUCT((Z$111:Z$112)*TRANSPOSE(($D117:$E117))),0)</f>
        <v>0</v>
      </c>
      <c r="AA117" s="28" cm="1">
        <f t="array" ref="AA117">AA$110+IF($C117&lt;&gt;0,SUMPRODUCT((AA$111:AA$112)*TRANSPOSE(($D117:$E117))),0)</f>
        <v>0</v>
      </c>
      <c r="AB117" s="28" cm="1">
        <f t="array" ref="AB117">AB$110+IF($C117&lt;&gt;0,SUMPRODUCT((AB$111:AB$112)*TRANSPOSE(($D117:$E117))),0)</f>
        <v>0</v>
      </c>
      <c r="AC117" s="28" cm="1">
        <f t="array" ref="AC117">AC$110+IF($C117&lt;&gt;0,SUMPRODUCT((AC$111:AC$112)*TRANSPOSE(($D117:$E117))),0)</f>
        <v>0</v>
      </c>
      <c r="AD117" s="28" cm="1">
        <f t="array" ref="AD117">AD$110+IF($C117&lt;&gt;0,SUMPRODUCT((AD$111:AD$112)*TRANSPOSE(($D117:$E117))),0)</f>
        <v>0</v>
      </c>
      <c r="AE117" s="28" cm="1">
        <f t="array" ref="AE117">AE$110+IF($C117&lt;&gt;0,SUMPRODUCT((AE$111:AE$112)*TRANSPOSE(($D117:$E117))),0)</f>
        <v>0</v>
      </c>
      <c r="AF117" s="28" cm="1">
        <f t="array" ref="AF117">AF$110+IF($C117&lt;&gt;0,SUMPRODUCT((AF$111:AF$112)*TRANSPOSE(($D117:$E117))),0)</f>
        <v>0</v>
      </c>
      <c r="AG117" s="28" cm="1">
        <f t="array" ref="AG117">AG$110+IF($C117&lt;&gt;0,SUMPRODUCT((AG$111:AG$112)*TRANSPOSE(($D117:$E117))),0)</f>
        <v>0</v>
      </c>
    </row>
    <row r="118" spans="1:33" x14ac:dyDescent="0.2">
      <c r="A118" s="1" t="str">
        <f>"sens"&amp;Assumptions!B115</f>
        <v>sens5</v>
      </c>
      <c r="C118" s="247" t="str">
        <f>Assumptions!C115</f>
        <v>Capex 10% higher &amp; Total benefits 10% lower</v>
      </c>
      <c r="D118" s="248">
        <f>Assumptions!G115</f>
        <v>0.1</v>
      </c>
      <c r="E118" s="248">
        <f>Assumptions!H115</f>
        <v>-0.1</v>
      </c>
      <c r="G118" s="33" t="str">
        <f t="shared" si="23"/>
        <v>Option 5sens5</v>
      </c>
      <c r="I118" s="28" cm="1">
        <f t="array" ref="I118">I$110+IF($C118&lt;&gt;0,SUMPRODUCT((I$111:I$112)*TRANSPOSE(($D118:$E118))),0)</f>
        <v>0</v>
      </c>
      <c r="J118" s="28" cm="1">
        <f t="array" ref="J118">J$110+IF($C118&lt;&gt;0,SUMPRODUCT((J$111:J$112)*TRANSPOSE(($D118:$E118))),0)</f>
        <v>0</v>
      </c>
      <c r="K118" s="28" cm="1">
        <f t="array" ref="K118">K$110+IF($C118&lt;&gt;0,SUMPRODUCT((K$111:K$112)*TRANSPOSE(($D118:$E118))),0)</f>
        <v>0</v>
      </c>
      <c r="L118" s="28" cm="1">
        <f t="array" ref="L118">L$110+IF($C118&lt;&gt;0,SUMPRODUCT((L$111:L$112)*TRANSPOSE(($D118:$E118))),0)</f>
        <v>0</v>
      </c>
      <c r="M118" s="28" cm="1">
        <f t="array" ref="M118">M$110+IF($C118&lt;&gt;0,SUMPRODUCT((M$111:M$112)*TRANSPOSE(($D118:$E118))),0)</f>
        <v>0</v>
      </c>
      <c r="N118" s="28" cm="1">
        <f t="array" ref="N118">N$110+IF($C118&lt;&gt;0,SUMPRODUCT((N$111:N$112)*TRANSPOSE(($D118:$E118))),0)</f>
        <v>0</v>
      </c>
      <c r="O118" s="28" cm="1">
        <f t="array" ref="O118">O$110+IF($C118&lt;&gt;0,SUMPRODUCT((O$111:O$112)*TRANSPOSE(($D118:$E118))),0)</f>
        <v>0</v>
      </c>
      <c r="P118" s="28" cm="1">
        <f t="array" ref="P118">P$110+IF($C118&lt;&gt;0,SUMPRODUCT((P$111:P$112)*TRANSPOSE(($D118:$E118))),0)</f>
        <v>0</v>
      </c>
      <c r="Q118" s="28" cm="1">
        <f t="array" ref="Q118">Q$110+IF($C118&lt;&gt;0,SUMPRODUCT((Q$111:Q$112)*TRANSPOSE(($D118:$E118))),0)</f>
        <v>0</v>
      </c>
      <c r="R118" s="28" cm="1">
        <f t="array" ref="R118">R$110+IF($C118&lt;&gt;0,SUMPRODUCT((R$111:R$112)*TRANSPOSE(($D118:$E118))),0)</f>
        <v>0</v>
      </c>
      <c r="S118" s="28" cm="1">
        <f t="array" ref="S118">S$110+IF($C118&lt;&gt;0,SUMPRODUCT((S$111:S$112)*TRANSPOSE(($D118:$E118))),0)</f>
        <v>0</v>
      </c>
      <c r="T118" s="28" cm="1">
        <f t="array" ref="T118">T$110+IF($C118&lt;&gt;0,SUMPRODUCT((T$111:T$112)*TRANSPOSE(($D118:$E118))),0)</f>
        <v>0</v>
      </c>
      <c r="U118" s="28" cm="1">
        <f t="array" ref="U118">U$110+IF($C118&lt;&gt;0,SUMPRODUCT((U$111:U$112)*TRANSPOSE(($D118:$E118))),0)</f>
        <v>0</v>
      </c>
      <c r="V118" s="28" cm="1">
        <f t="array" ref="V118">V$110+IF($C118&lt;&gt;0,SUMPRODUCT((V$111:V$112)*TRANSPOSE(($D118:$E118))),0)</f>
        <v>0</v>
      </c>
      <c r="W118" s="28" cm="1">
        <f t="array" ref="W118">W$110+IF($C118&lt;&gt;0,SUMPRODUCT((W$111:W$112)*TRANSPOSE(($D118:$E118))),0)</f>
        <v>0</v>
      </c>
      <c r="X118" s="28" cm="1">
        <f t="array" ref="X118">X$110+IF($C118&lt;&gt;0,SUMPRODUCT((X$111:X$112)*TRANSPOSE(($D118:$E118))),0)</f>
        <v>0</v>
      </c>
      <c r="Y118" s="28" cm="1">
        <f t="array" ref="Y118">Y$110+IF($C118&lt;&gt;0,SUMPRODUCT((Y$111:Y$112)*TRANSPOSE(($D118:$E118))),0)</f>
        <v>0</v>
      </c>
      <c r="Z118" s="28" cm="1">
        <f t="array" ref="Z118">Z$110+IF($C118&lt;&gt;0,SUMPRODUCT((Z$111:Z$112)*TRANSPOSE(($D118:$E118))),0)</f>
        <v>0</v>
      </c>
      <c r="AA118" s="28" cm="1">
        <f t="array" ref="AA118">AA$110+IF($C118&lt;&gt;0,SUMPRODUCT((AA$111:AA$112)*TRANSPOSE(($D118:$E118))),0)</f>
        <v>0</v>
      </c>
      <c r="AB118" s="28" cm="1">
        <f t="array" ref="AB118">AB$110+IF($C118&lt;&gt;0,SUMPRODUCT((AB$111:AB$112)*TRANSPOSE(($D118:$E118))),0)</f>
        <v>0</v>
      </c>
      <c r="AC118" s="28" cm="1">
        <f t="array" ref="AC118">AC$110+IF($C118&lt;&gt;0,SUMPRODUCT((AC$111:AC$112)*TRANSPOSE(($D118:$E118))),0)</f>
        <v>0</v>
      </c>
      <c r="AD118" s="28" cm="1">
        <f t="array" ref="AD118">AD$110+IF($C118&lt;&gt;0,SUMPRODUCT((AD$111:AD$112)*TRANSPOSE(($D118:$E118))),0)</f>
        <v>0</v>
      </c>
      <c r="AE118" s="28" cm="1">
        <f t="array" ref="AE118">AE$110+IF($C118&lt;&gt;0,SUMPRODUCT((AE$111:AE$112)*TRANSPOSE(($D118:$E118))),0)</f>
        <v>0</v>
      </c>
      <c r="AF118" s="28" cm="1">
        <f t="array" ref="AF118">AF$110+IF($C118&lt;&gt;0,SUMPRODUCT((AF$111:AF$112)*TRANSPOSE(($D118:$E118))),0)</f>
        <v>0</v>
      </c>
      <c r="AG118" s="28" cm="1">
        <f t="array" ref="AG118">AG$110+IF($C118&lt;&gt;0,SUMPRODUCT((AG$111:AG$112)*TRANSPOSE(($D118:$E118))),0)</f>
        <v>0</v>
      </c>
    </row>
    <row r="119" spans="1:33" x14ac:dyDescent="0.2">
      <c r="A119" s="1" t="str">
        <f>"sens"&amp;Assumptions!B116</f>
        <v>sens</v>
      </c>
      <c r="C119" s="247">
        <f>Assumptions!C116</f>
        <v>0</v>
      </c>
      <c r="D119" s="248">
        <f>Assumptions!G116</f>
        <v>0</v>
      </c>
      <c r="E119" s="248">
        <f>Assumptions!H116</f>
        <v>0</v>
      </c>
      <c r="G119" s="33" t="str">
        <f t="shared" si="23"/>
        <v>Option 5sens</v>
      </c>
      <c r="I119" s="28" cm="1">
        <f t="array" ref="I119">I$110+IF($C119&lt;&gt;0,SUMPRODUCT((I$111:I$112)*TRANSPOSE(($D119:$E119))),0)</f>
        <v>0</v>
      </c>
      <c r="J119" s="28" cm="1">
        <f t="array" ref="J119">J$110+IF($C119&lt;&gt;0,SUMPRODUCT((J$111:J$112)*TRANSPOSE(($D119:$E119))),0)</f>
        <v>0</v>
      </c>
      <c r="K119" s="28" cm="1">
        <f t="array" ref="K119">K$110+IF($C119&lt;&gt;0,SUMPRODUCT((K$111:K$112)*TRANSPOSE(($D119:$E119))),0)</f>
        <v>0</v>
      </c>
      <c r="L119" s="28" cm="1">
        <f t="array" ref="L119">L$110+IF($C119&lt;&gt;0,SUMPRODUCT((L$111:L$112)*TRANSPOSE(($D119:$E119))),0)</f>
        <v>0</v>
      </c>
      <c r="M119" s="28" cm="1">
        <f t="array" ref="M119">M$110+IF($C119&lt;&gt;0,SUMPRODUCT((M$111:M$112)*TRANSPOSE(($D119:$E119))),0)</f>
        <v>0</v>
      </c>
      <c r="N119" s="28" cm="1">
        <f t="array" ref="N119">N$110+IF($C119&lt;&gt;0,SUMPRODUCT((N$111:N$112)*TRANSPOSE(($D119:$E119))),0)</f>
        <v>0</v>
      </c>
      <c r="O119" s="28" cm="1">
        <f t="array" ref="O119">O$110+IF($C119&lt;&gt;0,SUMPRODUCT((O$111:O$112)*TRANSPOSE(($D119:$E119))),0)</f>
        <v>0</v>
      </c>
      <c r="P119" s="28" cm="1">
        <f t="array" ref="P119">P$110+IF($C119&lt;&gt;0,SUMPRODUCT((P$111:P$112)*TRANSPOSE(($D119:$E119))),0)</f>
        <v>0</v>
      </c>
      <c r="Q119" s="28" cm="1">
        <f t="array" ref="Q119">Q$110+IF($C119&lt;&gt;0,SUMPRODUCT((Q$111:Q$112)*TRANSPOSE(($D119:$E119))),0)</f>
        <v>0</v>
      </c>
      <c r="R119" s="28" cm="1">
        <f t="array" ref="R119">R$110+IF($C119&lt;&gt;0,SUMPRODUCT((R$111:R$112)*TRANSPOSE(($D119:$E119))),0)</f>
        <v>0</v>
      </c>
      <c r="S119" s="28" cm="1">
        <f t="array" ref="S119">S$110+IF($C119&lt;&gt;0,SUMPRODUCT((S$111:S$112)*TRANSPOSE(($D119:$E119))),0)</f>
        <v>0</v>
      </c>
      <c r="T119" s="28" cm="1">
        <f t="array" ref="T119">T$110+IF($C119&lt;&gt;0,SUMPRODUCT((T$111:T$112)*TRANSPOSE(($D119:$E119))),0)</f>
        <v>0</v>
      </c>
      <c r="U119" s="28" cm="1">
        <f t="array" ref="U119">U$110+IF($C119&lt;&gt;0,SUMPRODUCT((U$111:U$112)*TRANSPOSE(($D119:$E119))),0)</f>
        <v>0</v>
      </c>
      <c r="V119" s="28" cm="1">
        <f t="array" ref="V119">V$110+IF($C119&lt;&gt;0,SUMPRODUCT((V$111:V$112)*TRANSPOSE(($D119:$E119))),0)</f>
        <v>0</v>
      </c>
      <c r="W119" s="28" cm="1">
        <f t="array" ref="W119">W$110+IF($C119&lt;&gt;0,SUMPRODUCT((W$111:W$112)*TRANSPOSE(($D119:$E119))),0)</f>
        <v>0</v>
      </c>
      <c r="X119" s="28" cm="1">
        <f t="array" ref="X119">X$110+IF($C119&lt;&gt;0,SUMPRODUCT((X$111:X$112)*TRANSPOSE(($D119:$E119))),0)</f>
        <v>0</v>
      </c>
      <c r="Y119" s="28" cm="1">
        <f t="array" ref="Y119">Y$110+IF($C119&lt;&gt;0,SUMPRODUCT((Y$111:Y$112)*TRANSPOSE(($D119:$E119))),0)</f>
        <v>0</v>
      </c>
      <c r="Z119" s="28" cm="1">
        <f t="array" ref="Z119">Z$110+IF($C119&lt;&gt;0,SUMPRODUCT((Z$111:Z$112)*TRANSPOSE(($D119:$E119))),0)</f>
        <v>0</v>
      </c>
      <c r="AA119" s="28" cm="1">
        <f t="array" ref="AA119">AA$110+IF($C119&lt;&gt;0,SUMPRODUCT((AA$111:AA$112)*TRANSPOSE(($D119:$E119))),0)</f>
        <v>0</v>
      </c>
      <c r="AB119" s="28" cm="1">
        <f t="array" ref="AB119">AB$110+IF($C119&lt;&gt;0,SUMPRODUCT((AB$111:AB$112)*TRANSPOSE(($D119:$E119))),0)</f>
        <v>0</v>
      </c>
      <c r="AC119" s="28" cm="1">
        <f t="array" ref="AC119">AC$110+IF($C119&lt;&gt;0,SUMPRODUCT((AC$111:AC$112)*TRANSPOSE(($D119:$E119))),0)</f>
        <v>0</v>
      </c>
      <c r="AD119" s="28" cm="1">
        <f t="array" ref="AD119">AD$110+IF($C119&lt;&gt;0,SUMPRODUCT((AD$111:AD$112)*TRANSPOSE(($D119:$E119))),0)</f>
        <v>0</v>
      </c>
      <c r="AE119" s="28" cm="1">
        <f t="array" ref="AE119">AE$110+IF($C119&lt;&gt;0,SUMPRODUCT((AE$111:AE$112)*TRANSPOSE(($D119:$E119))),0)</f>
        <v>0</v>
      </c>
      <c r="AF119" s="28" cm="1">
        <f t="array" ref="AF119">AF$110+IF($C119&lt;&gt;0,SUMPRODUCT((AF$111:AF$112)*TRANSPOSE(($D119:$E119))),0)</f>
        <v>0</v>
      </c>
      <c r="AG119" s="28" cm="1">
        <f t="array" ref="AG119">AG$110+IF($C119&lt;&gt;0,SUMPRODUCT((AG$111:AG$112)*TRANSPOSE(($D119:$E119))),0)</f>
        <v>0</v>
      </c>
    </row>
    <row r="120" spans="1:33" x14ac:dyDescent="0.2">
      <c r="A120" s="1" t="str">
        <f>"sens"&amp;Assumptions!B117</f>
        <v>sens</v>
      </c>
      <c r="C120" s="247">
        <f>Assumptions!C117</f>
        <v>0</v>
      </c>
      <c r="D120" s="248">
        <f>Assumptions!G117</f>
        <v>0</v>
      </c>
      <c r="E120" s="248">
        <f>Assumptions!H117</f>
        <v>0</v>
      </c>
      <c r="G120" s="33" t="str">
        <f t="shared" si="23"/>
        <v>Option 5sens</v>
      </c>
      <c r="I120" s="28" cm="1">
        <f t="array" ref="I120">I$110+IF($C120&lt;&gt;0,SUMPRODUCT((I$111:I$112)*TRANSPOSE(($D120:$E120))),0)</f>
        <v>0</v>
      </c>
      <c r="J120" s="28" cm="1">
        <f t="array" ref="J120">J$110+IF($C120&lt;&gt;0,SUMPRODUCT((J$111:J$112)*TRANSPOSE(($D120:$E120))),0)</f>
        <v>0</v>
      </c>
      <c r="K120" s="28" cm="1">
        <f t="array" ref="K120">K$110+IF($C120&lt;&gt;0,SUMPRODUCT((K$111:K$112)*TRANSPOSE(($D120:$E120))),0)</f>
        <v>0</v>
      </c>
      <c r="L120" s="28" cm="1">
        <f t="array" ref="L120">L$110+IF($C120&lt;&gt;0,SUMPRODUCT((L$111:L$112)*TRANSPOSE(($D120:$E120))),0)</f>
        <v>0</v>
      </c>
      <c r="M120" s="28" cm="1">
        <f t="array" ref="M120">M$110+IF($C120&lt;&gt;0,SUMPRODUCT((M$111:M$112)*TRANSPOSE(($D120:$E120))),0)</f>
        <v>0</v>
      </c>
      <c r="N120" s="28" cm="1">
        <f t="array" ref="N120">N$110+IF($C120&lt;&gt;0,SUMPRODUCT((N$111:N$112)*TRANSPOSE(($D120:$E120))),0)</f>
        <v>0</v>
      </c>
      <c r="O120" s="28" cm="1">
        <f t="array" ref="O120">O$110+IF($C120&lt;&gt;0,SUMPRODUCT((O$111:O$112)*TRANSPOSE(($D120:$E120))),0)</f>
        <v>0</v>
      </c>
      <c r="P120" s="28" cm="1">
        <f t="array" ref="P120">P$110+IF($C120&lt;&gt;0,SUMPRODUCT((P$111:P$112)*TRANSPOSE(($D120:$E120))),0)</f>
        <v>0</v>
      </c>
      <c r="Q120" s="28" cm="1">
        <f t="array" ref="Q120">Q$110+IF($C120&lt;&gt;0,SUMPRODUCT((Q$111:Q$112)*TRANSPOSE(($D120:$E120))),0)</f>
        <v>0</v>
      </c>
      <c r="R120" s="28" cm="1">
        <f t="array" ref="R120">R$110+IF($C120&lt;&gt;0,SUMPRODUCT((R$111:R$112)*TRANSPOSE(($D120:$E120))),0)</f>
        <v>0</v>
      </c>
      <c r="S120" s="28" cm="1">
        <f t="array" ref="S120">S$110+IF($C120&lt;&gt;0,SUMPRODUCT((S$111:S$112)*TRANSPOSE(($D120:$E120))),0)</f>
        <v>0</v>
      </c>
      <c r="T120" s="28" cm="1">
        <f t="array" ref="T120">T$110+IF($C120&lt;&gt;0,SUMPRODUCT((T$111:T$112)*TRANSPOSE(($D120:$E120))),0)</f>
        <v>0</v>
      </c>
      <c r="U120" s="28" cm="1">
        <f t="array" ref="U120">U$110+IF($C120&lt;&gt;0,SUMPRODUCT((U$111:U$112)*TRANSPOSE(($D120:$E120))),0)</f>
        <v>0</v>
      </c>
      <c r="V120" s="28" cm="1">
        <f t="array" ref="V120">V$110+IF($C120&lt;&gt;0,SUMPRODUCT((V$111:V$112)*TRANSPOSE(($D120:$E120))),0)</f>
        <v>0</v>
      </c>
      <c r="W120" s="28" cm="1">
        <f t="array" ref="W120">W$110+IF($C120&lt;&gt;0,SUMPRODUCT((W$111:W$112)*TRANSPOSE(($D120:$E120))),0)</f>
        <v>0</v>
      </c>
      <c r="X120" s="28" cm="1">
        <f t="array" ref="X120">X$110+IF($C120&lt;&gt;0,SUMPRODUCT((X$111:X$112)*TRANSPOSE(($D120:$E120))),0)</f>
        <v>0</v>
      </c>
      <c r="Y120" s="28" cm="1">
        <f t="array" ref="Y120">Y$110+IF($C120&lt;&gt;0,SUMPRODUCT((Y$111:Y$112)*TRANSPOSE(($D120:$E120))),0)</f>
        <v>0</v>
      </c>
      <c r="Z120" s="28" cm="1">
        <f t="array" ref="Z120">Z$110+IF($C120&lt;&gt;0,SUMPRODUCT((Z$111:Z$112)*TRANSPOSE(($D120:$E120))),0)</f>
        <v>0</v>
      </c>
      <c r="AA120" s="28" cm="1">
        <f t="array" ref="AA120">AA$110+IF($C120&lt;&gt;0,SUMPRODUCT((AA$111:AA$112)*TRANSPOSE(($D120:$E120))),0)</f>
        <v>0</v>
      </c>
      <c r="AB120" s="28" cm="1">
        <f t="array" ref="AB120">AB$110+IF($C120&lt;&gt;0,SUMPRODUCT((AB$111:AB$112)*TRANSPOSE(($D120:$E120))),0)</f>
        <v>0</v>
      </c>
      <c r="AC120" s="28" cm="1">
        <f t="array" ref="AC120">AC$110+IF($C120&lt;&gt;0,SUMPRODUCT((AC$111:AC$112)*TRANSPOSE(($D120:$E120))),0)</f>
        <v>0</v>
      </c>
      <c r="AD120" s="28" cm="1">
        <f t="array" ref="AD120">AD$110+IF($C120&lt;&gt;0,SUMPRODUCT((AD$111:AD$112)*TRANSPOSE(($D120:$E120))),0)</f>
        <v>0</v>
      </c>
      <c r="AE120" s="28" cm="1">
        <f t="array" ref="AE120">AE$110+IF($C120&lt;&gt;0,SUMPRODUCT((AE$111:AE$112)*TRANSPOSE(($D120:$E120))),0)</f>
        <v>0</v>
      </c>
      <c r="AF120" s="28" cm="1">
        <f t="array" ref="AF120">AF$110+IF($C120&lt;&gt;0,SUMPRODUCT((AF$111:AF$112)*TRANSPOSE(($D120:$E120))),0)</f>
        <v>0</v>
      </c>
      <c r="AG120" s="28" cm="1">
        <f t="array" ref="AG120">AG$110+IF($C120&lt;&gt;0,SUMPRODUCT((AG$111:AG$112)*TRANSPOSE(($D120:$E120))),0)</f>
        <v>0</v>
      </c>
    </row>
    <row r="121" spans="1:33" x14ac:dyDescent="0.2">
      <c r="A121" s="1" t="str">
        <f>"sens"&amp;Assumptions!B118</f>
        <v>sens</v>
      </c>
      <c r="C121" s="247">
        <f>Assumptions!C118</f>
        <v>0</v>
      </c>
      <c r="D121" s="248">
        <f>Assumptions!G118</f>
        <v>0</v>
      </c>
      <c r="E121" s="248">
        <f>Assumptions!H118</f>
        <v>0</v>
      </c>
      <c r="G121" s="33" t="str">
        <f t="shared" si="23"/>
        <v>Option 5sens</v>
      </c>
      <c r="I121" s="28" cm="1">
        <f t="array" ref="I121">I$110+IF($C121&lt;&gt;0,SUMPRODUCT((I$111:I$112)*TRANSPOSE(($D121:$E121))),0)</f>
        <v>0</v>
      </c>
      <c r="J121" s="28" cm="1">
        <f t="array" ref="J121">J$110+IF($C121&lt;&gt;0,SUMPRODUCT((J$111:J$112)*TRANSPOSE(($D121:$E121))),0)</f>
        <v>0</v>
      </c>
      <c r="K121" s="28" cm="1">
        <f t="array" ref="K121">K$110+IF($C121&lt;&gt;0,SUMPRODUCT((K$111:K$112)*TRANSPOSE(($D121:$E121))),0)</f>
        <v>0</v>
      </c>
      <c r="L121" s="28" cm="1">
        <f t="array" ref="L121">L$110+IF($C121&lt;&gt;0,SUMPRODUCT((L$111:L$112)*TRANSPOSE(($D121:$E121))),0)</f>
        <v>0</v>
      </c>
      <c r="M121" s="28" cm="1">
        <f t="array" ref="M121">M$110+IF($C121&lt;&gt;0,SUMPRODUCT((M$111:M$112)*TRANSPOSE(($D121:$E121))),0)</f>
        <v>0</v>
      </c>
      <c r="N121" s="28" cm="1">
        <f t="array" ref="N121">N$110+IF($C121&lt;&gt;0,SUMPRODUCT((N$111:N$112)*TRANSPOSE(($D121:$E121))),0)</f>
        <v>0</v>
      </c>
      <c r="O121" s="28" cm="1">
        <f t="array" ref="O121">O$110+IF($C121&lt;&gt;0,SUMPRODUCT((O$111:O$112)*TRANSPOSE(($D121:$E121))),0)</f>
        <v>0</v>
      </c>
      <c r="P121" s="28" cm="1">
        <f t="array" ref="P121">P$110+IF($C121&lt;&gt;0,SUMPRODUCT((P$111:P$112)*TRANSPOSE(($D121:$E121))),0)</f>
        <v>0</v>
      </c>
      <c r="Q121" s="28" cm="1">
        <f t="array" ref="Q121">Q$110+IF($C121&lt;&gt;0,SUMPRODUCT((Q$111:Q$112)*TRANSPOSE(($D121:$E121))),0)</f>
        <v>0</v>
      </c>
      <c r="R121" s="28" cm="1">
        <f t="array" ref="R121">R$110+IF($C121&lt;&gt;0,SUMPRODUCT((R$111:R$112)*TRANSPOSE(($D121:$E121))),0)</f>
        <v>0</v>
      </c>
      <c r="S121" s="28" cm="1">
        <f t="array" ref="S121">S$110+IF($C121&lt;&gt;0,SUMPRODUCT((S$111:S$112)*TRANSPOSE(($D121:$E121))),0)</f>
        <v>0</v>
      </c>
      <c r="T121" s="28" cm="1">
        <f t="array" ref="T121">T$110+IF($C121&lt;&gt;0,SUMPRODUCT((T$111:T$112)*TRANSPOSE(($D121:$E121))),0)</f>
        <v>0</v>
      </c>
      <c r="U121" s="28" cm="1">
        <f t="array" ref="U121">U$110+IF($C121&lt;&gt;0,SUMPRODUCT((U$111:U$112)*TRANSPOSE(($D121:$E121))),0)</f>
        <v>0</v>
      </c>
      <c r="V121" s="28" cm="1">
        <f t="array" ref="V121">V$110+IF($C121&lt;&gt;0,SUMPRODUCT((V$111:V$112)*TRANSPOSE(($D121:$E121))),0)</f>
        <v>0</v>
      </c>
      <c r="W121" s="28" cm="1">
        <f t="array" ref="W121">W$110+IF($C121&lt;&gt;0,SUMPRODUCT((W$111:W$112)*TRANSPOSE(($D121:$E121))),0)</f>
        <v>0</v>
      </c>
      <c r="X121" s="28" cm="1">
        <f t="array" ref="X121">X$110+IF($C121&lt;&gt;0,SUMPRODUCT((X$111:X$112)*TRANSPOSE(($D121:$E121))),0)</f>
        <v>0</v>
      </c>
      <c r="Y121" s="28" cm="1">
        <f t="array" ref="Y121">Y$110+IF($C121&lt;&gt;0,SUMPRODUCT((Y$111:Y$112)*TRANSPOSE(($D121:$E121))),0)</f>
        <v>0</v>
      </c>
      <c r="Z121" s="28" cm="1">
        <f t="array" ref="Z121">Z$110+IF($C121&lt;&gt;0,SUMPRODUCT((Z$111:Z$112)*TRANSPOSE(($D121:$E121))),0)</f>
        <v>0</v>
      </c>
      <c r="AA121" s="28" cm="1">
        <f t="array" ref="AA121">AA$110+IF($C121&lt;&gt;0,SUMPRODUCT((AA$111:AA$112)*TRANSPOSE(($D121:$E121))),0)</f>
        <v>0</v>
      </c>
      <c r="AB121" s="28" cm="1">
        <f t="array" ref="AB121">AB$110+IF($C121&lt;&gt;0,SUMPRODUCT((AB$111:AB$112)*TRANSPOSE(($D121:$E121))),0)</f>
        <v>0</v>
      </c>
      <c r="AC121" s="28" cm="1">
        <f t="array" ref="AC121">AC$110+IF($C121&lt;&gt;0,SUMPRODUCT((AC$111:AC$112)*TRANSPOSE(($D121:$E121))),0)</f>
        <v>0</v>
      </c>
      <c r="AD121" s="28" cm="1">
        <f t="array" ref="AD121">AD$110+IF($C121&lt;&gt;0,SUMPRODUCT((AD$111:AD$112)*TRANSPOSE(($D121:$E121))),0)</f>
        <v>0</v>
      </c>
      <c r="AE121" s="28" cm="1">
        <f t="array" ref="AE121">AE$110+IF($C121&lt;&gt;0,SUMPRODUCT((AE$111:AE$112)*TRANSPOSE(($D121:$E121))),0)</f>
        <v>0</v>
      </c>
      <c r="AF121" s="28" cm="1">
        <f t="array" ref="AF121">AF$110+IF($C121&lt;&gt;0,SUMPRODUCT((AF$111:AF$112)*TRANSPOSE(($D121:$E121))),0)</f>
        <v>0</v>
      </c>
      <c r="AG121" s="28" cm="1">
        <f t="array" ref="AG121">AG$110+IF($C121&lt;&gt;0,SUMPRODUCT((AG$111:AG$112)*TRANSPOSE(($D121:$E121))),0)</f>
        <v>0</v>
      </c>
    </row>
  </sheetData>
  <conditionalFormatting sqref="E14:E16">
    <cfRule type="expression" dxfId="2" priority="39">
      <formula>AND(SUM($I14:$AB14)&lt;&gt;0, E14=0)</formula>
    </cfRule>
  </conditionalFormatting>
  <conditionalFormatting sqref="E27">
    <cfRule type="expression" dxfId="1" priority="1">
      <formula>AND(SUM($I27:$AF27)&lt;&gt;0, E27=0)</formula>
    </cfRule>
  </conditionalFormatting>
  <conditionalFormatting sqref="E32">
    <cfRule type="expression" dxfId="0" priority="2">
      <formula>AND(SUM($I$31:$AG$31)&gt;0, $E$32=0)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5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zoomScale="80" zoomScaleNormal="80" workbookViewId="0">
      <pane xSplit="7" ySplit="10" topLeftCell="H11" activePane="bottomRight" state="frozen"/>
      <selection pane="topRight" activeCell="D33" sqref="D33"/>
      <selection pane="bottomLeft" activeCell="D33" sqref="D33"/>
      <selection pane="bottomRight" activeCell="H11" sqref="H11"/>
    </sheetView>
  </sheetViews>
  <sheetFormatPr defaultColWidth="0" defaultRowHeight="12.75" zeroHeight="1" outlineLevelRow="1" x14ac:dyDescent="0.2"/>
  <cols>
    <col min="1" max="1" width="8.125" style="8" customWidth="1"/>
    <col min="2" max="2" width="5.5" style="8" customWidth="1"/>
    <col min="3" max="3" width="16.875" style="8" bestFit="1" customWidth="1"/>
    <col min="4" max="4" width="12.375" style="8" customWidth="1"/>
    <col min="5" max="5" width="14.25" customWidth="1"/>
    <col min="6" max="6" width="12.375" style="8" customWidth="1"/>
    <col min="7" max="7" width="11.625" style="8" customWidth="1"/>
    <col min="8" max="8" width="8.6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75" x14ac:dyDescent="0.3">
      <c r="A1" s="13" t="str">
        <f>bus</f>
        <v>CitiPower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75" x14ac:dyDescent="0.3">
      <c r="A2" s="49" t="str">
        <f>proj</f>
        <v>CBD security of supply</v>
      </c>
      <c r="B2" s="49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75" x14ac:dyDescent="0.3">
      <c r="A3" s="172" t="s">
        <v>146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2">
      <c r="A4" s="98"/>
      <c r="B4" s="98"/>
      <c r="C4" s="83"/>
      <c r="D4" s="83"/>
      <c r="E4" s="83"/>
      <c r="F4" s="83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</row>
    <row r="5" spans="1:34" s="2" customFormat="1" hidden="1" outlineLevel="1" x14ac:dyDescent="0.2">
      <c r="A5" s="83" t="s">
        <v>147</v>
      </c>
      <c r="B5" s="83"/>
      <c r="C5" s="84"/>
      <c r="D5" s="83"/>
      <c r="E5" s="83"/>
      <c r="F5" s="83"/>
      <c r="G5" s="86"/>
      <c r="H5" s="159">
        <f t="shared" ref="H5:AG5" si="0">IF(H9=start,1/((1+real_disc)^(1/2)),G5/(1+real_disc))</f>
        <v>0</v>
      </c>
      <c r="I5" s="159">
        <f t="shared" si="0"/>
        <v>0.98294637436598087</v>
      </c>
      <c r="J5" s="159">
        <f t="shared" si="0"/>
        <v>0.94970664189949849</v>
      </c>
      <c r="K5" s="159">
        <f t="shared" si="0"/>
        <v>0.91759095835700344</v>
      </c>
      <c r="L5" s="159">
        <f t="shared" si="0"/>
        <v>0.88656131242222558</v>
      </c>
      <c r="M5" s="159">
        <f t="shared" si="0"/>
        <v>0.85658097818572532</v>
      </c>
      <c r="N5" s="159">
        <f t="shared" si="0"/>
        <v>0.8276144716770294</v>
      </c>
      <c r="O5" s="159">
        <f t="shared" si="0"/>
        <v>0.79962750886669509</v>
      </c>
      <c r="P5" s="159">
        <f t="shared" si="0"/>
        <v>0.77258696508859437</v>
      </c>
      <c r="Q5" s="159">
        <f t="shared" si="0"/>
        <v>0.74646083583439071</v>
      </c>
      <c r="R5" s="159">
        <f t="shared" si="0"/>
        <v>0.72121819887380756</v>
      </c>
      <c r="S5" s="159">
        <f t="shared" si="0"/>
        <v>0.69682917765585273</v>
      </c>
      <c r="T5" s="159">
        <f t="shared" si="0"/>
        <v>0.67326490594768384</v>
      </c>
      <c r="U5" s="159">
        <f t="shared" si="0"/>
        <v>0.6504974936692598</v>
      </c>
      <c r="V5" s="159">
        <f t="shared" si="0"/>
        <v>0.62849999388334288</v>
      </c>
      <c r="W5" s="159">
        <f t="shared" si="0"/>
        <v>0.60724637090178057</v>
      </c>
      <c r="X5" s="159">
        <f t="shared" si="0"/>
        <v>0.58671146947031949</v>
      </c>
      <c r="Y5" s="159">
        <f t="shared" si="0"/>
        <v>0.56687098499547783</v>
      </c>
      <c r="Z5" s="159">
        <f t="shared" si="0"/>
        <v>0.54770143477823952</v>
      </c>
      <c r="AA5" s="159">
        <f t="shared" si="0"/>
        <v>0.52918013022052135</v>
      </c>
      <c r="AB5" s="159">
        <f t="shared" si="0"/>
        <v>0.5112851499715183</v>
      </c>
      <c r="AC5" s="159">
        <f t="shared" si="0"/>
        <v>0.4939953139821433</v>
      </c>
      <c r="AD5" s="159">
        <f t="shared" si="0"/>
        <v>0.47729015843685346</v>
      </c>
      <c r="AE5" s="159">
        <f t="shared" si="0"/>
        <v>0.46114991153319179</v>
      </c>
      <c r="AF5" s="159">
        <f t="shared" si="0"/>
        <v>0.4455554700803786</v>
      </c>
      <c r="AG5" s="159">
        <f t="shared" si="0"/>
        <v>0.43048837688925473</v>
      </c>
    </row>
    <row r="6" spans="1:34" s="2" customFormat="1" hidden="1" outlineLevel="1" x14ac:dyDescent="0.2">
      <c r="A6" s="160" t="str">
        <f>'Option1 (base case)'!A6</f>
        <v>Count</v>
      </c>
      <c r="B6" s="83"/>
      <c r="C6" s="84"/>
      <c r="D6" s="83"/>
      <c r="E6" s="83"/>
      <c r="F6" s="83"/>
      <c r="G6" s="86"/>
      <c r="H6" s="160">
        <f>'Option1 (base case)'!H6</f>
        <v>0</v>
      </c>
      <c r="I6" s="160">
        <f>'Option1 (base case)'!I6</f>
        <v>1</v>
      </c>
      <c r="J6" s="160">
        <f>'Option1 (base case)'!J6</f>
        <v>2</v>
      </c>
      <c r="K6" s="160">
        <f>'Option1 (base case)'!K6</f>
        <v>3</v>
      </c>
      <c r="L6" s="160">
        <f>'Option1 (base case)'!L6</f>
        <v>4</v>
      </c>
      <c r="M6" s="160">
        <f>'Option1 (base case)'!M6</f>
        <v>5</v>
      </c>
      <c r="N6" s="160">
        <f>'Option1 (base case)'!N6</f>
        <v>6</v>
      </c>
      <c r="O6" s="160">
        <f>'Option1 (base case)'!O6</f>
        <v>7</v>
      </c>
      <c r="P6" s="160">
        <f>'Option1 (base case)'!P6</f>
        <v>8</v>
      </c>
      <c r="Q6" s="160">
        <f>'Option1 (base case)'!Q6</f>
        <v>9</v>
      </c>
      <c r="R6" s="160">
        <f>'Option1 (base case)'!R6</f>
        <v>10</v>
      </c>
      <c r="S6" s="160">
        <f>'Option1 (base case)'!S6</f>
        <v>11</v>
      </c>
      <c r="T6" s="160">
        <f>'Option1 (base case)'!T6</f>
        <v>12</v>
      </c>
      <c r="U6" s="160">
        <f>'Option1 (base case)'!U6</f>
        <v>13</v>
      </c>
      <c r="V6" s="160">
        <f>'Option1 (base case)'!V6</f>
        <v>14</v>
      </c>
      <c r="W6" s="160">
        <f>'Option1 (base case)'!W6</f>
        <v>15</v>
      </c>
      <c r="X6" s="160">
        <f>'Option1 (base case)'!X6</f>
        <v>16</v>
      </c>
      <c r="Y6" s="160">
        <f>'Option1 (base case)'!Y6</f>
        <v>17</v>
      </c>
      <c r="Z6" s="160">
        <f>'Option1 (base case)'!Z6</f>
        <v>18</v>
      </c>
      <c r="AA6" s="160">
        <f>'Option1 (base case)'!AA6</f>
        <v>19</v>
      </c>
      <c r="AB6" s="160">
        <f>'Option1 (base case)'!AB6</f>
        <v>20</v>
      </c>
      <c r="AC6" s="160">
        <f>'Option1 (base case)'!AC6</f>
        <v>21</v>
      </c>
      <c r="AD6" s="160">
        <f>'Option1 (base case)'!AD6</f>
        <v>22</v>
      </c>
      <c r="AE6" s="160">
        <f>'Option1 (base case)'!AE6</f>
        <v>23</v>
      </c>
      <c r="AF6" s="160">
        <f>'Option1 (base case)'!AF6</f>
        <v>24</v>
      </c>
      <c r="AG6" s="160">
        <f>'Option1 (base case)'!AG6</f>
        <v>25</v>
      </c>
    </row>
    <row r="7" spans="1:34" s="2" customFormat="1" hidden="1" outlineLevel="1" x14ac:dyDescent="0.2">
      <c r="A7" s="83" t="s">
        <v>148</v>
      </c>
      <c r="B7" s="83"/>
      <c r="C7" s="84"/>
      <c r="D7" s="83"/>
      <c r="E7" s="83"/>
      <c r="F7" s="83"/>
      <c r="G7" s="86"/>
      <c r="H7" s="86" t="b">
        <f t="shared" ref="H7:AG7" si="1">H$6&lt;(first_year+years)</f>
        <v>1</v>
      </c>
      <c r="I7" s="86" t="b">
        <f t="shared" si="1"/>
        <v>1</v>
      </c>
      <c r="J7" s="86" t="b">
        <f t="shared" si="1"/>
        <v>1</v>
      </c>
      <c r="K7" s="86" t="b">
        <f t="shared" si="1"/>
        <v>1</v>
      </c>
      <c r="L7" s="86" t="b">
        <f t="shared" si="1"/>
        <v>1</v>
      </c>
      <c r="M7" s="86" t="b">
        <f t="shared" si="1"/>
        <v>1</v>
      </c>
      <c r="N7" s="86" t="b">
        <f t="shared" si="1"/>
        <v>1</v>
      </c>
      <c r="O7" s="86" t="b">
        <f t="shared" si="1"/>
        <v>1</v>
      </c>
      <c r="P7" s="86" t="b">
        <f t="shared" si="1"/>
        <v>1</v>
      </c>
      <c r="Q7" s="86" t="b">
        <f t="shared" si="1"/>
        <v>1</v>
      </c>
      <c r="R7" s="86" t="b">
        <f t="shared" si="1"/>
        <v>1</v>
      </c>
      <c r="S7" s="86" t="b">
        <f t="shared" si="1"/>
        <v>1</v>
      </c>
      <c r="T7" s="86" t="b">
        <f t="shared" si="1"/>
        <v>1</v>
      </c>
      <c r="U7" s="86" t="b">
        <f t="shared" si="1"/>
        <v>1</v>
      </c>
      <c r="V7" s="86" t="b">
        <f t="shared" si="1"/>
        <v>1</v>
      </c>
      <c r="W7" s="86" t="b">
        <f t="shared" si="1"/>
        <v>1</v>
      </c>
      <c r="X7" s="86" t="b">
        <f t="shared" si="1"/>
        <v>1</v>
      </c>
      <c r="Y7" s="86" t="b">
        <f t="shared" si="1"/>
        <v>1</v>
      </c>
      <c r="Z7" s="86" t="b">
        <f t="shared" si="1"/>
        <v>1</v>
      </c>
      <c r="AA7" s="86" t="b">
        <f t="shared" si="1"/>
        <v>1</v>
      </c>
      <c r="AB7" s="86" t="b">
        <f t="shared" si="1"/>
        <v>1</v>
      </c>
      <c r="AC7" s="86" t="b">
        <f t="shared" si="1"/>
        <v>0</v>
      </c>
      <c r="AD7" s="86" t="b">
        <f t="shared" si="1"/>
        <v>0</v>
      </c>
      <c r="AE7" s="86" t="b">
        <f t="shared" si="1"/>
        <v>0</v>
      </c>
      <c r="AF7" s="86" t="b">
        <f t="shared" si="1"/>
        <v>0</v>
      </c>
      <c r="AG7" s="86" t="b">
        <f t="shared" si="1"/>
        <v>0</v>
      </c>
    </row>
    <row r="8" spans="1:34" s="2" customFormat="1" ht="11.25" customHeight="1" collapsed="1" x14ac:dyDescent="0.2"/>
    <row r="9" spans="1:34" s="2" customFormat="1" ht="15" x14ac:dyDescent="0.25">
      <c r="A9" s="17"/>
      <c r="B9" s="17"/>
      <c r="C9" s="17"/>
      <c r="D9" s="17"/>
      <c r="E9" s="72"/>
      <c r="F9" s="17"/>
      <c r="G9" s="18"/>
      <c r="H9" s="265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x14ac:dyDescent="0.2">
      <c r="C10" s="7"/>
      <c r="D10" s="7"/>
      <c r="F10" s="7"/>
      <c r="G10" s="189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5" x14ac:dyDescent="0.2">
      <c r="A11" s="76" t="s">
        <v>149</v>
      </c>
      <c r="B11" s="76"/>
      <c r="C11" s="77"/>
      <c r="D11" s="77"/>
      <c r="E11" s="77"/>
      <c r="F11" s="62" t="s">
        <v>150</v>
      </c>
      <c r="G11" s="190"/>
      <c r="H11" s="99" t="str" cm="1">
        <f t="array" ref="H11">IF(H6=$C$4,UPPER($A$4),IF(H6=end, "END", ""))</f>
        <v/>
      </c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</row>
    <row r="12" spans="1:34" s="2" customFormat="1" x14ac:dyDescent="0.2">
      <c r="A12" s="7"/>
      <c r="B12" s="7"/>
      <c r="C12" s="7"/>
      <c r="D12" s="7"/>
      <c r="F12" s="7"/>
      <c r="G12" s="192"/>
      <c r="H12" s="7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  <c r="AD12" s="161"/>
      <c r="AE12" s="161"/>
      <c r="AF12" s="161"/>
      <c r="AG12" s="161"/>
      <c r="AH12" s="161"/>
    </row>
    <row r="13" spans="1:34" s="2" customFormat="1" x14ac:dyDescent="0.2">
      <c r="A13" s="51"/>
      <c r="B13" s="51"/>
      <c r="C13" s="51"/>
      <c r="D13" s="7"/>
      <c r="F13" s="7"/>
      <c r="G13" s="189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x14ac:dyDescent="0.2">
      <c r="A14" s="51" t="str">
        <f>A15</f>
        <v>Option 1 (base case)</v>
      </c>
      <c r="B14" s="51"/>
      <c r="C14" s="51" t="s">
        <v>105</v>
      </c>
      <c r="D14" s="33" t="str">
        <f t="shared" ref="D14:D25" si="2">A14&amp;C14</f>
        <v>Option 1 (base case)Energy at risk value</v>
      </c>
      <c r="F14" s="82">
        <f>SUMPRODUCT($H14:$AG14, $H$5:$AG$5)</f>
        <v>7851881.3346845787</v>
      </c>
      <c r="G14" s="193">
        <f>output_dollars</f>
        <v>46203</v>
      </c>
      <c r="H14" s="28"/>
      <c r="I14" s="28">
        <f>'Option1 (base case)'!I$32*conv_2026</f>
        <v>1332.4698397258762</v>
      </c>
      <c r="J14" s="28">
        <f>'Option1 (base case)'!J$32*conv_2026</f>
        <v>14739.062891764832</v>
      </c>
      <c r="K14" s="28">
        <f>'Option1 (base case)'!K$32*conv_2026</f>
        <v>35205.256504725534</v>
      </c>
      <c r="L14" s="28">
        <f>'Option1 (base case)'!L$32*conv_2026</f>
        <v>67567.318409888627</v>
      </c>
      <c r="M14" s="28">
        <f>'Option1 (base case)'!M$32*conv_2026</f>
        <v>109507.16863262981</v>
      </c>
      <c r="N14" s="28">
        <f>'Option1 (base case)'!N$32*conv_2026</f>
        <v>171045.41356563231</v>
      </c>
      <c r="O14" s="28">
        <f>'Option1 (base case)'!O$32*conv_2026</f>
        <v>277693.73559039185</v>
      </c>
      <c r="P14" s="28">
        <f>'Option1 (base case)'!P$32*conv_2026</f>
        <v>443116.57214543456</v>
      </c>
      <c r="Q14" s="28">
        <f>'Option1 (base case)'!Q$32*conv_2026</f>
        <v>625704.98049061606</v>
      </c>
      <c r="R14" s="28">
        <f>'Option1 (base case)'!R$32*conv_2026</f>
        <v>802181.22003624961</v>
      </c>
      <c r="S14" s="28">
        <f>'Option1 (base case)'!S$32*conv_2026</f>
        <v>710160.6068457698</v>
      </c>
      <c r="T14" s="28">
        <f>'Option1 (base case)'!T$32*conv_2026</f>
        <v>710160.6068457698</v>
      </c>
      <c r="U14" s="28">
        <f>'Option1 (base case)'!U$32*conv_2026</f>
        <v>710160.6068457698</v>
      </c>
      <c r="V14" s="28">
        <f>'Option1 (base case)'!V$32*conv_2026</f>
        <v>710160.6068457698</v>
      </c>
      <c r="W14" s="28">
        <f>'Option1 (base case)'!W$32*conv_2026</f>
        <v>710160.6068457698</v>
      </c>
      <c r="X14" s="28">
        <f>'Option1 (base case)'!X$32*conv_2026</f>
        <v>710160.6068457698</v>
      </c>
      <c r="Y14" s="28">
        <f>'Option1 (base case)'!Y$32*conv_2026</f>
        <v>710160.6068457698</v>
      </c>
      <c r="Z14" s="28">
        <f>'Option1 (base case)'!Z$32*conv_2026</f>
        <v>710160.6068457698</v>
      </c>
      <c r="AA14" s="28">
        <f>'Option1 (base case)'!AA$32*conv_2026</f>
        <v>710160.6068457698</v>
      </c>
      <c r="AB14" s="28">
        <f>'Option1 (base case)'!AB$32*conv_2026</f>
        <v>710160.6068457698</v>
      </c>
      <c r="AC14" s="28">
        <f>'Option1 (base case)'!AC$32*conv_2026</f>
        <v>710160.6068457698</v>
      </c>
      <c r="AD14" s="28">
        <f>'Option1 (base case)'!AD$32*conv_2026</f>
        <v>710160.6068457698</v>
      </c>
      <c r="AE14" s="28">
        <f>'Option1 (base case)'!AE$32*conv_2026</f>
        <v>710160.6068457698</v>
      </c>
      <c r="AF14" s="28">
        <f>'Option1 (base case)'!AF$32*conv_2026</f>
        <v>710160.6068457698</v>
      </c>
      <c r="AG14" s="28">
        <f>'Option1 (base case)'!AG$32*conv_2026</f>
        <v>710160.6068457698</v>
      </c>
    </row>
    <row r="15" spans="1:34" s="1" customFormat="1" x14ac:dyDescent="0.2">
      <c r="A15" s="110" t="str">
        <f>Data!B9</f>
        <v>Option 1 (base case)</v>
      </c>
      <c r="B15" s="110"/>
      <c r="C15" s="51" t="str">
        <f>'Option1 (base case)'!C$70</f>
        <v>Capital expenditure</v>
      </c>
      <c r="D15" s="33" t="str">
        <f t="shared" si="2"/>
        <v>Option 1 (base case)Capital expenditure</v>
      </c>
      <c r="F15" s="82">
        <f>SUMPRODUCT($H15:$AG15, $H$5:$AG$5)</f>
        <v>0</v>
      </c>
      <c r="G15" s="193">
        <f>output_dollars</f>
        <v>46203</v>
      </c>
      <c r="H15" s="28"/>
      <c r="I15" s="28">
        <f>SUM('Option1 (base case)'!I$71:I$73)*conv_2026</f>
        <v>0</v>
      </c>
      <c r="J15" s="28">
        <f>SUM('Option1 (base case)'!J$71:J$73)</f>
        <v>0</v>
      </c>
      <c r="K15" s="28">
        <f>SUM('Option1 (base case)'!K$71:K$73)</f>
        <v>0</v>
      </c>
      <c r="L15" s="28">
        <f>SUM('Option1 (base case)'!L$71:L$73)</f>
        <v>0</v>
      </c>
      <c r="M15" s="28">
        <f>SUM('Option1 (base case)'!M$71:M$73)</f>
        <v>0</v>
      </c>
      <c r="N15" s="28">
        <f>SUM('Option1 (base case)'!N$71:N$73)</f>
        <v>0</v>
      </c>
      <c r="O15" s="28">
        <f>SUM('Option1 (base case)'!O$71:O$73)</f>
        <v>0</v>
      </c>
      <c r="P15" s="28">
        <f>SUM('Option1 (base case)'!P$71:P$73)</f>
        <v>0</v>
      </c>
      <c r="Q15" s="28">
        <f>SUM('Option1 (base case)'!Q$71:Q$73)</f>
        <v>0</v>
      </c>
      <c r="R15" s="28">
        <f>SUM('Option1 (base case)'!R$71:R$73)</f>
        <v>0</v>
      </c>
      <c r="S15" s="28">
        <f>SUM('Option1 (base case)'!S$71:S$73)</f>
        <v>0</v>
      </c>
      <c r="T15" s="28">
        <f>SUM('Option1 (base case)'!T$71:T$73)</f>
        <v>0</v>
      </c>
      <c r="U15" s="28">
        <f>SUM('Option1 (base case)'!U$71:U$73)</f>
        <v>0</v>
      </c>
      <c r="V15" s="28">
        <f>SUM('Option1 (base case)'!V$71:V$73)</f>
        <v>0</v>
      </c>
      <c r="W15" s="28">
        <f>SUM('Option1 (base case)'!W$71:W$73)</f>
        <v>0</v>
      </c>
      <c r="X15" s="28">
        <f>SUM('Option1 (base case)'!X$71:X$73)</f>
        <v>0</v>
      </c>
      <c r="Y15" s="28">
        <f>SUM('Option1 (base case)'!Y$71:Y$73)</f>
        <v>0</v>
      </c>
      <c r="Z15" s="28">
        <f>SUM('Option1 (base case)'!Z$71:Z$73)</f>
        <v>0</v>
      </c>
      <c r="AA15" s="28">
        <f>SUM('Option1 (base case)'!AA$71:AA$73)</f>
        <v>0</v>
      </c>
      <c r="AB15" s="28">
        <f>SUM('Option1 (base case)'!AB$71:AB$73)</f>
        <v>0</v>
      </c>
      <c r="AC15" s="28">
        <f>SUM('Option1 (base case)'!AC$71:AC$73)</f>
        <v>0</v>
      </c>
      <c r="AD15" s="28">
        <f>SUM('Option1 (base case)'!AD$71:AD$73)</f>
        <v>0</v>
      </c>
      <c r="AE15" s="28">
        <f>SUM('Option1 (base case)'!AE$71:AE$73)</f>
        <v>0</v>
      </c>
      <c r="AF15" s="28">
        <f>SUM('Option1 (base case)'!AF$71:AF$73)</f>
        <v>0</v>
      </c>
      <c r="AG15" s="28">
        <f>SUM('Option1 (base case)'!AG$71:AG$73)</f>
        <v>0</v>
      </c>
    </row>
    <row r="16" spans="1:34" s="1" customFormat="1" x14ac:dyDescent="0.2">
      <c r="A16" s="110" t="str">
        <f t="shared" ref="A16:A25" si="3">A15</f>
        <v>Option 1 (base case)</v>
      </c>
      <c r="B16" s="110"/>
      <c r="C16" s="51" t="str">
        <f>'Option1 (base case)'!C$40</f>
        <v>Total risk cost</v>
      </c>
      <c r="D16" s="33" t="str">
        <f t="shared" si="2"/>
        <v>Option 1 (base case)Total risk cost</v>
      </c>
      <c r="F16" s="92" cm="1">
        <f t="array" ref="F16">SUMPRODUCT(($H16:$AG16)*($H$5:$AG$5)*($H$7:$AG$7))</f>
        <v>6212490.3231622828</v>
      </c>
      <c r="G16" s="193">
        <f>output_dollars</f>
        <v>46203</v>
      </c>
      <c r="H16" s="28"/>
      <c r="I16" s="28">
        <f>'Option1 (base case)'!I$40*conv_2026</f>
        <v>1332.4698397258762</v>
      </c>
      <c r="J16" s="28">
        <f>'Option1 (base case)'!J$40*conv_2026</f>
        <v>14739.062891764832</v>
      </c>
      <c r="K16" s="28">
        <f>'Option1 (base case)'!K$40*conv_2026</f>
        <v>35205.256504725534</v>
      </c>
      <c r="L16" s="28">
        <f>'Option1 (base case)'!L$40*conv_2026</f>
        <v>67567.318409888627</v>
      </c>
      <c r="M16" s="28">
        <f>'Option1 (base case)'!M$40*conv_2026</f>
        <v>109507.16863262981</v>
      </c>
      <c r="N16" s="28">
        <f>'Option1 (base case)'!N$40*conv_2026</f>
        <v>171045.41356563231</v>
      </c>
      <c r="O16" s="28">
        <f>'Option1 (base case)'!O$40*conv_2026</f>
        <v>277693.73559039185</v>
      </c>
      <c r="P16" s="28">
        <f>'Option1 (base case)'!P$40*conv_2026</f>
        <v>443116.57214543456</v>
      </c>
      <c r="Q16" s="28">
        <f>'Option1 (base case)'!Q$40*conv_2026</f>
        <v>625704.98049061606</v>
      </c>
      <c r="R16" s="28">
        <f>'Option1 (base case)'!R$40*conv_2026</f>
        <v>802181.22003624961</v>
      </c>
      <c r="S16" s="28">
        <f>'Option1 (base case)'!S$40*conv_2026</f>
        <v>710160.6068457698</v>
      </c>
      <c r="T16" s="28">
        <f>'Option1 (base case)'!T$40*conv_2026</f>
        <v>710160.6068457698</v>
      </c>
      <c r="U16" s="28">
        <f>'Option1 (base case)'!U$40*conv_2026</f>
        <v>710160.6068457698</v>
      </c>
      <c r="V16" s="28">
        <f>'Option1 (base case)'!V$40*conv_2026</f>
        <v>710160.6068457698</v>
      </c>
      <c r="W16" s="28">
        <f>'Option1 (base case)'!W$40*conv_2026</f>
        <v>710160.6068457698</v>
      </c>
      <c r="X16" s="28">
        <f>'Option1 (base case)'!X$40*conv_2026</f>
        <v>710160.6068457698</v>
      </c>
      <c r="Y16" s="28">
        <f>'Option1 (base case)'!Y$40*conv_2026</f>
        <v>710160.6068457698</v>
      </c>
      <c r="Z16" s="28">
        <f>'Option1 (base case)'!Z$40*conv_2026</f>
        <v>710160.6068457698</v>
      </c>
      <c r="AA16" s="28">
        <f>'Option1 (base case)'!AA$40*conv_2026</f>
        <v>710160.6068457698</v>
      </c>
      <c r="AB16" s="28">
        <f>'Option1 (base case)'!AB$40*conv_2026</f>
        <v>710160.6068457698</v>
      </c>
      <c r="AC16" s="28">
        <f>'Option1 (base case)'!AC$40*conv_2026</f>
        <v>710160.6068457698</v>
      </c>
      <c r="AD16" s="28">
        <f>'Option1 (base case)'!AD$40*conv_2026</f>
        <v>710160.6068457698</v>
      </c>
      <c r="AE16" s="28">
        <f>'Option1 (base case)'!AE$40*conv_2026</f>
        <v>710160.6068457698</v>
      </c>
      <c r="AF16" s="28">
        <f>'Option1 (base case)'!AF$40*conv_2026</f>
        <v>710160.6068457698</v>
      </c>
      <c r="AG16" s="28">
        <f>'Option1 (base case)'!AG$40*conv_2026</f>
        <v>710160.6068457698</v>
      </c>
    </row>
    <row r="17" spans="1:33" s="1" customFormat="1" x14ac:dyDescent="0.2">
      <c r="A17" s="110" t="str">
        <f t="shared" si="3"/>
        <v>Option 1 (base case)</v>
      </c>
      <c r="B17" s="110"/>
      <c r="C17" s="12"/>
      <c r="D17" s="33" t="str">
        <f t="shared" si="2"/>
        <v>Option 1 (base case)</v>
      </c>
      <c r="F17"/>
      <c r="G17" s="194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x14ac:dyDescent="0.2">
      <c r="A18" s="110" t="str">
        <f t="shared" si="3"/>
        <v>Option 1 (base case)</v>
      </c>
      <c r="B18" s="110"/>
      <c r="C18" s="51" t="str">
        <f>'Option1 (base case)'!C$86</f>
        <v>Annualised capex</v>
      </c>
      <c r="D18" s="33" t="str">
        <f t="shared" si="2"/>
        <v>Option 1 (base case)Annualised capex</v>
      </c>
      <c r="F18" s="82">
        <f>SUMPRODUCT($H18:$AG18, $H$5:$AG$5)</f>
        <v>0</v>
      </c>
      <c r="G18" s="193">
        <f t="shared" ref="G18:G25" si="4">output_dollars</f>
        <v>46203</v>
      </c>
      <c r="H18" s="28"/>
      <c r="I18" s="28">
        <f>'Option1 (base case)'!I$86*conv_2026</f>
        <v>0</v>
      </c>
      <c r="J18" s="28">
        <f>'Option1 (base case)'!J$86*conv_2026</f>
        <v>0</v>
      </c>
      <c r="K18" s="28">
        <f>'Option1 (base case)'!K$86*conv_2026</f>
        <v>0</v>
      </c>
      <c r="L18" s="28">
        <f>'Option1 (base case)'!L$86*conv_2026</f>
        <v>0</v>
      </c>
      <c r="M18" s="28">
        <f>'Option1 (base case)'!M$86*conv_2026</f>
        <v>0</v>
      </c>
      <c r="N18" s="28">
        <f>'Option1 (base case)'!N$86*conv_2026</f>
        <v>0</v>
      </c>
      <c r="O18" s="28">
        <f>'Option1 (base case)'!O$86*conv_2026</f>
        <v>0</v>
      </c>
      <c r="P18" s="28">
        <f>'Option1 (base case)'!P$86*conv_2026</f>
        <v>0</v>
      </c>
      <c r="Q18" s="28">
        <f>'Option1 (base case)'!Q$86*conv_2026</f>
        <v>0</v>
      </c>
      <c r="R18" s="28">
        <f>'Option1 (base case)'!R$86*conv_2026</f>
        <v>0</v>
      </c>
      <c r="S18" s="28">
        <f>'Option1 (base case)'!S$86*conv_2026</f>
        <v>0</v>
      </c>
      <c r="T18" s="28">
        <f>'Option1 (base case)'!T$86*conv_2026</f>
        <v>0</v>
      </c>
      <c r="U18" s="28">
        <f>'Option1 (base case)'!U$86*conv_2026</f>
        <v>0</v>
      </c>
      <c r="V18" s="28">
        <f>'Option1 (base case)'!V$86*conv_2026</f>
        <v>0</v>
      </c>
      <c r="W18" s="28">
        <f>'Option1 (base case)'!W$86*conv_2026</f>
        <v>0</v>
      </c>
      <c r="X18" s="28">
        <f>'Option1 (base case)'!X$86*conv_2026</f>
        <v>0</v>
      </c>
      <c r="Y18" s="28">
        <f>'Option1 (base case)'!Y$86*conv_2026</f>
        <v>0</v>
      </c>
      <c r="Z18" s="28">
        <f>'Option1 (base case)'!Z$86*conv_2026</f>
        <v>0</v>
      </c>
      <c r="AA18" s="28">
        <f>'Option1 (base case)'!AA$86*conv_2026</f>
        <v>0</v>
      </c>
      <c r="AB18" s="28">
        <f>'Option1 (base case)'!AB$86*conv_2026</f>
        <v>0</v>
      </c>
      <c r="AC18" s="28">
        <f>'Option1 (base case)'!AC$86*conv_2026</f>
        <v>0</v>
      </c>
      <c r="AD18" s="28">
        <f>'Option1 (base case)'!AD$86*conv_2026</f>
        <v>0</v>
      </c>
      <c r="AE18" s="28">
        <f>'Option1 (base case)'!AE$86*conv_2026</f>
        <v>0</v>
      </c>
      <c r="AF18" s="28">
        <f>'Option1 (base case)'!AF$86*conv_2026</f>
        <v>0</v>
      </c>
      <c r="AG18" s="28">
        <f>'Option1 (base case)'!AG$86*conv_2026</f>
        <v>0</v>
      </c>
    </row>
    <row r="19" spans="1:33" s="1" customFormat="1" x14ac:dyDescent="0.2">
      <c r="A19" s="110" t="str">
        <f t="shared" si="3"/>
        <v>Option 1 (base case)</v>
      </c>
      <c r="B19" s="110"/>
      <c r="C19" s="51" t="str">
        <f>'Option1 (base case)'!C$87</f>
        <v>Operating expenditure</v>
      </c>
      <c r="D19" s="33" t="str">
        <f t="shared" si="2"/>
        <v>Option 1 (base case)Operating expenditure</v>
      </c>
      <c r="F19" s="82">
        <f>SUMPRODUCT($H19:$AG19, $H$5:$AG$5)</f>
        <v>0</v>
      </c>
      <c r="G19" s="193">
        <f t="shared" si="4"/>
        <v>46203</v>
      </c>
      <c r="H19" s="28"/>
      <c r="I19" s="28">
        <f>'Option1 (base case)'!I$87*conv_2026</f>
        <v>0</v>
      </c>
      <c r="J19" s="28">
        <f>'Option1 (base case)'!J$87*conv_2026</f>
        <v>0</v>
      </c>
      <c r="K19" s="28">
        <f>'Option1 (base case)'!K$87*conv_2026</f>
        <v>0</v>
      </c>
      <c r="L19" s="28">
        <f>'Option1 (base case)'!L$87*conv_2026</f>
        <v>0</v>
      </c>
      <c r="M19" s="28">
        <f>'Option1 (base case)'!M$87*conv_2026</f>
        <v>0</v>
      </c>
      <c r="N19" s="28">
        <f>'Option1 (base case)'!N$87*conv_2026</f>
        <v>0</v>
      </c>
      <c r="O19" s="28">
        <f>'Option1 (base case)'!O$87*conv_2026</f>
        <v>0</v>
      </c>
      <c r="P19" s="28">
        <f>'Option1 (base case)'!P$87*conv_2026</f>
        <v>0</v>
      </c>
      <c r="Q19" s="28">
        <f>'Option1 (base case)'!Q$87*conv_2026</f>
        <v>0</v>
      </c>
      <c r="R19" s="28">
        <f>'Option1 (base case)'!R$87*conv_2026</f>
        <v>0</v>
      </c>
      <c r="S19" s="28">
        <f>'Option1 (base case)'!S$87*conv_2026</f>
        <v>0</v>
      </c>
      <c r="T19" s="28">
        <f>'Option1 (base case)'!T$87*conv_2026</f>
        <v>0</v>
      </c>
      <c r="U19" s="28">
        <f>'Option1 (base case)'!U$87*conv_2026</f>
        <v>0</v>
      </c>
      <c r="V19" s="28">
        <f>'Option1 (base case)'!V$87*conv_2026</f>
        <v>0</v>
      </c>
      <c r="W19" s="28">
        <f>'Option1 (base case)'!W$87*conv_2026</f>
        <v>0</v>
      </c>
      <c r="X19" s="28">
        <f>'Option1 (base case)'!X$87*conv_2026</f>
        <v>0</v>
      </c>
      <c r="Y19" s="28">
        <f>'Option1 (base case)'!Y$87*conv_2026</f>
        <v>0</v>
      </c>
      <c r="Z19" s="28">
        <f>'Option1 (base case)'!Z$87*conv_2026</f>
        <v>0</v>
      </c>
      <c r="AA19" s="28">
        <f>'Option1 (base case)'!AA$87*conv_2026</f>
        <v>0</v>
      </c>
      <c r="AB19" s="28">
        <f>'Option1 (base case)'!AB$87*conv_2026</f>
        <v>0</v>
      </c>
      <c r="AC19" s="28">
        <f>'Option1 (base case)'!AC$87*conv_2026</f>
        <v>0</v>
      </c>
      <c r="AD19" s="28">
        <f>'Option1 (base case)'!AD$87*conv_2026</f>
        <v>0</v>
      </c>
      <c r="AE19" s="28">
        <f>'Option1 (base case)'!AE$87*conv_2026</f>
        <v>0</v>
      </c>
      <c r="AF19" s="28">
        <f>'Option1 (base case)'!AF$87*conv_2026</f>
        <v>0</v>
      </c>
      <c r="AG19" s="28">
        <f>'Option1 (base case)'!AG$87*conv_2026</f>
        <v>0</v>
      </c>
    </row>
    <row r="20" spans="1:33" s="1" customFormat="1" x14ac:dyDescent="0.2">
      <c r="A20" s="110" t="str">
        <f t="shared" si="3"/>
        <v>Option 1 (base case)</v>
      </c>
      <c r="B20" s="110"/>
      <c r="C20" s="51" t="str">
        <f>'Option1 (base case)'!C$88</f>
        <v>Risk mitigated</v>
      </c>
      <c r="D20" s="33" t="str">
        <f t="shared" si="2"/>
        <v>Option 1 (base case)Risk mitigated</v>
      </c>
      <c r="F20" s="82">
        <f>SUMPRODUCT($H20:$AG20, $H$5:$AG$5)</f>
        <v>0</v>
      </c>
      <c r="G20" s="193">
        <f t="shared" si="4"/>
        <v>46203</v>
      </c>
      <c r="H20" s="28"/>
      <c r="I20" s="28">
        <f>'Option1 (base case)'!I$88*conv_2026</f>
        <v>0</v>
      </c>
      <c r="J20" s="28">
        <f>'Option1 (base case)'!J$88*conv_2026</f>
        <v>0</v>
      </c>
      <c r="K20" s="28">
        <f>'Option1 (base case)'!K$88*conv_2026</f>
        <v>0</v>
      </c>
      <c r="L20" s="28">
        <f>'Option1 (base case)'!L$88*conv_2026</f>
        <v>0</v>
      </c>
      <c r="M20" s="28">
        <f>'Option1 (base case)'!M$88*conv_2026</f>
        <v>0</v>
      </c>
      <c r="N20" s="28">
        <f>'Option1 (base case)'!N$88*conv_2026</f>
        <v>0</v>
      </c>
      <c r="O20" s="28">
        <f>'Option1 (base case)'!O$88*conv_2026</f>
        <v>0</v>
      </c>
      <c r="P20" s="28">
        <f>'Option1 (base case)'!P$88*conv_2026</f>
        <v>0</v>
      </c>
      <c r="Q20" s="28">
        <f>'Option1 (base case)'!Q$88*conv_2026</f>
        <v>0</v>
      </c>
      <c r="R20" s="28">
        <f>'Option1 (base case)'!R$88*conv_2026</f>
        <v>0</v>
      </c>
      <c r="S20" s="28">
        <f>'Option1 (base case)'!S$88*conv_2026</f>
        <v>0</v>
      </c>
      <c r="T20" s="28">
        <f>'Option1 (base case)'!T$88*conv_2026</f>
        <v>0</v>
      </c>
      <c r="U20" s="28">
        <f>'Option1 (base case)'!U$88*conv_2026</f>
        <v>0</v>
      </c>
      <c r="V20" s="28">
        <f>'Option1 (base case)'!V$88*conv_2026</f>
        <v>0</v>
      </c>
      <c r="W20" s="28">
        <f>'Option1 (base case)'!W$88*conv_2026</f>
        <v>0</v>
      </c>
      <c r="X20" s="28">
        <f>'Option1 (base case)'!X$88*conv_2026</f>
        <v>0</v>
      </c>
      <c r="Y20" s="28">
        <f>'Option1 (base case)'!Y$88*conv_2026</f>
        <v>0</v>
      </c>
      <c r="Z20" s="28">
        <f>'Option1 (base case)'!Z$88*conv_2026</f>
        <v>0</v>
      </c>
      <c r="AA20" s="28">
        <f>'Option1 (base case)'!AA$88*conv_2026</f>
        <v>0</v>
      </c>
      <c r="AB20" s="28">
        <f>'Option1 (base case)'!AB$88*conv_2026</f>
        <v>0</v>
      </c>
      <c r="AC20" s="28">
        <f>'Option1 (base case)'!AC$88*conv_2026</f>
        <v>0</v>
      </c>
      <c r="AD20" s="28">
        <f>'Option1 (base case)'!AD$88*conv_2026</f>
        <v>0</v>
      </c>
      <c r="AE20" s="28">
        <f>'Option1 (base case)'!AE$88*conv_2026</f>
        <v>0</v>
      </c>
      <c r="AF20" s="28">
        <f>'Option1 (base case)'!AF$88*conv_2026</f>
        <v>0</v>
      </c>
      <c r="AG20" s="28">
        <f>'Option1 (base case)'!AG$88*conv_2026</f>
        <v>0</v>
      </c>
    </row>
    <row r="21" spans="1:33" s="1" customFormat="1" x14ac:dyDescent="0.2">
      <c r="A21" s="110" t="str">
        <f t="shared" si="3"/>
        <v>Option 1 (base case)</v>
      </c>
      <c r="B21" s="110"/>
      <c r="C21" s="51" t="str">
        <f>'Option1 (base case)'!C$89</f>
        <v>Other benefits value</v>
      </c>
      <c r="D21" s="33" t="str">
        <f t="shared" si="2"/>
        <v>Option 1 (base case)Other benefits value</v>
      </c>
      <c r="F21" s="82">
        <f>SUMPRODUCT($H21:$AG21, $H$5:$AG$5)</f>
        <v>0</v>
      </c>
      <c r="G21" s="193">
        <f t="shared" si="4"/>
        <v>46203</v>
      </c>
      <c r="H21" s="28"/>
      <c r="I21" s="28">
        <f>'Option1 (base case)'!I$89*conv_2026</f>
        <v>0</v>
      </c>
      <c r="J21" s="28">
        <f>'Option1 (base case)'!J$89*conv_2026</f>
        <v>0</v>
      </c>
      <c r="K21" s="28">
        <f>'Option1 (base case)'!K$89*conv_2026</f>
        <v>0</v>
      </c>
      <c r="L21" s="28">
        <f>'Option1 (base case)'!L$89*conv_2026</f>
        <v>0</v>
      </c>
      <c r="M21" s="28">
        <f>'Option1 (base case)'!M$89*conv_2026</f>
        <v>0</v>
      </c>
      <c r="N21" s="28">
        <f>'Option1 (base case)'!N$89*conv_2026</f>
        <v>0</v>
      </c>
      <c r="O21" s="28">
        <f>'Option1 (base case)'!O$89*conv_2026</f>
        <v>0</v>
      </c>
      <c r="P21" s="28">
        <f>'Option1 (base case)'!P$89*conv_2026</f>
        <v>0</v>
      </c>
      <c r="Q21" s="28">
        <f>'Option1 (base case)'!Q$89*conv_2026</f>
        <v>0</v>
      </c>
      <c r="R21" s="28">
        <f>'Option1 (base case)'!R$89*conv_2026</f>
        <v>0</v>
      </c>
      <c r="S21" s="28">
        <f>'Option1 (base case)'!S$89*conv_2026</f>
        <v>0</v>
      </c>
      <c r="T21" s="28">
        <f>'Option1 (base case)'!T$89*conv_2026</f>
        <v>0</v>
      </c>
      <c r="U21" s="28">
        <f>'Option1 (base case)'!U$89*conv_2026</f>
        <v>0</v>
      </c>
      <c r="V21" s="28">
        <f>'Option1 (base case)'!V$89*conv_2026</f>
        <v>0</v>
      </c>
      <c r="W21" s="28">
        <f>'Option1 (base case)'!W$89*conv_2026</f>
        <v>0</v>
      </c>
      <c r="X21" s="28">
        <f>'Option1 (base case)'!X$89*conv_2026</f>
        <v>0</v>
      </c>
      <c r="Y21" s="28">
        <f>'Option1 (base case)'!Y$89*conv_2026</f>
        <v>0</v>
      </c>
      <c r="Z21" s="28">
        <f>'Option1 (base case)'!Z$89*conv_2026</f>
        <v>0</v>
      </c>
      <c r="AA21" s="28">
        <f>'Option1 (base case)'!AA$89*conv_2026</f>
        <v>0</v>
      </c>
      <c r="AB21" s="28">
        <f>'Option1 (base case)'!AB$89*conv_2026</f>
        <v>0</v>
      </c>
      <c r="AC21" s="28">
        <f>'Option1 (base case)'!AC$89*conv_2026</f>
        <v>0</v>
      </c>
      <c r="AD21" s="28">
        <f>'Option1 (base case)'!AD$89*conv_2026</f>
        <v>0</v>
      </c>
      <c r="AE21" s="28">
        <f>'Option1 (base case)'!AE$89*conv_2026</f>
        <v>0</v>
      </c>
      <c r="AF21" s="28">
        <f>'Option1 (base case)'!AF$89*conv_2026</f>
        <v>0</v>
      </c>
      <c r="AG21" s="28">
        <f>'Option1 (base case)'!AG$89*conv_2026</f>
        <v>0</v>
      </c>
    </row>
    <row r="22" spans="1:33" s="1" customFormat="1" x14ac:dyDescent="0.2">
      <c r="A22" s="110" t="str">
        <f t="shared" si="3"/>
        <v>Option 1 (base case)</v>
      </c>
      <c r="B22" s="110"/>
      <c r="C22" s="118" t="str">
        <f>'Option1 (base case)'!C$91</f>
        <v>Net benefits</v>
      </c>
      <c r="D22" s="93" t="str">
        <f t="shared" si="2"/>
        <v>Option 1 (base case)Net benefits</v>
      </c>
      <c r="E22" s="94"/>
      <c r="F22" s="117"/>
      <c r="G22" s="195">
        <f t="shared" si="4"/>
        <v>46203</v>
      </c>
      <c r="H22" s="45"/>
      <c r="I22" s="45">
        <f t="shared" ref="I22:AG22" si="5">SUM(I18:I21)</f>
        <v>0</v>
      </c>
      <c r="J22" s="45">
        <f t="shared" si="5"/>
        <v>0</v>
      </c>
      <c r="K22" s="45">
        <f t="shared" si="5"/>
        <v>0</v>
      </c>
      <c r="L22" s="45">
        <f t="shared" si="5"/>
        <v>0</v>
      </c>
      <c r="M22" s="45">
        <f t="shared" si="5"/>
        <v>0</v>
      </c>
      <c r="N22" s="45">
        <f t="shared" si="5"/>
        <v>0</v>
      </c>
      <c r="O22" s="45">
        <f t="shared" si="5"/>
        <v>0</v>
      </c>
      <c r="P22" s="45">
        <f t="shared" si="5"/>
        <v>0</v>
      </c>
      <c r="Q22" s="45">
        <f t="shared" si="5"/>
        <v>0</v>
      </c>
      <c r="R22" s="45">
        <f t="shared" si="5"/>
        <v>0</v>
      </c>
      <c r="S22" s="45">
        <f t="shared" si="5"/>
        <v>0</v>
      </c>
      <c r="T22" s="45">
        <f t="shared" si="5"/>
        <v>0</v>
      </c>
      <c r="U22" s="45">
        <f t="shared" si="5"/>
        <v>0</v>
      </c>
      <c r="V22" s="45">
        <f t="shared" si="5"/>
        <v>0</v>
      </c>
      <c r="W22" s="45">
        <f t="shared" si="5"/>
        <v>0</v>
      </c>
      <c r="X22" s="45">
        <f t="shared" si="5"/>
        <v>0</v>
      </c>
      <c r="Y22" s="45">
        <f t="shared" si="5"/>
        <v>0</v>
      </c>
      <c r="Z22" s="45">
        <f t="shared" si="5"/>
        <v>0</v>
      </c>
      <c r="AA22" s="45">
        <f t="shared" si="5"/>
        <v>0</v>
      </c>
      <c r="AB22" s="45">
        <f t="shared" si="5"/>
        <v>0</v>
      </c>
      <c r="AC22" s="45">
        <f t="shared" si="5"/>
        <v>0</v>
      </c>
      <c r="AD22" s="45">
        <f t="shared" si="5"/>
        <v>0</v>
      </c>
      <c r="AE22" s="45">
        <f t="shared" si="5"/>
        <v>0</v>
      </c>
      <c r="AF22" s="45">
        <f t="shared" si="5"/>
        <v>0</v>
      </c>
      <c r="AG22" s="45">
        <f t="shared" si="5"/>
        <v>0</v>
      </c>
    </row>
    <row r="23" spans="1:33" s="1" customFormat="1" x14ac:dyDescent="0.2">
      <c r="A23" s="110" t="str">
        <f t="shared" si="3"/>
        <v>Option 1 (base case)</v>
      </c>
      <c r="B23" s="110"/>
      <c r="C23" s="6" t="s">
        <v>7</v>
      </c>
      <c r="D23" s="33" t="str">
        <f t="shared" si="2"/>
        <v>Option 1 (base case)NPV</v>
      </c>
      <c r="F23" s="92" cm="1">
        <f t="array" ref="F23">SUMPRODUCT(($H22:$AG22)*($H$5:$AG$5)*($H$7:$AG$7))</f>
        <v>0</v>
      </c>
      <c r="G23" s="193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x14ac:dyDescent="0.2">
      <c r="A24" s="110" t="str">
        <f t="shared" si="3"/>
        <v>Option 1 (base case)</v>
      </c>
      <c r="B24" s="110"/>
      <c r="C24" s="6" t="s">
        <v>5</v>
      </c>
      <c r="D24" s="33" t="str">
        <f t="shared" si="2"/>
        <v>Option 1 (base case)PV of costs</v>
      </c>
      <c r="F24" s="92">
        <f>SUM(F18:F19)</f>
        <v>0</v>
      </c>
      <c r="G24" s="193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x14ac:dyDescent="0.2">
      <c r="A25" s="110" t="str">
        <f t="shared" si="3"/>
        <v>Option 1 (base case)</v>
      </c>
      <c r="B25" s="110"/>
      <c r="C25" s="6" t="s">
        <v>6</v>
      </c>
      <c r="D25" s="33" t="str">
        <f t="shared" si="2"/>
        <v>Option 1 (base case)PV of benefits</v>
      </c>
      <c r="F25" s="92">
        <f>SUM(F20:F21)</f>
        <v>0</v>
      </c>
      <c r="G25" s="193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x14ac:dyDescent="0.2">
      <c r="D26" s="33" t="str">
        <f t="shared" ref="D26:D39" si="6">A26&amp;C26</f>
        <v/>
      </c>
      <c r="G26" s="196"/>
    </row>
    <row r="27" spans="1:33" s="2" customFormat="1" x14ac:dyDescent="0.2">
      <c r="A27" s="51"/>
      <c r="B27" s="51"/>
      <c r="C27" s="51"/>
      <c r="D27" s="33" t="str">
        <f t="shared" si="6"/>
        <v/>
      </c>
      <c r="F27" s="7"/>
      <c r="G27" s="189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x14ac:dyDescent="0.2">
      <c r="A28" s="51" t="str">
        <f>A29</f>
        <v>Option 2</v>
      </c>
      <c r="B28" s="51"/>
      <c r="C28" s="51" t="s">
        <v>105</v>
      </c>
      <c r="D28" s="33" t="str">
        <f t="shared" si="6"/>
        <v>Option 2Energy at risk value</v>
      </c>
      <c r="F28" s="82">
        <f>SUMPRODUCT($H28:$AG28, $H$5:$AG$5)</f>
        <v>437678.52448670188</v>
      </c>
      <c r="G28" s="193">
        <f>output_dollars</f>
        <v>46203</v>
      </c>
      <c r="H28" s="28"/>
      <c r="I28" s="28">
        <f>Option2!I$32*conv_2026</f>
        <v>1332.4698397258762</v>
      </c>
      <c r="J28" s="28">
        <f>Option2!J$32*conv_2026</f>
        <v>14739.062891764832</v>
      </c>
      <c r="K28" s="28">
        <f>Option2!K$32*conv_2026</f>
        <v>0</v>
      </c>
      <c r="L28" s="28">
        <f>Option2!L$32*conv_2026</f>
        <v>2411.0236790288236</v>
      </c>
      <c r="M28" s="28">
        <f>Option2!M$32*conv_2026</f>
        <v>15.967395757738679</v>
      </c>
      <c r="N28" s="28">
        <f>Option2!N$32*conv_2026</f>
        <v>276.52340028593494</v>
      </c>
      <c r="O28" s="28">
        <f>Option2!O$32*conv_2026</f>
        <v>2471.6526501989047</v>
      </c>
      <c r="P28" s="28">
        <f>Option2!P$32*conv_2026</f>
        <v>13682.323926387582</v>
      </c>
      <c r="Q28" s="28">
        <f>Option2!Q$32*conv_2026</f>
        <v>32467.516081963844</v>
      </c>
      <c r="R28" s="28">
        <f>Option2!R$32*conv_2026</f>
        <v>52626.80448996745</v>
      </c>
      <c r="S28" s="28">
        <f>Option2!S$32*conv_2026</f>
        <v>41563.818378457479</v>
      </c>
      <c r="T28" s="28">
        <f>Option2!T$32*conv_2026</f>
        <v>41563.818378457479</v>
      </c>
      <c r="U28" s="28">
        <f>Option2!U$32*conv_2026</f>
        <v>41563.818378457479</v>
      </c>
      <c r="V28" s="28">
        <f>Option2!V$32*conv_2026</f>
        <v>41563.818378457479</v>
      </c>
      <c r="W28" s="28">
        <f>Option2!W$32*conv_2026</f>
        <v>41563.818378457479</v>
      </c>
      <c r="X28" s="28">
        <f>Option2!X$32*conv_2026</f>
        <v>41563.818378457479</v>
      </c>
      <c r="Y28" s="28">
        <f>Option2!Y$32*conv_2026</f>
        <v>41563.818378457479</v>
      </c>
      <c r="Z28" s="28">
        <f>Option2!Z$32*conv_2026</f>
        <v>41563.818378457479</v>
      </c>
      <c r="AA28" s="28">
        <f>Option2!AA$32*conv_2026</f>
        <v>41563.818378457479</v>
      </c>
      <c r="AB28" s="28">
        <f>Option2!AB$32*conv_2026</f>
        <v>41563.818378457479</v>
      </c>
      <c r="AC28" s="28">
        <f>Option2!AC$32*conv_2026</f>
        <v>41563.818378457479</v>
      </c>
      <c r="AD28" s="28">
        <f>Option2!AD$32*conv_2026</f>
        <v>41563.818378457479</v>
      </c>
      <c r="AE28" s="28">
        <f>Option2!AE$32*conv_2026</f>
        <v>41563.818378457479</v>
      </c>
      <c r="AF28" s="28">
        <f>Option2!AF$32*conv_2026</f>
        <v>41563.818378457479</v>
      </c>
      <c r="AG28" s="28">
        <f>Option2!AG$32*conv_2026</f>
        <v>41563.818378457479</v>
      </c>
    </row>
    <row r="29" spans="1:33" s="2" customFormat="1" x14ac:dyDescent="0.2">
      <c r="A29" s="110" t="str">
        <f>Data!B10</f>
        <v>Option 2</v>
      </c>
      <c r="B29" s="110"/>
      <c r="C29" s="51" t="str">
        <f>Option2!C$70</f>
        <v>Capital expenditure</v>
      </c>
      <c r="D29" s="33" t="str">
        <f t="shared" si="6"/>
        <v>Option 2Capital expenditure</v>
      </c>
      <c r="E29" s="1"/>
      <c r="F29" s="82" cm="1">
        <f t="array" ref="F29">SUMPRODUCT(($H29:$AG29)*($H$5:$AG$5)*($H$7:$AG$7))</f>
        <v>-18357235.908201776</v>
      </c>
      <c r="G29" s="193">
        <f>output_dollars</f>
        <v>46203</v>
      </c>
      <c r="H29" s="28"/>
      <c r="I29" s="28">
        <f>SUM(Option2!I$71:I$73)*conv_2026*I$7</f>
        <v>-8763782.0159862489</v>
      </c>
      <c r="J29" s="28">
        <f>SUM(Option2!J$71:J$73)*conv_2026*J$7</f>
        <v>-10258860.704993721</v>
      </c>
      <c r="K29" s="28">
        <f>SUM(Option2!K$71:K$73)*conv_2026*K$7</f>
        <v>0</v>
      </c>
      <c r="L29" s="28">
        <f>SUM(Option2!L$71:L$73)*conv_2026*L$7</f>
        <v>0</v>
      </c>
      <c r="M29" s="28">
        <f>SUM(Option2!M$71:M$73)*conv_2026*M$7</f>
        <v>0</v>
      </c>
      <c r="N29" s="28">
        <f>SUM(Option2!N$71:N$73)*conv_2026*N$7</f>
        <v>0</v>
      </c>
      <c r="O29" s="28">
        <f>SUM(Option2!O$71:O$73)*conv_2026*O$7</f>
        <v>0</v>
      </c>
      <c r="P29" s="28">
        <f>SUM(Option2!P$71:P$73)*conv_2026*P$7</f>
        <v>0</v>
      </c>
      <c r="Q29" s="28">
        <f>SUM(Option2!Q$71:Q$73)*conv_2026*Q$7</f>
        <v>0</v>
      </c>
      <c r="R29" s="28">
        <f>SUM(Option2!R$71:R$73)*conv_2026*R$7</f>
        <v>0</v>
      </c>
      <c r="S29" s="28">
        <f>SUM(Option2!S$71:S$73)*conv_2026*S$7</f>
        <v>0</v>
      </c>
      <c r="T29" s="28">
        <f>SUM(Option2!T$71:T$73)*conv_2026*T$7</f>
        <v>0</v>
      </c>
      <c r="U29" s="28">
        <f>SUM(Option2!U$71:U$73)*conv_2026*U$7</f>
        <v>0</v>
      </c>
      <c r="V29" s="28">
        <f>SUM(Option2!V$71:V$73)*conv_2026*V$7</f>
        <v>0</v>
      </c>
      <c r="W29" s="28">
        <f>SUM(Option2!W$71:W$73)*conv_2026*W$7</f>
        <v>0</v>
      </c>
      <c r="X29" s="28">
        <f>SUM(Option2!X$71:X$73)*conv_2026*X$7</f>
        <v>0</v>
      </c>
      <c r="Y29" s="28">
        <f>SUM(Option2!Y$71:Y$73)*conv_2026*Y$7</f>
        <v>0</v>
      </c>
      <c r="Z29" s="28">
        <f>SUM(Option2!Z$71:Z$73)*conv_2026*Z$7</f>
        <v>0</v>
      </c>
      <c r="AA29" s="28">
        <f>SUM(Option2!AA$71:AA$73)*conv_2026*AA$7</f>
        <v>0</v>
      </c>
      <c r="AB29" s="28">
        <f>SUM(Option2!AB$71:AB$73)*conv_2026*AB$7</f>
        <v>0</v>
      </c>
      <c r="AC29" s="28">
        <f>SUM(Option2!AC$71:AC$73)*conv_2026*AC$7</f>
        <v>0</v>
      </c>
      <c r="AD29" s="28">
        <f>SUM(Option2!AD$71:AD$73)*conv_2026*AD$7</f>
        <v>0</v>
      </c>
      <c r="AE29" s="28">
        <f>SUM(Option2!AE$71:AE$73)*conv_2026*AE$7</f>
        <v>0</v>
      </c>
      <c r="AF29" s="28">
        <f>SUM(Option2!AF$71:AF$73)*conv_2026*AF$7</f>
        <v>0</v>
      </c>
      <c r="AG29" s="28">
        <f>SUM(Option2!AG$71:AG$73)*conv_2026*AG$7</f>
        <v>0</v>
      </c>
    </row>
    <row r="30" spans="1:33" s="2" customFormat="1" x14ac:dyDescent="0.2">
      <c r="A30" s="110" t="str">
        <f t="shared" ref="A30:A39" si="7">A29</f>
        <v>Option 2</v>
      </c>
      <c r="B30" s="110"/>
      <c r="C30" s="51" t="str">
        <f>'Option1 (base case)'!C$40</f>
        <v>Total risk cost</v>
      </c>
      <c r="D30" s="33" t="str">
        <f t="shared" si="6"/>
        <v>Option 2Total risk cost</v>
      </c>
      <c r="E30" s="1"/>
      <c r="F30" s="82" cm="1">
        <f t="array" ref="F30">SUMPRODUCT(($H30:$AG30)*($H$5:$AG$5)*($H$7:$AG$7))</f>
        <v>341729.31300222606</v>
      </c>
      <c r="G30" s="193">
        <f>output_dollars</f>
        <v>46203</v>
      </c>
      <c r="H30" s="28"/>
      <c r="I30" s="28">
        <f>Option2!I$40*conv_2026*I$7</f>
        <v>1332.4698397258762</v>
      </c>
      <c r="J30" s="28">
        <f>Option2!J$40*conv_2026*J$7</f>
        <v>14739.062891764832</v>
      </c>
      <c r="K30" s="28">
        <f>Option2!K$40*conv_2026*K$7</f>
        <v>0</v>
      </c>
      <c r="L30" s="28">
        <f>Option2!L$40*conv_2026*L$7</f>
        <v>2411.0236790288236</v>
      </c>
      <c r="M30" s="28">
        <f>Option2!M$40*conv_2026*M$7</f>
        <v>15.967395757738679</v>
      </c>
      <c r="N30" s="28">
        <f>Option2!N$40*conv_2026*N$7</f>
        <v>276.52340028593494</v>
      </c>
      <c r="O30" s="28">
        <f>Option2!O$40*conv_2026*O$7</f>
        <v>2471.6526501989047</v>
      </c>
      <c r="P30" s="28">
        <f>Option2!P$40*conv_2026*P$7</f>
        <v>13682.323926387582</v>
      </c>
      <c r="Q30" s="28">
        <f>Option2!Q$40*conv_2026*Q$7</f>
        <v>32467.516081963844</v>
      </c>
      <c r="R30" s="28">
        <f>Option2!R$40*conv_2026*R$7</f>
        <v>52626.80448996745</v>
      </c>
      <c r="S30" s="28">
        <f>Option2!S$40*conv_2026*S$7</f>
        <v>41563.818378457479</v>
      </c>
      <c r="T30" s="28">
        <f>Option2!T$40*conv_2026*T$7</f>
        <v>41563.818378457479</v>
      </c>
      <c r="U30" s="28">
        <f>Option2!U$40*conv_2026*U$7</f>
        <v>41563.818378457479</v>
      </c>
      <c r="V30" s="28">
        <f>Option2!V$40*conv_2026*V$7</f>
        <v>41563.818378457479</v>
      </c>
      <c r="W30" s="28">
        <f>Option2!W$40*conv_2026*W$7</f>
        <v>41563.818378457479</v>
      </c>
      <c r="X30" s="28">
        <f>Option2!X$40*conv_2026*X$7</f>
        <v>41563.818378457479</v>
      </c>
      <c r="Y30" s="28">
        <f>Option2!Y$40*conv_2026*Y$7</f>
        <v>41563.818378457479</v>
      </c>
      <c r="Z30" s="28">
        <f>Option2!Z$40*conv_2026*Z$7</f>
        <v>41563.818378457479</v>
      </c>
      <c r="AA30" s="28">
        <f>Option2!AA$40*conv_2026*AA$7</f>
        <v>41563.818378457479</v>
      </c>
      <c r="AB30" s="28">
        <f>Option2!AB$40*conv_2026*AB$7</f>
        <v>41563.818378457479</v>
      </c>
      <c r="AC30" s="28">
        <f>Option2!AC$40*conv_2026*AC$7</f>
        <v>0</v>
      </c>
      <c r="AD30" s="28">
        <f>Option2!AD$40*conv_2026*AD$7</f>
        <v>0</v>
      </c>
      <c r="AE30" s="28">
        <f>Option2!AE$40*conv_2026*AE$7</f>
        <v>0</v>
      </c>
      <c r="AF30" s="28">
        <f>Option2!AF$40*conv_2026*AF$7</f>
        <v>0</v>
      </c>
      <c r="AG30" s="28">
        <f>Option2!AG$40*conv_2026*AG$7</f>
        <v>0</v>
      </c>
    </row>
    <row r="31" spans="1:33" s="2" customFormat="1" x14ac:dyDescent="0.2">
      <c r="A31" s="110" t="str">
        <f t="shared" si="7"/>
        <v>Option 2</v>
      </c>
      <c r="B31" s="110"/>
      <c r="C31" s="12"/>
      <c r="D31" s="33" t="str">
        <f t="shared" si="6"/>
        <v>Option 2</v>
      </c>
      <c r="E31" s="1"/>
      <c r="F31" s="82"/>
      <c r="G31" s="194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x14ac:dyDescent="0.2">
      <c r="A32" s="110" t="str">
        <f t="shared" si="7"/>
        <v>Option 2</v>
      </c>
      <c r="B32" s="110"/>
      <c r="C32" s="51" t="str">
        <f>Option2!C$86</f>
        <v>Annualised capex</v>
      </c>
      <c r="D32" s="33" t="str">
        <f t="shared" si="6"/>
        <v>Option 2Annualised capex</v>
      </c>
      <c r="E32" s="1"/>
      <c r="F32" s="82" cm="1">
        <f t="array" ref="F32">SUMPRODUCT(($H32:$AG32)*($H$5:$AG$5)*($H$7:$AG$7))</f>
        <v>-10513766.551864607</v>
      </c>
      <c r="G32" s="193">
        <f t="shared" ref="G32:G39" si="8">output_dollars</f>
        <v>46203</v>
      </c>
      <c r="H32" s="28"/>
      <c r="I32" s="28">
        <f>Option2!I$86*conv_2026*I$7</f>
        <v>0</v>
      </c>
      <c r="J32" s="28">
        <f>Option2!J$86*conv_2026*J$7</f>
        <v>-373632.53717409412</v>
      </c>
      <c r="K32" s="28">
        <f>Option2!K$86*conv_2026*K$7</f>
        <v>-811005.82495446829</v>
      </c>
      <c r="L32" s="28">
        <f>Option2!L$86*conv_2026*L$7</f>
        <v>-811005.82495446829</v>
      </c>
      <c r="M32" s="28">
        <f>Option2!M$86*conv_2026*M$7</f>
        <v>-811005.82495446829</v>
      </c>
      <c r="N32" s="28">
        <f>Option2!N$86*conv_2026*N$7</f>
        <v>-811005.82495446829</v>
      </c>
      <c r="O32" s="28">
        <f>Option2!O$86*conv_2026*O$7</f>
        <v>-811005.82495446829</v>
      </c>
      <c r="P32" s="28">
        <f>Option2!P$86*conv_2026*P$7</f>
        <v>-811005.82495446829</v>
      </c>
      <c r="Q32" s="28">
        <f>Option2!Q$86*conv_2026*Q$7</f>
        <v>-811005.82495446829</v>
      </c>
      <c r="R32" s="28">
        <f>Option2!R$86*conv_2026*R$7</f>
        <v>-811005.82495446829</v>
      </c>
      <c r="S32" s="28">
        <f>Option2!S$86*conv_2026*S$7</f>
        <v>-811005.82495446829</v>
      </c>
      <c r="T32" s="28">
        <f>Option2!T$86*conv_2026*T$7</f>
        <v>-811005.82495446829</v>
      </c>
      <c r="U32" s="28">
        <f>Option2!U$86*conv_2026*U$7</f>
        <v>-811005.82495446829</v>
      </c>
      <c r="V32" s="28">
        <f>Option2!V$86*conv_2026*V$7</f>
        <v>-811005.82495446829</v>
      </c>
      <c r="W32" s="28">
        <f>Option2!W$86*conv_2026*W$7</f>
        <v>-811005.82495446829</v>
      </c>
      <c r="X32" s="28">
        <f>Option2!X$86*conv_2026*X$7</f>
        <v>-811005.82495446829</v>
      </c>
      <c r="Y32" s="28">
        <f>Option2!Y$86*conv_2026*Y$7</f>
        <v>-811005.82495446829</v>
      </c>
      <c r="Z32" s="28">
        <f>Option2!Z$86*conv_2026*Z$7</f>
        <v>-811005.82495446829</v>
      </c>
      <c r="AA32" s="28">
        <f>Option2!AA$86*conv_2026*AA$7</f>
        <v>-811005.82495446829</v>
      </c>
      <c r="AB32" s="28">
        <f>Option2!AB$86*conv_2026*AB$7</f>
        <v>-811005.82495446829</v>
      </c>
      <c r="AC32" s="28">
        <f>Option2!AC$86*conv_2026*AC$7</f>
        <v>0</v>
      </c>
      <c r="AD32" s="28">
        <f>Option2!AD$86*conv_2026*AD$7</f>
        <v>0</v>
      </c>
      <c r="AE32" s="28">
        <f>Option2!AE$86*conv_2026*AE$7</f>
        <v>0</v>
      </c>
      <c r="AF32" s="28">
        <f>Option2!AF$86*conv_2026*AF$7</f>
        <v>0</v>
      </c>
      <c r="AG32" s="28">
        <f>Option2!AG$86*conv_2026*AG$7</f>
        <v>0</v>
      </c>
    </row>
    <row r="33" spans="1:33" s="2" customFormat="1" x14ac:dyDescent="0.2">
      <c r="A33" s="110" t="str">
        <f t="shared" si="7"/>
        <v>Option 2</v>
      </c>
      <c r="B33" s="110"/>
      <c r="C33" s="51" t="str">
        <f>Option2!C$87</f>
        <v>Operating expenditure</v>
      </c>
      <c r="D33" s="33" t="str">
        <f t="shared" si="6"/>
        <v>Option 2Operating expenditure</v>
      </c>
      <c r="E33" s="1"/>
      <c r="F33" s="82" cm="1">
        <f t="array" ref="F33">SUMPRODUCT(($H33:$AG33)*($H$5:$AG$5)*($H$7:$AG$7))</f>
        <v>0</v>
      </c>
      <c r="G33" s="193">
        <f t="shared" si="8"/>
        <v>46203</v>
      </c>
      <c r="H33" s="28"/>
      <c r="I33" s="28">
        <f>Option2!I$87*conv_2026*I$7</f>
        <v>0</v>
      </c>
      <c r="J33" s="28">
        <f>Option2!J$87*conv_2026*J$7</f>
        <v>0</v>
      </c>
      <c r="K33" s="28">
        <f>Option2!K$87*conv_2026*K$7</f>
        <v>0</v>
      </c>
      <c r="L33" s="28">
        <f>Option2!L$87*conv_2026*L$7</f>
        <v>0</v>
      </c>
      <c r="M33" s="28">
        <f>Option2!M$87*conv_2026*M$7</f>
        <v>0</v>
      </c>
      <c r="N33" s="28">
        <f>Option2!N$87*conv_2026*N$7</f>
        <v>0</v>
      </c>
      <c r="O33" s="28">
        <f>Option2!O$87*conv_2026*O$7</f>
        <v>0</v>
      </c>
      <c r="P33" s="28">
        <f>Option2!P$87*conv_2026*P$7</f>
        <v>0</v>
      </c>
      <c r="Q33" s="28">
        <f>Option2!Q$87*conv_2026*Q$7</f>
        <v>0</v>
      </c>
      <c r="R33" s="28">
        <f>Option2!R$87*conv_2026*R$7</f>
        <v>0</v>
      </c>
      <c r="S33" s="28">
        <f>Option2!S$87*conv_2026*S$7</f>
        <v>0</v>
      </c>
      <c r="T33" s="28">
        <f>Option2!T$87*conv_2026*T$7</f>
        <v>0</v>
      </c>
      <c r="U33" s="28">
        <f>Option2!U$87*conv_2026*U$7</f>
        <v>0</v>
      </c>
      <c r="V33" s="28">
        <f>Option2!V$87*conv_2026*V$7</f>
        <v>0</v>
      </c>
      <c r="W33" s="28">
        <f>Option2!W$87*conv_2026*W$7</f>
        <v>0</v>
      </c>
      <c r="X33" s="28">
        <f>Option2!X$87*conv_2026*X$7</f>
        <v>0</v>
      </c>
      <c r="Y33" s="28">
        <f>Option2!Y$87*conv_2026*Y$7</f>
        <v>0</v>
      </c>
      <c r="Z33" s="28">
        <f>Option2!Z$87*conv_2026*Z$7</f>
        <v>0</v>
      </c>
      <c r="AA33" s="28">
        <f>Option2!AA$87*conv_2026*AA$7</f>
        <v>0</v>
      </c>
      <c r="AB33" s="28">
        <f>Option2!AB$87*conv_2026*AB$7</f>
        <v>0</v>
      </c>
      <c r="AC33" s="28">
        <f>Option2!AC$87*conv_2026*AC$7</f>
        <v>0</v>
      </c>
      <c r="AD33" s="28">
        <f>Option2!AD$87*conv_2026*AD$7</f>
        <v>0</v>
      </c>
      <c r="AE33" s="28">
        <f>Option2!AE$87*conv_2026*AE$7</f>
        <v>0</v>
      </c>
      <c r="AF33" s="28">
        <f>Option2!AF$87*conv_2026*AF$7</f>
        <v>0</v>
      </c>
      <c r="AG33" s="28">
        <f>Option2!AG$87*conv_2026*AG$7</f>
        <v>0</v>
      </c>
    </row>
    <row r="34" spans="1:33" s="2" customFormat="1" x14ac:dyDescent="0.2">
      <c r="A34" s="110" t="str">
        <f t="shared" si="7"/>
        <v>Option 2</v>
      </c>
      <c r="B34" s="110"/>
      <c r="C34" s="51" t="str">
        <f>Option2!C$88</f>
        <v>Risk mitigated</v>
      </c>
      <c r="D34" s="33" t="str">
        <f t="shared" si="6"/>
        <v>Option 2Risk mitigated</v>
      </c>
      <c r="E34" s="1"/>
      <c r="F34" s="82" cm="1">
        <f t="array" ref="F34">SUMPRODUCT(($H34:$AG34)*($H$5:$AG$5)*($H$7:$AG$7))</f>
        <v>5870761.0101600559</v>
      </c>
      <c r="G34" s="193">
        <f t="shared" si="8"/>
        <v>46203</v>
      </c>
      <c r="H34" s="28"/>
      <c r="I34" s="28">
        <f>Option2!I$88*conv_2026*I$7</f>
        <v>0</v>
      </c>
      <c r="J34" s="28">
        <f>Option2!J$88*conv_2026*J$7</f>
        <v>0</v>
      </c>
      <c r="K34" s="28">
        <f>Option2!K$88*conv_2026*K$7</f>
        <v>35205.256504725534</v>
      </c>
      <c r="L34" s="28">
        <f>Option2!L$88*conv_2026*L$7</f>
        <v>65156.294730859809</v>
      </c>
      <c r="M34" s="28">
        <f>Option2!M$88*conv_2026*M$7</f>
        <v>109491.20123687206</v>
      </c>
      <c r="N34" s="28">
        <f>Option2!N$88*conv_2026*N$7</f>
        <v>170768.89016534638</v>
      </c>
      <c r="O34" s="28">
        <f>Option2!O$88*conv_2026*O$7</f>
        <v>275222.08294019295</v>
      </c>
      <c r="P34" s="28">
        <f>Option2!P$88*conv_2026*P$7</f>
        <v>429434.24821904697</v>
      </c>
      <c r="Q34" s="28">
        <f>Option2!Q$88*conv_2026*Q$7</f>
        <v>593237.46440865216</v>
      </c>
      <c r="R34" s="28">
        <f>Option2!R$88*conv_2026*R$7</f>
        <v>749554.41554628219</v>
      </c>
      <c r="S34" s="28">
        <f>Option2!S$88*conv_2026*S$7</f>
        <v>668596.78846731223</v>
      </c>
      <c r="T34" s="28">
        <f>Option2!T$88*conv_2026*T$7</f>
        <v>668596.78846731223</v>
      </c>
      <c r="U34" s="28">
        <f>Option2!U$88*conv_2026*U$7</f>
        <v>668596.78846731223</v>
      </c>
      <c r="V34" s="28">
        <f>Option2!V$88*conv_2026*V$7</f>
        <v>668596.78846731223</v>
      </c>
      <c r="W34" s="28">
        <f>Option2!W$88*conv_2026*W$7</f>
        <v>668596.78846731223</v>
      </c>
      <c r="X34" s="28">
        <f>Option2!X$88*conv_2026*X$7</f>
        <v>668596.78846731223</v>
      </c>
      <c r="Y34" s="28">
        <f>Option2!Y$88*conv_2026*Y$7</f>
        <v>668596.78846731223</v>
      </c>
      <c r="Z34" s="28">
        <f>Option2!Z$88*conv_2026*Z$7</f>
        <v>668596.78846731223</v>
      </c>
      <c r="AA34" s="28">
        <f>Option2!AA$88*conv_2026*AA$7</f>
        <v>668596.78846731223</v>
      </c>
      <c r="AB34" s="28">
        <f>Option2!AB$88*conv_2026*AB$7</f>
        <v>668596.78846731223</v>
      </c>
      <c r="AC34" s="28">
        <f>Option2!AC$88*conv_2026*AC$7</f>
        <v>0</v>
      </c>
      <c r="AD34" s="28">
        <f>Option2!AD$88*conv_2026*AD$7</f>
        <v>0</v>
      </c>
      <c r="AE34" s="28">
        <f>Option2!AE$88*conv_2026*AE$7</f>
        <v>0</v>
      </c>
      <c r="AF34" s="28">
        <f>Option2!AF$88*conv_2026*AF$7</f>
        <v>0</v>
      </c>
      <c r="AG34" s="28">
        <f>Option2!AG$88*conv_2026*AG$7</f>
        <v>0</v>
      </c>
    </row>
    <row r="35" spans="1:33" s="2" customFormat="1" x14ac:dyDescent="0.2">
      <c r="A35" s="110" t="str">
        <f t="shared" si="7"/>
        <v>Option 2</v>
      </c>
      <c r="B35" s="110"/>
      <c r="C35" s="51" t="str">
        <f>Option2!C$89</f>
        <v>Other benefits value</v>
      </c>
      <c r="D35" s="33" t="str">
        <f t="shared" si="6"/>
        <v>Option 2Other benefits value</v>
      </c>
      <c r="E35" s="1"/>
      <c r="F35" s="82" cm="1">
        <f t="array" ref="F35">SUMPRODUCT(($H35:$AG35)*($H$5:$AG$5)*($H$7:$AG$7))</f>
        <v>0</v>
      </c>
      <c r="G35" s="193">
        <f t="shared" si="8"/>
        <v>46203</v>
      </c>
      <c r="H35" s="28"/>
      <c r="I35" s="28">
        <f>Option2!I$89*conv_2026*I$7</f>
        <v>0</v>
      </c>
      <c r="J35" s="28">
        <f>Option2!J$89*conv_2026*J$7</f>
        <v>0</v>
      </c>
      <c r="K35" s="28">
        <f>Option2!K$89*conv_2026*K$7</f>
        <v>0</v>
      </c>
      <c r="L35" s="28">
        <f>Option2!L$89*conv_2026*L$7</f>
        <v>0</v>
      </c>
      <c r="M35" s="28">
        <f>Option2!M$89*conv_2026*M$7</f>
        <v>0</v>
      </c>
      <c r="N35" s="28">
        <f>Option2!N$89*conv_2026*N$7</f>
        <v>0</v>
      </c>
      <c r="O35" s="28">
        <f>Option2!O$89*conv_2026*O$7</f>
        <v>0</v>
      </c>
      <c r="P35" s="28">
        <f>Option2!P$89*conv_2026*P$7</f>
        <v>0</v>
      </c>
      <c r="Q35" s="28">
        <f>Option2!Q$89*conv_2026*Q$7</f>
        <v>0</v>
      </c>
      <c r="R35" s="28">
        <f>Option2!R$89*conv_2026*R$7</f>
        <v>0</v>
      </c>
      <c r="S35" s="28">
        <f>Option2!S$89*conv_2026*S$7</f>
        <v>0</v>
      </c>
      <c r="T35" s="28">
        <f>Option2!T$89*conv_2026*T$7</f>
        <v>0</v>
      </c>
      <c r="U35" s="28">
        <f>Option2!U$89*conv_2026*U$7</f>
        <v>0</v>
      </c>
      <c r="V35" s="28">
        <f>Option2!V$89*conv_2026*V$7</f>
        <v>0</v>
      </c>
      <c r="W35" s="28">
        <f>Option2!W$89*conv_2026*W$7</f>
        <v>0</v>
      </c>
      <c r="X35" s="28">
        <f>Option2!X$89*conv_2026*X$7</f>
        <v>0</v>
      </c>
      <c r="Y35" s="28">
        <f>Option2!Y$89*conv_2026*Y$7</f>
        <v>0</v>
      </c>
      <c r="Z35" s="28">
        <f>Option2!Z$89*conv_2026*Z$7</f>
        <v>0</v>
      </c>
      <c r="AA35" s="28">
        <f>Option2!AA$89*conv_2026*AA$7</f>
        <v>0</v>
      </c>
      <c r="AB35" s="28">
        <f>Option2!AB$89*conv_2026*AB$7</f>
        <v>0</v>
      </c>
      <c r="AC35" s="28">
        <f>Option2!AC$89*conv_2026*AC$7</f>
        <v>0</v>
      </c>
      <c r="AD35" s="28">
        <f>Option2!AD$89*conv_2026*AD$7</f>
        <v>0</v>
      </c>
      <c r="AE35" s="28">
        <f>Option2!AE$89*conv_2026*AE$7</f>
        <v>0</v>
      </c>
      <c r="AF35" s="28">
        <f>Option2!AF$89*conv_2026*AF$7</f>
        <v>0</v>
      </c>
      <c r="AG35" s="28">
        <f>Option2!AG$89*conv_2026*AG$7</f>
        <v>0</v>
      </c>
    </row>
    <row r="36" spans="1:33" s="2" customFormat="1" x14ac:dyDescent="0.2">
      <c r="A36" s="110" t="str">
        <f t="shared" si="7"/>
        <v>Option 2</v>
      </c>
      <c r="B36" s="110"/>
      <c r="C36" s="101" t="str">
        <f>Option2!C91</f>
        <v>Net benefits</v>
      </c>
      <c r="D36" s="93" t="str">
        <f t="shared" si="6"/>
        <v>Option 2Net benefits</v>
      </c>
      <c r="E36" s="94"/>
      <c r="F36" s="117"/>
      <c r="G36" s="195">
        <f t="shared" si="8"/>
        <v>46203</v>
      </c>
      <c r="H36" s="45"/>
      <c r="I36" s="45">
        <f>SUM(I32:I35)</f>
        <v>0</v>
      </c>
      <c r="J36" s="45">
        <f t="shared" ref="J36:AG36" si="9">SUM(J32:J35)</f>
        <v>-373632.53717409412</v>
      </c>
      <c r="K36" s="45">
        <f t="shared" si="9"/>
        <v>-775800.56844974274</v>
      </c>
      <c r="L36" s="45">
        <f t="shared" si="9"/>
        <v>-745849.53022360848</v>
      </c>
      <c r="M36" s="45">
        <f t="shared" si="9"/>
        <v>-701514.62371759629</v>
      </c>
      <c r="N36" s="45">
        <f t="shared" si="9"/>
        <v>-640236.93478912185</v>
      </c>
      <c r="O36" s="45">
        <f t="shared" si="9"/>
        <v>-535783.7420142754</v>
      </c>
      <c r="P36" s="45">
        <f t="shared" si="9"/>
        <v>-381571.57673542132</v>
      </c>
      <c r="Q36" s="45">
        <f t="shared" si="9"/>
        <v>-217768.36054581613</v>
      </c>
      <c r="R36" s="45">
        <f t="shared" si="9"/>
        <v>-61451.409408186097</v>
      </c>
      <c r="S36" s="45">
        <f t="shared" si="9"/>
        <v>-142409.03648715606</v>
      </c>
      <c r="T36" s="45">
        <f t="shared" si="9"/>
        <v>-142409.03648715606</v>
      </c>
      <c r="U36" s="45">
        <f t="shared" si="9"/>
        <v>-142409.03648715606</v>
      </c>
      <c r="V36" s="45">
        <f t="shared" si="9"/>
        <v>-142409.03648715606</v>
      </c>
      <c r="W36" s="45">
        <f t="shared" si="9"/>
        <v>-142409.03648715606</v>
      </c>
      <c r="X36" s="45">
        <f t="shared" si="9"/>
        <v>-142409.03648715606</v>
      </c>
      <c r="Y36" s="45">
        <f t="shared" si="9"/>
        <v>-142409.03648715606</v>
      </c>
      <c r="Z36" s="45">
        <f t="shared" si="9"/>
        <v>-142409.03648715606</v>
      </c>
      <c r="AA36" s="45">
        <f t="shared" si="9"/>
        <v>-142409.03648715606</v>
      </c>
      <c r="AB36" s="45">
        <f t="shared" si="9"/>
        <v>-142409.03648715606</v>
      </c>
      <c r="AC36" s="45">
        <f t="shared" si="9"/>
        <v>0</v>
      </c>
      <c r="AD36" s="45">
        <f t="shared" si="9"/>
        <v>0</v>
      </c>
      <c r="AE36" s="45">
        <f t="shared" si="9"/>
        <v>0</v>
      </c>
      <c r="AF36" s="45">
        <f t="shared" si="9"/>
        <v>0</v>
      </c>
      <c r="AG36" s="45">
        <f t="shared" si="9"/>
        <v>0</v>
      </c>
    </row>
    <row r="37" spans="1:33" s="2" customFormat="1" x14ac:dyDescent="0.2">
      <c r="A37" s="110" t="str">
        <f t="shared" si="7"/>
        <v>Option 2</v>
      </c>
      <c r="B37" s="110"/>
      <c r="C37" s="6" t="s">
        <v>7</v>
      </c>
      <c r="D37" s="33" t="str">
        <f t="shared" si="6"/>
        <v>Option 2NPV</v>
      </c>
      <c r="E37" s="1"/>
      <c r="F37" s="92" cm="1">
        <f t="array" ref="F37">SUMPRODUCT(($H36:$AG36)*($H$5:$AG$5)*($H$7:$AG$7))</f>
        <v>-4643005.5417045513</v>
      </c>
      <c r="G37" s="193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x14ac:dyDescent="0.2">
      <c r="A38" s="110" t="str">
        <f t="shared" si="7"/>
        <v>Option 2</v>
      </c>
      <c r="B38" s="110"/>
      <c r="C38" s="6" t="s">
        <v>5</v>
      </c>
      <c r="D38" s="33" t="str">
        <f t="shared" si="6"/>
        <v>Option 2PV of costs</v>
      </c>
      <c r="E38" s="1"/>
      <c r="F38" s="92">
        <f>SUM(F32:F33)</f>
        <v>-10513766.551864607</v>
      </c>
      <c r="G38" s="193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x14ac:dyDescent="0.2">
      <c r="A39" s="110" t="str">
        <f t="shared" si="7"/>
        <v>Option 2</v>
      </c>
      <c r="B39" s="110"/>
      <c r="C39" s="6" t="s">
        <v>6</v>
      </c>
      <c r="D39" s="33" t="str">
        <f t="shared" si="6"/>
        <v>Option 2PV of benefits</v>
      </c>
      <c r="E39" s="1"/>
      <c r="F39" s="92">
        <f>SUM(F34:F35)</f>
        <v>5870761.0101600559</v>
      </c>
      <c r="G39" s="193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x14ac:dyDescent="0.2">
      <c r="A40" s="110"/>
      <c r="B40" s="110"/>
      <c r="C40" s="1"/>
      <c r="D40" s="33"/>
      <c r="E40" s="1"/>
      <c r="F40" s="92"/>
      <c r="G40" s="196"/>
      <c r="H40" s="1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</row>
    <row r="41" spans="1:33" s="2" customFormat="1" x14ac:dyDescent="0.2">
      <c r="A41" s="51"/>
      <c r="B41" s="51"/>
      <c r="C41" s="51"/>
      <c r="D41" s="33" t="str">
        <f>A41&amp;C41</f>
        <v/>
      </c>
      <c r="F41" s="7"/>
      <c r="G41" s="189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x14ac:dyDescent="0.2">
      <c r="A42" s="51" t="str">
        <f>A43</f>
        <v>Option 3</v>
      </c>
      <c r="B42" s="51"/>
      <c r="C42" s="51" t="s">
        <v>105</v>
      </c>
      <c r="D42" s="33" t="str">
        <f>A42&amp;C42</f>
        <v>Option 3Energy at risk value</v>
      </c>
      <c r="F42" s="82">
        <f>SUMPRODUCT($H42:$AG42, $H$5:$AG$5)</f>
        <v>19663.98622552845</v>
      </c>
      <c r="G42" s="193">
        <f>output_dollars</f>
        <v>46203</v>
      </c>
      <c r="H42" s="28"/>
      <c r="I42" s="28">
        <f>Option3!I$32*conv_2026</f>
        <v>1332.4698397258762</v>
      </c>
      <c r="J42" s="28">
        <f>Option3!J$32*conv_2026</f>
        <v>14739.062891764832</v>
      </c>
      <c r="K42" s="28">
        <f>Option3!K$32*conv_2026</f>
        <v>0</v>
      </c>
      <c r="L42" s="28">
        <f>Option3!L$32*conv_2026</f>
        <v>2411.0236790288236</v>
      </c>
      <c r="M42" s="28">
        <f>Option3!M$32*conv_2026</f>
        <v>15.967395757738679</v>
      </c>
      <c r="N42" s="28">
        <f>Option3!N$32*conv_2026</f>
        <v>276.52340028593494</v>
      </c>
      <c r="O42" s="28">
        <f>Option3!O$32*conv_2026</f>
        <v>2471.6526501989047</v>
      </c>
      <c r="P42" s="28">
        <f>Option3!P$32*conv_2026</f>
        <v>0</v>
      </c>
      <c r="Q42" s="28">
        <f>Option3!Q$32*conv_2026</f>
        <v>0</v>
      </c>
      <c r="R42" s="28">
        <f>Option3!R$32*conv_2026</f>
        <v>0</v>
      </c>
      <c r="S42" s="28">
        <f>Option3!S$32*conv_2026</f>
        <v>0</v>
      </c>
      <c r="T42" s="28">
        <f>Option3!T$32*conv_2026</f>
        <v>0</v>
      </c>
      <c r="U42" s="28">
        <f>Option3!U$32*conv_2026</f>
        <v>0</v>
      </c>
      <c r="V42" s="28">
        <f>Option3!V$32*conv_2026</f>
        <v>0</v>
      </c>
      <c r="W42" s="28">
        <f>Option3!W$32*conv_2026</f>
        <v>0</v>
      </c>
      <c r="X42" s="28">
        <f>Option3!X$32*conv_2026</f>
        <v>0</v>
      </c>
      <c r="Y42" s="28">
        <f>Option3!Y$32*conv_2026</f>
        <v>0</v>
      </c>
      <c r="Z42" s="28">
        <f>Option3!Z$32*conv_2026</f>
        <v>0</v>
      </c>
      <c r="AA42" s="28">
        <f>Option3!AA$32*conv_2026</f>
        <v>0</v>
      </c>
      <c r="AB42" s="28">
        <f>Option3!AB$32*conv_2026</f>
        <v>0</v>
      </c>
      <c r="AC42" s="28">
        <f>Option3!AC$32*conv_2026</f>
        <v>0</v>
      </c>
      <c r="AD42" s="28">
        <f>Option3!AD$32*conv_2026</f>
        <v>0</v>
      </c>
      <c r="AE42" s="28">
        <f>Option3!AE$32*conv_2026</f>
        <v>0</v>
      </c>
      <c r="AF42" s="28">
        <f>Option3!AF$32*conv_2026</f>
        <v>0</v>
      </c>
      <c r="AG42" s="28">
        <f>Option3!AG$32*conv_2026</f>
        <v>0</v>
      </c>
    </row>
    <row r="43" spans="1:33" s="2" customFormat="1" x14ac:dyDescent="0.2">
      <c r="A43" s="110" t="str">
        <f>Data!B11</f>
        <v>Option 3</v>
      </c>
      <c r="B43" s="110"/>
      <c r="C43" s="51" t="str">
        <f>Option3!C$70</f>
        <v>Capital expenditure</v>
      </c>
      <c r="D43" s="33" t="str">
        <f>A43&amp;C43</f>
        <v>Option 3Capital expenditure</v>
      </c>
      <c r="E43" s="1"/>
      <c r="F43" s="82">
        <f>SUMPRODUCT($H43:$AG43, $H$5:$AG$5)</f>
        <v>-76480694.958046168</v>
      </c>
      <c r="G43" s="193">
        <f>output_dollars</f>
        <v>46203</v>
      </c>
      <c r="H43" s="28"/>
      <c r="I43" s="28">
        <f>SUM(Option3!I$71:I$73)*conv_2026*I$7</f>
        <v>-8763782.0159862489</v>
      </c>
      <c r="J43" s="28">
        <f>SUM(Option3!J$71:J$73)*conv_2026*J$7</f>
        <v>-10258860.704993678</v>
      </c>
      <c r="K43" s="28">
        <f>SUM(Option3!K$71:K$73)*conv_2026*K$7</f>
        <v>-553348.20524055557</v>
      </c>
      <c r="L43" s="28">
        <f>SUM(Option3!L$71:L$73)*conv_2026*L$7</f>
        <v>-16600446.157216668</v>
      </c>
      <c r="M43" s="28">
        <f>SUM(Option3!M$71:M$73)*conv_2026*M$7</f>
        <v>-20584553.234948669</v>
      </c>
      <c r="N43" s="28">
        <f>SUM(Option3!N$71:N$73)*conv_2026*N$7</f>
        <v>-20584553.234948669</v>
      </c>
      <c r="O43" s="28">
        <f>SUM(Option3!O$71:O$73)*conv_2026*O$7</f>
        <v>-10292276.617474334</v>
      </c>
      <c r="P43" s="28">
        <f>SUM(Option3!P$71:P$73)*conv_2026*P$7</f>
        <v>0</v>
      </c>
      <c r="Q43" s="28">
        <f>SUM(Option3!Q$71:Q$73)*conv_2026*Q$7</f>
        <v>0</v>
      </c>
      <c r="R43" s="28">
        <f>SUM(Option3!R$71:R$73)*conv_2026*R$7</f>
        <v>0</v>
      </c>
      <c r="S43" s="28">
        <f>SUM(Option3!S$71:S$73)*conv_2026*S$7</f>
        <v>0</v>
      </c>
      <c r="T43" s="28">
        <f>SUM(Option3!T$71:T$73)*conv_2026*T$7</f>
        <v>0</v>
      </c>
      <c r="U43" s="28">
        <f>SUM(Option3!U$71:U$73)*conv_2026*U$7</f>
        <v>0</v>
      </c>
      <c r="V43" s="28">
        <f>SUM(Option3!V$71:V$73)*conv_2026*V$7</f>
        <v>0</v>
      </c>
      <c r="W43" s="28">
        <f>SUM(Option3!W$71:W$73)*conv_2026*W$7</f>
        <v>0</v>
      </c>
      <c r="X43" s="28">
        <f>SUM(Option3!X$71:X$73)*conv_2026*X$7</f>
        <v>0</v>
      </c>
      <c r="Y43" s="28">
        <f>SUM(Option3!Y$71:Y$73)*conv_2026*Y$7</f>
        <v>0</v>
      </c>
      <c r="Z43" s="28">
        <f>SUM(Option3!Z$71:Z$73)*conv_2026*Z$7</f>
        <v>0</v>
      </c>
      <c r="AA43" s="28">
        <f>SUM(Option3!AA$71:AA$73)*conv_2026*AA$7</f>
        <v>0</v>
      </c>
      <c r="AB43" s="28">
        <f>SUM(Option3!AB$71:AB$73)*conv_2026*AB$7</f>
        <v>0</v>
      </c>
      <c r="AC43" s="28">
        <f>SUM(Option3!AC$71:AC$73)*conv_2026*AC$7</f>
        <v>0</v>
      </c>
      <c r="AD43" s="28">
        <f>SUM(Option3!AD$71:AD$73)*conv_2026*AD$7</f>
        <v>0</v>
      </c>
      <c r="AE43" s="28">
        <f>SUM(Option3!AE$71:AE$73)*conv_2026*AE$7</f>
        <v>0</v>
      </c>
      <c r="AF43" s="28">
        <f>SUM(Option3!AF$71:AF$73)*conv_2026*AF$7</f>
        <v>0</v>
      </c>
      <c r="AG43" s="28">
        <f>SUM(Option3!AG$71:AG$73)*conv_2026*AG$7</f>
        <v>0</v>
      </c>
    </row>
    <row r="44" spans="1:33" s="2" customFormat="1" x14ac:dyDescent="0.2">
      <c r="A44" s="110" t="str">
        <f t="shared" ref="A44:A53" si="10">A43</f>
        <v>Option 3</v>
      </c>
      <c r="B44" s="110"/>
      <c r="C44" s="51" t="str">
        <f>'Option1 (base case)'!C$40</f>
        <v>Total risk cost</v>
      </c>
      <c r="D44" s="33" t="str">
        <f>A44&amp;C44</f>
        <v>Option 3Total risk cost</v>
      </c>
      <c r="E44" s="1"/>
      <c r="F44" s="82">
        <f>SUMPRODUCT($H44:$AG44, $H$5:$AG$5)</f>
        <v>19663.98622552845</v>
      </c>
      <c r="G44" s="193">
        <f>output_dollars</f>
        <v>46203</v>
      </c>
      <c r="H44" s="28"/>
      <c r="I44" s="28">
        <f>Option3!I$40*conv_2026*I$7</f>
        <v>1332.4698397258762</v>
      </c>
      <c r="J44" s="28">
        <f>Option3!J$40*conv_2026*J$7</f>
        <v>14739.062891764832</v>
      </c>
      <c r="K44" s="28">
        <f>Option3!K$40*conv_2026*K$7</f>
        <v>0</v>
      </c>
      <c r="L44" s="28">
        <f>Option3!L$40*conv_2026*L$7</f>
        <v>2411.0236790288236</v>
      </c>
      <c r="M44" s="28">
        <f>Option3!M$40*conv_2026*M$7</f>
        <v>15.967395757738679</v>
      </c>
      <c r="N44" s="28">
        <f>Option3!N$40*conv_2026*N$7</f>
        <v>276.52340028593494</v>
      </c>
      <c r="O44" s="28">
        <f>Option3!O$40*conv_2026*O$7</f>
        <v>2471.6526501989047</v>
      </c>
      <c r="P44" s="28">
        <f>Option3!P$40*conv_2026*P$7</f>
        <v>0</v>
      </c>
      <c r="Q44" s="28">
        <f>Option3!Q$40*conv_2026*Q$7</f>
        <v>0</v>
      </c>
      <c r="R44" s="28">
        <f>Option3!R$40*conv_2026*R$7</f>
        <v>0</v>
      </c>
      <c r="S44" s="28">
        <f>Option3!S$40*conv_2026*S$7</f>
        <v>0</v>
      </c>
      <c r="T44" s="28">
        <f>Option3!T$40*conv_2026*T$7</f>
        <v>0</v>
      </c>
      <c r="U44" s="28">
        <f>Option3!U$40*conv_2026*U$7</f>
        <v>0</v>
      </c>
      <c r="V44" s="28">
        <f>Option3!V$40*conv_2026*V$7</f>
        <v>0</v>
      </c>
      <c r="W44" s="28">
        <f>Option3!W$40*conv_2026*W$7</f>
        <v>0</v>
      </c>
      <c r="X44" s="28">
        <f>Option3!X$40*conv_2026*X$7</f>
        <v>0</v>
      </c>
      <c r="Y44" s="28">
        <f>Option3!Y$40*conv_2026*Y$7</f>
        <v>0</v>
      </c>
      <c r="Z44" s="28">
        <f>Option3!Z$40*conv_2026*Z$7</f>
        <v>0</v>
      </c>
      <c r="AA44" s="28">
        <f>Option3!AA$40*conv_2026*AA$7</f>
        <v>0</v>
      </c>
      <c r="AB44" s="28">
        <f>Option3!AB$40*conv_2026*AB$7</f>
        <v>0</v>
      </c>
      <c r="AC44" s="28">
        <f>Option3!AC$40*conv_2026*AC$7</f>
        <v>0</v>
      </c>
      <c r="AD44" s="28">
        <f>Option3!AD$40*conv_2026*AD$7</f>
        <v>0</v>
      </c>
      <c r="AE44" s="28">
        <f>Option3!AE$40*conv_2026*AE$7</f>
        <v>0</v>
      </c>
      <c r="AF44" s="28">
        <f>Option3!AF$40*conv_2026*AF$7</f>
        <v>0</v>
      </c>
      <c r="AG44" s="28">
        <f>Option3!AG$40*conv_2026*AG$7</f>
        <v>0</v>
      </c>
    </row>
    <row r="45" spans="1:33" s="2" customFormat="1" x14ac:dyDescent="0.2">
      <c r="A45" s="110" t="str">
        <f t="shared" si="10"/>
        <v>Option 3</v>
      </c>
      <c r="B45" s="110"/>
      <c r="C45" s="51"/>
      <c r="D45" s="33"/>
      <c r="E45" s="1"/>
      <c r="F45" s="82"/>
      <c r="G45" s="193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x14ac:dyDescent="0.2">
      <c r="A46" s="110" t="str">
        <f t="shared" si="10"/>
        <v>Option 3</v>
      </c>
      <c r="B46" s="110"/>
      <c r="C46" s="51" t="str">
        <f>Option3!C$86</f>
        <v>Annualised capex</v>
      </c>
      <c r="D46" s="33" t="str">
        <f t="shared" ref="D46:D53" si="11">A46&amp;C46</f>
        <v>Option 3Annualised capex</v>
      </c>
      <c r="E46" s="1"/>
      <c r="F46" s="82">
        <f>SUMPRODUCT($H46:$AG46, $H$5:$AG$5)</f>
        <v>-38580801.65764375</v>
      </c>
      <c r="G46" s="193">
        <f t="shared" ref="G46:G53" si="12">output_dollars</f>
        <v>46203</v>
      </c>
      <c r="H46" s="28"/>
      <c r="I46" s="28">
        <f>Option3!I$86*conv_2026*I$7</f>
        <v>0</v>
      </c>
      <c r="J46" s="28">
        <f>Option3!J$86*conv_2026*J$7</f>
        <v>-373632.53717409412</v>
      </c>
      <c r="K46" s="28">
        <f>Option3!K$86*conv_2026*K$7</f>
        <v>-811005.8249544662</v>
      </c>
      <c r="L46" s="28">
        <f>Option3!L$86*conv_2026*L$7</f>
        <v>-834597.11162586266</v>
      </c>
      <c r="M46" s="28">
        <f>Option3!M$86*conv_2026*M$7</f>
        <v>-1542335.7117677557</v>
      </c>
      <c r="N46" s="28">
        <f>Option3!N$86*conv_2026*N$7</f>
        <v>-2419931.5759437033</v>
      </c>
      <c r="O46" s="28">
        <f>Option3!O$86*conv_2026*O$7</f>
        <v>-3297527.4401196502</v>
      </c>
      <c r="P46" s="28">
        <f>Option3!P$86*conv_2026*P$7</f>
        <v>-3736325.3722076239</v>
      </c>
      <c r="Q46" s="28">
        <f>Option3!Q$86*conv_2026*Q$7</f>
        <v>-3736325.3722076239</v>
      </c>
      <c r="R46" s="28">
        <f>Option3!R$86*conv_2026*R$7</f>
        <v>-3736325.3722076239</v>
      </c>
      <c r="S46" s="28">
        <f>Option3!S$86*conv_2026*S$7</f>
        <v>-3736325.3722076239</v>
      </c>
      <c r="T46" s="28">
        <f>Option3!T$86*conv_2026*T$7</f>
        <v>-3736325.3722076239</v>
      </c>
      <c r="U46" s="28">
        <f>Option3!U$86*conv_2026*U$7</f>
        <v>-3736325.3722076239</v>
      </c>
      <c r="V46" s="28">
        <f>Option3!V$86*conv_2026*V$7</f>
        <v>-3736325.3722076239</v>
      </c>
      <c r="W46" s="28">
        <f>Option3!W$86*conv_2026*W$7</f>
        <v>-3736325.3722076239</v>
      </c>
      <c r="X46" s="28">
        <f>Option3!X$86*conv_2026*X$7</f>
        <v>-3736325.3722076239</v>
      </c>
      <c r="Y46" s="28">
        <f>Option3!Y$86*conv_2026*Y$7</f>
        <v>-3736325.3722076239</v>
      </c>
      <c r="Z46" s="28">
        <f>Option3!Z$86*conv_2026*Z$7</f>
        <v>-3736325.3722076239</v>
      </c>
      <c r="AA46" s="28">
        <f>Option3!AA$86*conv_2026*AA$7</f>
        <v>-3736325.3722076239</v>
      </c>
      <c r="AB46" s="28">
        <f>Option3!AB$86*conv_2026*AB$7</f>
        <v>-3736325.3722076239</v>
      </c>
      <c r="AC46" s="28">
        <f>Option3!AC$86*conv_2026*AC$7</f>
        <v>0</v>
      </c>
      <c r="AD46" s="28">
        <f>Option3!AD$86*conv_2026*AD$7</f>
        <v>0</v>
      </c>
      <c r="AE46" s="28">
        <f>Option3!AE$86*conv_2026*AE$7</f>
        <v>0</v>
      </c>
      <c r="AF46" s="28">
        <f>Option3!AF$86*conv_2026*AF$7</f>
        <v>0</v>
      </c>
      <c r="AG46" s="28">
        <f>Option3!AG$86*conv_2026*AG$7</f>
        <v>0</v>
      </c>
    </row>
    <row r="47" spans="1:33" s="2" customFormat="1" x14ac:dyDescent="0.2">
      <c r="A47" s="110" t="str">
        <f t="shared" si="10"/>
        <v>Option 3</v>
      </c>
      <c r="B47" s="110"/>
      <c r="C47" s="51" t="str">
        <f>Option3!C$87</f>
        <v>Operating expenditure</v>
      </c>
      <c r="D47" s="33" t="str">
        <f t="shared" si="11"/>
        <v>Option 3Operating expenditure</v>
      </c>
      <c r="E47" s="1"/>
      <c r="F47" s="82">
        <f>SUMPRODUCT($H47:$AG47, $H$5:$AG$5)</f>
        <v>0</v>
      </c>
      <c r="G47" s="193">
        <f t="shared" si="12"/>
        <v>46203</v>
      </c>
      <c r="H47" s="28"/>
      <c r="I47" s="28">
        <f>Option3!I$87*conv_2026*I$7</f>
        <v>0</v>
      </c>
      <c r="J47" s="28">
        <f>Option3!J$87*conv_2026*J$7</f>
        <v>0</v>
      </c>
      <c r="K47" s="28">
        <f>Option3!K$87*conv_2026*K$7</f>
        <v>0</v>
      </c>
      <c r="L47" s="28">
        <f>Option3!L$87*conv_2026*L$7</f>
        <v>0</v>
      </c>
      <c r="M47" s="28">
        <f>Option3!M$87*conv_2026*M$7</f>
        <v>0</v>
      </c>
      <c r="N47" s="28">
        <f>Option3!N$87*conv_2026*N$7</f>
        <v>0</v>
      </c>
      <c r="O47" s="28">
        <f>Option3!O$87*conv_2026*O$7</f>
        <v>0</v>
      </c>
      <c r="P47" s="28">
        <f>Option3!P$87*conv_2026*P$7</f>
        <v>0</v>
      </c>
      <c r="Q47" s="28">
        <f>Option3!Q$87*conv_2026*Q$7</f>
        <v>0</v>
      </c>
      <c r="R47" s="28">
        <f>Option3!R$87*conv_2026*R$7</f>
        <v>0</v>
      </c>
      <c r="S47" s="28">
        <f>Option3!S$87*conv_2026*S$7</f>
        <v>0</v>
      </c>
      <c r="T47" s="28">
        <f>Option3!T$87*conv_2026*T$7</f>
        <v>0</v>
      </c>
      <c r="U47" s="28">
        <f>Option3!U$87*conv_2026*U$7</f>
        <v>0</v>
      </c>
      <c r="V47" s="28">
        <f>Option3!V$87*conv_2026*V$7</f>
        <v>0</v>
      </c>
      <c r="W47" s="28">
        <f>Option3!W$87*conv_2026*W$7</f>
        <v>0</v>
      </c>
      <c r="X47" s="28">
        <f>Option3!X$87*conv_2026*X$7</f>
        <v>0</v>
      </c>
      <c r="Y47" s="28">
        <f>Option3!Y$87*conv_2026*Y$7</f>
        <v>0</v>
      </c>
      <c r="Z47" s="28">
        <f>Option3!Z$87*conv_2026*Z$7</f>
        <v>0</v>
      </c>
      <c r="AA47" s="28">
        <f>Option3!AA$87*conv_2026*AA$7</f>
        <v>0</v>
      </c>
      <c r="AB47" s="28">
        <f>Option3!AB$87*conv_2026*AB$7</f>
        <v>0</v>
      </c>
      <c r="AC47" s="28">
        <f>Option3!AC$87*conv_2026*AC$7</f>
        <v>0</v>
      </c>
      <c r="AD47" s="28">
        <f>Option3!AD$87*conv_2026*AD$7</f>
        <v>0</v>
      </c>
      <c r="AE47" s="28">
        <f>Option3!AE$87*conv_2026*AE$7</f>
        <v>0</v>
      </c>
      <c r="AF47" s="28">
        <f>Option3!AF$87*conv_2026*AF$7</f>
        <v>0</v>
      </c>
      <c r="AG47" s="28">
        <f>Option3!AG$87*conv_2026*AG$7</f>
        <v>0</v>
      </c>
    </row>
    <row r="48" spans="1:33" s="2" customFormat="1" x14ac:dyDescent="0.2">
      <c r="A48" s="110" t="str">
        <f t="shared" si="10"/>
        <v>Option 3</v>
      </c>
      <c r="B48" s="110"/>
      <c r="C48" s="51" t="str">
        <f>Option3!C$88</f>
        <v>Risk mitigated</v>
      </c>
      <c r="D48" s="33" t="str">
        <f t="shared" si="11"/>
        <v>Option 3Risk mitigated</v>
      </c>
      <c r="E48" s="1"/>
      <c r="F48" s="82">
        <f>SUMPRODUCT($H48:$AG48, $H$5:$AG$5)</f>
        <v>6192826.3369367542</v>
      </c>
      <c r="G48" s="193">
        <f t="shared" si="12"/>
        <v>46203</v>
      </c>
      <c r="H48" s="28"/>
      <c r="I48" s="28">
        <f>Option3!I$88*conv_2026*I$7</f>
        <v>0</v>
      </c>
      <c r="J48" s="28">
        <f>Option3!J$88*conv_2026*J$7</f>
        <v>0</v>
      </c>
      <c r="K48" s="28">
        <f>Option3!K$88*conv_2026*K$7</f>
        <v>35205.256504725534</v>
      </c>
      <c r="L48" s="28">
        <f>Option3!L$88*conv_2026*L$7</f>
        <v>65156.294730859809</v>
      </c>
      <c r="M48" s="28">
        <f>Option3!M$88*conv_2026*M$7</f>
        <v>109491.20123687206</v>
      </c>
      <c r="N48" s="28">
        <f>Option3!N$88*conv_2026*N$7</f>
        <v>170768.89016534638</v>
      </c>
      <c r="O48" s="28">
        <f>Option3!O$88*conv_2026*O$7</f>
        <v>275222.08294019295</v>
      </c>
      <c r="P48" s="28">
        <f>Option3!P$88*conv_2026*P$7</f>
        <v>443116.57214543456</v>
      </c>
      <c r="Q48" s="28">
        <f>Option3!Q$88*conv_2026*Q$7</f>
        <v>625704.98049061606</v>
      </c>
      <c r="R48" s="28">
        <f>Option3!R$88*conv_2026*R$7</f>
        <v>802181.22003624961</v>
      </c>
      <c r="S48" s="28">
        <f>Option3!S$88*conv_2026*S$7</f>
        <v>710160.6068457698</v>
      </c>
      <c r="T48" s="28">
        <f>Option3!T$88*conv_2026*T$7</f>
        <v>710160.6068457698</v>
      </c>
      <c r="U48" s="28">
        <f>Option3!U$88*conv_2026*U$7</f>
        <v>710160.6068457698</v>
      </c>
      <c r="V48" s="28">
        <f>Option3!V$88*conv_2026*V$7</f>
        <v>710160.6068457698</v>
      </c>
      <c r="W48" s="28">
        <f>Option3!W$88*conv_2026*W$7</f>
        <v>710160.6068457698</v>
      </c>
      <c r="X48" s="28">
        <f>Option3!X$88*conv_2026*X$7</f>
        <v>710160.6068457698</v>
      </c>
      <c r="Y48" s="28">
        <f>Option3!Y$88*conv_2026*Y$7</f>
        <v>710160.6068457698</v>
      </c>
      <c r="Z48" s="28">
        <f>Option3!Z$88*conv_2026*Z$7</f>
        <v>710160.6068457698</v>
      </c>
      <c r="AA48" s="28">
        <f>Option3!AA$88*conv_2026*AA$7</f>
        <v>710160.6068457698</v>
      </c>
      <c r="AB48" s="28">
        <f>Option3!AB$88*conv_2026*AB$7</f>
        <v>710160.6068457698</v>
      </c>
      <c r="AC48" s="28">
        <f>Option3!AC$88*conv_2026*AC$7</f>
        <v>0</v>
      </c>
      <c r="AD48" s="28">
        <f>Option3!AD$88*conv_2026*AD$7</f>
        <v>0</v>
      </c>
      <c r="AE48" s="28">
        <f>Option3!AE$88*conv_2026*AE$7</f>
        <v>0</v>
      </c>
      <c r="AF48" s="28">
        <f>Option3!AF$88*conv_2026*AF$7</f>
        <v>0</v>
      </c>
      <c r="AG48" s="28">
        <f>Option3!AG$88*conv_2026*AG$7</f>
        <v>0</v>
      </c>
    </row>
    <row r="49" spans="1:33" s="2" customFormat="1" x14ac:dyDescent="0.2">
      <c r="A49" s="110" t="str">
        <f t="shared" si="10"/>
        <v>Option 3</v>
      </c>
      <c r="B49" s="110"/>
      <c r="C49" s="51" t="str">
        <f>Option3!C$89</f>
        <v>Other benefits value</v>
      </c>
      <c r="D49" s="33" t="str">
        <f t="shared" si="11"/>
        <v>Option 3Other benefits value</v>
      </c>
      <c r="E49" s="1"/>
      <c r="F49" s="82">
        <f>SUMPRODUCT($H49:$AG49, $H$5:$AG$5)</f>
        <v>0</v>
      </c>
      <c r="G49" s="193">
        <f t="shared" si="12"/>
        <v>46203</v>
      </c>
      <c r="H49" s="28"/>
      <c r="I49" s="28">
        <f>Option3!I$89*conv_2026*I$7</f>
        <v>0</v>
      </c>
      <c r="J49" s="28">
        <f>Option3!J$89*conv_2026*J$7</f>
        <v>0</v>
      </c>
      <c r="K49" s="28">
        <f>Option3!K$89*conv_2026*K$7</f>
        <v>0</v>
      </c>
      <c r="L49" s="28">
        <f>Option3!L$89*conv_2026*L$7</f>
        <v>0</v>
      </c>
      <c r="M49" s="28">
        <f>Option3!M$89*conv_2026*M$7</f>
        <v>0</v>
      </c>
      <c r="N49" s="28">
        <f>Option3!N$89*conv_2026*N$7</f>
        <v>0</v>
      </c>
      <c r="O49" s="28">
        <f>Option3!O$89*conv_2026*O$7</f>
        <v>0</v>
      </c>
      <c r="P49" s="28">
        <f>Option3!P$89*conv_2026*P$7</f>
        <v>0</v>
      </c>
      <c r="Q49" s="28">
        <f>Option3!Q$89*conv_2026*Q$7</f>
        <v>0</v>
      </c>
      <c r="R49" s="28">
        <f>Option3!R$89*conv_2026*R$7</f>
        <v>0</v>
      </c>
      <c r="S49" s="28">
        <f>Option3!S$89*conv_2026*S$7</f>
        <v>0</v>
      </c>
      <c r="T49" s="28">
        <f>Option3!T$89*conv_2026*T$7</f>
        <v>0</v>
      </c>
      <c r="U49" s="28">
        <f>Option3!U$89*conv_2026*U$7</f>
        <v>0</v>
      </c>
      <c r="V49" s="28">
        <f>Option3!V$89*conv_2026*V$7</f>
        <v>0</v>
      </c>
      <c r="W49" s="28">
        <f>Option3!W$89*conv_2026*W$7</f>
        <v>0</v>
      </c>
      <c r="X49" s="28">
        <f>Option3!X$89*conv_2026*X$7</f>
        <v>0</v>
      </c>
      <c r="Y49" s="28">
        <f>Option3!Y$89*conv_2026*Y$7</f>
        <v>0</v>
      </c>
      <c r="Z49" s="28">
        <f>Option3!Z$89*conv_2026*Z$7</f>
        <v>0</v>
      </c>
      <c r="AA49" s="28">
        <f>Option3!AA$89*conv_2026*AA$7</f>
        <v>0</v>
      </c>
      <c r="AB49" s="28">
        <f>Option3!AB$89*conv_2026*AB$7</f>
        <v>0</v>
      </c>
      <c r="AC49" s="28">
        <f>Option3!AC$89*conv_2026*AC$7</f>
        <v>0</v>
      </c>
      <c r="AD49" s="28">
        <f>Option3!AD$89*conv_2026*AD$7</f>
        <v>0</v>
      </c>
      <c r="AE49" s="28">
        <f>Option3!AE$89*conv_2026*AE$7</f>
        <v>0</v>
      </c>
      <c r="AF49" s="28">
        <f>Option3!AF$89*conv_2026*AF$7</f>
        <v>0</v>
      </c>
      <c r="AG49" s="28">
        <f>Option3!AG$89*conv_2026*AG$7</f>
        <v>0</v>
      </c>
    </row>
    <row r="50" spans="1:33" s="2" customFormat="1" x14ac:dyDescent="0.2">
      <c r="A50" s="110" t="str">
        <f t="shared" si="10"/>
        <v>Option 3</v>
      </c>
      <c r="B50" s="110"/>
      <c r="C50" s="101" t="str">
        <f>Option3!C91</f>
        <v>Net benefits</v>
      </c>
      <c r="D50" s="93" t="str">
        <f t="shared" si="11"/>
        <v>Option 3Net benefits</v>
      </c>
      <c r="E50" s="94"/>
      <c r="F50" s="117"/>
      <c r="G50" s="195">
        <f t="shared" si="12"/>
        <v>46203</v>
      </c>
      <c r="H50" s="45"/>
      <c r="I50" s="45">
        <f t="shared" ref="I50:AB50" si="13">SUM(I46:I49)</f>
        <v>0</v>
      </c>
      <c r="J50" s="45">
        <f t="shared" si="13"/>
        <v>-373632.53717409412</v>
      </c>
      <c r="K50" s="45">
        <f t="shared" si="13"/>
        <v>-775800.56844974065</v>
      </c>
      <c r="L50" s="45">
        <f t="shared" si="13"/>
        <v>-769440.81689500285</v>
      </c>
      <c r="M50" s="45">
        <f t="shared" si="13"/>
        <v>-1432844.5105308837</v>
      </c>
      <c r="N50" s="45">
        <f t="shared" si="13"/>
        <v>-2249162.6857783571</v>
      </c>
      <c r="O50" s="45">
        <f t="shared" si="13"/>
        <v>-3022305.3571794573</v>
      </c>
      <c r="P50" s="45">
        <f t="shared" si="13"/>
        <v>-3293208.8000621893</v>
      </c>
      <c r="Q50" s="45">
        <f t="shared" si="13"/>
        <v>-3110620.3917170078</v>
      </c>
      <c r="R50" s="45">
        <f t="shared" si="13"/>
        <v>-2934144.1521713743</v>
      </c>
      <c r="S50" s="45">
        <f t="shared" si="13"/>
        <v>-3026164.7653618539</v>
      </c>
      <c r="T50" s="45">
        <f t="shared" si="13"/>
        <v>-3026164.7653618539</v>
      </c>
      <c r="U50" s="45">
        <f t="shared" si="13"/>
        <v>-3026164.7653618539</v>
      </c>
      <c r="V50" s="45">
        <f t="shared" si="13"/>
        <v>-3026164.7653618539</v>
      </c>
      <c r="W50" s="45">
        <f t="shared" si="13"/>
        <v>-3026164.7653618539</v>
      </c>
      <c r="X50" s="45">
        <f t="shared" si="13"/>
        <v>-3026164.7653618539</v>
      </c>
      <c r="Y50" s="45">
        <f t="shared" si="13"/>
        <v>-3026164.7653618539</v>
      </c>
      <c r="Z50" s="45">
        <f t="shared" si="13"/>
        <v>-3026164.7653618539</v>
      </c>
      <c r="AA50" s="45">
        <f t="shared" si="13"/>
        <v>-3026164.7653618539</v>
      </c>
      <c r="AB50" s="45">
        <f t="shared" si="13"/>
        <v>-3026164.7653618539</v>
      </c>
      <c r="AC50" s="45">
        <f>SUM(AC46:AC49)</f>
        <v>0</v>
      </c>
      <c r="AD50" s="45">
        <f>SUM(AD46:AD49)</f>
        <v>0</v>
      </c>
      <c r="AE50" s="45">
        <f>SUM(AE46:AE49)</f>
        <v>0</v>
      </c>
      <c r="AF50" s="45">
        <f>SUM(AF46:AF49)</f>
        <v>0</v>
      </c>
      <c r="AG50" s="45">
        <f>SUM(AG46:AG49)</f>
        <v>0</v>
      </c>
    </row>
    <row r="51" spans="1:33" s="2" customFormat="1" x14ac:dyDescent="0.2">
      <c r="A51" s="110" t="str">
        <f t="shared" si="10"/>
        <v>Option 3</v>
      </c>
      <c r="B51" s="110"/>
      <c r="C51" s="6" t="s">
        <v>7</v>
      </c>
      <c r="D51" s="33" t="str">
        <f t="shared" si="11"/>
        <v>Option 3NPV</v>
      </c>
      <c r="E51" s="1"/>
      <c r="F51" s="92" cm="1">
        <f t="array" ref="F51">SUMPRODUCT(($H50:$AG50)*($H$5:$AG$5)*($H$7:$AG$7))</f>
        <v>-32387975.320707001</v>
      </c>
      <c r="G51" s="193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x14ac:dyDescent="0.2">
      <c r="A52" s="110" t="str">
        <f t="shared" si="10"/>
        <v>Option 3</v>
      </c>
      <c r="B52" s="110"/>
      <c r="C52" s="6" t="s">
        <v>5</v>
      </c>
      <c r="D52" s="33" t="str">
        <f t="shared" si="11"/>
        <v>Option 3PV of costs</v>
      </c>
      <c r="E52" s="1"/>
      <c r="F52" s="92">
        <f>SUM(F46:F47)</f>
        <v>-38580801.65764375</v>
      </c>
      <c r="G52" s="193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x14ac:dyDescent="0.2">
      <c r="A53" s="110" t="str">
        <f t="shared" si="10"/>
        <v>Option 3</v>
      </c>
      <c r="B53" s="110"/>
      <c r="C53" s="6" t="s">
        <v>6</v>
      </c>
      <c r="D53" s="33" t="str">
        <f t="shared" si="11"/>
        <v>Option 3PV of benefits</v>
      </c>
      <c r="E53" s="1"/>
      <c r="F53" s="92">
        <f>SUM(F48:F49)</f>
        <v>6192826.3369367542</v>
      </c>
      <c r="G53" s="193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x14ac:dyDescent="0.2">
      <c r="A54" s="110"/>
      <c r="B54" s="110"/>
      <c r="C54" s="1"/>
      <c r="D54" s="33"/>
      <c r="E54" s="1"/>
      <c r="F54" s="92"/>
      <c r="G54" s="196"/>
      <c r="H54" s="1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</row>
    <row r="55" spans="1:33" s="2" customFormat="1" x14ac:dyDescent="0.2">
      <c r="A55" s="51"/>
      <c r="B55" s="51"/>
      <c r="C55" s="51"/>
      <c r="D55" s="33"/>
      <c r="F55" s="7"/>
      <c r="G55" s="189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x14ac:dyDescent="0.2">
      <c r="A56" s="51" t="str">
        <f>A57</f>
        <v>Option 4</v>
      </c>
      <c r="B56" s="51"/>
      <c r="C56" s="51" t="s">
        <v>105</v>
      </c>
      <c r="D56" s="33" t="str">
        <f>A56&amp;C56</f>
        <v>Option 4Energy at risk value</v>
      </c>
      <c r="F56" s="82">
        <f>SUMPRODUCT($H56:$AG56, $H$5:$AG$5)</f>
        <v>107514.12786329055</v>
      </c>
      <c r="G56" s="193">
        <f>output_dollars</f>
        <v>46203</v>
      </c>
      <c r="H56" s="28"/>
      <c r="I56" s="28">
        <f>Option4!I$32*conv_2026</f>
        <v>1332.4698397258762</v>
      </c>
      <c r="J56" s="28">
        <f>Option4!J$32*conv_2026</f>
        <v>14739.062891764832</v>
      </c>
      <c r="K56" s="28">
        <f>Option4!K$32*conv_2026</f>
        <v>35205.256504725534</v>
      </c>
      <c r="L56" s="28">
        <f>Option4!L$32*conv_2026</f>
        <v>67567.318409888627</v>
      </c>
      <c r="M56" s="28">
        <f>Option4!M$32*conv_2026</f>
        <v>0</v>
      </c>
      <c r="N56" s="28">
        <f>Option4!N$32*conv_2026</f>
        <v>0</v>
      </c>
      <c r="O56" s="28">
        <f>Option4!O$32*conv_2026</f>
        <v>0</v>
      </c>
      <c r="P56" s="28">
        <f>Option4!P$32*conv_2026</f>
        <v>0</v>
      </c>
      <c r="Q56" s="28">
        <f>Option4!Q$32*conv_2026</f>
        <v>0</v>
      </c>
      <c r="R56" s="28">
        <f>Option4!R$32*conv_2026</f>
        <v>0</v>
      </c>
      <c r="S56" s="28">
        <f>Option4!S$32*conv_2026</f>
        <v>0</v>
      </c>
      <c r="T56" s="28">
        <f>Option4!T$32*conv_2026</f>
        <v>0</v>
      </c>
      <c r="U56" s="28">
        <f>Option4!U$32*conv_2026</f>
        <v>0</v>
      </c>
      <c r="V56" s="28">
        <f>Option4!V$32*conv_2026</f>
        <v>0</v>
      </c>
      <c r="W56" s="28">
        <f>Option4!W$32*conv_2026</f>
        <v>0</v>
      </c>
      <c r="X56" s="28">
        <f>Option4!X$32*conv_2026</f>
        <v>0</v>
      </c>
      <c r="Y56" s="28">
        <f>Option4!Y$32*conv_2026</f>
        <v>0</v>
      </c>
      <c r="Z56" s="28">
        <f>Option4!Z$32*conv_2026</f>
        <v>0</v>
      </c>
      <c r="AA56" s="28">
        <f>Option4!AA$32*conv_2026</f>
        <v>0</v>
      </c>
      <c r="AB56" s="28">
        <f>Option4!AB$32*conv_2026</f>
        <v>0</v>
      </c>
      <c r="AC56" s="28">
        <f>Option4!AC$32*conv_2026</f>
        <v>0</v>
      </c>
      <c r="AD56" s="28">
        <f>Option4!AD$32*conv_2026</f>
        <v>0</v>
      </c>
      <c r="AE56" s="28">
        <f>Option4!AE$32*conv_2026</f>
        <v>0</v>
      </c>
      <c r="AF56" s="28">
        <f>Option4!AF$32*conv_2026</f>
        <v>0</v>
      </c>
      <c r="AG56" s="28">
        <f>Option4!AG$32*conv_2026</f>
        <v>0</v>
      </c>
    </row>
    <row r="57" spans="1:33" s="2" customFormat="1" x14ac:dyDescent="0.2">
      <c r="A57" s="110" t="str">
        <f>Data!B12</f>
        <v>Option 4</v>
      </c>
      <c r="B57" s="110"/>
      <c r="C57" s="51" t="str">
        <f>Option4!C$70</f>
        <v>Capital expenditure</v>
      </c>
      <c r="D57" s="33" t="str">
        <f t="shared" ref="D57:D67" si="14">A57&amp;C57</f>
        <v>Option 4Capital expenditure</v>
      </c>
      <c r="E57" s="1"/>
      <c r="F57" s="82">
        <f>SUMPRODUCT($H57:$AG57, $H$5:$AG$5)</f>
        <v>-64070045.003269397</v>
      </c>
      <c r="G57" s="193">
        <f>output_dollars</f>
        <v>46203</v>
      </c>
      <c r="H57" s="28"/>
      <c r="I57" s="28">
        <f>SUM(Option4!I$71:I$73)*conv_2026*I$7</f>
        <v>-6640178.4628866678</v>
      </c>
      <c r="J57" s="28">
        <f>SUM(Option4!J$71:J$73)*conv_2026*J$7</f>
        <v>-27446070.979931559</v>
      </c>
      <c r="K57" s="28">
        <f>SUM(Option4!K$71:K$73)*conv_2026*K$7</f>
        <v>-27888749.544124003</v>
      </c>
      <c r="L57" s="28">
        <f>SUM(Option4!L$71:L$73)*conv_2026*L$7</f>
        <v>-6640178.4628866678</v>
      </c>
      <c r="M57" s="28">
        <f>SUM(Option4!M$71:M$73)*conv_2026*M$7</f>
        <v>0</v>
      </c>
      <c r="N57" s="28">
        <f>SUM(Option4!N$71:N$73)*conv_2026*N$7</f>
        <v>0</v>
      </c>
      <c r="O57" s="28">
        <f>SUM(Option4!O$71:O$73)*conv_2026*O$7</f>
        <v>0</v>
      </c>
      <c r="P57" s="28">
        <f>SUM(Option4!P$71:P$73)*conv_2026*P$7</f>
        <v>0</v>
      </c>
      <c r="Q57" s="28">
        <f>SUM(Option4!Q$71:Q$73)*conv_2026*Q$7</f>
        <v>0</v>
      </c>
      <c r="R57" s="28">
        <f>SUM(Option4!R$71:R$73)*conv_2026*R$7</f>
        <v>0</v>
      </c>
      <c r="S57" s="28">
        <f>SUM(Option4!S$71:S$73)*conv_2026*S$7</f>
        <v>0</v>
      </c>
      <c r="T57" s="28">
        <f>SUM(Option4!T$71:T$73)*conv_2026*T$7</f>
        <v>0</v>
      </c>
      <c r="U57" s="28">
        <f>SUM(Option4!U$71:U$73)*conv_2026*U$7</f>
        <v>0</v>
      </c>
      <c r="V57" s="28">
        <f>SUM(Option4!V$71:V$73)*conv_2026*V$7</f>
        <v>0</v>
      </c>
      <c r="W57" s="28">
        <f>SUM(Option4!W$71:W$73)*conv_2026*W$7</f>
        <v>0</v>
      </c>
      <c r="X57" s="28">
        <f>SUM(Option4!X$71:X$73)*conv_2026*X$7</f>
        <v>0</v>
      </c>
      <c r="Y57" s="28">
        <f>SUM(Option4!Y$71:Y$73)*conv_2026*Y$7</f>
        <v>0</v>
      </c>
      <c r="Z57" s="28">
        <f>SUM(Option4!Z$71:Z$73)*conv_2026*Z$7</f>
        <v>0</v>
      </c>
      <c r="AA57" s="28">
        <f>SUM(Option4!AA$71:AA$73)*conv_2026*AA$7</f>
        <v>0</v>
      </c>
      <c r="AB57" s="28">
        <f>SUM(Option4!AB$71:AB$73)*conv_2026*AB$7</f>
        <v>0</v>
      </c>
      <c r="AC57" s="28">
        <f>SUM(Option4!AC$71:AC$73)*conv_2026*AC$7</f>
        <v>0</v>
      </c>
      <c r="AD57" s="28">
        <f>SUM(Option4!AD$71:AD$73)*conv_2026*AD$7</f>
        <v>0</v>
      </c>
      <c r="AE57" s="28">
        <f>SUM(Option4!AE$71:AE$73)*conv_2026*AE$7</f>
        <v>0</v>
      </c>
      <c r="AF57" s="28">
        <f>SUM(Option4!AF$71:AF$73)*conv_2026*AF$7</f>
        <v>0</v>
      </c>
      <c r="AG57" s="28">
        <f>SUM(Option4!AG$71:AG$73)*conv_2026*AG$7</f>
        <v>0</v>
      </c>
    </row>
    <row r="58" spans="1:33" s="2" customFormat="1" x14ac:dyDescent="0.2">
      <c r="A58" s="110" t="str">
        <f t="shared" ref="A58:A67" si="15">A57</f>
        <v>Option 4</v>
      </c>
      <c r="B58" s="110"/>
      <c r="C58" s="51" t="str">
        <f>'Option1 (base case)'!C$40</f>
        <v>Total risk cost</v>
      </c>
      <c r="D58" s="33" t="str">
        <f t="shared" si="14"/>
        <v>Option 4Total risk cost</v>
      </c>
      <c r="E58" s="1"/>
      <c r="F58" s="82">
        <f>SUMPRODUCT($H58:$AG58, $H$5:$AG$5)</f>
        <v>107514.12786329055</v>
      </c>
      <c r="G58" s="193">
        <f>output_dollars</f>
        <v>46203</v>
      </c>
      <c r="H58" s="28"/>
      <c r="I58" s="28">
        <f>Option4!I$40*conv_2026*I$7</f>
        <v>1332.4698397258762</v>
      </c>
      <c r="J58" s="28">
        <f>Option4!J$40*conv_2026*J$7</f>
        <v>14739.062891764832</v>
      </c>
      <c r="K58" s="28">
        <f>Option4!K$40*conv_2026*K$7</f>
        <v>35205.256504725534</v>
      </c>
      <c r="L58" s="28">
        <f>Option4!L$40*conv_2026*L$7</f>
        <v>67567.318409888627</v>
      </c>
      <c r="M58" s="28">
        <f>Option4!M$40*conv_2026*M$7</f>
        <v>0</v>
      </c>
      <c r="N58" s="28">
        <f>Option4!N$40*conv_2026*N$7</f>
        <v>0</v>
      </c>
      <c r="O58" s="28">
        <f>Option4!O$40*conv_2026*O$7</f>
        <v>0</v>
      </c>
      <c r="P58" s="28">
        <f>Option4!P$40*conv_2026*P$7</f>
        <v>0</v>
      </c>
      <c r="Q58" s="28">
        <f>Option4!Q$40*conv_2026*Q$7</f>
        <v>0</v>
      </c>
      <c r="R58" s="28">
        <f>Option4!R$40*conv_2026*R$7</f>
        <v>0</v>
      </c>
      <c r="S58" s="28">
        <f>Option4!S$40*conv_2026*S$7</f>
        <v>0</v>
      </c>
      <c r="T58" s="28">
        <f>Option4!T$40*conv_2026*T$7</f>
        <v>0</v>
      </c>
      <c r="U58" s="28">
        <f>Option4!U$40*conv_2026*U$7</f>
        <v>0</v>
      </c>
      <c r="V58" s="28">
        <f>Option4!V$40*conv_2026*V$7</f>
        <v>0</v>
      </c>
      <c r="W58" s="28">
        <f>Option4!W$40*conv_2026*W$7</f>
        <v>0</v>
      </c>
      <c r="X58" s="28">
        <f>Option4!X$40*conv_2026*X$7</f>
        <v>0</v>
      </c>
      <c r="Y58" s="28">
        <f>Option4!Y$40*conv_2026*Y$7</f>
        <v>0</v>
      </c>
      <c r="Z58" s="28">
        <f>Option4!Z$40*conv_2026*Z$7</f>
        <v>0</v>
      </c>
      <c r="AA58" s="28">
        <f>Option4!AA$40*conv_2026*AA$7</f>
        <v>0</v>
      </c>
      <c r="AB58" s="28">
        <f>Option4!AB$40*conv_2026*AB$7</f>
        <v>0</v>
      </c>
      <c r="AC58" s="28">
        <f>Option4!AC$40*conv_2026*AC$7</f>
        <v>0</v>
      </c>
      <c r="AD58" s="28">
        <f>Option4!AD$40*conv_2026*AD$7</f>
        <v>0</v>
      </c>
      <c r="AE58" s="28">
        <f>Option4!AE$40*conv_2026*AE$7</f>
        <v>0</v>
      </c>
      <c r="AF58" s="28">
        <f>Option4!AF$40*conv_2026*AF$7</f>
        <v>0</v>
      </c>
      <c r="AG58" s="28">
        <f>Option4!AG$40*conv_2026*AG$7</f>
        <v>0</v>
      </c>
    </row>
    <row r="59" spans="1:33" s="2" customFormat="1" x14ac:dyDescent="0.2">
      <c r="A59" s="110" t="str">
        <f t="shared" si="15"/>
        <v>Option 4</v>
      </c>
      <c r="B59" s="110"/>
      <c r="C59" s="12"/>
      <c r="D59" s="33" t="str">
        <f t="shared" si="14"/>
        <v>Option 4</v>
      </c>
      <c r="E59" s="1"/>
      <c r="F59"/>
      <c r="G59" s="194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x14ac:dyDescent="0.2">
      <c r="A60" s="110" t="str">
        <f t="shared" si="15"/>
        <v>Option 4</v>
      </c>
      <c r="B60" s="110"/>
      <c r="C60" s="51" t="str">
        <f>Option4!C$86</f>
        <v>Annualised capex</v>
      </c>
      <c r="D60" s="33" t="str">
        <f t="shared" si="14"/>
        <v>Option 4Annualised capex</v>
      </c>
      <c r="E60" s="1"/>
      <c r="F60" s="82">
        <f>SUMPRODUCT($H60:$AG60, $H$5:$AG$5)</f>
        <v>-35310607.061517268</v>
      </c>
      <c r="G60" s="193">
        <f t="shared" ref="G60:G67" si="16">output_dollars</f>
        <v>46203</v>
      </c>
      <c r="H60" s="28"/>
      <c r="I60" s="28">
        <f>Option4!I$86*conv_2026*I$7</f>
        <v>0</v>
      </c>
      <c r="J60" s="28">
        <f>Option4!J$86*conv_2026*J$7</f>
        <v>-283095.44005675713</v>
      </c>
      <c r="K60" s="28">
        <f>Option4!K$86*conv_2026*K$7</f>
        <v>-1453223.2589580202</v>
      </c>
      <c r="L60" s="28">
        <f>Option4!L$86*conv_2026*L$7</f>
        <v>-2642224.1071963999</v>
      </c>
      <c r="M60" s="28">
        <f>Option4!M$86*conv_2026*M$7</f>
        <v>-2925319.5472531575</v>
      </c>
      <c r="N60" s="28">
        <f>Option4!N$86*conv_2026*N$7</f>
        <v>-2925319.5472531575</v>
      </c>
      <c r="O60" s="28">
        <f>Option4!O$86*conv_2026*O$7</f>
        <v>-2925319.5472531575</v>
      </c>
      <c r="P60" s="28">
        <f>Option4!P$86*conv_2026*P$7</f>
        <v>-2925319.5472531575</v>
      </c>
      <c r="Q60" s="28">
        <f>Option4!Q$86*conv_2026*Q$7</f>
        <v>-2925319.5472531575</v>
      </c>
      <c r="R60" s="28">
        <f>Option4!R$86*conv_2026*R$7</f>
        <v>-2925319.5472531575</v>
      </c>
      <c r="S60" s="28">
        <f>Option4!S$86*conv_2026*S$7</f>
        <v>-2925319.5472531575</v>
      </c>
      <c r="T60" s="28">
        <f>Option4!T$86*conv_2026*T$7</f>
        <v>-2925319.5472531575</v>
      </c>
      <c r="U60" s="28">
        <f>Option4!U$86*conv_2026*U$7</f>
        <v>-2925319.5472531575</v>
      </c>
      <c r="V60" s="28">
        <f>Option4!V$86*conv_2026*V$7</f>
        <v>-2925319.5472531575</v>
      </c>
      <c r="W60" s="28">
        <f>Option4!W$86*conv_2026*W$7</f>
        <v>-2925319.5472531575</v>
      </c>
      <c r="X60" s="28">
        <f>Option4!X$86*conv_2026*X$7</f>
        <v>-2925319.5472531575</v>
      </c>
      <c r="Y60" s="28">
        <f>Option4!Y$86*conv_2026*Y$7</f>
        <v>-2925319.5472531575</v>
      </c>
      <c r="Z60" s="28">
        <f>Option4!Z$86*conv_2026*Z$7</f>
        <v>-2925319.5472531575</v>
      </c>
      <c r="AA60" s="28">
        <f>Option4!AA$86*conv_2026*AA$7</f>
        <v>-2925319.5472531575</v>
      </c>
      <c r="AB60" s="28">
        <f>Option4!AB$86*conv_2026*AB$7</f>
        <v>-2925319.5472531575</v>
      </c>
      <c r="AC60" s="28">
        <f>Option4!AC$86*conv_2026*AC$7</f>
        <v>0</v>
      </c>
      <c r="AD60" s="28">
        <f>Option4!AD$86*conv_2026*AD$7</f>
        <v>0</v>
      </c>
      <c r="AE60" s="28">
        <f>Option4!AE$86*conv_2026*AE$7</f>
        <v>0</v>
      </c>
      <c r="AF60" s="28">
        <f>Option4!AF$86*conv_2026*AF$7</f>
        <v>0</v>
      </c>
      <c r="AG60" s="28">
        <f>Option4!AG$86*conv_2026*AG$7</f>
        <v>0</v>
      </c>
    </row>
    <row r="61" spans="1:33" s="2" customFormat="1" x14ac:dyDescent="0.2">
      <c r="A61" s="110" t="str">
        <f t="shared" si="15"/>
        <v>Option 4</v>
      </c>
      <c r="B61" s="110"/>
      <c r="C61" s="51" t="str">
        <f>Option4!C$87</f>
        <v>Operating expenditure</v>
      </c>
      <c r="D61" s="33" t="str">
        <f t="shared" si="14"/>
        <v>Option 4Operating expenditure</v>
      </c>
      <c r="E61" s="1"/>
      <c r="F61" s="82">
        <f>SUMPRODUCT($H61:$AG61, $H$5:$AG$5)</f>
        <v>0</v>
      </c>
      <c r="G61" s="193">
        <f t="shared" si="16"/>
        <v>46203</v>
      </c>
      <c r="H61" s="28"/>
      <c r="I61" s="28">
        <f>Option4!I$87*conv_2026*I$7</f>
        <v>0</v>
      </c>
      <c r="J61" s="28">
        <f>Option4!J$87*conv_2026*J$7</f>
        <v>0</v>
      </c>
      <c r="K61" s="28">
        <f>Option4!K$87*conv_2026*K$7</f>
        <v>0</v>
      </c>
      <c r="L61" s="28">
        <f>Option4!L$87*conv_2026*L$7</f>
        <v>0</v>
      </c>
      <c r="M61" s="28">
        <f>Option4!M$87*conv_2026*M$7</f>
        <v>0</v>
      </c>
      <c r="N61" s="28">
        <f>Option4!N$87*conv_2026*N$7</f>
        <v>0</v>
      </c>
      <c r="O61" s="28">
        <f>Option4!O$87*conv_2026*O$7</f>
        <v>0</v>
      </c>
      <c r="P61" s="28">
        <f>Option4!P$87*conv_2026*P$7</f>
        <v>0</v>
      </c>
      <c r="Q61" s="28">
        <f>Option4!Q$87*conv_2026*Q$7</f>
        <v>0</v>
      </c>
      <c r="R61" s="28">
        <f>Option4!R$87*conv_2026*R$7</f>
        <v>0</v>
      </c>
      <c r="S61" s="28">
        <f>Option4!S$87*conv_2026*S$7</f>
        <v>0</v>
      </c>
      <c r="T61" s="28">
        <f>Option4!T$87*conv_2026*T$7</f>
        <v>0</v>
      </c>
      <c r="U61" s="28">
        <f>Option4!U$87*conv_2026*U$7</f>
        <v>0</v>
      </c>
      <c r="V61" s="28">
        <f>Option4!V$87*conv_2026*V$7</f>
        <v>0</v>
      </c>
      <c r="W61" s="28">
        <f>Option4!W$87*conv_2026*W$7</f>
        <v>0</v>
      </c>
      <c r="X61" s="28">
        <f>Option4!X$87*conv_2026*X$7</f>
        <v>0</v>
      </c>
      <c r="Y61" s="28">
        <f>Option4!Y$87*conv_2026*Y$7</f>
        <v>0</v>
      </c>
      <c r="Z61" s="28">
        <f>Option4!Z$87*conv_2026*Z$7</f>
        <v>0</v>
      </c>
      <c r="AA61" s="28">
        <f>Option4!AA$87*conv_2026*AA$7</f>
        <v>0</v>
      </c>
      <c r="AB61" s="28">
        <f>Option4!AB$87*conv_2026*AB$7</f>
        <v>0</v>
      </c>
      <c r="AC61" s="28">
        <f>Option4!AC$87*conv_2026*AC$7</f>
        <v>0</v>
      </c>
      <c r="AD61" s="28">
        <f>Option4!AD$87*conv_2026*AD$7</f>
        <v>0</v>
      </c>
      <c r="AE61" s="28">
        <f>Option4!AE$87*conv_2026*AE$7</f>
        <v>0</v>
      </c>
      <c r="AF61" s="28">
        <f>Option4!AF$87*conv_2026*AF$7</f>
        <v>0</v>
      </c>
      <c r="AG61" s="28">
        <f>Option4!AG$87*conv_2026*AG$7</f>
        <v>0</v>
      </c>
    </row>
    <row r="62" spans="1:33" s="2" customFormat="1" x14ac:dyDescent="0.2">
      <c r="A62" s="110" t="str">
        <f t="shared" si="15"/>
        <v>Option 4</v>
      </c>
      <c r="B62" s="110"/>
      <c r="C62" s="51" t="str">
        <f>Option4!C$88</f>
        <v>Risk mitigated</v>
      </c>
      <c r="D62" s="33" t="str">
        <f t="shared" si="14"/>
        <v>Option 4Risk mitigated</v>
      </c>
      <c r="E62" s="1"/>
      <c r="F62" s="82">
        <f>SUMPRODUCT($H62:$AG62, $H$5:$AG$5)</f>
        <v>6104976.195298993</v>
      </c>
      <c r="G62" s="193">
        <f t="shared" si="16"/>
        <v>46203</v>
      </c>
      <c r="H62" s="28"/>
      <c r="I62" s="28">
        <f>Option4!I$88*conv_2026*I$7</f>
        <v>0</v>
      </c>
      <c r="J62" s="28">
        <f>Option4!J$88*conv_2026*J$7</f>
        <v>0</v>
      </c>
      <c r="K62" s="28">
        <f>Option4!K$88*conv_2026*K$7</f>
        <v>0</v>
      </c>
      <c r="L62" s="28">
        <f>Option4!L$88*conv_2026*L$7</f>
        <v>0</v>
      </c>
      <c r="M62" s="28">
        <f>Option4!M$88*conv_2026*M$7</f>
        <v>109507.16863262981</v>
      </c>
      <c r="N62" s="28">
        <f>Option4!N$88*conv_2026*N$7</f>
        <v>171045.41356563231</v>
      </c>
      <c r="O62" s="28">
        <f>Option4!O$88*conv_2026*O$7</f>
        <v>277693.73559039185</v>
      </c>
      <c r="P62" s="28">
        <f>Option4!P$88*conv_2026*P$7</f>
        <v>443116.57214543456</v>
      </c>
      <c r="Q62" s="28">
        <f>Option4!Q$88*conv_2026*Q$7</f>
        <v>625704.98049061606</v>
      </c>
      <c r="R62" s="28">
        <f>Option4!R$88*conv_2026*R$7</f>
        <v>802181.22003624961</v>
      </c>
      <c r="S62" s="28">
        <f>Option4!S$88*conv_2026*S$7</f>
        <v>710160.6068457698</v>
      </c>
      <c r="T62" s="28">
        <f>Option4!T$88*conv_2026*T$7</f>
        <v>710160.6068457698</v>
      </c>
      <c r="U62" s="28">
        <f>Option4!U$88*conv_2026*U$7</f>
        <v>710160.6068457698</v>
      </c>
      <c r="V62" s="28">
        <f>Option4!V$88*conv_2026*V$7</f>
        <v>710160.6068457698</v>
      </c>
      <c r="W62" s="28">
        <f>Option4!W$88*conv_2026*W$7</f>
        <v>710160.6068457698</v>
      </c>
      <c r="X62" s="28">
        <f>Option4!X$88*conv_2026*X$7</f>
        <v>710160.6068457698</v>
      </c>
      <c r="Y62" s="28">
        <f>Option4!Y$88*conv_2026*Y$7</f>
        <v>710160.6068457698</v>
      </c>
      <c r="Z62" s="28">
        <f>Option4!Z$88*conv_2026*Z$7</f>
        <v>710160.6068457698</v>
      </c>
      <c r="AA62" s="28">
        <f>Option4!AA$88*conv_2026*AA$7</f>
        <v>710160.6068457698</v>
      </c>
      <c r="AB62" s="28">
        <f>Option4!AB$88*conv_2026*AB$7</f>
        <v>710160.6068457698</v>
      </c>
      <c r="AC62" s="28">
        <f>Option4!AC$88*conv_2026*AC$7</f>
        <v>0</v>
      </c>
      <c r="AD62" s="28">
        <f>Option4!AD$88*conv_2026*AD$7</f>
        <v>0</v>
      </c>
      <c r="AE62" s="28">
        <f>Option4!AE$88*conv_2026*AE$7</f>
        <v>0</v>
      </c>
      <c r="AF62" s="28">
        <f>Option4!AF$88*conv_2026*AF$7</f>
        <v>0</v>
      </c>
      <c r="AG62" s="28">
        <f>Option4!AG$88*conv_2026*AG$7</f>
        <v>0</v>
      </c>
    </row>
    <row r="63" spans="1:33" s="2" customFormat="1" x14ac:dyDescent="0.2">
      <c r="A63" s="110" t="str">
        <f t="shared" si="15"/>
        <v>Option 4</v>
      </c>
      <c r="B63" s="110"/>
      <c r="C63" s="51" t="str">
        <f>Option4!C$89</f>
        <v>Other benefits value</v>
      </c>
      <c r="D63" s="33" t="str">
        <f t="shared" si="14"/>
        <v>Option 4Other benefits value</v>
      </c>
      <c r="E63" s="1"/>
      <c r="F63" s="82">
        <f>SUMPRODUCT($H63:$AG63, $H$5:$AG$5)</f>
        <v>0</v>
      </c>
      <c r="G63" s="193">
        <f t="shared" si="16"/>
        <v>46203</v>
      </c>
      <c r="H63" s="28"/>
      <c r="I63" s="28">
        <f>Option4!I$89*conv_2026*I$7</f>
        <v>0</v>
      </c>
      <c r="J63" s="28">
        <f>Option4!J$89*conv_2026*J$7</f>
        <v>0</v>
      </c>
      <c r="K63" s="28">
        <f>Option4!K$89*conv_2026*K$7</f>
        <v>0</v>
      </c>
      <c r="L63" s="28">
        <f>Option4!L$89*conv_2026*L$7</f>
        <v>0</v>
      </c>
      <c r="M63" s="28">
        <f>Option4!M$89*conv_2026*M$7</f>
        <v>0</v>
      </c>
      <c r="N63" s="28">
        <f>Option4!N$89*conv_2026*N$7</f>
        <v>0</v>
      </c>
      <c r="O63" s="28">
        <f>Option4!O$89*conv_2026*O$7</f>
        <v>0</v>
      </c>
      <c r="P63" s="28">
        <f>Option4!P$89*conv_2026*P$7</f>
        <v>0</v>
      </c>
      <c r="Q63" s="28">
        <f>Option4!Q$89*conv_2026*Q$7</f>
        <v>0</v>
      </c>
      <c r="R63" s="28">
        <f>Option4!R$89*conv_2026*R$7</f>
        <v>0</v>
      </c>
      <c r="S63" s="28">
        <f>Option4!S$89*conv_2026*S$7</f>
        <v>0</v>
      </c>
      <c r="T63" s="28">
        <f>Option4!T$89*conv_2026*T$7</f>
        <v>0</v>
      </c>
      <c r="U63" s="28">
        <f>Option4!U$89*conv_2026*U$7</f>
        <v>0</v>
      </c>
      <c r="V63" s="28">
        <f>Option4!V$89*conv_2026*V$7</f>
        <v>0</v>
      </c>
      <c r="W63" s="28">
        <f>Option4!W$89*conv_2026*W$7</f>
        <v>0</v>
      </c>
      <c r="X63" s="28">
        <f>Option4!X$89*conv_2026*X$7</f>
        <v>0</v>
      </c>
      <c r="Y63" s="28">
        <f>Option4!Y$89*conv_2026*Y$7</f>
        <v>0</v>
      </c>
      <c r="Z63" s="28">
        <f>Option4!Z$89*conv_2026*Z$7</f>
        <v>0</v>
      </c>
      <c r="AA63" s="28">
        <f>Option4!AA$89*conv_2026*AA$7</f>
        <v>0</v>
      </c>
      <c r="AB63" s="28">
        <f>Option4!AB$89*conv_2026*AB$7</f>
        <v>0</v>
      </c>
      <c r="AC63" s="28">
        <f>Option4!AC$89*conv_2026*AC$7</f>
        <v>0</v>
      </c>
      <c r="AD63" s="28">
        <f>Option4!AD$89*conv_2026*AD$7</f>
        <v>0</v>
      </c>
      <c r="AE63" s="28">
        <f>Option4!AE$89*conv_2026*AE$7</f>
        <v>0</v>
      </c>
      <c r="AF63" s="28">
        <f>Option4!AF$89*conv_2026*AF$7</f>
        <v>0</v>
      </c>
      <c r="AG63" s="28">
        <f>Option4!AG$89*conv_2026*AG$7</f>
        <v>0</v>
      </c>
    </row>
    <row r="64" spans="1:33" s="2" customFormat="1" x14ac:dyDescent="0.2">
      <c r="A64" s="110" t="str">
        <f t="shared" si="15"/>
        <v>Option 4</v>
      </c>
      <c r="B64" s="110"/>
      <c r="C64" s="101" t="str">
        <f>Option4!C91</f>
        <v>Net benefits</v>
      </c>
      <c r="D64" s="93" t="str">
        <f t="shared" si="14"/>
        <v>Option 4Net benefits</v>
      </c>
      <c r="E64" s="94"/>
      <c r="F64" s="117"/>
      <c r="G64" s="195">
        <f t="shared" si="16"/>
        <v>46203</v>
      </c>
      <c r="H64" s="45"/>
      <c r="I64" s="45">
        <f t="shared" ref="I64:AB64" si="17">SUM(I60:I63)</f>
        <v>0</v>
      </c>
      <c r="J64" s="45">
        <f t="shared" si="17"/>
        <v>-283095.44005675713</v>
      </c>
      <c r="K64" s="45">
        <f t="shared" si="17"/>
        <v>-1453223.2589580202</v>
      </c>
      <c r="L64" s="45">
        <f t="shared" si="17"/>
        <v>-2642224.1071963999</v>
      </c>
      <c r="M64" s="45">
        <f t="shared" si="17"/>
        <v>-2815812.3786205277</v>
      </c>
      <c r="N64" s="45">
        <f t="shared" si="17"/>
        <v>-2754274.1336875251</v>
      </c>
      <c r="O64" s="45">
        <f t="shared" si="17"/>
        <v>-2647625.8116627657</v>
      </c>
      <c r="P64" s="45">
        <f t="shared" si="17"/>
        <v>-2482202.9751077229</v>
      </c>
      <c r="Q64" s="45">
        <f t="shared" si="17"/>
        <v>-2299614.5667625414</v>
      </c>
      <c r="R64" s="45">
        <f t="shared" si="17"/>
        <v>-2123138.3272169079</v>
      </c>
      <c r="S64" s="45">
        <f t="shared" si="17"/>
        <v>-2215158.9404073879</v>
      </c>
      <c r="T64" s="45">
        <f t="shared" si="17"/>
        <v>-2215158.9404073879</v>
      </c>
      <c r="U64" s="45">
        <f t="shared" si="17"/>
        <v>-2215158.9404073879</v>
      </c>
      <c r="V64" s="45">
        <f t="shared" si="17"/>
        <v>-2215158.9404073879</v>
      </c>
      <c r="W64" s="45">
        <f t="shared" si="17"/>
        <v>-2215158.9404073879</v>
      </c>
      <c r="X64" s="45">
        <f t="shared" si="17"/>
        <v>-2215158.9404073879</v>
      </c>
      <c r="Y64" s="45">
        <f t="shared" si="17"/>
        <v>-2215158.9404073879</v>
      </c>
      <c r="Z64" s="45">
        <f t="shared" si="17"/>
        <v>-2215158.9404073879</v>
      </c>
      <c r="AA64" s="45">
        <f t="shared" si="17"/>
        <v>-2215158.9404073879</v>
      </c>
      <c r="AB64" s="45">
        <f t="shared" si="17"/>
        <v>-2215158.9404073879</v>
      </c>
      <c r="AC64" s="45">
        <f>SUM(AC60:AC63)</f>
        <v>0</v>
      </c>
      <c r="AD64" s="45">
        <f>SUM(AD60:AD63)</f>
        <v>0</v>
      </c>
      <c r="AE64" s="45">
        <f>SUM(AE60:AE63)</f>
        <v>0</v>
      </c>
      <c r="AF64" s="45">
        <f>SUM(AF60:AF63)</f>
        <v>0</v>
      </c>
      <c r="AG64" s="45">
        <f>SUM(AG60:AG63)</f>
        <v>0</v>
      </c>
    </row>
    <row r="65" spans="1:33" s="2" customFormat="1" x14ac:dyDescent="0.2">
      <c r="A65" s="110" t="str">
        <f t="shared" si="15"/>
        <v>Option 4</v>
      </c>
      <c r="B65" s="110"/>
      <c r="C65" s="6" t="s">
        <v>7</v>
      </c>
      <c r="D65" s="33" t="str">
        <f t="shared" si="14"/>
        <v>Option 4NPV</v>
      </c>
      <c r="E65" s="1"/>
      <c r="F65" s="92" cm="1">
        <f t="array" ref="F65">SUMPRODUCT(($H64:$AG64)*($H$5:$AG$5)*($H$7:$AG$7))</f>
        <v>-29205630.866218276</v>
      </c>
      <c r="G65" s="193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x14ac:dyDescent="0.2">
      <c r="A66" s="110" t="str">
        <f t="shared" si="15"/>
        <v>Option 4</v>
      </c>
      <c r="B66" s="110"/>
      <c r="C66" s="6" t="s">
        <v>5</v>
      </c>
      <c r="D66" s="33" t="str">
        <f t="shared" si="14"/>
        <v>Option 4PV of costs</v>
      </c>
      <c r="E66" s="1"/>
      <c r="F66" s="92">
        <f>SUM(F60:F61)</f>
        <v>-35310607.061517268</v>
      </c>
      <c r="G66" s="193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x14ac:dyDescent="0.2">
      <c r="A67" s="110" t="str">
        <f t="shared" si="15"/>
        <v>Option 4</v>
      </c>
      <c r="B67" s="110"/>
      <c r="C67" s="6" t="s">
        <v>6</v>
      </c>
      <c r="D67" s="33" t="str">
        <f t="shared" si="14"/>
        <v>Option 4PV of benefits</v>
      </c>
      <c r="E67" s="1"/>
      <c r="F67" s="92">
        <f>SUM(F62:F63)</f>
        <v>6104976.195298993</v>
      </c>
      <c r="G67" s="193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x14ac:dyDescent="0.2">
      <c r="A68" s="110"/>
      <c r="B68" s="110"/>
      <c r="C68" s="1"/>
      <c r="D68" s="33"/>
      <c r="E68" s="1"/>
      <c r="F68" s="92"/>
      <c r="G68" s="196"/>
      <c r="H68" s="1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  <c r="X68" s="89"/>
      <c r="Y68" s="89"/>
      <c r="Z68" s="89"/>
      <c r="AA68" s="89"/>
      <c r="AB68" s="89"/>
      <c r="AC68" s="89"/>
      <c r="AD68" s="89"/>
      <c r="AE68" s="89"/>
      <c r="AF68" s="89"/>
      <c r="AG68" s="89"/>
    </row>
    <row r="69" spans="1:33" s="2" customFormat="1" x14ac:dyDescent="0.2">
      <c r="A69" s="51"/>
      <c r="B69" s="51"/>
      <c r="C69" s="51"/>
      <c r="D69" s="33" t="str">
        <f t="shared" ref="D69:D81" si="18">A69&amp;C69</f>
        <v/>
      </c>
      <c r="F69" s="7"/>
      <c r="G69" s="18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x14ac:dyDescent="0.2">
      <c r="A70" s="51" t="str">
        <f>A71</f>
        <v>Option 5</v>
      </c>
      <c r="B70" s="51"/>
      <c r="C70" s="51" t="s">
        <v>105</v>
      </c>
      <c r="D70" s="33" t="str">
        <f t="shared" si="18"/>
        <v>Option 5Energy at risk value</v>
      </c>
      <c r="F70" s="82">
        <f>SUMPRODUCT($H70:$AG70, $H$5:$AG$5)</f>
        <v>0</v>
      </c>
      <c r="G70" s="193">
        <f>output_dollars</f>
        <v>46203</v>
      </c>
      <c r="H70" s="28"/>
      <c r="I70" s="28">
        <f>Option5!I$32*conv_2026</f>
        <v>0</v>
      </c>
      <c r="J70" s="28">
        <f>Option5!J$32*conv_2026</f>
        <v>0</v>
      </c>
      <c r="K70" s="28">
        <f>Option5!K$32*conv_2026</f>
        <v>0</v>
      </c>
      <c r="L70" s="28">
        <f>Option5!L$32*conv_2026</f>
        <v>0</v>
      </c>
      <c r="M70" s="28">
        <f>Option5!M$32*conv_2026</f>
        <v>0</v>
      </c>
      <c r="N70" s="28">
        <f>Option5!N$32*conv_2026</f>
        <v>0</v>
      </c>
      <c r="O70" s="28">
        <f>Option5!O$32*conv_2026</f>
        <v>0</v>
      </c>
      <c r="P70" s="28">
        <f>Option5!P$32*conv_2026</f>
        <v>0</v>
      </c>
      <c r="Q70" s="28">
        <f>Option5!Q$32*conv_2026</f>
        <v>0</v>
      </c>
      <c r="R70" s="28">
        <f>Option5!R$32*conv_2026</f>
        <v>0</v>
      </c>
      <c r="S70" s="28">
        <f>Option5!S$32*conv_2026</f>
        <v>0</v>
      </c>
      <c r="T70" s="28">
        <f>Option5!T$32*conv_2026</f>
        <v>0</v>
      </c>
      <c r="U70" s="28">
        <f>Option5!U$32*conv_2026</f>
        <v>0</v>
      </c>
      <c r="V70" s="28">
        <f>Option5!V$32*conv_2026</f>
        <v>0</v>
      </c>
      <c r="W70" s="28">
        <f>Option5!W$32*conv_2026</f>
        <v>0</v>
      </c>
      <c r="X70" s="28">
        <f>Option5!X$32*conv_2026</f>
        <v>0</v>
      </c>
      <c r="Y70" s="28">
        <f>Option5!Y$32*conv_2026</f>
        <v>0</v>
      </c>
      <c r="Z70" s="28">
        <f>Option5!Z$32*conv_2026</f>
        <v>0</v>
      </c>
      <c r="AA70" s="28">
        <f>Option5!AA$32*conv_2026</f>
        <v>0</v>
      </c>
      <c r="AB70" s="28">
        <f>Option5!AB$32*conv_2026</f>
        <v>0</v>
      </c>
      <c r="AC70" s="28">
        <f>Option5!AC$32*conv_2026</f>
        <v>0</v>
      </c>
      <c r="AD70" s="28">
        <f>Option5!AD$32*conv_2026</f>
        <v>0</v>
      </c>
      <c r="AE70" s="28">
        <f>Option5!AE$32*conv_2026</f>
        <v>0</v>
      </c>
      <c r="AF70" s="28">
        <f>Option5!AF$32*conv_2026</f>
        <v>0</v>
      </c>
      <c r="AG70" s="28">
        <f>Option5!AG$32*conv_2026</f>
        <v>0</v>
      </c>
    </row>
    <row r="71" spans="1:33" s="2" customFormat="1" x14ac:dyDescent="0.2">
      <c r="A71" s="110" t="str">
        <f>Data!B13</f>
        <v>Option 5</v>
      </c>
      <c r="B71" s="110"/>
      <c r="C71" s="51" t="str">
        <f>Option5!C$70</f>
        <v>Capital expenditure</v>
      </c>
      <c r="D71" s="33" t="str">
        <f t="shared" si="18"/>
        <v>Option 5Capital expenditure</v>
      </c>
      <c r="E71" s="1"/>
      <c r="F71" s="82">
        <f>SUMPRODUCT($H71:$AG71, $H$5:$AG$5)</f>
        <v>0</v>
      </c>
      <c r="G71" s="193">
        <f>output_dollars</f>
        <v>46203</v>
      </c>
      <c r="H71" s="28"/>
      <c r="I71" s="28">
        <f>SUM(Option5!I$71:I$73)*conv_2026*I$7</f>
        <v>0</v>
      </c>
      <c r="J71" s="28">
        <f>SUM(Option5!J$71:J$73)*conv_2026*J$7</f>
        <v>0</v>
      </c>
      <c r="K71" s="28">
        <f>SUM(Option5!K$71:K$73)*conv_2026*K$7</f>
        <v>0</v>
      </c>
      <c r="L71" s="28">
        <f>SUM(Option5!L$71:L$73)*conv_2026*L$7</f>
        <v>0</v>
      </c>
      <c r="M71" s="28">
        <f>SUM(Option5!M$71:M$73)*conv_2026*M$7</f>
        <v>0</v>
      </c>
      <c r="N71" s="28">
        <f>SUM(Option5!N$71:N$73)*conv_2026*N$7</f>
        <v>0</v>
      </c>
      <c r="O71" s="28">
        <f>SUM(Option5!O$71:O$73)*conv_2026*O$7</f>
        <v>0</v>
      </c>
      <c r="P71" s="28">
        <f>SUM(Option5!P$71:P$73)*conv_2026*P$7</f>
        <v>0</v>
      </c>
      <c r="Q71" s="28">
        <f>SUM(Option5!Q$71:Q$73)*conv_2026*Q$7</f>
        <v>0</v>
      </c>
      <c r="R71" s="28">
        <f>SUM(Option5!R$71:R$73)*conv_2026*R$7</f>
        <v>0</v>
      </c>
      <c r="S71" s="28">
        <f>SUM(Option5!S$71:S$73)*conv_2026*S$7</f>
        <v>0</v>
      </c>
      <c r="T71" s="28">
        <f>SUM(Option5!T$71:T$73)*conv_2026*T$7</f>
        <v>0</v>
      </c>
      <c r="U71" s="28">
        <f>SUM(Option5!U$71:U$73)*conv_2026*U$7</f>
        <v>0</v>
      </c>
      <c r="V71" s="28">
        <f>SUM(Option5!V$71:V$73)*conv_2026*V$7</f>
        <v>0</v>
      </c>
      <c r="W71" s="28">
        <f>SUM(Option5!W$71:W$73)*conv_2026*W$7</f>
        <v>0</v>
      </c>
      <c r="X71" s="28">
        <f>SUM(Option5!X$71:X$73)*conv_2026*X$7</f>
        <v>0</v>
      </c>
      <c r="Y71" s="28">
        <f>SUM(Option5!Y$71:Y$73)*conv_2026*Y$7</f>
        <v>0</v>
      </c>
      <c r="Z71" s="28">
        <f>SUM(Option5!Z$71:Z$73)*conv_2026*Z$7</f>
        <v>0</v>
      </c>
      <c r="AA71" s="28">
        <f>SUM(Option5!AA$71:AA$73)*conv_2026*AA$7</f>
        <v>0</v>
      </c>
      <c r="AB71" s="28">
        <f>SUM(Option5!AB$71:AB$73)*conv_2026*AB$7</f>
        <v>0</v>
      </c>
      <c r="AC71" s="28">
        <f>SUM(Option5!AC$71:AC$73)*conv_2026*AC$7</f>
        <v>0</v>
      </c>
      <c r="AD71" s="28">
        <f>SUM(Option5!AD$71:AD$73)*conv_2026*AD$7</f>
        <v>0</v>
      </c>
      <c r="AE71" s="28">
        <f>SUM(Option5!AE$71:AE$73)*conv_2026*AE$7</f>
        <v>0</v>
      </c>
      <c r="AF71" s="28">
        <f>SUM(Option5!AF$71:AF$73)*conv_2026*AF$7</f>
        <v>0</v>
      </c>
      <c r="AG71" s="28">
        <f>SUM(Option5!AG$71:AG$73)*conv_2026*AG$7</f>
        <v>0</v>
      </c>
    </row>
    <row r="72" spans="1:33" s="2" customFormat="1" x14ac:dyDescent="0.2">
      <c r="A72" s="110" t="str">
        <f t="shared" ref="A72:A81" si="19">A71</f>
        <v>Option 5</v>
      </c>
      <c r="B72" s="110"/>
      <c r="C72" s="51" t="str">
        <f>'Option1 (base case)'!C$40</f>
        <v>Total risk cost</v>
      </c>
      <c r="D72" s="33" t="str">
        <f t="shared" si="18"/>
        <v>Option 5Total risk cost</v>
      </c>
      <c r="E72" s="1"/>
      <c r="F72" s="82">
        <f>SUMPRODUCT($H72:$AG72, $H$5:$AG$5)</f>
        <v>0</v>
      </c>
      <c r="G72" s="193">
        <f>output_dollars</f>
        <v>46203</v>
      </c>
      <c r="H72" s="28"/>
      <c r="I72" s="28">
        <f>Option5!I$40*conv_2026*I$7</f>
        <v>0</v>
      </c>
      <c r="J72" s="28">
        <f>Option5!J$40*conv_2026*J$7</f>
        <v>0</v>
      </c>
      <c r="K72" s="28">
        <f>Option5!K$40*conv_2026*K$7</f>
        <v>0</v>
      </c>
      <c r="L72" s="28">
        <f>Option5!L$40*conv_2026*L$7</f>
        <v>0</v>
      </c>
      <c r="M72" s="28">
        <f>Option5!M$40*conv_2026*M$7</f>
        <v>0</v>
      </c>
      <c r="N72" s="28">
        <f>Option5!N$40*conv_2026*N$7</f>
        <v>0</v>
      </c>
      <c r="O72" s="28">
        <f>Option5!O$40*conv_2026*O$7</f>
        <v>0</v>
      </c>
      <c r="P72" s="28">
        <f>Option5!P$40*conv_2026*P$7</f>
        <v>0</v>
      </c>
      <c r="Q72" s="28">
        <f>Option5!Q$40*conv_2026*Q$7</f>
        <v>0</v>
      </c>
      <c r="R72" s="28">
        <f>Option5!R$40*conv_2026*R$7</f>
        <v>0</v>
      </c>
      <c r="S72" s="28">
        <f>Option5!S$40*conv_2026*S$7</f>
        <v>0</v>
      </c>
      <c r="T72" s="28">
        <f>Option5!T$40*conv_2026*T$7</f>
        <v>0</v>
      </c>
      <c r="U72" s="28">
        <f>Option5!U$40*conv_2026*U$7</f>
        <v>0</v>
      </c>
      <c r="V72" s="28">
        <f>Option5!V$40*conv_2026*V$7</f>
        <v>0</v>
      </c>
      <c r="W72" s="28">
        <f>Option5!W$40*conv_2026*W$7</f>
        <v>0</v>
      </c>
      <c r="X72" s="28">
        <f>Option5!X$40*conv_2026*X$7</f>
        <v>0</v>
      </c>
      <c r="Y72" s="28">
        <f>Option5!Y$40*conv_2026*Y$7</f>
        <v>0</v>
      </c>
      <c r="Z72" s="28">
        <f>Option5!Z$40*conv_2026*Z$7</f>
        <v>0</v>
      </c>
      <c r="AA72" s="28">
        <f>Option5!AA$40*conv_2026*AA$7</f>
        <v>0</v>
      </c>
      <c r="AB72" s="28">
        <f>Option5!AB$40*conv_2026*AB$7</f>
        <v>0</v>
      </c>
      <c r="AC72" s="28">
        <f>Option5!AC$40*conv_2026*AC$7</f>
        <v>0</v>
      </c>
      <c r="AD72" s="28">
        <f>Option5!AD$40*conv_2026*AD$7</f>
        <v>0</v>
      </c>
      <c r="AE72" s="28">
        <f>Option5!AE$40*conv_2026*AE$7</f>
        <v>0</v>
      </c>
      <c r="AF72" s="28">
        <f>Option5!AF$40*conv_2026*AF$7</f>
        <v>0</v>
      </c>
      <c r="AG72" s="28">
        <f>Option5!AG$40*conv_2026*AG$7</f>
        <v>0</v>
      </c>
    </row>
    <row r="73" spans="1:33" s="2" customFormat="1" x14ac:dyDescent="0.2">
      <c r="A73" s="110" t="str">
        <f t="shared" si="19"/>
        <v>Option 5</v>
      </c>
      <c r="B73" s="110"/>
      <c r="C73" s="12"/>
      <c r="D73" s="33" t="str">
        <f t="shared" si="18"/>
        <v>Option 5</v>
      </c>
      <c r="E73" s="1"/>
      <c r="F73"/>
      <c r="G73" s="194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x14ac:dyDescent="0.2">
      <c r="A74" s="110" t="str">
        <f t="shared" si="19"/>
        <v>Option 5</v>
      </c>
      <c r="B74" s="110"/>
      <c r="C74" s="51" t="str">
        <f>Option5!C$86</f>
        <v>Annualised capex</v>
      </c>
      <c r="D74" s="33" t="str">
        <f t="shared" si="18"/>
        <v>Option 5Annualised capex</v>
      </c>
      <c r="E74" s="1"/>
      <c r="F74" s="92" cm="1">
        <f t="array" ref="F74">SUMPRODUCT(($H74:$AG74)*($H$5:$AG$5)*($H$7:$AG$7))</f>
        <v>0</v>
      </c>
      <c r="G74" s="193">
        <f t="shared" ref="G74:G81" si="20">output_dollars</f>
        <v>46203</v>
      </c>
      <c r="H74" s="28"/>
      <c r="I74" s="28">
        <f>Option5!I$86*conv_2026*I$7</f>
        <v>0</v>
      </c>
      <c r="J74" s="28">
        <f>Option5!J$86*conv_2026*J$7</f>
        <v>0</v>
      </c>
      <c r="K74" s="28">
        <f>Option5!K$86*conv_2026*K$7</f>
        <v>0</v>
      </c>
      <c r="L74" s="28">
        <f>Option5!L$86*conv_2026*L$7</f>
        <v>0</v>
      </c>
      <c r="M74" s="28">
        <f>Option5!M$86*conv_2026*M$7</f>
        <v>0</v>
      </c>
      <c r="N74" s="28">
        <f>Option5!N$86*conv_2026*N$7</f>
        <v>0</v>
      </c>
      <c r="O74" s="28">
        <f>Option5!O$86*conv_2026*O$7</f>
        <v>0</v>
      </c>
      <c r="P74" s="28">
        <f>Option5!P$86*conv_2026*P$7</f>
        <v>0</v>
      </c>
      <c r="Q74" s="28">
        <f>Option5!Q$86*conv_2026*Q$7</f>
        <v>0</v>
      </c>
      <c r="R74" s="28">
        <f>Option5!R$86*conv_2026*R$7</f>
        <v>0</v>
      </c>
      <c r="S74" s="28">
        <f>Option5!S$86*conv_2026*S$7</f>
        <v>0</v>
      </c>
      <c r="T74" s="28">
        <f>Option5!T$86*conv_2026*T$7</f>
        <v>0</v>
      </c>
      <c r="U74" s="28">
        <f>Option5!U$86*conv_2026*U$7</f>
        <v>0</v>
      </c>
      <c r="V74" s="28">
        <f>Option5!V$86*conv_2026*V$7</f>
        <v>0</v>
      </c>
      <c r="W74" s="28">
        <f>Option5!W$86*conv_2026*W$7</f>
        <v>0</v>
      </c>
      <c r="X74" s="28">
        <f>Option5!X$86*conv_2026*X$7</f>
        <v>0</v>
      </c>
      <c r="Y74" s="28">
        <f>Option5!Y$86*conv_2026*Y$7</f>
        <v>0</v>
      </c>
      <c r="Z74" s="28">
        <f>Option5!Z$86*conv_2026*Z$7</f>
        <v>0</v>
      </c>
      <c r="AA74" s="28">
        <f>Option5!AA$86*conv_2026*AA$7</f>
        <v>0</v>
      </c>
      <c r="AB74" s="28">
        <f>Option5!AB$86*conv_2026*AB$7</f>
        <v>0</v>
      </c>
      <c r="AC74" s="28">
        <f>Option5!AC$86*conv_2026*AC$7</f>
        <v>0</v>
      </c>
      <c r="AD74" s="28">
        <f>Option5!AD$86*conv_2026*AD$7</f>
        <v>0</v>
      </c>
      <c r="AE74" s="28">
        <f>Option5!AE$86*conv_2026*AE$7</f>
        <v>0</v>
      </c>
      <c r="AF74" s="28">
        <f>Option5!AF$86*conv_2026*AF$7</f>
        <v>0</v>
      </c>
      <c r="AG74" s="28">
        <f>Option5!AG$86*conv_2026*AG$7</f>
        <v>0</v>
      </c>
    </row>
    <row r="75" spans="1:33" s="2" customFormat="1" x14ac:dyDescent="0.2">
      <c r="A75" s="110" t="str">
        <f t="shared" si="19"/>
        <v>Option 5</v>
      </c>
      <c r="B75" s="110"/>
      <c r="C75" s="51" t="str">
        <f>Option5!C$87</f>
        <v>Operating expenditure</v>
      </c>
      <c r="D75" s="33" t="str">
        <f t="shared" si="18"/>
        <v>Option 5Operating expenditure</v>
      </c>
      <c r="E75" s="1"/>
      <c r="F75" s="92" cm="1">
        <f t="array" ref="F75">SUMPRODUCT(($H75:$AG75)*($H$5:$AG$5)*($H$7:$AG$7))</f>
        <v>0</v>
      </c>
      <c r="G75" s="193">
        <f t="shared" si="20"/>
        <v>46203</v>
      </c>
      <c r="H75" s="28"/>
      <c r="I75" s="28">
        <f>Option5!I$87*conv_2026*I$7</f>
        <v>0</v>
      </c>
      <c r="J75" s="28">
        <f>Option5!J$87*conv_2026*J$7</f>
        <v>0</v>
      </c>
      <c r="K75" s="28">
        <f>Option5!K$87*conv_2026*K$7</f>
        <v>0</v>
      </c>
      <c r="L75" s="28">
        <f>Option5!L$87*conv_2026*L$7</f>
        <v>0</v>
      </c>
      <c r="M75" s="28">
        <f>Option5!M$87*conv_2026*M$7</f>
        <v>0</v>
      </c>
      <c r="N75" s="28">
        <f>Option5!N$87*conv_2026*N$7</f>
        <v>0</v>
      </c>
      <c r="O75" s="28">
        <f>Option5!O$87*conv_2026*O$7</f>
        <v>0</v>
      </c>
      <c r="P75" s="28">
        <f>Option5!P$87*conv_2026*P$7</f>
        <v>0</v>
      </c>
      <c r="Q75" s="28">
        <f>Option5!Q$87*conv_2026*Q$7</f>
        <v>0</v>
      </c>
      <c r="R75" s="28">
        <f>Option5!R$87*conv_2026*R$7</f>
        <v>0</v>
      </c>
      <c r="S75" s="28">
        <f>Option5!S$87*conv_2026*S$7</f>
        <v>0</v>
      </c>
      <c r="T75" s="28">
        <f>Option5!T$87*conv_2026*T$7</f>
        <v>0</v>
      </c>
      <c r="U75" s="28">
        <f>Option5!U$87*conv_2026*U$7</f>
        <v>0</v>
      </c>
      <c r="V75" s="28">
        <f>Option5!V$87*conv_2026*V$7</f>
        <v>0</v>
      </c>
      <c r="W75" s="28">
        <f>Option5!W$87*conv_2026*W$7</f>
        <v>0</v>
      </c>
      <c r="X75" s="28">
        <f>Option5!X$87*conv_2026*X$7</f>
        <v>0</v>
      </c>
      <c r="Y75" s="28">
        <f>Option5!Y$87*conv_2026*Y$7</f>
        <v>0</v>
      </c>
      <c r="Z75" s="28">
        <f>Option5!Z$87*conv_2026*Z$7</f>
        <v>0</v>
      </c>
      <c r="AA75" s="28">
        <f>Option5!AA$87*conv_2026*AA$7</f>
        <v>0</v>
      </c>
      <c r="AB75" s="28">
        <f>Option5!AB$87*conv_2026*AB$7</f>
        <v>0</v>
      </c>
      <c r="AC75" s="28">
        <f>Option5!AC$87*conv_2026*AC$7</f>
        <v>0</v>
      </c>
      <c r="AD75" s="28">
        <f>Option5!AD$87*conv_2026*AD$7</f>
        <v>0</v>
      </c>
      <c r="AE75" s="28">
        <f>Option5!AE$87*conv_2026*AE$7</f>
        <v>0</v>
      </c>
      <c r="AF75" s="28">
        <f>Option5!AF$87*conv_2026*AF$7</f>
        <v>0</v>
      </c>
      <c r="AG75" s="28">
        <f>Option5!AG$87*conv_2026*AG$7</f>
        <v>0</v>
      </c>
    </row>
    <row r="76" spans="1:33" s="2" customFormat="1" x14ac:dyDescent="0.2">
      <c r="A76" s="110" t="str">
        <f t="shared" si="19"/>
        <v>Option 5</v>
      </c>
      <c r="B76" s="110"/>
      <c r="C76" s="51" t="str">
        <f>Option5!C$88</f>
        <v>Risk mitigated</v>
      </c>
      <c r="D76" s="33" t="str">
        <f t="shared" si="18"/>
        <v>Option 5Risk mitigated</v>
      </c>
      <c r="E76" s="1"/>
      <c r="F76" s="82">
        <f>SUMPRODUCT($H76:$AG76, $H$5:$AG$5)</f>
        <v>0</v>
      </c>
      <c r="G76" s="193">
        <f t="shared" si="20"/>
        <v>46203</v>
      </c>
      <c r="H76" s="28"/>
      <c r="I76" s="28">
        <f>Option5!I$88*conv_2026*I$7</f>
        <v>0</v>
      </c>
      <c r="J76" s="28">
        <f>Option5!J$88*conv_2026*J$7</f>
        <v>0</v>
      </c>
      <c r="K76" s="28">
        <f>Option5!K$88*conv_2026*K$7</f>
        <v>0</v>
      </c>
      <c r="L76" s="28">
        <f>Option5!L$88*conv_2026*L$7</f>
        <v>0</v>
      </c>
      <c r="M76" s="28">
        <f>Option5!M$88*conv_2026*M$7</f>
        <v>0</v>
      </c>
      <c r="N76" s="28">
        <f>Option5!N$88*conv_2026*N$7</f>
        <v>0</v>
      </c>
      <c r="O76" s="28">
        <f>Option5!O$88*conv_2026*O$7</f>
        <v>0</v>
      </c>
      <c r="P76" s="28">
        <f>Option5!P$88*conv_2026*P$7</f>
        <v>0</v>
      </c>
      <c r="Q76" s="28">
        <f>Option5!Q$88*conv_2026*Q$7</f>
        <v>0</v>
      </c>
      <c r="R76" s="28">
        <f>Option5!R$88*conv_2026*R$7</f>
        <v>0</v>
      </c>
      <c r="S76" s="28">
        <f>Option5!S$88*conv_2026*S$7</f>
        <v>0</v>
      </c>
      <c r="T76" s="28">
        <f>Option5!T$88*conv_2026*T$7</f>
        <v>0</v>
      </c>
      <c r="U76" s="28">
        <f>Option5!U$88*conv_2026*U$7</f>
        <v>0</v>
      </c>
      <c r="V76" s="28">
        <f>Option5!V$88*conv_2026*V$7</f>
        <v>0</v>
      </c>
      <c r="W76" s="28">
        <f>Option5!W$88*conv_2026*W$7</f>
        <v>0</v>
      </c>
      <c r="X76" s="28">
        <f>Option5!X$88*conv_2026*X$7</f>
        <v>0</v>
      </c>
      <c r="Y76" s="28">
        <f>Option5!Y$88*conv_2026*Y$7</f>
        <v>0</v>
      </c>
      <c r="Z76" s="28">
        <f>Option5!Z$88*conv_2026*Z$7</f>
        <v>0</v>
      </c>
      <c r="AA76" s="28">
        <f>Option5!AA$88*conv_2026*AA$7</f>
        <v>0</v>
      </c>
      <c r="AB76" s="28">
        <f>Option5!AB$88*conv_2026*AB$7</f>
        <v>0</v>
      </c>
      <c r="AC76" s="28">
        <f>Option5!AC$88*conv_2026*AC$7</f>
        <v>0</v>
      </c>
      <c r="AD76" s="28">
        <f>Option5!AD$88*conv_2026*AD$7</f>
        <v>0</v>
      </c>
      <c r="AE76" s="28">
        <f>Option5!AE$88*conv_2026*AE$7</f>
        <v>0</v>
      </c>
      <c r="AF76" s="28">
        <f>Option5!AF$88*conv_2026*AF$7</f>
        <v>0</v>
      </c>
      <c r="AG76" s="28">
        <f>Option5!AG$88*conv_2026*AG$7</f>
        <v>0</v>
      </c>
    </row>
    <row r="77" spans="1:33" s="2" customFormat="1" x14ac:dyDescent="0.2">
      <c r="A77" s="110" t="str">
        <f t="shared" si="19"/>
        <v>Option 5</v>
      </c>
      <c r="B77" s="110"/>
      <c r="C77" s="51" t="str">
        <f>Option5!C$89</f>
        <v>Other benefits value</v>
      </c>
      <c r="D77" s="33" t="str">
        <f t="shared" si="18"/>
        <v>Option 5Other benefits value</v>
      </c>
      <c r="E77" s="1"/>
      <c r="F77" s="82">
        <f>SUMPRODUCT($H77:$AG77, $H$5:$AG$5)</f>
        <v>0</v>
      </c>
      <c r="G77" s="193">
        <f t="shared" si="20"/>
        <v>46203</v>
      </c>
      <c r="H77" s="28"/>
      <c r="I77" s="28">
        <f>Option5!I$89*conv_2026*I$7</f>
        <v>0</v>
      </c>
      <c r="J77" s="28">
        <f>Option5!J$89*conv_2026*J$7</f>
        <v>0</v>
      </c>
      <c r="K77" s="28">
        <f>Option5!K$89*conv_2026*K$7</f>
        <v>0</v>
      </c>
      <c r="L77" s="28">
        <f>Option5!L$89*conv_2026*L$7</f>
        <v>0</v>
      </c>
      <c r="M77" s="28">
        <f>Option5!M$89*conv_2026*M$7</f>
        <v>0</v>
      </c>
      <c r="N77" s="28">
        <f>Option5!N$89*conv_2026*N$7</f>
        <v>0</v>
      </c>
      <c r="O77" s="28">
        <f>Option5!O$89*conv_2026*O$7</f>
        <v>0</v>
      </c>
      <c r="P77" s="28">
        <f>Option5!P$89*conv_2026*P$7</f>
        <v>0</v>
      </c>
      <c r="Q77" s="28">
        <f>Option5!Q$89*conv_2026*Q$7</f>
        <v>0</v>
      </c>
      <c r="R77" s="28">
        <f>Option5!R$89*conv_2026*R$7</f>
        <v>0</v>
      </c>
      <c r="S77" s="28">
        <f>Option5!S$89*conv_2026*S$7</f>
        <v>0</v>
      </c>
      <c r="T77" s="28">
        <f>Option5!T$89*conv_2026*T$7</f>
        <v>0</v>
      </c>
      <c r="U77" s="28">
        <f>Option5!U$89*conv_2026*U$7</f>
        <v>0</v>
      </c>
      <c r="V77" s="28">
        <f>Option5!V$89*conv_2026*V$7</f>
        <v>0</v>
      </c>
      <c r="W77" s="28">
        <f>Option5!W$89*conv_2026*W$7</f>
        <v>0</v>
      </c>
      <c r="X77" s="28">
        <f>Option5!X$89*conv_2026*X$7</f>
        <v>0</v>
      </c>
      <c r="Y77" s="28">
        <f>Option5!Y$89*conv_2026*Y$7</f>
        <v>0</v>
      </c>
      <c r="Z77" s="28">
        <f>Option5!Z$89*conv_2026*Z$7</f>
        <v>0</v>
      </c>
      <c r="AA77" s="28">
        <f>Option5!AA$89*conv_2026*AA$7</f>
        <v>0</v>
      </c>
      <c r="AB77" s="28">
        <f>Option5!AB$89*conv_2026*AB$7</f>
        <v>0</v>
      </c>
      <c r="AC77" s="28">
        <f>Option5!AC$89*conv_2026*AC$7</f>
        <v>0</v>
      </c>
      <c r="AD77" s="28">
        <f>Option5!AD$89*conv_2026*AD$7</f>
        <v>0</v>
      </c>
      <c r="AE77" s="28">
        <f>Option5!AE$89*conv_2026*AE$7</f>
        <v>0</v>
      </c>
      <c r="AF77" s="28">
        <f>Option5!AF$89*conv_2026*AF$7</f>
        <v>0</v>
      </c>
      <c r="AG77" s="28">
        <f>Option5!AG$89*conv_2026*AG$7</f>
        <v>0</v>
      </c>
    </row>
    <row r="78" spans="1:33" s="2" customFormat="1" x14ac:dyDescent="0.2">
      <c r="A78" s="110" t="str">
        <f t="shared" si="19"/>
        <v>Option 5</v>
      </c>
      <c r="B78" s="110"/>
      <c r="C78" s="101" t="str">
        <f>Option5!C91</f>
        <v>Net benefits</v>
      </c>
      <c r="D78" s="93" t="str">
        <f t="shared" si="18"/>
        <v>Option 5Net benefits</v>
      </c>
      <c r="E78" s="94"/>
      <c r="F78" s="117"/>
      <c r="G78" s="195">
        <f t="shared" si="20"/>
        <v>46203</v>
      </c>
      <c r="H78" s="45"/>
      <c r="I78" s="45">
        <f t="shared" ref="I78:AB78" si="21">SUM(I74:I77)</f>
        <v>0</v>
      </c>
      <c r="J78" s="45">
        <f t="shared" si="21"/>
        <v>0</v>
      </c>
      <c r="K78" s="45">
        <f t="shared" si="21"/>
        <v>0</v>
      </c>
      <c r="L78" s="45">
        <f t="shared" si="21"/>
        <v>0</v>
      </c>
      <c r="M78" s="45">
        <f t="shared" si="21"/>
        <v>0</v>
      </c>
      <c r="N78" s="45">
        <f t="shared" si="21"/>
        <v>0</v>
      </c>
      <c r="O78" s="45">
        <f t="shared" si="21"/>
        <v>0</v>
      </c>
      <c r="P78" s="45">
        <f t="shared" si="21"/>
        <v>0</v>
      </c>
      <c r="Q78" s="45">
        <f t="shared" si="21"/>
        <v>0</v>
      </c>
      <c r="R78" s="45">
        <f t="shared" si="21"/>
        <v>0</v>
      </c>
      <c r="S78" s="45">
        <f t="shared" si="21"/>
        <v>0</v>
      </c>
      <c r="T78" s="45">
        <f t="shared" si="21"/>
        <v>0</v>
      </c>
      <c r="U78" s="45">
        <f t="shared" si="21"/>
        <v>0</v>
      </c>
      <c r="V78" s="45">
        <f t="shared" si="21"/>
        <v>0</v>
      </c>
      <c r="W78" s="45">
        <f t="shared" si="21"/>
        <v>0</v>
      </c>
      <c r="X78" s="45">
        <f t="shared" si="21"/>
        <v>0</v>
      </c>
      <c r="Y78" s="45">
        <f t="shared" si="21"/>
        <v>0</v>
      </c>
      <c r="Z78" s="45">
        <f t="shared" si="21"/>
        <v>0</v>
      </c>
      <c r="AA78" s="45">
        <f t="shared" si="21"/>
        <v>0</v>
      </c>
      <c r="AB78" s="45">
        <f t="shared" si="21"/>
        <v>0</v>
      </c>
      <c r="AC78" s="45">
        <f>SUM(AC74:AC77)</f>
        <v>0</v>
      </c>
      <c r="AD78" s="45">
        <f>SUM(AD74:AD77)</f>
        <v>0</v>
      </c>
      <c r="AE78" s="45">
        <f>SUM(AE74:AE77)</f>
        <v>0</v>
      </c>
      <c r="AF78" s="45">
        <f>SUM(AF74:AF77)</f>
        <v>0</v>
      </c>
      <c r="AG78" s="45">
        <f>SUM(AG74:AG77)</f>
        <v>0</v>
      </c>
    </row>
    <row r="79" spans="1:33" s="2" customFormat="1" x14ac:dyDescent="0.2">
      <c r="A79" s="110" t="str">
        <f t="shared" si="19"/>
        <v>Option 5</v>
      </c>
      <c r="B79" s="110"/>
      <c r="C79" s="6" t="s">
        <v>7</v>
      </c>
      <c r="D79" s="33" t="str">
        <f t="shared" si="18"/>
        <v>Option 5NPV</v>
      </c>
      <c r="E79" s="1"/>
      <c r="F79" s="92" cm="1">
        <f t="array" ref="F79">SUMPRODUCT(($H78:$AG78)*($H$5:$AG$5)*($H$7:$AG$7))</f>
        <v>0</v>
      </c>
      <c r="G79" s="193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x14ac:dyDescent="0.2">
      <c r="A80" s="110" t="str">
        <f t="shared" si="19"/>
        <v>Option 5</v>
      </c>
      <c r="B80" s="110"/>
      <c r="C80" s="6" t="s">
        <v>5</v>
      </c>
      <c r="D80" s="33" t="str">
        <f t="shared" si="18"/>
        <v>Option 5PV of costs</v>
      </c>
      <c r="E80" s="1"/>
      <c r="F80" s="92">
        <f>SUM(F74:F75)</f>
        <v>0</v>
      </c>
      <c r="G80" s="193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x14ac:dyDescent="0.2">
      <c r="A81" s="110" t="str">
        <f t="shared" si="19"/>
        <v>Option 5</v>
      </c>
      <c r="B81" s="110"/>
      <c r="C81" s="6" t="s">
        <v>6</v>
      </c>
      <c r="D81" s="33" t="str">
        <f t="shared" si="18"/>
        <v>Option 5PV of benefits</v>
      </c>
      <c r="E81" s="1"/>
      <c r="F81" s="92">
        <f>SUM(F76:F77)</f>
        <v>0</v>
      </c>
      <c r="G81" s="193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x14ac:dyDescent="0.2">
      <c r="A82" s="100"/>
      <c r="B82" s="100"/>
      <c r="C82" s="100"/>
      <c r="D82" s="33" t="str">
        <f>A82&amp;C82</f>
        <v/>
      </c>
      <c r="F82" s="7"/>
      <c r="G82" s="189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2">
      <c r="E83" s="73"/>
      <c r="G83" s="197"/>
    </row>
    <row r="84" spans="1:33" ht="12" x14ac:dyDescent="0.2">
      <c r="E84" s="73"/>
      <c r="G84" s="197"/>
    </row>
    <row r="85" spans="1:33" ht="12" x14ac:dyDescent="0.2">
      <c r="E85" s="73"/>
      <c r="G85" s="197"/>
    </row>
    <row r="86" spans="1:33" ht="12" x14ac:dyDescent="0.2">
      <c r="E86" s="73"/>
      <c r="G86" s="197"/>
    </row>
    <row r="87" spans="1:33" ht="12" x14ac:dyDescent="0.2">
      <c r="E87" s="8"/>
      <c r="G87" s="197"/>
    </row>
    <row r="88" spans="1:33" ht="15" x14ac:dyDescent="0.25">
      <c r="A88" s="171" t="s">
        <v>151</v>
      </c>
      <c r="B88" s="47"/>
      <c r="C88" s="17"/>
      <c r="D88" s="17"/>
      <c r="E88" s="72"/>
      <c r="F88" s="17"/>
      <c r="G88" s="191"/>
      <c r="H88" s="191"/>
      <c r="I88" s="170" t="str">
        <f>"FY"&amp;RIGHT(I$9,2)</f>
        <v>FY27</v>
      </c>
      <c r="J88" s="170" t="str">
        <f t="shared" ref="J88:AG88" si="22">"FY"&amp;RIGHT(J$9,2)</f>
        <v>FY28</v>
      </c>
      <c r="K88" s="170" t="str">
        <f t="shared" si="22"/>
        <v>FY29</v>
      </c>
      <c r="L88" s="170" t="str">
        <f t="shared" si="22"/>
        <v>FY30</v>
      </c>
      <c r="M88" s="170" t="str">
        <f t="shared" si="22"/>
        <v>FY31</v>
      </c>
      <c r="N88" s="170" t="str">
        <f t="shared" si="22"/>
        <v>FY32</v>
      </c>
      <c r="O88" s="170" t="str">
        <f t="shared" si="22"/>
        <v>FY33</v>
      </c>
      <c r="P88" s="170" t="str">
        <f t="shared" si="22"/>
        <v>FY34</v>
      </c>
      <c r="Q88" s="170" t="str">
        <f t="shared" si="22"/>
        <v>FY35</v>
      </c>
      <c r="R88" s="170" t="str">
        <f t="shared" si="22"/>
        <v>FY36</v>
      </c>
      <c r="S88" s="170" t="str">
        <f t="shared" si="22"/>
        <v>FY37</v>
      </c>
      <c r="T88" s="170" t="str">
        <f t="shared" si="22"/>
        <v>FY38</v>
      </c>
      <c r="U88" s="170" t="str">
        <f t="shared" si="22"/>
        <v>FY39</v>
      </c>
      <c r="V88" s="170" t="str">
        <f t="shared" si="22"/>
        <v>FY40</v>
      </c>
      <c r="W88" s="170" t="str">
        <f t="shared" si="22"/>
        <v>FY41</v>
      </c>
      <c r="X88" s="170" t="str">
        <f t="shared" si="22"/>
        <v>FY42</v>
      </c>
      <c r="Y88" s="170" t="str">
        <f t="shared" si="22"/>
        <v>FY43</v>
      </c>
      <c r="Z88" s="170" t="str">
        <f t="shared" si="22"/>
        <v>FY44</v>
      </c>
      <c r="AA88" s="170" t="str">
        <f t="shared" si="22"/>
        <v>FY45</v>
      </c>
      <c r="AB88" s="170" t="str">
        <f t="shared" si="22"/>
        <v>FY46</v>
      </c>
      <c r="AC88" s="170" t="str">
        <f t="shared" si="22"/>
        <v>FY47</v>
      </c>
      <c r="AD88" s="170" t="str">
        <f t="shared" si="22"/>
        <v>FY48</v>
      </c>
      <c r="AE88" s="170" t="str">
        <f t="shared" si="22"/>
        <v>FY49</v>
      </c>
      <c r="AF88" s="170" t="str">
        <f t="shared" si="22"/>
        <v>FY50</v>
      </c>
      <c r="AG88" s="170" t="str">
        <f t="shared" si="22"/>
        <v>FY51</v>
      </c>
    </row>
    <row r="89" spans="1:33" ht="12" x14ac:dyDescent="0.2">
      <c r="E89" s="73"/>
      <c r="G89" s="197"/>
    </row>
    <row r="90" spans="1:33" ht="12" x14ac:dyDescent="0.2">
      <c r="E90" s="73"/>
    </row>
    <row r="91" spans="1:33" x14ac:dyDescent="0.2">
      <c r="A91" s="169" t="str">
        <f>Summary!$C$26</f>
        <v>Option 3</v>
      </c>
      <c r="B91" s="113"/>
      <c r="C91" s="167" t="s">
        <v>133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3 annualised capex</v>
      </c>
      <c r="I91" s="89" cm="1">
        <f t="array" ref="I91">MAX($D91*INDEX(I$15:W$81, MATCH($A91&amp;$C91, $D$15:$D$81,0),))/mill_conv</f>
        <v>3.7363253722076237</v>
      </c>
      <c r="J91" s="89" cm="1">
        <f t="array" ref="J91">MAX($D91*INDEX(J$15:X$81, MATCH($A91&amp;$C91, $D$15:$D$81,0),))/mill_conv</f>
        <v>3.7363253722076237</v>
      </c>
      <c r="K91" s="89" cm="1">
        <f t="array" ref="K91">MAX($D91*INDEX(K$15:Y$81, MATCH($A91&amp;$C91, $D$15:$D$81,0),))/mill_conv</f>
        <v>3.7363253722076237</v>
      </c>
      <c r="L91" s="89" cm="1">
        <f t="array" ref="L91">MAX($D91*INDEX(L$15:Z$81, MATCH($A91&amp;$C91, $D$15:$D$81,0),))/mill_conv</f>
        <v>3.7363253722076237</v>
      </c>
      <c r="M91" s="89" cm="1">
        <f t="array" ref="M91">MAX($D91*INDEX(M$15:AA$81, MATCH($A91&amp;$C91, $D$15:$D$81,0),))/mill_conv</f>
        <v>3.7363253722076237</v>
      </c>
      <c r="N91" s="89" cm="1">
        <f t="array" ref="N91">MAX($D91*INDEX(N$15:AB$81, MATCH($A91&amp;$C91, $D$15:$D$81,0),))/mill_conv</f>
        <v>3.7363253722076237</v>
      </c>
      <c r="O91" s="89" cm="1">
        <f t="array" ref="O91">MAX($D91*INDEX(O$15:AC$81, MATCH($A91&amp;$C91, $D$15:$D$81,0),))/mill_conv</f>
        <v>3.7363253722076237</v>
      </c>
      <c r="P91" s="89" cm="1">
        <f t="array" ref="P91">MAX($D91*INDEX(P$15:AD$81, MATCH($A91&amp;$C91, $D$15:$D$81,0),))/mill_conv</f>
        <v>3.7363253722076237</v>
      </c>
      <c r="Q91" s="89" cm="1">
        <f t="array" ref="Q91">MAX($D91*INDEX(Q$15:AE$81, MATCH($A91&amp;$C91, $D$15:$D$81,0),))/mill_conv</f>
        <v>3.7363253722076237</v>
      </c>
      <c r="R91" s="89" cm="1">
        <f t="array" ref="R91">MAX($D91*INDEX(R$15:AF$81, MATCH($A91&amp;$C91, $D$15:$D$81,0),))/mill_conv</f>
        <v>3.7363253722076237</v>
      </c>
      <c r="S91" s="89" cm="1">
        <f t="array" ref="S91">MAX($D91*INDEX(S$15:AG$81, MATCH($A91&amp;$C91, $D$15:$D$81,0),))/mill_conv</f>
        <v>3.7363253722076237</v>
      </c>
      <c r="T91" s="89" cm="1">
        <f t="array" ref="T91">MAX($D91*INDEX(T$15:AH$81, MATCH($A91&amp;$C91, $D$15:$D$81,0),))/mill_conv</f>
        <v>3.7363253722076237</v>
      </c>
      <c r="U91" s="89" cm="1">
        <f t="array" ref="U91">MAX($D91*INDEX(U$15:AI$81, MATCH($A91&amp;$C91, $D$15:$D$81,0),))/mill_conv</f>
        <v>3.7363253722076237</v>
      </c>
      <c r="V91" s="89" cm="1">
        <f t="array" ref="V91">MAX($D91*INDEX(V$15:AJ$81, MATCH($A91&amp;$C91, $D$15:$D$81,0),))/mill_conv</f>
        <v>3.7363253722076237</v>
      </c>
      <c r="W91" s="89" cm="1">
        <f t="array" ref="W91">MAX($D91*INDEX(W$15:AK$81, MATCH($A91&amp;$C91, $D$15:$D$81,0),))/mill_conv</f>
        <v>3.7363253722076237</v>
      </c>
      <c r="X91" s="89" cm="1">
        <f t="array" ref="X91">MAX($D91*INDEX(X$15:AL$81, MATCH($A91&amp;$C91, $D$15:$D$81,0),))/mill_conv</f>
        <v>3.7363253722076237</v>
      </c>
      <c r="Y91" s="89" cm="1">
        <f t="array" ref="Y91">MAX($D91*INDEX(Y$15:AM$81, MATCH($A91&amp;$C91, $D$15:$D$81,0),))/mill_conv</f>
        <v>3.7363253722076237</v>
      </c>
      <c r="Z91" s="89" cm="1">
        <f t="array" ref="Z91">MAX($D91*INDEX(Z$15:AN$81, MATCH($A91&amp;$C91, $D$15:$D$81,0),))/mill_conv</f>
        <v>3.7363253722076237</v>
      </c>
      <c r="AA91" s="89" cm="1">
        <f t="array" ref="AA91">MAX($D91*INDEX(AA$15:AO$81, MATCH($A91&amp;$C91, $D$15:$D$81,0),))/mill_conv</f>
        <v>3.7363253722076237</v>
      </c>
      <c r="AB91" s="89" cm="1">
        <f t="array" ref="AB91">MAX($D91*INDEX(AB$15:AP$81, MATCH($A91&amp;$C91, $D$15:$D$81,0),))/mill_conv</f>
        <v>3.7363253722076237</v>
      </c>
      <c r="AC91" s="89" cm="1">
        <f t="array" ref="AC91">MAX($D91*INDEX(AC$15:AQ$81, MATCH($A91&amp;$C91, $D$15:$D$81,0),))/mill_conv</f>
        <v>0</v>
      </c>
      <c r="AD91" s="89" cm="1">
        <f t="array" ref="AD91">MAX($D91*INDEX(AD$15:AR$81, MATCH($A91&amp;$C91, $D$15:$D$81,0),))/mill_conv</f>
        <v>0</v>
      </c>
      <c r="AE91" s="89" cm="1">
        <f t="array" ref="AE91">MAX($D91*INDEX(AE$15:AS$81, MATCH($A91&amp;$C91, $D$15:$D$81,0),))/mill_conv</f>
        <v>0</v>
      </c>
      <c r="AF91" s="89" cm="1">
        <f t="array" ref="AF91">MAX($D91*INDEX(AF$15:AT$81, MATCH($A91&amp;$C91, $D$15:$D$81,0),))/mill_conv</f>
        <v>0</v>
      </c>
      <c r="AG91" s="89" cm="1">
        <f t="array" ref="AG91">MAX($D91*INDEX(AG$15:AU$81, MATCH($A91&amp;$C91, $D$15:$D$81,0),))/mill_conv</f>
        <v>0</v>
      </c>
    </row>
    <row r="92" spans="1:33" x14ac:dyDescent="0.2">
      <c r="A92" s="168" t="str">
        <f>A16</f>
        <v>Option 1 (base case)</v>
      </c>
      <c r="B92" s="113"/>
      <c r="C92" s="168" t="s">
        <v>111</v>
      </c>
      <c r="D92" s="7">
        <f>INDEX(Data!$C$30:$C$36, MATCH(C92, Data!$B$30:$B$36,0))</f>
        <v>1</v>
      </c>
      <c r="E92" s="73"/>
      <c r="H92" s="28" t="str">
        <f>A92&amp;" risk cost"</f>
        <v>Option 1 (base case) risk cost</v>
      </c>
      <c r="I92" s="89">
        <f t="shared" ref="I92:R92" si="23">$D92*INDEX(I$15:I$81, MATCH($A92&amp;$C92, $D$15:$D$81,0))/mill_conv</f>
        <v>1.3324698397258763E-3</v>
      </c>
      <c r="J92" s="89">
        <f t="shared" si="23"/>
        <v>1.4739062891764831E-2</v>
      </c>
      <c r="K92" s="89">
        <f t="shared" si="23"/>
        <v>3.5205256504725536E-2</v>
      </c>
      <c r="L92" s="89">
        <f t="shared" si="23"/>
        <v>6.7567318409888624E-2</v>
      </c>
      <c r="M92" s="89">
        <f t="shared" si="23"/>
        <v>0.10950716863262981</v>
      </c>
      <c r="N92" s="89">
        <f t="shared" si="23"/>
        <v>0.1710454135656323</v>
      </c>
      <c r="O92" s="89">
        <f t="shared" si="23"/>
        <v>0.27769373559039184</v>
      </c>
      <c r="P92" s="89">
        <f t="shared" si="23"/>
        <v>0.44311657214543454</v>
      </c>
      <c r="Q92" s="89">
        <f t="shared" si="23"/>
        <v>0.62570498049061607</v>
      </c>
      <c r="R92" s="89">
        <f t="shared" si="23"/>
        <v>0.80218122003624959</v>
      </c>
      <c r="S92" s="89">
        <f t="shared" ref="S92:AG92" si="24">$D92*INDEX(S$15:S$81, MATCH($A92&amp;$C92, $D$15:$D$81,0))/mill_conv</f>
        <v>0.71016060684576976</v>
      </c>
      <c r="T92" s="89">
        <f t="shared" si="24"/>
        <v>0.71016060684576976</v>
      </c>
      <c r="U92" s="89">
        <f t="shared" si="24"/>
        <v>0.71016060684576976</v>
      </c>
      <c r="V92" s="89">
        <f t="shared" si="24"/>
        <v>0.71016060684576976</v>
      </c>
      <c r="W92" s="89">
        <f t="shared" si="24"/>
        <v>0.71016060684576976</v>
      </c>
      <c r="X92" s="89">
        <f t="shared" si="24"/>
        <v>0.71016060684576976</v>
      </c>
      <c r="Y92" s="89">
        <f t="shared" si="24"/>
        <v>0.71016060684576976</v>
      </c>
      <c r="Z92" s="89">
        <f t="shared" si="24"/>
        <v>0.71016060684576976</v>
      </c>
      <c r="AA92" s="89">
        <f t="shared" si="24"/>
        <v>0.71016060684576976</v>
      </c>
      <c r="AB92" s="89">
        <f t="shared" si="24"/>
        <v>0.71016060684576976</v>
      </c>
      <c r="AC92" s="89">
        <f t="shared" si="24"/>
        <v>0.71016060684576976</v>
      </c>
      <c r="AD92" s="89">
        <f t="shared" si="24"/>
        <v>0.71016060684576976</v>
      </c>
      <c r="AE92" s="89">
        <f t="shared" si="24"/>
        <v>0.71016060684576976</v>
      </c>
      <c r="AF92" s="89">
        <f t="shared" si="24"/>
        <v>0.71016060684576976</v>
      </c>
      <c r="AG92" s="89">
        <f t="shared" si="24"/>
        <v>0.71016060684576976</v>
      </c>
    </row>
    <row r="93" spans="1:33" ht="12" x14ac:dyDescent="0.2">
      <c r="E93" s="73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</row>
    <row r="94" spans="1:33" ht="12" x14ac:dyDescent="0.2">
      <c r="E94" s="73"/>
    </row>
    <row r="95" spans="1:33" ht="12" x14ac:dyDescent="0.2">
      <c r="E95" s="73"/>
    </row>
    <row r="96" spans="1:33" ht="12" x14ac:dyDescent="0.2">
      <c r="E96" s="73"/>
    </row>
    <row r="97" spans="1:33" ht="12" x14ac:dyDescent="0.2">
      <c r="E97" s="73"/>
      <c r="I97" s="243" t="str">
        <f>I88</f>
        <v>FY27</v>
      </c>
      <c r="J97" s="243" t="str">
        <f t="shared" ref="J97:AG97" si="25">J88</f>
        <v>FY28</v>
      </c>
      <c r="K97" s="243" t="str">
        <f t="shared" si="25"/>
        <v>FY29</v>
      </c>
      <c r="L97" s="243" t="str">
        <f t="shared" si="25"/>
        <v>FY30</v>
      </c>
      <c r="M97" s="243" t="str">
        <f t="shared" si="25"/>
        <v>FY31</v>
      </c>
      <c r="N97" s="243" t="str">
        <f t="shared" si="25"/>
        <v>FY32</v>
      </c>
      <c r="O97" s="243" t="str">
        <f t="shared" si="25"/>
        <v>FY33</v>
      </c>
      <c r="P97" s="243" t="str">
        <f t="shared" si="25"/>
        <v>FY34</v>
      </c>
      <c r="Q97" s="243" t="str">
        <f t="shared" si="25"/>
        <v>FY35</v>
      </c>
      <c r="R97" s="243" t="str">
        <f t="shared" si="25"/>
        <v>FY36</v>
      </c>
      <c r="S97" s="243" t="str">
        <f t="shared" si="25"/>
        <v>FY37</v>
      </c>
      <c r="T97" s="243" t="str">
        <f t="shared" si="25"/>
        <v>FY38</v>
      </c>
      <c r="U97" s="243" t="str">
        <f t="shared" si="25"/>
        <v>FY39</v>
      </c>
      <c r="V97" s="243" t="str">
        <f t="shared" si="25"/>
        <v>FY40</v>
      </c>
      <c r="W97" s="243" t="str">
        <f t="shared" si="25"/>
        <v>FY41</v>
      </c>
      <c r="X97" s="243" t="str">
        <f t="shared" si="25"/>
        <v>FY42</v>
      </c>
      <c r="Y97" s="243" t="str">
        <f t="shared" si="25"/>
        <v>FY43</v>
      </c>
      <c r="Z97" s="243" t="str">
        <f t="shared" si="25"/>
        <v>FY44</v>
      </c>
      <c r="AA97" s="243" t="str">
        <f t="shared" si="25"/>
        <v>FY45</v>
      </c>
      <c r="AB97" s="243" t="str">
        <f t="shared" si="25"/>
        <v>FY46</v>
      </c>
      <c r="AC97" s="243" t="str">
        <f t="shared" si="25"/>
        <v>FY47</v>
      </c>
      <c r="AD97" s="243" t="str">
        <f t="shared" si="25"/>
        <v>FY48</v>
      </c>
      <c r="AE97" s="243" t="str">
        <f t="shared" si="25"/>
        <v>FY49</v>
      </c>
      <c r="AF97" s="243" t="str">
        <f t="shared" si="25"/>
        <v>FY50</v>
      </c>
      <c r="AG97" s="243" t="str">
        <f t="shared" si="25"/>
        <v>FY51</v>
      </c>
    </row>
    <row r="98" spans="1:33" x14ac:dyDescent="0.2">
      <c r="A98" s="169" t="s">
        <v>152</v>
      </c>
      <c r="B98" s="113"/>
      <c r="C98" s="167" t="s">
        <v>104</v>
      </c>
      <c r="D98" s="161">
        <f>MAX(H98:AG98)</f>
        <v>21.495906489906403</v>
      </c>
      <c r="E98" s="242"/>
      <c r="F98" s="7"/>
      <c r="G98" s="28"/>
      <c r="H98" s="28" t="str">
        <f>A98&amp;" "&amp;LOWER(C98)</f>
        <v>Energy at risk energy at risk (weighted)</v>
      </c>
      <c r="I98" s="28">
        <f>INDEX('Option1 (base case)'!I$14:I$91, MATCH($C98, 'Option1 (base case)'!$C$14:$C$91,0))</f>
        <v>3.5705955661831226E-2</v>
      </c>
      <c r="J98" s="28">
        <f>INDEX('Option1 (base case)'!J$14:J$91, MATCH($C98, 'Option1 (base case)'!$C$14:$C$91,0))</f>
        <v>0.39496002867769597</v>
      </c>
      <c r="K98" s="28">
        <f>INDEX('Option1 (base case)'!K$14:K$91, MATCH($C98, 'Option1 (base case)'!$C$14:$C$91,0))</f>
        <v>0.94338895361393749</v>
      </c>
      <c r="L98" s="28">
        <f>INDEX('Option1 (base case)'!L$14:L$91, MATCH($C98, 'Option1 (base case)'!$C$14:$C$91,0))</f>
        <v>1.8105893307338512</v>
      </c>
      <c r="M98" s="28">
        <f>INDEX('Option1 (base case)'!M$14:M$91, MATCH($C98, 'Option1 (base case)'!$C$14:$C$91,0))</f>
        <v>2.9344439861045979</v>
      </c>
      <c r="N98" s="28">
        <f>INDEX('Option1 (base case)'!N$14:N$91, MATCH($C98, 'Option1 (base case)'!$C$14:$C$91,0))</f>
        <v>4.5834733146308899</v>
      </c>
      <c r="O98" s="28">
        <f>INDEX('Option1 (base case)'!O$14:O$91, MATCH($C98, 'Option1 (base case)'!$C$14:$C$91,0))</f>
        <v>7.4413093001779718</v>
      </c>
      <c r="P98" s="28">
        <f>INDEX('Option1 (base case)'!P$14:P$91, MATCH($C98, 'Option1 (base case)'!$C$14:$C$91,0))</f>
        <v>11.87411542560881</v>
      </c>
      <c r="Q98" s="28">
        <f>INDEX('Option1 (base case)'!Q$14:Q$91, MATCH($C98, 'Option1 (base case)'!$C$14:$C$91,0))</f>
        <v>16.76690430410126</v>
      </c>
      <c r="R98" s="28">
        <f>INDEX('Option1 (base case)'!R$14:R$91, MATCH($C98, 'Option1 (base case)'!$C$14:$C$91,0))</f>
        <v>21.495906489906403</v>
      </c>
      <c r="S98" s="28">
        <f>INDEX('Option1 (base case)'!S$14:S$91, MATCH($C98, 'Option1 (base case)'!$C$14:$C$91,0))</f>
        <v>19.030046598301091</v>
      </c>
      <c r="T98" s="28">
        <f>INDEX('Option1 (base case)'!T$14:T$91, MATCH($C98, 'Option1 (base case)'!$C$14:$C$91,0))</f>
        <v>19.030046598301091</v>
      </c>
      <c r="U98" s="28">
        <f>INDEX('Option1 (base case)'!U$14:U$91, MATCH($C98, 'Option1 (base case)'!$C$14:$C$91,0))</f>
        <v>19.030046598301091</v>
      </c>
      <c r="V98" s="28">
        <f>INDEX('Option1 (base case)'!V$14:V$91, MATCH($C98, 'Option1 (base case)'!$C$14:$C$91,0))</f>
        <v>19.030046598301091</v>
      </c>
      <c r="W98" s="28">
        <f>INDEX('Option1 (base case)'!W$14:W$91, MATCH($C98, 'Option1 (base case)'!$C$14:$C$91,0))</f>
        <v>19.030046598301091</v>
      </c>
      <c r="X98" s="28">
        <f>INDEX('Option1 (base case)'!X$14:X$91, MATCH($C98, 'Option1 (base case)'!$C$14:$C$91,0))</f>
        <v>19.030046598301091</v>
      </c>
      <c r="Y98" s="28">
        <f>INDEX('Option1 (base case)'!Y$14:Y$91, MATCH($C98, 'Option1 (base case)'!$C$14:$C$91,0))</f>
        <v>19.030046598301091</v>
      </c>
      <c r="Z98" s="28">
        <f>INDEX('Option1 (base case)'!Z$14:Z$91, MATCH($C98, 'Option1 (base case)'!$C$14:$C$91,0))</f>
        <v>19.030046598301091</v>
      </c>
      <c r="AA98" s="28">
        <f>INDEX('Option1 (base case)'!AA$14:AA$91, MATCH($C98, 'Option1 (base case)'!$C$14:$C$91,0))</f>
        <v>19.030046598301091</v>
      </c>
      <c r="AB98" s="28">
        <f>INDEX('Option1 (base case)'!AB$14:AB$91, MATCH($C98, 'Option1 (base case)'!$C$14:$C$91,0))</f>
        <v>19.030046598301091</v>
      </c>
      <c r="AC98" s="28">
        <f>INDEX('Option1 (base case)'!AC$14:AC$91, MATCH($C98, 'Option1 (base case)'!$C$14:$C$91,0))</f>
        <v>19.030046598301091</v>
      </c>
      <c r="AD98" s="28">
        <f>INDEX('Option1 (base case)'!AD$14:AD$91, MATCH($C98, 'Option1 (base case)'!$C$14:$C$91,0))</f>
        <v>19.030046598301091</v>
      </c>
      <c r="AE98" s="28">
        <f>INDEX('Option1 (base case)'!AE$14:AE$91, MATCH($C98, 'Option1 (base case)'!$C$14:$C$91,0))</f>
        <v>19.030046598301091</v>
      </c>
      <c r="AF98" s="28">
        <f>INDEX('Option1 (base case)'!AF$14:AF$91, MATCH($C98, 'Option1 (base case)'!$C$14:$C$91,0))</f>
        <v>19.030046598301091</v>
      </c>
      <c r="AG98" s="28">
        <f>INDEX('Option1 (base case)'!AG$14:AG$91, MATCH($C98, 'Option1 (base case)'!$C$14:$C$91,0))</f>
        <v>19.030046598301091</v>
      </c>
    </row>
    <row r="99" spans="1:33" x14ac:dyDescent="0.2">
      <c r="A99" s="168" t="str">
        <f>A23</f>
        <v>Option 1 (base case)</v>
      </c>
      <c r="B99" s="113"/>
      <c r="C99" s="168" t="s">
        <v>105</v>
      </c>
      <c r="D99" s="161">
        <f>MAX(H99:AG99)</f>
        <v>0.72484306666136145</v>
      </c>
      <c r="E99" s="242"/>
      <c r="H99" s="28" t="str">
        <f>A99&amp;" risk cost"</f>
        <v>Option 1 (base case) risk cost</v>
      </c>
      <c r="I99" s="28">
        <f>INDEX('Option1 (base case)'!I$14:I$91, MATCH($C99, 'Option1 (base case)'!$C$14:$C$91,0))/10^6</f>
        <v>1.2040066517850321E-3</v>
      </c>
      <c r="J99" s="28">
        <f>INDEX('Option1 (base case)'!J$14:J$91, MATCH($C99, 'Option1 (base case)'!$C$14:$C$91,0))/10^6</f>
        <v>1.3318072374841585E-2</v>
      </c>
      <c r="K99" s="28">
        <f>INDEX('Option1 (base case)'!K$14:K$91, MATCH($C99, 'Option1 (base case)'!$C$14:$C$91,0))/10^6</f>
        <v>3.181112378364076E-2</v>
      </c>
      <c r="L99" s="28">
        <f>INDEX('Option1 (base case)'!L$14:L$91, MATCH($C99, 'Option1 (base case)'!$C$14:$C$91,0))/10^6</f>
        <v>6.1053164869772428E-2</v>
      </c>
      <c r="M99" s="28">
        <f>INDEX('Option1 (base case)'!M$14:M$91, MATCH($C99, 'Option1 (base case)'!$C$14:$C$91,0))/10^6</f>
        <v>9.894960135004327E-2</v>
      </c>
      <c r="N99" s="28">
        <f>INDEX('Option1 (base case)'!N$14:N$91, MATCH($C99, 'Option1 (base case)'!$C$14:$C$91,0))/10^6</f>
        <v>0.1545549546792821</v>
      </c>
      <c r="O99" s="28">
        <f>INDEX('Option1 (base case)'!O$14:O$91, MATCH($C99, 'Option1 (base case)'!$C$14:$C$91,0))/10^6</f>
        <v>0.25092133033093578</v>
      </c>
      <c r="P99" s="28">
        <f>INDEX('Option1 (base case)'!P$14:P$91, MATCH($C99, 'Option1 (base case)'!$C$14:$C$91,0))/10^6</f>
        <v>0.40039577968161988</v>
      </c>
      <c r="Q99" s="28">
        <f>INDEX('Option1 (base case)'!Q$14:Q$91, MATCH($C99, 'Option1 (base case)'!$C$14:$C$91,0))/10^6</f>
        <v>0.56538087100020951</v>
      </c>
      <c r="R99" s="28">
        <f>INDEX('Option1 (base case)'!R$14:R$91, MATCH($C99, 'Option1 (base case)'!$C$14:$C$91,0))/10^6</f>
        <v>0.72484306666136145</v>
      </c>
      <c r="S99" s="28">
        <f>INDEX('Option1 (base case)'!S$14:S$91, MATCH($C99, 'Option1 (base case)'!$C$14:$C$91,0))/10^6</f>
        <v>0.64169414495258326</v>
      </c>
      <c r="T99" s="28">
        <f>INDEX('Option1 (base case)'!T$14:T$91, MATCH($C99, 'Option1 (base case)'!$C$14:$C$91,0))/10^6</f>
        <v>0.64169414495258326</v>
      </c>
      <c r="U99" s="28">
        <f>INDEX('Option1 (base case)'!U$14:U$91, MATCH($C99, 'Option1 (base case)'!$C$14:$C$91,0))/10^6</f>
        <v>0.64169414495258326</v>
      </c>
      <c r="V99" s="28">
        <f>INDEX('Option1 (base case)'!V$14:V$91, MATCH($C99, 'Option1 (base case)'!$C$14:$C$91,0))/10^6</f>
        <v>0.64169414495258326</v>
      </c>
      <c r="W99" s="28">
        <f>INDEX('Option1 (base case)'!W$14:W$91, MATCH($C99, 'Option1 (base case)'!$C$14:$C$91,0))/10^6</f>
        <v>0.64169414495258326</v>
      </c>
      <c r="X99" s="28">
        <f>INDEX('Option1 (base case)'!X$14:X$91, MATCH($C99, 'Option1 (base case)'!$C$14:$C$91,0))/10^6</f>
        <v>0.64169414495258326</v>
      </c>
      <c r="Y99" s="28">
        <f>INDEX('Option1 (base case)'!Y$14:Y$91, MATCH($C99, 'Option1 (base case)'!$C$14:$C$91,0))/10^6</f>
        <v>0.64169414495258326</v>
      </c>
      <c r="Z99" s="28">
        <f>INDEX('Option1 (base case)'!Z$14:Z$91, MATCH($C99, 'Option1 (base case)'!$C$14:$C$91,0))/10^6</f>
        <v>0.64169414495258326</v>
      </c>
      <c r="AA99" s="28">
        <f>INDEX('Option1 (base case)'!AA$14:AA$91, MATCH($C99, 'Option1 (base case)'!$C$14:$C$91,0))/10^6</f>
        <v>0.64169414495258326</v>
      </c>
      <c r="AB99" s="28">
        <f>INDEX('Option1 (base case)'!AB$14:AB$91, MATCH($C99, 'Option1 (base case)'!$C$14:$C$91,0))/10^6</f>
        <v>0.64169414495258326</v>
      </c>
      <c r="AC99" s="28">
        <f>INDEX('Option1 (base case)'!AC$14:AC$91, MATCH($C99, 'Option1 (base case)'!$C$14:$C$91,0))/10^6</f>
        <v>0.64169414495258326</v>
      </c>
      <c r="AD99" s="28">
        <f>INDEX('Option1 (base case)'!AD$14:AD$91, MATCH($C99, 'Option1 (base case)'!$C$14:$C$91,0))/10^6</f>
        <v>0.64169414495258326</v>
      </c>
      <c r="AE99" s="28">
        <f>INDEX('Option1 (base case)'!AE$14:AE$91, MATCH($C99, 'Option1 (base case)'!$C$14:$C$91,0))/10^6</f>
        <v>0.64169414495258326</v>
      </c>
      <c r="AF99" s="28">
        <f>INDEX('Option1 (base case)'!AF$14:AF$91, MATCH($C99, 'Option1 (base case)'!$C$14:$C$91,0))/10^6</f>
        <v>0.64169414495258326</v>
      </c>
      <c r="AG99" s="28">
        <f>INDEX('Option1 (base case)'!AG$14:AG$91, MATCH($C99, 'Option1 (base case)'!$C$14:$C$91,0))/10^6</f>
        <v>0.64169414495258326</v>
      </c>
    </row>
    <row r="100" spans="1:33" ht="12" x14ac:dyDescent="0.2">
      <c r="E100" s="8"/>
    </row>
    <row r="101" spans="1:33" s="244" customFormat="1" ht="12" x14ac:dyDescent="0.2"/>
    <row r="102" spans="1:33" ht="12" x14ac:dyDescent="0.2">
      <c r="E102" s="8"/>
    </row>
    <row r="103" spans="1:33" ht="12" x14ac:dyDescent="0.2">
      <c r="E103" s="8"/>
      <c r="I103" s="244"/>
    </row>
    <row r="104" spans="1:33" ht="12" x14ac:dyDescent="0.2">
      <c r="E104" s="8"/>
      <c r="H104" s="124"/>
    </row>
    <row r="105" spans="1:33" ht="12" x14ac:dyDescent="0.2">
      <c r="E105" s="8"/>
      <c r="H105" s="124"/>
    </row>
    <row r="106" spans="1:33" ht="12" x14ac:dyDescent="0.2">
      <c r="D106" s="161"/>
      <c r="E106" s="8"/>
    </row>
    <row r="107" spans="1:33" ht="12" x14ac:dyDescent="0.2">
      <c r="D107" s="161"/>
      <c r="E107" s="8"/>
    </row>
    <row r="108" spans="1:33" ht="12" x14ac:dyDescent="0.2">
      <c r="D108" s="161"/>
      <c r="E108" s="73"/>
    </row>
    <row r="109" spans="1:33" ht="12" x14ac:dyDescent="0.2">
      <c r="C109" s="100"/>
      <c r="D109" s="161"/>
      <c r="E109" s="161"/>
    </row>
    <row r="110" spans="1:33" ht="12" x14ac:dyDescent="0.2">
      <c r="D110" s="161"/>
      <c r="E110" s="73"/>
    </row>
    <row r="111" spans="1:33" ht="12" x14ac:dyDescent="0.2">
      <c r="D111" s="161"/>
      <c r="E111" s="73"/>
    </row>
    <row r="112" spans="1:33" ht="12" x14ac:dyDescent="0.2">
      <c r="D112" s="161"/>
      <c r="E112" s="73"/>
    </row>
    <row r="113" spans="4:5" ht="12" x14ac:dyDescent="0.2">
      <c r="D113" s="161"/>
      <c r="E113" s="73"/>
    </row>
    <row r="114" spans="4:5" ht="12" x14ac:dyDescent="0.2">
      <c r="D114" s="161"/>
      <c r="E114" s="73"/>
    </row>
    <row r="115" spans="4:5" ht="12" x14ac:dyDescent="0.2">
      <c r="D115" s="161"/>
      <c r="E115" s="73"/>
    </row>
    <row r="116" spans="4:5" ht="12" x14ac:dyDescent="0.2">
      <c r="D116" s="161"/>
      <c r="E116" s="73"/>
    </row>
    <row r="117" spans="4:5" ht="12" x14ac:dyDescent="0.2">
      <c r="D117" s="161"/>
      <c r="E117" s="73"/>
    </row>
    <row r="118" spans="4:5" ht="12" x14ac:dyDescent="0.2">
      <c r="D118" s="161"/>
      <c r="E118" s="73"/>
    </row>
    <row r="119" spans="4:5" ht="12" x14ac:dyDescent="0.2">
      <c r="D119" s="161"/>
      <c r="E119" s="73"/>
    </row>
    <row r="120" spans="4:5" ht="12" x14ac:dyDescent="0.2">
      <c r="D120" s="161"/>
      <c r="E120" s="73"/>
    </row>
    <row r="121" spans="4:5" ht="12" x14ac:dyDescent="0.2">
      <c r="D121" s="161"/>
      <c r="E121" s="73"/>
    </row>
    <row r="122" spans="4:5" ht="12" x14ac:dyDescent="0.2">
      <c r="D122" s="161"/>
      <c r="E122" s="73"/>
    </row>
    <row r="123" spans="4:5" ht="12" x14ac:dyDescent="0.2">
      <c r="D123" s="161"/>
      <c r="E123" s="73"/>
    </row>
    <row r="124" spans="4:5" ht="12" x14ac:dyDescent="0.2">
      <c r="D124" s="161"/>
      <c r="E124" s="73"/>
    </row>
    <row r="125" spans="4:5" ht="12" x14ac:dyDescent="0.2">
      <c r="D125" s="161"/>
      <c r="E125" s="73"/>
    </row>
    <row r="126" spans="4:5" ht="12" x14ac:dyDescent="0.2">
      <c r="D126" s="161"/>
      <c r="E126" s="73"/>
    </row>
    <row r="127" spans="4:5" ht="12" x14ac:dyDescent="0.2">
      <c r="D127" s="161"/>
      <c r="E127" s="73"/>
    </row>
    <row r="128" spans="4:5" ht="12" x14ac:dyDescent="0.2">
      <c r="D128" s="161"/>
      <c r="E128" s="73"/>
    </row>
    <row r="129" spans="4:5" ht="12" x14ac:dyDescent="0.2">
      <c r="D129" s="161"/>
      <c r="E129" s="73"/>
    </row>
    <row r="130" spans="4:5" ht="12" x14ac:dyDescent="0.2">
      <c r="D130" s="161"/>
      <c r="E130" s="73"/>
    </row>
    <row r="131" spans="4:5" ht="12" x14ac:dyDescent="0.2">
      <c r="D131" s="161"/>
      <c r="E131" s="73"/>
    </row>
    <row r="132" spans="4:5" ht="12" x14ac:dyDescent="0.2">
      <c r="D132" s="161"/>
      <c r="E132" s="73"/>
    </row>
    <row r="133" spans="4:5" ht="12" x14ac:dyDescent="0.2">
      <c r="D133" s="161"/>
      <c r="E133" s="73"/>
    </row>
    <row r="134" spans="4:5" ht="12" x14ac:dyDescent="0.2">
      <c r="D134" s="161"/>
      <c r="E134" s="73"/>
    </row>
    <row r="135" spans="4:5" ht="12" x14ac:dyDescent="0.2">
      <c r="D135" s="161"/>
      <c r="E135" s="73"/>
    </row>
    <row r="136" spans="4:5" ht="12" x14ac:dyDescent="0.2">
      <c r="D136" s="161"/>
      <c r="E136" s="73"/>
    </row>
    <row r="137" spans="4:5" ht="12" x14ac:dyDescent="0.2">
      <c r="D137" s="161"/>
      <c r="E137" s="73"/>
    </row>
    <row r="138" spans="4:5" ht="12" x14ac:dyDescent="0.2">
      <c r="E138" s="73"/>
    </row>
    <row r="139" spans="4:5" ht="12" x14ac:dyDescent="0.2">
      <c r="E139" s="73"/>
    </row>
    <row r="140" spans="4:5" ht="12" x14ac:dyDescent="0.2">
      <c r="E140" s="73"/>
    </row>
    <row r="141" spans="4:5" ht="12" x14ac:dyDescent="0.2">
      <c r="E141" s="73"/>
    </row>
    <row r="142" spans="4:5" ht="12" x14ac:dyDescent="0.2">
      <c r="E142" s="73"/>
    </row>
    <row r="143" spans="4:5" ht="12" x14ac:dyDescent="0.2">
      <c r="E143" s="73"/>
    </row>
    <row r="144" spans="4:5" ht="12" x14ac:dyDescent="0.2">
      <c r="E144" s="73"/>
    </row>
    <row r="145" spans="5:5" ht="12" x14ac:dyDescent="0.2">
      <c r="E145" s="73"/>
    </row>
    <row r="146" spans="5:5" ht="12" x14ac:dyDescent="0.2">
      <c r="E146" s="73"/>
    </row>
    <row r="147" spans="5:5" ht="12" x14ac:dyDescent="0.2">
      <c r="E147" s="73"/>
    </row>
    <row r="148" spans="5:5" ht="12" x14ac:dyDescent="0.2">
      <c r="E148" s="73"/>
    </row>
    <row r="149" spans="5:5" ht="12" x14ac:dyDescent="0.2">
      <c r="E149" s="73"/>
    </row>
    <row r="150" spans="5:5" ht="12" x14ac:dyDescent="0.2">
      <c r="E150" s="73"/>
    </row>
    <row r="151" spans="5:5" ht="12" x14ac:dyDescent="0.2">
      <c r="E151" s="73"/>
    </row>
    <row r="152" spans="5:5" ht="12" x14ac:dyDescent="0.2">
      <c r="E152" s="73"/>
    </row>
    <row r="153" spans="5:5" ht="12" x14ac:dyDescent="0.2">
      <c r="E153" s="73"/>
    </row>
    <row r="154" spans="5:5" ht="12" x14ac:dyDescent="0.2">
      <c r="E154" s="73"/>
    </row>
    <row r="155" spans="5:5" ht="12" x14ac:dyDescent="0.2">
      <c r="E155" s="73"/>
    </row>
    <row r="156" spans="5:5" ht="12" x14ac:dyDescent="0.2">
      <c r="E156" s="73"/>
    </row>
    <row r="157" spans="5:5" ht="12" x14ac:dyDescent="0.2">
      <c r="E157" s="73"/>
    </row>
    <row r="158" spans="5:5" ht="12" x14ac:dyDescent="0.2">
      <c r="E158" s="73"/>
    </row>
    <row r="159" spans="5:5" ht="12" x14ac:dyDescent="0.2">
      <c r="E159" s="73"/>
    </row>
    <row r="160" spans="5:5" ht="12" x14ac:dyDescent="0.2">
      <c r="E160" s="73"/>
    </row>
    <row r="161" spans="5:5" ht="12" x14ac:dyDescent="0.2">
      <c r="E161" s="73"/>
    </row>
    <row r="162" spans="5:5" ht="12" x14ac:dyDescent="0.2">
      <c r="E162" s="73"/>
    </row>
    <row r="163" spans="5:5" ht="12" x14ac:dyDescent="0.2">
      <c r="E163" s="73"/>
    </row>
    <row r="164" spans="5:5" ht="12" x14ac:dyDescent="0.2">
      <c r="E164" s="73"/>
    </row>
    <row r="165" spans="5:5" ht="12" x14ac:dyDescent="0.2">
      <c r="E165" s="73"/>
    </row>
    <row r="166" spans="5:5" ht="12" x14ac:dyDescent="0.2">
      <c r="E166" s="73"/>
    </row>
    <row r="167" spans="5:5" ht="12" x14ac:dyDescent="0.2">
      <c r="E167" s="73"/>
    </row>
    <row r="168" spans="5:5" ht="12" x14ac:dyDescent="0.2">
      <c r="E168" s="73"/>
    </row>
    <row r="169" spans="5:5" ht="12" x14ac:dyDescent="0.2">
      <c r="E169" s="73"/>
    </row>
    <row r="170" spans="5:5" ht="12" x14ac:dyDescent="0.2">
      <c r="E170" s="73"/>
    </row>
    <row r="171" spans="5:5" ht="12" x14ac:dyDescent="0.2">
      <c r="E171" s="73"/>
    </row>
    <row r="172" spans="5:5" ht="12" x14ac:dyDescent="0.2">
      <c r="E172" s="73"/>
    </row>
    <row r="173" spans="5:5" ht="12" x14ac:dyDescent="0.2">
      <c r="E173" s="73"/>
    </row>
    <row r="174" spans="5:5" ht="12" x14ac:dyDescent="0.2">
      <c r="E174" s="73"/>
    </row>
    <row r="175" spans="5:5" ht="12" x14ac:dyDescent="0.2">
      <c r="E175" s="73"/>
    </row>
    <row r="176" spans="5:5" ht="12" x14ac:dyDescent="0.2">
      <c r="E176" s="73"/>
    </row>
    <row r="177" spans="5:5" ht="12" x14ac:dyDescent="0.2">
      <c r="E177" s="73"/>
    </row>
    <row r="178" spans="5:5" ht="12" x14ac:dyDescent="0.2">
      <c r="E178" s="73"/>
    </row>
    <row r="179" spans="5:5" ht="12" x14ac:dyDescent="0.2">
      <c r="E179" s="73"/>
    </row>
    <row r="180" spans="5:5" ht="12" x14ac:dyDescent="0.2">
      <c r="E180" s="73"/>
    </row>
    <row r="181" spans="5:5" ht="12" x14ac:dyDescent="0.2">
      <c r="E181" s="73"/>
    </row>
    <row r="182" spans="5:5" ht="12" x14ac:dyDescent="0.2">
      <c r="E182" s="73"/>
    </row>
    <row r="183" spans="5:5" ht="12" x14ac:dyDescent="0.2">
      <c r="E183" s="73"/>
    </row>
    <row r="184" spans="5:5" ht="12" x14ac:dyDescent="0.2">
      <c r="E184" s="73"/>
    </row>
    <row r="185" spans="5:5" ht="12" x14ac:dyDescent="0.2">
      <c r="E185" s="73"/>
    </row>
    <row r="186" spans="5:5" ht="12" x14ac:dyDescent="0.2">
      <c r="E186" s="73"/>
    </row>
    <row r="187" spans="5:5" ht="12" x14ac:dyDescent="0.2">
      <c r="E187" s="73"/>
    </row>
    <row r="188" spans="5:5" ht="12" x14ac:dyDescent="0.2">
      <c r="E188" s="73"/>
    </row>
    <row r="189" spans="5:5" ht="12" x14ac:dyDescent="0.2">
      <c r="E189" s="73"/>
    </row>
    <row r="190" spans="5:5" ht="12" x14ac:dyDescent="0.2">
      <c r="E190" s="73"/>
    </row>
    <row r="191" spans="5:5" ht="12" x14ac:dyDescent="0.2">
      <c r="E191" s="73"/>
    </row>
    <row r="192" spans="5:5" ht="12" x14ac:dyDescent="0.2">
      <c r="E192" s="73"/>
    </row>
    <row r="193" spans="5:5" ht="12" x14ac:dyDescent="0.2">
      <c r="E193" s="73"/>
    </row>
    <row r="194" spans="5:5" ht="12" x14ac:dyDescent="0.2">
      <c r="E194" s="73"/>
    </row>
    <row r="195" spans="5:5" ht="12" x14ac:dyDescent="0.2">
      <c r="E195" s="73"/>
    </row>
    <row r="196" spans="5:5" ht="12" x14ac:dyDescent="0.2">
      <c r="E196" s="73"/>
    </row>
    <row r="197" spans="5:5" ht="12" x14ac:dyDescent="0.2">
      <c r="E197" s="73"/>
    </row>
    <row r="198" spans="5:5" ht="12" x14ac:dyDescent="0.2">
      <c r="E198" s="73"/>
    </row>
    <row r="199" spans="5:5" ht="12" x14ac:dyDescent="0.2">
      <c r="E199" s="73"/>
    </row>
    <row r="200" spans="5:5" ht="12" x14ac:dyDescent="0.2">
      <c r="E200" s="73"/>
    </row>
    <row r="201" spans="5:5" ht="12" x14ac:dyDescent="0.2">
      <c r="E201" s="73"/>
    </row>
    <row r="202" spans="5:5" ht="12" x14ac:dyDescent="0.2">
      <c r="E202" s="73"/>
    </row>
    <row r="203" spans="5:5" ht="12" x14ac:dyDescent="0.2">
      <c r="E203" s="73"/>
    </row>
    <row r="204" spans="5:5" ht="12" x14ac:dyDescent="0.2">
      <c r="E204" s="73"/>
    </row>
    <row r="205" spans="5:5" ht="12" x14ac:dyDescent="0.2">
      <c r="E205" s="73"/>
    </row>
    <row r="206" spans="5:5" ht="12" x14ac:dyDescent="0.2">
      <c r="E206" s="73"/>
    </row>
    <row r="207" spans="5:5" ht="12" x14ac:dyDescent="0.2">
      <c r="E207" s="73"/>
    </row>
    <row r="208" spans="5:5" ht="12" x14ac:dyDescent="0.2">
      <c r="E208" s="73"/>
    </row>
    <row r="209" spans="5:5" ht="12" x14ac:dyDescent="0.2">
      <c r="E209" s="73"/>
    </row>
    <row r="210" spans="5:5" ht="12" x14ac:dyDescent="0.2">
      <c r="E210" s="73"/>
    </row>
    <row r="211" spans="5:5" ht="12" x14ac:dyDescent="0.2">
      <c r="E211" s="73"/>
    </row>
    <row r="212" spans="5:5" ht="12" x14ac:dyDescent="0.2">
      <c r="E212" s="73"/>
    </row>
    <row r="213" spans="5:5" ht="12" x14ac:dyDescent="0.2">
      <c r="E213" s="73"/>
    </row>
    <row r="214" spans="5:5" ht="12" x14ac:dyDescent="0.2">
      <c r="E214" s="73"/>
    </row>
    <row r="215" spans="5:5" ht="12" x14ac:dyDescent="0.2">
      <c r="E215" s="73"/>
    </row>
    <row r="216" spans="5:5" ht="12" x14ac:dyDescent="0.2">
      <c r="E216" s="73"/>
    </row>
    <row r="217" spans="5:5" ht="12" x14ac:dyDescent="0.2">
      <c r="E217" s="73"/>
    </row>
    <row r="218" spans="5:5" ht="12" x14ac:dyDescent="0.2">
      <c r="E218" s="73"/>
    </row>
    <row r="219" spans="5:5" ht="12" x14ac:dyDescent="0.2">
      <c r="E219" s="73"/>
    </row>
    <row r="220" spans="5:5" ht="12" x14ac:dyDescent="0.2">
      <c r="E220" s="73"/>
    </row>
    <row r="221" spans="5:5" ht="12" x14ac:dyDescent="0.2">
      <c r="E221" s="73"/>
    </row>
    <row r="222" spans="5:5" ht="12" x14ac:dyDescent="0.2">
      <c r="E222" s="73"/>
    </row>
    <row r="223" spans="5:5" ht="12" x14ac:dyDescent="0.2">
      <c r="E223" s="73"/>
    </row>
    <row r="224" spans="5:5" ht="12" x14ac:dyDescent="0.2">
      <c r="E224" s="73"/>
    </row>
    <row r="225" spans="5:5" ht="12" x14ac:dyDescent="0.2">
      <c r="E225" s="73"/>
    </row>
    <row r="226" spans="5:5" ht="12" x14ac:dyDescent="0.2">
      <c r="E226" s="73"/>
    </row>
    <row r="227" spans="5:5" ht="12" x14ac:dyDescent="0.2">
      <c r="E227" s="73"/>
    </row>
    <row r="228" spans="5:5" ht="12" x14ac:dyDescent="0.2">
      <c r="E228" s="73"/>
    </row>
    <row r="229" spans="5:5" ht="12" x14ac:dyDescent="0.2">
      <c r="E229" s="73"/>
    </row>
    <row r="230" spans="5:5" ht="12" x14ac:dyDescent="0.2">
      <c r="E230" s="73"/>
    </row>
    <row r="231" spans="5:5" ht="12" x14ac:dyDescent="0.2">
      <c r="E231" s="73"/>
    </row>
    <row r="232" spans="5:5" ht="12" x14ac:dyDescent="0.2">
      <c r="E232" s="73"/>
    </row>
    <row r="233" spans="5:5" ht="12" x14ac:dyDescent="0.2">
      <c r="E233" s="73"/>
    </row>
    <row r="234" spans="5:5" ht="12" x14ac:dyDescent="0.2">
      <c r="E234" s="73"/>
    </row>
    <row r="235" spans="5:5" ht="12" x14ac:dyDescent="0.2">
      <c r="E235" s="73"/>
    </row>
    <row r="236" spans="5:5" ht="12" x14ac:dyDescent="0.2">
      <c r="E236" s="73"/>
    </row>
    <row r="237" spans="5:5" ht="12" x14ac:dyDescent="0.2">
      <c r="E237" s="73"/>
    </row>
    <row r="238" spans="5:5" ht="12" x14ac:dyDescent="0.2">
      <c r="E238" s="73"/>
    </row>
    <row r="239" spans="5:5" ht="12" x14ac:dyDescent="0.2">
      <c r="E239" s="73"/>
    </row>
    <row r="240" spans="5:5" ht="12" x14ac:dyDescent="0.2">
      <c r="E240" s="73"/>
    </row>
    <row r="241" spans="5:5" ht="12" x14ac:dyDescent="0.2">
      <c r="E241" s="73"/>
    </row>
    <row r="242" spans="5:5" ht="12" x14ac:dyDescent="0.2">
      <c r="E242" s="73"/>
    </row>
    <row r="243" spans="5:5" ht="12" x14ac:dyDescent="0.2">
      <c r="E243" s="73"/>
    </row>
    <row r="244" spans="5:5" ht="12" x14ac:dyDescent="0.2">
      <c r="E244" s="73"/>
    </row>
    <row r="245" spans="5:5" ht="12" x14ac:dyDescent="0.2">
      <c r="E245" s="73"/>
    </row>
    <row r="246" spans="5:5" ht="12" x14ac:dyDescent="0.2">
      <c r="E246" s="73"/>
    </row>
    <row r="247" spans="5:5" ht="12" x14ac:dyDescent="0.2">
      <c r="E247" s="73"/>
    </row>
    <row r="248" spans="5:5" ht="12" x14ac:dyDescent="0.2">
      <c r="E248" s="73"/>
    </row>
    <row r="249" spans="5:5" ht="12" x14ac:dyDescent="0.2">
      <c r="E249" s="73"/>
    </row>
    <row r="250" spans="5:5" ht="12" x14ac:dyDescent="0.2">
      <c r="E250" s="73"/>
    </row>
    <row r="251" spans="5:5" ht="12" x14ac:dyDescent="0.2">
      <c r="E251" s="73"/>
    </row>
    <row r="252" spans="5:5" x14ac:dyDescent="0.2"/>
    <row r="253" spans="5:5" x14ac:dyDescent="0.2"/>
    <row r="254" spans="5:5" x14ac:dyDescent="0.2"/>
    <row r="255" spans="5:5" x14ac:dyDescent="0.2"/>
    <row r="256" spans="5:5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</sheetData>
  <pageMargins left="0.25" right="0.25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25</vt:i4>
      </vt:variant>
    </vt:vector>
  </HeadingPairs>
  <TitlesOfParts>
    <vt:vector size="37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Misc_calcs</vt:lpstr>
      <vt:lpstr>Data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Assumptions!Print_Area</vt:lpstr>
      <vt:lpstr>proj</vt:lpstr>
      <vt:lpstr>real_disc</vt:lpstr>
      <vt:lpstr>sheets</vt:lpstr>
      <vt:lpstr>solar_demand_correction</vt:lpstr>
      <vt:lpstr>start</vt:lpstr>
      <vt:lpstr>start_year</vt:lpstr>
      <vt:lpstr>thous_conv</vt:lpstr>
      <vt:lpstr>update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2025-11-27T23:11:13Z</dcterms:created>
  <dcterms:modified xsi:type="dcterms:W3CDTF">2025-11-29T10:52:05Z</dcterms:modified>
  <cp:category/>
  <cp:contentStatus/>
</cp:coreProperties>
</file>